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B3F41D-B399-4F19-96DB-6C4EBA611A25}" xr6:coauthVersionLast="47" xr6:coauthVersionMax="47" xr10:uidLastSave="{00000000-0000-0000-0000-000000000000}"/>
  <bookViews>
    <workbookView xWindow="-120" yWindow="-120" windowWidth="23280" windowHeight="12480" activeTab="2"/>
  </bookViews>
  <sheets>
    <sheet name="SHIP CURVES" sheetId="2" r:id="rId1"/>
    <sheet name="TERMINAL CURVES" sheetId="10" r:id="rId2"/>
    <sheet name="PORTS" sheetId="3" r:id="rId3"/>
    <sheet name="ROUTES" sheetId="4" r:id="rId4"/>
    <sheet name="SHIPS" sheetId="5" r:id="rId5"/>
    <sheet name="FREIGHT" sheetId="6" r:id="rId6"/>
    <sheet name="ELBA BOOK" sheetId="8" r:id="rId7"/>
    <sheet name="ELBA INCOME" sheetId="9" r:id="rId8"/>
    <sheet name="SUMMARY" sheetId="13" r:id="rId9"/>
    <sheet name="SHIP POSITIONS" sheetId="12" r:id="rId10"/>
    <sheet name="CURVELOAD" sheetId="1" r:id="rId11"/>
    <sheet name="CURVECALC" sheetId="11" r:id="rId12"/>
  </sheets>
  <definedNames>
    <definedName name="ADMIN_CHARTER_COST">SHIPS!#REF!</definedName>
    <definedName name="BookType">CURVELOAD!$B$9</definedName>
    <definedName name="bunker_cost">ROUTES!$AE$3:$AK$197</definedName>
    <definedName name="bunker_cost_route">ROUTES!$AE$3:$AE$197</definedName>
    <definedName name="bunker_cost_ship">ROUTES!$AE$3:$AL$3</definedName>
    <definedName name="BUNKERFUEL_PER_CARGO">ROUTES!$AE$3:$AK$196</definedName>
    <definedName name="BUNKERFUEL_ROUTES">ROUTES!$AE$3:$AE$196</definedName>
    <definedName name="BUNKERFUEL_SHIPS">ROUTES!$AE$3:$AK$3</definedName>
    <definedName name="curvecalc">CURVECALC!$C$5:$J$317</definedName>
    <definedName name="CurveCode">CURVELOAD!$B$7</definedName>
    <definedName name="CurveDate">CURVELOAD!$B$4</definedName>
    <definedName name="CurveType">CURVELOAD!$B$8</definedName>
    <definedName name="dffd">#REF!</definedName>
    <definedName name="FirstMonth">CURVELOAD!$B$5</definedName>
    <definedName name="fixed_capacity_charge">PORTS!$H$11:$N$317</definedName>
    <definedName name="FIXED_CHARTER_COST">SHIPS!$B$24:$H$333</definedName>
    <definedName name="LADEN_VOYAGE_DAYS">ROUTES!$O$3:$U$196</definedName>
    <definedName name="LADEN_VOYAGE_ROUTES">ROUTES!$O$3:$O$196</definedName>
    <definedName name="LADEN_VOYAGE_SHIPS">ROUTES!$O$3:$U$3</definedName>
    <definedName name="MILES">ROUTES!$A$4:$E$166</definedName>
    <definedName name="MONTHS">#REF!</definedName>
    <definedName name="NumOfCurves">CURVELOAD!$B$2</definedName>
    <definedName name="OM_CHARTER_COST">SHIPS!$B$334:$H$642</definedName>
    <definedName name="other_cost">FREIGHT!$A$5:$H$23</definedName>
    <definedName name="PORT_CHARGE">PORTS!#REF!</definedName>
    <definedName name="PORT_CHARGE_SHIPS">PORTS!$A$4:$F$4</definedName>
    <definedName name="PORT_CHARGES">PORTS!$A$4:$F$102</definedName>
    <definedName name="port_processing_fee">PORTS!$H$626:$N$933</definedName>
    <definedName name="port_specs">PORTS!$H$4:$N$10</definedName>
    <definedName name="PORT_TOLLING_COST">PORTS!#REF!</definedName>
    <definedName name="PORTS">PORTS!$A$4:$A$102</definedName>
    <definedName name="Position">CURVELOAD!$B$11</definedName>
    <definedName name="PRICINGDATE">#REF!</definedName>
    <definedName name="_xlnm.Print_Area" localSheetId="7">'ELBA INCOME'!$A$1:$Q$35</definedName>
    <definedName name="_xlnm.Print_Area" localSheetId="9">'SHIP POSITIONS'!$A$2:$F$34</definedName>
    <definedName name="_xlnm.Print_Area" localSheetId="8">SUMMARY!$A$1:$O$34</definedName>
    <definedName name="ROUNDTRIP_DAYS">ROUTES!$W$3:$AC$196</definedName>
    <definedName name="ROUNDTRIP_ROUTES">ROUTES!$W$3:$W$196</definedName>
    <definedName name="ROUNDTRIP_SHIPS">ROUTES!$W$3:$AC$3</definedName>
    <definedName name="ROUTE_PER_DAY_BY_SHIP">ROUTES!$G$3:$M$196</definedName>
    <definedName name="ROUTE_PER_DAY_ROUTES">ROUTES!$G$3:$G$196</definedName>
    <definedName name="ROUTE_PER_DAY_SHIPS">ROUTES!$G$3:$M$3</definedName>
    <definedName name="ship_curves">'SHIP CURVES'!$A$9:$AZ$316</definedName>
    <definedName name="ship_name">SHIPS!$A$5:$H$5</definedName>
    <definedName name="SHIP_ROUTE_PER_DAY">ROUTES!$A$3:$M$196</definedName>
    <definedName name="ship_specs">SHIPS!$A$5:$A$23</definedName>
    <definedName name="SHIPS">SHIPS!$A$5:$H$23</definedName>
    <definedName name="sssq">#REF!</definedName>
    <definedName name="TERMINAL_CHARGES">PORTS!$H$4:$N$933</definedName>
    <definedName name="terminal_curves">'TERMINAL CURVES'!$A$4:$N$313</definedName>
    <definedName name="UNLOAD_CAPACITY">ROUTES!$AM$3:$AS$196</definedName>
    <definedName name="UNLOAD_CAPACITY_ROUTES">ROUTES!$AM$3:$AM$196</definedName>
    <definedName name="UNLOAD_CAPACITY_SHIPS">ROUTES!$AM$3:$AS$3</definedName>
    <definedName name="variable_om_charge">PORTS!$H$318:$N$625</definedName>
    <definedName name="xdcf">#REF!</definedName>
    <definedName name="xscff">#REF!</definedName>
    <definedName name="xx">#REF!</definedName>
    <definedName name="xxxxxxxxxxxx">#REF!</definedName>
    <definedName name="xzxxxx">#REF!</definedName>
  </definedNames>
  <calcPr calcId="0" calcMode="manual" calcOnSave="0"/>
</workbook>
</file>

<file path=xl/calcChain.xml><?xml version="1.0" encoding="utf-8"?>
<calcChain xmlns="http://schemas.openxmlformats.org/spreadsheetml/2006/main">
  <c r="B6" i="11" l="1"/>
  <c r="C6" i="11"/>
  <c r="D6" i="11"/>
  <c r="E6" i="11"/>
  <c r="F6" i="11"/>
  <c r="L6" i="11"/>
  <c r="B7" i="11"/>
  <c r="C7" i="11"/>
  <c r="D7" i="11"/>
  <c r="E7" i="11"/>
  <c r="F7" i="11"/>
  <c r="L7" i="11"/>
  <c r="B8" i="11"/>
  <c r="C8" i="11"/>
  <c r="D8" i="11"/>
  <c r="E8" i="11"/>
  <c r="F8" i="11"/>
  <c r="L8" i="11"/>
  <c r="B9" i="11"/>
  <c r="C9" i="11"/>
  <c r="D9" i="11"/>
  <c r="E9" i="11"/>
  <c r="F9" i="11"/>
  <c r="L9" i="11"/>
  <c r="B10" i="11"/>
  <c r="C10" i="11"/>
  <c r="D10" i="11"/>
  <c r="E10" i="11"/>
  <c r="F10" i="11"/>
  <c r="L10" i="11"/>
  <c r="B11" i="11"/>
  <c r="C11" i="11"/>
  <c r="D11" i="11"/>
  <c r="E11" i="11"/>
  <c r="F11" i="11"/>
  <c r="L11" i="11"/>
  <c r="B12" i="11"/>
  <c r="C12" i="11"/>
  <c r="D12" i="11"/>
  <c r="E12" i="11"/>
  <c r="F12" i="11"/>
  <c r="L12" i="11"/>
  <c r="B13" i="11"/>
  <c r="C13" i="11"/>
  <c r="D13" i="11"/>
  <c r="E13" i="11"/>
  <c r="F13" i="11"/>
  <c r="L13" i="11"/>
  <c r="B14" i="11"/>
  <c r="C14" i="11"/>
  <c r="D14" i="11"/>
  <c r="E14" i="11"/>
  <c r="F14" i="11"/>
  <c r="L14" i="11"/>
  <c r="B15" i="11"/>
  <c r="C15" i="11"/>
  <c r="D15" i="11"/>
  <c r="E15" i="11"/>
  <c r="F15" i="11"/>
  <c r="L15" i="11"/>
  <c r="B16" i="11"/>
  <c r="C16" i="11"/>
  <c r="D16" i="11"/>
  <c r="E16" i="11"/>
  <c r="F16" i="11"/>
  <c r="L16" i="11"/>
  <c r="B17" i="11"/>
  <c r="C17" i="11"/>
  <c r="D17" i="11"/>
  <c r="E17" i="11"/>
  <c r="F17" i="11"/>
  <c r="L17" i="11"/>
  <c r="B18" i="11"/>
  <c r="C18" i="11"/>
  <c r="D18" i="11"/>
  <c r="E18" i="11"/>
  <c r="F18" i="11"/>
  <c r="L18" i="11"/>
  <c r="B19" i="11"/>
  <c r="C19" i="11"/>
  <c r="D19" i="11"/>
  <c r="E19" i="11"/>
  <c r="F19" i="11"/>
  <c r="L19" i="11"/>
  <c r="B20" i="11"/>
  <c r="C20" i="11"/>
  <c r="D20" i="11"/>
  <c r="E20" i="11"/>
  <c r="F20" i="11"/>
  <c r="L20" i="11"/>
  <c r="B21" i="11"/>
  <c r="C21" i="11"/>
  <c r="D21" i="11"/>
  <c r="E21" i="11"/>
  <c r="F21" i="11"/>
  <c r="L21" i="11"/>
  <c r="B22" i="11"/>
  <c r="C22" i="11"/>
  <c r="D22" i="11"/>
  <c r="E22" i="11"/>
  <c r="F22" i="11"/>
  <c r="L22" i="11"/>
  <c r="B23" i="11"/>
  <c r="C23" i="11"/>
  <c r="D23" i="11"/>
  <c r="E23" i="11"/>
  <c r="F23" i="11"/>
  <c r="L23" i="11"/>
  <c r="B24" i="11"/>
  <c r="C24" i="11"/>
  <c r="D24" i="11"/>
  <c r="E24" i="11"/>
  <c r="F24" i="11"/>
  <c r="L24" i="11"/>
  <c r="B25" i="11"/>
  <c r="C25" i="11"/>
  <c r="D25" i="11"/>
  <c r="E25" i="11"/>
  <c r="F25" i="11"/>
  <c r="L25" i="11"/>
  <c r="B26" i="11"/>
  <c r="C26" i="11"/>
  <c r="D26" i="11"/>
  <c r="E26" i="11"/>
  <c r="F26" i="11"/>
  <c r="L26" i="11"/>
  <c r="B27" i="11"/>
  <c r="C27" i="11"/>
  <c r="D27" i="11"/>
  <c r="E27" i="11"/>
  <c r="F27" i="11"/>
  <c r="L27" i="11"/>
  <c r="B28" i="11"/>
  <c r="C28" i="11"/>
  <c r="D28" i="11"/>
  <c r="E28" i="11"/>
  <c r="F28" i="11"/>
  <c r="L28" i="11"/>
  <c r="B29" i="11"/>
  <c r="C29" i="11"/>
  <c r="D29" i="11"/>
  <c r="E29" i="11"/>
  <c r="F29" i="11"/>
  <c r="L29" i="11"/>
  <c r="B30" i="11"/>
  <c r="C30" i="11"/>
  <c r="D30" i="11"/>
  <c r="E30" i="11"/>
  <c r="F30" i="11"/>
  <c r="L30" i="11"/>
  <c r="B31" i="11"/>
  <c r="C31" i="11"/>
  <c r="D31" i="11"/>
  <c r="E31" i="11"/>
  <c r="F31" i="11"/>
  <c r="L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B35" i="11"/>
  <c r="C35" i="11"/>
  <c r="D35" i="11"/>
  <c r="E35" i="11"/>
  <c r="F35" i="11"/>
  <c r="B36" i="11"/>
  <c r="C36" i="11"/>
  <c r="D36" i="11"/>
  <c r="E36" i="11"/>
  <c r="F36" i="11"/>
  <c r="B37" i="11"/>
  <c r="C37" i="11"/>
  <c r="D37" i="11"/>
  <c r="E37" i="11"/>
  <c r="F37" i="11"/>
  <c r="B38" i="11"/>
  <c r="C38" i="11"/>
  <c r="D38" i="11"/>
  <c r="E38" i="11"/>
  <c r="F38" i="11"/>
  <c r="B39" i="11"/>
  <c r="C39" i="11"/>
  <c r="D39" i="11"/>
  <c r="E39" i="11"/>
  <c r="F39" i="11"/>
  <c r="B40" i="11"/>
  <c r="C40" i="11"/>
  <c r="D40" i="11"/>
  <c r="E40" i="11"/>
  <c r="F40" i="11"/>
  <c r="B41" i="11"/>
  <c r="C41" i="11"/>
  <c r="D41" i="11"/>
  <c r="E41" i="11"/>
  <c r="F41" i="11"/>
  <c r="B42" i="11"/>
  <c r="C42" i="11"/>
  <c r="D42" i="11"/>
  <c r="E42" i="11"/>
  <c r="F42" i="11"/>
  <c r="B43" i="11"/>
  <c r="C43" i="11"/>
  <c r="D43" i="11"/>
  <c r="E43" i="11"/>
  <c r="F43" i="11"/>
  <c r="B44" i="11"/>
  <c r="C44" i="11"/>
  <c r="D44" i="11"/>
  <c r="E44" i="11"/>
  <c r="F44" i="11"/>
  <c r="B45" i="11"/>
  <c r="C45" i="11"/>
  <c r="D45" i="11"/>
  <c r="E45" i="11"/>
  <c r="F45" i="11"/>
  <c r="B46" i="11"/>
  <c r="C46" i="11"/>
  <c r="D46" i="11"/>
  <c r="E46" i="11"/>
  <c r="F46" i="11"/>
  <c r="B47" i="11"/>
  <c r="C47" i="11"/>
  <c r="D47" i="11"/>
  <c r="E47" i="11"/>
  <c r="F47" i="11"/>
  <c r="B48" i="11"/>
  <c r="C48" i="11"/>
  <c r="D48" i="11"/>
  <c r="E48" i="11"/>
  <c r="F48" i="11"/>
  <c r="B49" i="11"/>
  <c r="C49" i="11"/>
  <c r="D49" i="11"/>
  <c r="E49" i="11"/>
  <c r="F49" i="11"/>
  <c r="B50" i="11"/>
  <c r="C50" i="11"/>
  <c r="D50" i="11"/>
  <c r="E50" i="11"/>
  <c r="F50" i="11"/>
  <c r="B51" i="11"/>
  <c r="C51" i="11"/>
  <c r="D51" i="11"/>
  <c r="E51" i="11"/>
  <c r="F51" i="11"/>
  <c r="B52" i="11"/>
  <c r="C52" i="11"/>
  <c r="D52" i="11"/>
  <c r="E52" i="11"/>
  <c r="F52" i="11"/>
  <c r="B53" i="11"/>
  <c r="C53" i="11"/>
  <c r="D53" i="11"/>
  <c r="E53" i="11"/>
  <c r="F53" i="11"/>
  <c r="B54" i="11"/>
  <c r="C54" i="11"/>
  <c r="D54" i="11"/>
  <c r="E54" i="11"/>
  <c r="F54" i="11"/>
  <c r="B55" i="11"/>
  <c r="C55" i="11"/>
  <c r="D55" i="11"/>
  <c r="E55" i="11"/>
  <c r="F55" i="11"/>
  <c r="B56" i="11"/>
  <c r="C56" i="11"/>
  <c r="D56" i="11"/>
  <c r="E56" i="11"/>
  <c r="F56" i="11"/>
  <c r="B57" i="11"/>
  <c r="C57" i="11"/>
  <c r="D57" i="11"/>
  <c r="E57" i="11"/>
  <c r="F57" i="11"/>
  <c r="B58" i="11"/>
  <c r="C58" i="11"/>
  <c r="D58" i="11"/>
  <c r="E58" i="11"/>
  <c r="F58" i="11"/>
  <c r="B59" i="11"/>
  <c r="C59" i="11"/>
  <c r="D59" i="11"/>
  <c r="E59" i="11"/>
  <c r="F59" i="11"/>
  <c r="B60" i="11"/>
  <c r="C60" i="11"/>
  <c r="D60" i="11"/>
  <c r="E60" i="11"/>
  <c r="F60" i="11"/>
  <c r="B61" i="11"/>
  <c r="C61" i="11"/>
  <c r="D61" i="11"/>
  <c r="E61" i="11"/>
  <c r="F61" i="11"/>
  <c r="B62" i="11"/>
  <c r="C62" i="11"/>
  <c r="D62" i="11"/>
  <c r="E62" i="11"/>
  <c r="F62" i="11"/>
  <c r="B63" i="11"/>
  <c r="C63" i="11"/>
  <c r="D63" i="11"/>
  <c r="E63" i="11"/>
  <c r="F63" i="11"/>
  <c r="B64" i="11"/>
  <c r="C64" i="11"/>
  <c r="D64" i="11"/>
  <c r="E64" i="11"/>
  <c r="F64" i="11"/>
  <c r="B65" i="11"/>
  <c r="C65" i="11"/>
  <c r="D65" i="11"/>
  <c r="E65" i="11"/>
  <c r="F65" i="11"/>
  <c r="B66" i="11"/>
  <c r="C66" i="11"/>
  <c r="D66" i="11"/>
  <c r="E66" i="11"/>
  <c r="F66" i="11"/>
  <c r="B67" i="11"/>
  <c r="C67" i="11"/>
  <c r="D67" i="11"/>
  <c r="E67" i="11"/>
  <c r="F67" i="11"/>
  <c r="B68" i="11"/>
  <c r="C68" i="11"/>
  <c r="D68" i="11"/>
  <c r="E68" i="11"/>
  <c r="F68" i="11"/>
  <c r="B69" i="11"/>
  <c r="C69" i="11"/>
  <c r="D69" i="11"/>
  <c r="E69" i="11"/>
  <c r="F69" i="11"/>
  <c r="B70" i="11"/>
  <c r="C70" i="11"/>
  <c r="D70" i="11"/>
  <c r="E70" i="11"/>
  <c r="F70" i="11"/>
  <c r="B71" i="11"/>
  <c r="C71" i="11"/>
  <c r="D71" i="11"/>
  <c r="E71" i="11"/>
  <c r="F71" i="11"/>
  <c r="B72" i="11"/>
  <c r="C72" i="11"/>
  <c r="D72" i="11"/>
  <c r="E72" i="11"/>
  <c r="F72" i="11"/>
  <c r="B73" i="11"/>
  <c r="C73" i="11"/>
  <c r="D73" i="11"/>
  <c r="E73" i="11"/>
  <c r="F73" i="11"/>
  <c r="B74" i="11"/>
  <c r="C74" i="11"/>
  <c r="D74" i="11"/>
  <c r="E74" i="11"/>
  <c r="F74" i="11"/>
  <c r="B75" i="11"/>
  <c r="C75" i="11"/>
  <c r="D75" i="11"/>
  <c r="E75" i="11"/>
  <c r="F75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80" i="11"/>
  <c r="C80" i="11"/>
  <c r="D80" i="11"/>
  <c r="E80" i="11"/>
  <c r="F80" i="11"/>
  <c r="B81" i="11"/>
  <c r="C81" i="11"/>
  <c r="D81" i="11"/>
  <c r="E81" i="11"/>
  <c r="F81" i="11"/>
  <c r="B82" i="11"/>
  <c r="C82" i="11"/>
  <c r="D82" i="11"/>
  <c r="E82" i="11"/>
  <c r="F82" i="11"/>
  <c r="B83" i="11"/>
  <c r="C83" i="11"/>
  <c r="D83" i="11"/>
  <c r="E83" i="11"/>
  <c r="F83" i="11"/>
  <c r="B84" i="11"/>
  <c r="C84" i="11"/>
  <c r="D84" i="11"/>
  <c r="E84" i="11"/>
  <c r="F84" i="11"/>
  <c r="B85" i="11"/>
  <c r="C85" i="11"/>
  <c r="D85" i="11"/>
  <c r="E85" i="11"/>
  <c r="F85" i="11"/>
  <c r="B86" i="11"/>
  <c r="C86" i="11"/>
  <c r="D86" i="11"/>
  <c r="E86" i="11"/>
  <c r="F86" i="11"/>
  <c r="B87" i="11"/>
  <c r="C87" i="11"/>
  <c r="D87" i="11"/>
  <c r="E87" i="11"/>
  <c r="F87" i="11"/>
  <c r="B88" i="11"/>
  <c r="C88" i="11"/>
  <c r="D88" i="11"/>
  <c r="E88" i="11"/>
  <c r="F88" i="11"/>
  <c r="B89" i="11"/>
  <c r="C89" i="11"/>
  <c r="D89" i="11"/>
  <c r="E89" i="11"/>
  <c r="F89" i="11"/>
  <c r="B90" i="11"/>
  <c r="C90" i="11"/>
  <c r="D90" i="11"/>
  <c r="E90" i="11"/>
  <c r="F90" i="11"/>
  <c r="B91" i="11"/>
  <c r="C91" i="11"/>
  <c r="D91" i="11"/>
  <c r="E91" i="11"/>
  <c r="F91" i="11"/>
  <c r="B92" i="11"/>
  <c r="C92" i="11"/>
  <c r="D92" i="11"/>
  <c r="E92" i="11"/>
  <c r="F92" i="11"/>
  <c r="B93" i="11"/>
  <c r="C93" i="11"/>
  <c r="D93" i="11"/>
  <c r="E93" i="11"/>
  <c r="F93" i="11"/>
  <c r="B94" i="11"/>
  <c r="C94" i="11"/>
  <c r="D94" i="11"/>
  <c r="E94" i="11"/>
  <c r="F94" i="11"/>
  <c r="B95" i="11"/>
  <c r="C95" i="11"/>
  <c r="D95" i="11"/>
  <c r="E95" i="11"/>
  <c r="F95" i="11"/>
  <c r="B96" i="11"/>
  <c r="C96" i="11"/>
  <c r="D96" i="11"/>
  <c r="E96" i="11"/>
  <c r="F96" i="11"/>
  <c r="B97" i="11"/>
  <c r="C97" i="11"/>
  <c r="D97" i="11"/>
  <c r="E97" i="11"/>
  <c r="F97" i="11"/>
  <c r="B98" i="11"/>
  <c r="C98" i="11"/>
  <c r="D98" i="11"/>
  <c r="E98" i="11"/>
  <c r="F98" i="11"/>
  <c r="B99" i="11"/>
  <c r="C99" i="11"/>
  <c r="D99" i="11"/>
  <c r="E99" i="11"/>
  <c r="F99" i="11"/>
  <c r="B100" i="11"/>
  <c r="C100" i="11"/>
  <c r="D100" i="11"/>
  <c r="E100" i="11"/>
  <c r="F100" i="11"/>
  <c r="B101" i="11"/>
  <c r="C101" i="11"/>
  <c r="D101" i="11"/>
  <c r="E101" i="11"/>
  <c r="F101" i="11"/>
  <c r="B102" i="11"/>
  <c r="C102" i="11"/>
  <c r="D102" i="11"/>
  <c r="E102" i="11"/>
  <c r="F102" i="11"/>
  <c r="B103" i="11"/>
  <c r="C103" i="11"/>
  <c r="D103" i="11"/>
  <c r="E103" i="11"/>
  <c r="F103" i="11"/>
  <c r="B104" i="11"/>
  <c r="C104" i="11"/>
  <c r="D104" i="11"/>
  <c r="E104" i="11"/>
  <c r="F104" i="11"/>
  <c r="B105" i="11"/>
  <c r="C105" i="11"/>
  <c r="D105" i="11"/>
  <c r="E105" i="11"/>
  <c r="F105" i="11"/>
  <c r="B106" i="11"/>
  <c r="C106" i="11"/>
  <c r="D106" i="11"/>
  <c r="E106" i="11"/>
  <c r="F106" i="11"/>
  <c r="B107" i="11"/>
  <c r="C107" i="11"/>
  <c r="D107" i="11"/>
  <c r="E107" i="11"/>
  <c r="F107" i="11"/>
  <c r="B108" i="11"/>
  <c r="C108" i="11"/>
  <c r="D108" i="11"/>
  <c r="E108" i="11"/>
  <c r="F108" i="11"/>
  <c r="B109" i="11"/>
  <c r="C109" i="11"/>
  <c r="D109" i="11"/>
  <c r="E109" i="11"/>
  <c r="F109" i="11"/>
  <c r="B110" i="11"/>
  <c r="C110" i="11"/>
  <c r="D110" i="11"/>
  <c r="E110" i="11"/>
  <c r="F110" i="11"/>
  <c r="B111" i="11"/>
  <c r="C111" i="11"/>
  <c r="D111" i="11"/>
  <c r="E111" i="11"/>
  <c r="F111" i="11"/>
  <c r="B112" i="11"/>
  <c r="C112" i="11"/>
  <c r="D112" i="11"/>
  <c r="E112" i="11"/>
  <c r="F112" i="11"/>
  <c r="B113" i="11"/>
  <c r="C113" i="11"/>
  <c r="D113" i="11"/>
  <c r="E113" i="11"/>
  <c r="F113" i="11"/>
  <c r="B114" i="11"/>
  <c r="C114" i="11"/>
  <c r="D114" i="11"/>
  <c r="E114" i="11"/>
  <c r="F114" i="11"/>
  <c r="B115" i="11"/>
  <c r="C115" i="11"/>
  <c r="D115" i="11"/>
  <c r="E115" i="11"/>
  <c r="F115" i="11"/>
  <c r="B116" i="11"/>
  <c r="C116" i="11"/>
  <c r="D116" i="11"/>
  <c r="E116" i="11"/>
  <c r="F116" i="11"/>
  <c r="B117" i="11"/>
  <c r="C117" i="11"/>
  <c r="D117" i="11"/>
  <c r="E117" i="11"/>
  <c r="F117" i="11"/>
  <c r="B118" i="11"/>
  <c r="C118" i="11"/>
  <c r="D118" i="11"/>
  <c r="E118" i="11"/>
  <c r="F118" i="11"/>
  <c r="B119" i="11"/>
  <c r="C119" i="11"/>
  <c r="D119" i="11"/>
  <c r="E119" i="11"/>
  <c r="F119" i="11"/>
  <c r="B120" i="11"/>
  <c r="C120" i="11"/>
  <c r="D120" i="11"/>
  <c r="E120" i="11"/>
  <c r="F120" i="11"/>
  <c r="B121" i="11"/>
  <c r="C121" i="11"/>
  <c r="D121" i="11"/>
  <c r="E121" i="11"/>
  <c r="F121" i="11"/>
  <c r="B122" i="11"/>
  <c r="C122" i="11"/>
  <c r="D122" i="11"/>
  <c r="E122" i="11"/>
  <c r="F122" i="11"/>
  <c r="B123" i="11"/>
  <c r="C123" i="11"/>
  <c r="D123" i="11"/>
  <c r="E123" i="11"/>
  <c r="F123" i="11"/>
  <c r="B124" i="11"/>
  <c r="C124" i="11"/>
  <c r="D124" i="11"/>
  <c r="E124" i="11"/>
  <c r="F124" i="11"/>
  <c r="B125" i="11"/>
  <c r="C125" i="11"/>
  <c r="D125" i="11"/>
  <c r="E125" i="11"/>
  <c r="F125" i="11"/>
  <c r="B126" i="11"/>
  <c r="C126" i="11"/>
  <c r="D126" i="11"/>
  <c r="E126" i="11"/>
  <c r="F126" i="11"/>
  <c r="B127" i="11"/>
  <c r="C127" i="11"/>
  <c r="D127" i="11"/>
  <c r="E127" i="11"/>
  <c r="F127" i="11"/>
  <c r="B128" i="11"/>
  <c r="C128" i="11"/>
  <c r="D128" i="11"/>
  <c r="E128" i="11"/>
  <c r="F128" i="11"/>
  <c r="B129" i="11"/>
  <c r="C129" i="11"/>
  <c r="D129" i="11"/>
  <c r="E129" i="11"/>
  <c r="F129" i="11"/>
  <c r="B130" i="11"/>
  <c r="C130" i="11"/>
  <c r="D130" i="11"/>
  <c r="E130" i="11"/>
  <c r="F130" i="11"/>
  <c r="B131" i="11"/>
  <c r="C131" i="11"/>
  <c r="D131" i="11"/>
  <c r="E131" i="11"/>
  <c r="F131" i="11"/>
  <c r="B132" i="11"/>
  <c r="C132" i="11"/>
  <c r="D132" i="11"/>
  <c r="E132" i="11"/>
  <c r="F132" i="11"/>
  <c r="B133" i="11"/>
  <c r="C133" i="11"/>
  <c r="D133" i="11"/>
  <c r="E133" i="11"/>
  <c r="F133" i="11"/>
  <c r="B134" i="11"/>
  <c r="C134" i="11"/>
  <c r="D134" i="11"/>
  <c r="E134" i="11"/>
  <c r="F134" i="11"/>
  <c r="B135" i="11"/>
  <c r="C135" i="11"/>
  <c r="D135" i="11"/>
  <c r="E135" i="11"/>
  <c r="F135" i="11"/>
  <c r="B136" i="11"/>
  <c r="C136" i="11"/>
  <c r="D136" i="11"/>
  <c r="E136" i="11"/>
  <c r="F136" i="11"/>
  <c r="B137" i="11"/>
  <c r="C137" i="11"/>
  <c r="D137" i="11"/>
  <c r="E137" i="11"/>
  <c r="F137" i="11"/>
  <c r="B138" i="11"/>
  <c r="C138" i="11"/>
  <c r="D138" i="11"/>
  <c r="E138" i="11"/>
  <c r="F138" i="11"/>
  <c r="B139" i="11"/>
  <c r="C139" i="11"/>
  <c r="D139" i="11"/>
  <c r="E139" i="11"/>
  <c r="F139" i="11"/>
  <c r="B140" i="11"/>
  <c r="C140" i="11"/>
  <c r="D140" i="11"/>
  <c r="E140" i="11"/>
  <c r="F140" i="11"/>
  <c r="B141" i="11"/>
  <c r="C141" i="11"/>
  <c r="D141" i="11"/>
  <c r="E141" i="11"/>
  <c r="F141" i="11"/>
  <c r="B142" i="11"/>
  <c r="C142" i="11"/>
  <c r="D142" i="11"/>
  <c r="E142" i="11"/>
  <c r="F142" i="11"/>
  <c r="B143" i="11"/>
  <c r="C143" i="11"/>
  <c r="D143" i="11"/>
  <c r="E143" i="11"/>
  <c r="F143" i="11"/>
  <c r="B144" i="11"/>
  <c r="C144" i="11"/>
  <c r="D144" i="11"/>
  <c r="E144" i="11"/>
  <c r="F144" i="11"/>
  <c r="B145" i="11"/>
  <c r="C145" i="11"/>
  <c r="D145" i="11"/>
  <c r="E145" i="11"/>
  <c r="F145" i="11"/>
  <c r="B146" i="11"/>
  <c r="C146" i="11"/>
  <c r="D146" i="11"/>
  <c r="E146" i="11"/>
  <c r="F146" i="11"/>
  <c r="B147" i="11"/>
  <c r="C147" i="11"/>
  <c r="D147" i="11"/>
  <c r="E147" i="11"/>
  <c r="F147" i="11"/>
  <c r="B148" i="11"/>
  <c r="C148" i="11"/>
  <c r="D148" i="11"/>
  <c r="E148" i="11"/>
  <c r="F148" i="11"/>
  <c r="B149" i="11"/>
  <c r="C149" i="11"/>
  <c r="D149" i="11"/>
  <c r="E149" i="11"/>
  <c r="F149" i="11"/>
  <c r="B150" i="11"/>
  <c r="C150" i="11"/>
  <c r="D150" i="11"/>
  <c r="E150" i="11"/>
  <c r="F150" i="11"/>
  <c r="B151" i="11"/>
  <c r="C151" i="11"/>
  <c r="D151" i="11"/>
  <c r="E151" i="11"/>
  <c r="F151" i="11"/>
  <c r="B152" i="11"/>
  <c r="C152" i="11"/>
  <c r="D152" i="11"/>
  <c r="E152" i="11"/>
  <c r="F152" i="11"/>
  <c r="B153" i="11"/>
  <c r="C153" i="11"/>
  <c r="D153" i="11"/>
  <c r="E153" i="11"/>
  <c r="F153" i="11"/>
  <c r="B154" i="11"/>
  <c r="C154" i="11"/>
  <c r="D154" i="11"/>
  <c r="E154" i="11"/>
  <c r="F154" i="11"/>
  <c r="B155" i="11"/>
  <c r="C155" i="11"/>
  <c r="D155" i="11"/>
  <c r="E155" i="11"/>
  <c r="F155" i="11"/>
  <c r="B156" i="11"/>
  <c r="C156" i="11"/>
  <c r="D156" i="11"/>
  <c r="E156" i="11"/>
  <c r="F156" i="11"/>
  <c r="B157" i="11"/>
  <c r="C157" i="11"/>
  <c r="D157" i="11"/>
  <c r="E157" i="11"/>
  <c r="F157" i="11"/>
  <c r="B158" i="11"/>
  <c r="C158" i="11"/>
  <c r="D158" i="11"/>
  <c r="E158" i="11"/>
  <c r="F158" i="11"/>
  <c r="B159" i="11"/>
  <c r="C159" i="11"/>
  <c r="D159" i="11"/>
  <c r="E159" i="11"/>
  <c r="F159" i="11"/>
  <c r="B160" i="11"/>
  <c r="C160" i="11"/>
  <c r="D160" i="11"/>
  <c r="E160" i="11"/>
  <c r="F160" i="11"/>
  <c r="B161" i="11"/>
  <c r="C161" i="11"/>
  <c r="D161" i="11"/>
  <c r="E161" i="11"/>
  <c r="F161" i="11"/>
  <c r="B162" i="11"/>
  <c r="C162" i="11"/>
  <c r="D162" i="11"/>
  <c r="E162" i="11"/>
  <c r="F162" i="11"/>
  <c r="B163" i="11"/>
  <c r="C163" i="11"/>
  <c r="D163" i="11"/>
  <c r="E163" i="11"/>
  <c r="F163" i="11"/>
  <c r="B164" i="11"/>
  <c r="C164" i="11"/>
  <c r="D164" i="11"/>
  <c r="E164" i="11"/>
  <c r="F164" i="11"/>
  <c r="B165" i="11"/>
  <c r="C165" i="11"/>
  <c r="D165" i="11"/>
  <c r="E165" i="11"/>
  <c r="F165" i="11"/>
  <c r="B166" i="11"/>
  <c r="C166" i="11"/>
  <c r="D166" i="11"/>
  <c r="E166" i="11"/>
  <c r="F166" i="11"/>
  <c r="B167" i="11"/>
  <c r="C167" i="11"/>
  <c r="D167" i="11"/>
  <c r="E167" i="11"/>
  <c r="F167" i="11"/>
  <c r="B168" i="11"/>
  <c r="C168" i="11"/>
  <c r="D168" i="11"/>
  <c r="E168" i="11"/>
  <c r="F168" i="11"/>
  <c r="B169" i="11"/>
  <c r="C169" i="11"/>
  <c r="D169" i="11"/>
  <c r="E169" i="11"/>
  <c r="F169" i="11"/>
  <c r="B170" i="11"/>
  <c r="C170" i="11"/>
  <c r="D170" i="11"/>
  <c r="E170" i="11"/>
  <c r="F170" i="11"/>
  <c r="B171" i="11"/>
  <c r="C171" i="11"/>
  <c r="D171" i="11"/>
  <c r="E171" i="11"/>
  <c r="F171" i="11"/>
  <c r="B172" i="11"/>
  <c r="C172" i="11"/>
  <c r="D172" i="11"/>
  <c r="E172" i="11"/>
  <c r="F172" i="11"/>
  <c r="B173" i="11"/>
  <c r="C173" i="11"/>
  <c r="D173" i="11"/>
  <c r="E173" i="11"/>
  <c r="F173" i="11"/>
  <c r="B174" i="11"/>
  <c r="C174" i="11"/>
  <c r="D174" i="11"/>
  <c r="E174" i="11"/>
  <c r="F174" i="11"/>
  <c r="B175" i="11"/>
  <c r="C175" i="11"/>
  <c r="D175" i="11"/>
  <c r="E175" i="11"/>
  <c r="F175" i="11"/>
  <c r="B176" i="11"/>
  <c r="C176" i="11"/>
  <c r="D176" i="11"/>
  <c r="E176" i="11"/>
  <c r="F176" i="11"/>
  <c r="B177" i="11"/>
  <c r="C177" i="11"/>
  <c r="D177" i="11"/>
  <c r="E177" i="11"/>
  <c r="F177" i="11"/>
  <c r="B178" i="11"/>
  <c r="C178" i="11"/>
  <c r="D178" i="11"/>
  <c r="E178" i="11"/>
  <c r="F178" i="11"/>
  <c r="B179" i="11"/>
  <c r="C179" i="11"/>
  <c r="D179" i="11"/>
  <c r="E179" i="11"/>
  <c r="F179" i="11"/>
  <c r="B180" i="11"/>
  <c r="C180" i="11"/>
  <c r="D180" i="11"/>
  <c r="E180" i="11"/>
  <c r="F180" i="11"/>
  <c r="B181" i="11"/>
  <c r="C181" i="11"/>
  <c r="D181" i="11"/>
  <c r="E181" i="11"/>
  <c r="F181" i="11"/>
  <c r="B182" i="11"/>
  <c r="C182" i="11"/>
  <c r="D182" i="11"/>
  <c r="E182" i="11"/>
  <c r="F182" i="11"/>
  <c r="B183" i="11"/>
  <c r="C183" i="11"/>
  <c r="D183" i="11"/>
  <c r="E183" i="11"/>
  <c r="F183" i="11"/>
  <c r="B184" i="11"/>
  <c r="C184" i="11"/>
  <c r="D184" i="11"/>
  <c r="E184" i="11"/>
  <c r="F184" i="11"/>
  <c r="B185" i="11"/>
  <c r="C185" i="11"/>
  <c r="D185" i="11"/>
  <c r="E185" i="11"/>
  <c r="F185" i="11"/>
  <c r="B186" i="11"/>
  <c r="C186" i="11"/>
  <c r="D186" i="11"/>
  <c r="E186" i="11"/>
  <c r="F186" i="11"/>
  <c r="B187" i="11"/>
  <c r="C187" i="11"/>
  <c r="D187" i="11"/>
  <c r="E187" i="11"/>
  <c r="F187" i="11"/>
  <c r="B188" i="11"/>
  <c r="C188" i="11"/>
  <c r="D188" i="11"/>
  <c r="E188" i="11"/>
  <c r="F188" i="11"/>
  <c r="B189" i="11"/>
  <c r="C189" i="11"/>
  <c r="D189" i="11"/>
  <c r="E189" i="11"/>
  <c r="F189" i="11"/>
  <c r="B190" i="11"/>
  <c r="C190" i="11"/>
  <c r="D190" i="11"/>
  <c r="E190" i="11"/>
  <c r="F190" i="11"/>
  <c r="B191" i="11"/>
  <c r="C191" i="11"/>
  <c r="D191" i="11"/>
  <c r="E191" i="11"/>
  <c r="F191" i="11"/>
  <c r="B192" i="11"/>
  <c r="C192" i="11"/>
  <c r="D192" i="11"/>
  <c r="E192" i="11"/>
  <c r="F192" i="11"/>
  <c r="B193" i="11"/>
  <c r="C193" i="11"/>
  <c r="D193" i="11"/>
  <c r="E193" i="11"/>
  <c r="F193" i="11"/>
  <c r="B194" i="11"/>
  <c r="C194" i="11"/>
  <c r="D194" i="11"/>
  <c r="E194" i="11"/>
  <c r="F194" i="11"/>
  <c r="B195" i="11"/>
  <c r="C195" i="11"/>
  <c r="D195" i="11"/>
  <c r="E195" i="11"/>
  <c r="F195" i="11"/>
  <c r="B196" i="11"/>
  <c r="C196" i="11"/>
  <c r="D196" i="11"/>
  <c r="E196" i="11"/>
  <c r="F196" i="11"/>
  <c r="B197" i="11"/>
  <c r="C197" i="11"/>
  <c r="D197" i="11"/>
  <c r="E197" i="11"/>
  <c r="F197" i="11"/>
  <c r="B198" i="11"/>
  <c r="C198" i="11"/>
  <c r="D198" i="11"/>
  <c r="E198" i="11"/>
  <c r="F198" i="11"/>
  <c r="B199" i="11"/>
  <c r="C199" i="11"/>
  <c r="D199" i="11"/>
  <c r="E199" i="11"/>
  <c r="F199" i="11"/>
  <c r="B200" i="11"/>
  <c r="C200" i="11"/>
  <c r="D200" i="11"/>
  <c r="E200" i="11"/>
  <c r="F200" i="11"/>
  <c r="B201" i="11"/>
  <c r="C201" i="11"/>
  <c r="D201" i="11"/>
  <c r="E201" i="11"/>
  <c r="F201" i="11"/>
  <c r="B202" i="11"/>
  <c r="C202" i="11"/>
  <c r="D202" i="11"/>
  <c r="E202" i="11"/>
  <c r="F202" i="11"/>
  <c r="B203" i="11"/>
  <c r="C203" i="11"/>
  <c r="D203" i="11"/>
  <c r="E203" i="11"/>
  <c r="F203" i="11"/>
  <c r="B204" i="11"/>
  <c r="C204" i="11"/>
  <c r="D204" i="11"/>
  <c r="E204" i="11"/>
  <c r="F204" i="11"/>
  <c r="B205" i="11"/>
  <c r="C205" i="11"/>
  <c r="D205" i="11"/>
  <c r="E205" i="11"/>
  <c r="F205" i="11"/>
  <c r="B206" i="11"/>
  <c r="C206" i="11"/>
  <c r="D206" i="11"/>
  <c r="E206" i="11"/>
  <c r="F206" i="11"/>
  <c r="B207" i="11"/>
  <c r="C207" i="11"/>
  <c r="D207" i="11"/>
  <c r="E207" i="11"/>
  <c r="F207" i="11"/>
  <c r="B208" i="11"/>
  <c r="C208" i="11"/>
  <c r="D208" i="11"/>
  <c r="E208" i="11"/>
  <c r="F208" i="11"/>
  <c r="B209" i="11"/>
  <c r="C209" i="11"/>
  <c r="D209" i="11"/>
  <c r="E209" i="11"/>
  <c r="F209" i="11"/>
  <c r="B210" i="11"/>
  <c r="C210" i="11"/>
  <c r="D210" i="11"/>
  <c r="E210" i="11"/>
  <c r="F210" i="11"/>
  <c r="B211" i="11"/>
  <c r="C211" i="11"/>
  <c r="D211" i="11"/>
  <c r="E211" i="11"/>
  <c r="F211" i="11"/>
  <c r="B212" i="11"/>
  <c r="C212" i="11"/>
  <c r="D212" i="11"/>
  <c r="E212" i="11"/>
  <c r="F212" i="11"/>
  <c r="B213" i="11"/>
  <c r="C213" i="11"/>
  <c r="D213" i="11"/>
  <c r="E213" i="11"/>
  <c r="F213" i="11"/>
  <c r="B214" i="11"/>
  <c r="C214" i="11"/>
  <c r="D214" i="11"/>
  <c r="E214" i="11"/>
  <c r="F214" i="11"/>
  <c r="B215" i="11"/>
  <c r="C215" i="11"/>
  <c r="D215" i="11"/>
  <c r="E215" i="11"/>
  <c r="F215" i="11"/>
  <c r="B216" i="11"/>
  <c r="C216" i="11"/>
  <c r="D216" i="11"/>
  <c r="E216" i="11"/>
  <c r="F216" i="11"/>
  <c r="B217" i="11"/>
  <c r="C217" i="11"/>
  <c r="D217" i="11"/>
  <c r="E217" i="11"/>
  <c r="F217" i="11"/>
  <c r="B218" i="11"/>
  <c r="C218" i="11"/>
  <c r="D218" i="11"/>
  <c r="E218" i="11"/>
  <c r="F218" i="11"/>
  <c r="B219" i="11"/>
  <c r="C219" i="11"/>
  <c r="D219" i="11"/>
  <c r="E219" i="11"/>
  <c r="F219" i="11"/>
  <c r="B220" i="11"/>
  <c r="C220" i="11"/>
  <c r="D220" i="11"/>
  <c r="E220" i="11"/>
  <c r="F220" i="11"/>
  <c r="B221" i="11"/>
  <c r="C221" i="11"/>
  <c r="D221" i="11"/>
  <c r="E221" i="11"/>
  <c r="F221" i="11"/>
  <c r="B222" i="11"/>
  <c r="C222" i="11"/>
  <c r="D222" i="11"/>
  <c r="E222" i="11"/>
  <c r="F222" i="11"/>
  <c r="B223" i="11"/>
  <c r="C223" i="11"/>
  <c r="D223" i="11"/>
  <c r="E223" i="11"/>
  <c r="F223" i="11"/>
  <c r="B224" i="11"/>
  <c r="C224" i="11"/>
  <c r="D224" i="11"/>
  <c r="E224" i="11"/>
  <c r="F224" i="11"/>
  <c r="B225" i="11"/>
  <c r="C225" i="11"/>
  <c r="D225" i="11"/>
  <c r="E225" i="11"/>
  <c r="F225" i="11"/>
  <c r="B226" i="11"/>
  <c r="C226" i="11"/>
  <c r="D226" i="11"/>
  <c r="E226" i="11"/>
  <c r="F226" i="11"/>
  <c r="B227" i="11"/>
  <c r="C227" i="11"/>
  <c r="D227" i="11"/>
  <c r="E227" i="11"/>
  <c r="F227" i="11"/>
  <c r="B228" i="11"/>
  <c r="C228" i="11"/>
  <c r="D228" i="11"/>
  <c r="E228" i="11"/>
  <c r="F228" i="11"/>
  <c r="B229" i="11"/>
  <c r="C229" i="11"/>
  <c r="D229" i="11"/>
  <c r="E229" i="11"/>
  <c r="F229" i="11"/>
  <c r="B230" i="11"/>
  <c r="C230" i="11"/>
  <c r="D230" i="11"/>
  <c r="E230" i="11"/>
  <c r="F230" i="11"/>
  <c r="B231" i="11"/>
  <c r="C231" i="11"/>
  <c r="D231" i="11"/>
  <c r="E231" i="11"/>
  <c r="F231" i="11"/>
  <c r="B232" i="11"/>
  <c r="C232" i="11"/>
  <c r="D232" i="11"/>
  <c r="E232" i="11"/>
  <c r="F232" i="11"/>
  <c r="B233" i="11"/>
  <c r="C233" i="11"/>
  <c r="D233" i="11"/>
  <c r="E233" i="11"/>
  <c r="F233" i="11"/>
  <c r="B234" i="11"/>
  <c r="C234" i="11"/>
  <c r="D234" i="11"/>
  <c r="E234" i="11"/>
  <c r="F234" i="11"/>
  <c r="B235" i="11"/>
  <c r="C235" i="11"/>
  <c r="D235" i="11"/>
  <c r="E235" i="11"/>
  <c r="F235" i="11"/>
  <c r="B236" i="11"/>
  <c r="C236" i="11"/>
  <c r="D236" i="11"/>
  <c r="E236" i="11"/>
  <c r="F236" i="11"/>
  <c r="B237" i="11"/>
  <c r="C237" i="11"/>
  <c r="D237" i="11"/>
  <c r="E237" i="11"/>
  <c r="F237" i="11"/>
  <c r="B238" i="11"/>
  <c r="C238" i="11"/>
  <c r="D238" i="11"/>
  <c r="E238" i="11"/>
  <c r="F238" i="11"/>
  <c r="B239" i="11"/>
  <c r="C239" i="11"/>
  <c r="D239" i="11"/>
  <c r="E239" i="11"/>
  <c r="F239" i="11"/>
  <c r="B240" i="11"/>
  <c r="C240" i="11"/>
  <c r="D240" i="11"/>
  <c r="E240" i="11"/>
  <c r="F240" i="11"/>
  <c r="B241" i="11"/>
  <c r="C241" i="11"/>
  <c r="D241" i="11"/>
  <c r="E241" i="11"/>
  <c r="F241" i="11"/>
  <c r="B242" i="11"/>
  <c r="C242" i="11"/>
  <c r="D242" i="11"/>
  <c r="E242" i="11"/>
  <c r="F242" i="11"/>
  <c r="B243" i="11"/>
  <c r="C243" i="11"/>
  <c r="D243" i="11"/>
  <c r="E243" i="11"/>
  <c r="F243" i="11"/>
  <c r="B244" i="11"/>
  <c r="C244" i="11"/>
  <c r="D244" i="11"/>
  <c r="E244" i="11"/>
  <c r="F244" i="11"/>
  <c r="B245" i="11"/>
  <c r="C245" i="11"/>
  <c r="D245" i="11"/>
  <c r="E245" i="11"/>
  <c r="F245" i="11"/>
  <c r="B246" i="11"/>
  <c r="C246" i="11"/>
  <c r="D246" i="11"/>
  <c r="E246" i="11"/>
  <c r="F246" i="11"/>
  <c r="B247" i="11"/>
  <c r="C247" i="11"/>
  <c r="D247" i="11"/>
  <c r="E247" i="11"/>
  <c r="F247" i="11"/>
  <c r="B248" i="11"/>
  <c r="C248" i="11"/>
  <c r="D248" i="11"/>
  <c r="E248" i="11"/>
  <c r="F248" i="11"/>
  <c r="B249" i="11"/>
  <c r="C249" i="11"/>
  <c r="D249" i="11"/>
  <c r="E249" i="11"/>
  <c r="F249" i="11"/>
  <c r="B250" i="11"/>
  <c r="C250" i="11"/>
  <c r="D250" i="11"/>
  <c r="E250" i="11"/>
  <c r="F250" i="11"/>
  <c r="B251" i="11"/>
  <c r="C251" i="11"/>
  <c r="D251" i="11"/>
  <c r="E251" i="11"/>
  <c r="F251" i="11"/>
  <c r="B252" i="11"/>
  <c r="C252" i="11"/>
  <c r="D252" i="11"/>
  <c r="E252" i="11"/>
  <c r="F252" i="11"/>
  <c r="B253" i="11"/>
  <c r="C253" i="11"/>
  <c r="D253" i="11"/>
  <c r="E253" i="11"/>
  <c r="F253" i="11"/>
  <c r="B254" i="11"/>
  <c r="C254" i="11"/>
  <c r="D254" i="11"/>
  <c r="E254" i="11"/>
  <c r="F254" i="11"/>
  <c r="B255" i="11"/>
  <c r="C255" i="11"/>
  <c r="D255" i="11"/>
  <c r="E255" i="11"/>
  <c r="F255" i="11"/>
  <c r="B256" i="11"/>
  <c r="C256" i="11"/>
  <c r="D256" i="11"/>
  <c r="E256" i="11"/>
  <c r="F256" i="11"/>
  <c r="B257" i="11"/>
  <c r="C257" i="11"/>
  <c r="D257" i="11"/>
  <c r="E257" i="11"/>
  <c r="F257" i="11"/>
  <c r="B258" i="11"/>
  <c r="C258" i="11"/>
  <c r="D258" i="11"/>
  <c r="E258" i="11"/>
  <c r="F258" i="11"/>
  <c r="B259" i="11"/>
  <c r="C259" i="11"/>
  <c r="D259" i="11"/>
  <c r="E259" i="11"/>
  <c r="F259" i="11"/>
  <c r="B260" i="11"/>
  <c r="C260" i="11"/>
  <c r="D260" i="11"/>
  <c r="E260" i="11"/>
  <c r="F260" i="11"/>
  <c r="B261" i="11"/>
  <c r="C261" i="11"/>
  <c r="D261" i="11"/>
  <c r="E261" i="11"/>
  <c r="F261" i="11"/>
  <c r="B262" i="11"/>
  <c r="C262" i="11"/>
  <c r="D262" i="11"/>
  <c r="E262" i="11"/>
  <c r="F262" i="11"/>
  <c r="B263" i="11"/>
  <c r="C263" i="11"/>
  <c r="D263" i="11"/>
  <c r="E263" i="11"/>
  <c r="F263" i="11"/>
  <c r="B264" i="11"/>
  <c r="C264" i="11"/>
  <c r="D264" i="11"/>
  <c r="E264" i="11"/>
  <c r="F264" i="11"/>
  <c r="B265" i="11"/>
  <c r="C265" i="11"/>
  <c r="D265" i="11"/>
  <c r="E265" i="11"/>
  <c r="F265" i="11"/>
  <c r="B266" i="11"/>
  <c r="C266" i="11"/>
  <c r="D266" i="11"/>
  <c r="E266" i="11"/>
  <c r="F266" i="11"/>
  <c r="B267" i="11"/>
  <c r="C267" i="11"/>
  <c r="D267" i="11"/>
  <c r="E267" i="11"/>
  <c r="F267" i="11"/>
  <c r="B268" i="11"/>
  <c r="C268" i="11"/>
  <c r="D268" i="11"/>
  <c r="E268" i="11"/>
  <c r="F268" i="11"/>
  <c r="B269" i="11"/>
  <c r="C269" i="11"/>
  <c r="D269" i="11"/>
  <c r="E269" i="11"/>
  <c r="F269" i="11"/>
  <c r="B270" i="11"/>
  <c r="C270" i="11"/>
  <c r="D270" i="11"/>
  <c r="E270" i="11"/>
  <c r="F270" i="11"/>
  <c r="B271" i="11"/>
  <c r="C271" i="11"/>
  <c r="D271" i="11"/>
  <c r="E271" i="11"/>
  <c r="F271" i="11"/>
  <c r="B272" i="11"/>
  <c r="C272" i="11"/>
  <c r="D272" i="11"/>
  <c r="E272" i="11"/>
  <c r="F272" i="11"/>
  <c r="B273" i="11"/>
  <c r="C273" i="11"/>
  <c r="D273" i="11"/>
  <c r="E273" i="11"/>
  <c r="F273" i="11"/>
  <c r="B274" i="11"/>
  <c r="C274" i="11"/>
  <c r="D274" i="11"/>
  <c r="E274" i="11"/>
  <c r="F274" i="11"/>
  <c r="B275" i="11"/>
  <c r="C275" i="11"/>
  <c r="D275" i="11"/>
  <c r="E275" i="11"/>
  <c r="F275" i="11"/>
  <c r="B276" i="11"/>
  <c r="C276" i="11"/>
  <c r="D276" i="11"/>
  <c r="E276" i="11"/>
  <c r="F276" i="11"/>
  <c r="B277" i="11"/>
  <c r="C277" i="11"/>
  <c r="D277" i="11"/>
  <c r="E277" i="11"/>
  <c r="F277" i="11"/>
  <c r="B278" i="11"/>
  <c r="C278" i="11"/>
  <c r="D278" i="11"/>
  <c r="E278" i="11"/>
  <c r="F278" i="11"/>
  <c r="B279" i="11"/>
  <c r="C279" i="11"/>
  <c r="D279" i="11"/>
  <c r="E279" i="11"/>
  <c r="F279" i="11"/>
  <c r="B280" i="11"/>
  <c r="C280" i="11"/>
  <c r="D280" i="11"/>
  <c r="E280" i="11"/>
  <c r="F280" i="11"/>
  <c r="B281" i="11"/>
  <c r="C281" i="11"/>
  <c r="D281" i="11"/>
  <c r="E281" i="11"/>
  <c r="F281" i="11"/>
  <c r="B282" i="11"/>
  <c r="C282" i="11"/>
  <c r="D282" i="11"/>
  <c r="E282" i="11"/>
  <c r="F282" i="11"/>
  <c r="B283" i="11"/>
  <c r="C283" i="11"/>
  <c r="D283" i="11"/>
  <c r="E283" i="11"/>
  <c r="F283" i="11"/>
  <c r="B284" i="11"/>
  <c r="C284" i="11"/>
  <c r="D284" i="11"/>
  <c r="E284" i="11"/>
  <c r="F284" i="11"/>
  <c r="B285" i="11"/>
  <c r="C285" i="11"/>
  <c r="D285" i="11"/>
  <c r="E285" i="11"/>
  <c r="F285" i="11"/>
  <c r="B286" i="11"/>
  <c r="C286" i="11"/>
  <c r="D286" i="11"/>
  <c r="E286" i="11"/>
  <c r="F286" i="11"/>
  <c r="B287" i="11"/>
  <c r="C287" i="11"/>
  <c r="D287" i="11"/>
  <c r="E287" i="11"/>
  <c r="F287" i="11"/>
  <c r="B288" i="11"/>
  <c r="C288" i="11"/>
  <c r="D288" i="11"/>
  <c r="E288" i="11"/>
  <c r="F288" i="11"/>
  <c r="B289" i="11"/>
  <c r="C289" i="11"/>
  <c r="D289" i="11"/>
  <c r="E289" i="11"/>
  <c r="F289" i="11"/>
  <c r="B290" i="11"/>
  <c r="C290" i="11"/>
  <c r="D290" i="11"/>
  <c r="E290" i="11"/>
  <c r="F290" i="11"/>
  <c r="B291" i="11"/>
  <c r="C291" i="11"/>
  <c r="D291" i="11"/>
  <c r="E291" i="11"/>
  <c r="F291" i="11"/>
  <c r="B292" i="11"/>
  <c r="C292" i="11"/>
  <c r="D292" i="11"/>
  <c r="E292" i="11"/>
  <c r="F292" i="11"/>
  <c r="B293" i="11"/>
  <c r="C293" i="11"/>
  <c r="D293" i="11"/>
  <c r="E293" i="11"/>
  <c r="F293" i="11"/>
  <c r="B294" i="11"/>
  <c r="C294" i="11"/>
  <c r="D294" i="11"/>
  <c r="E294" i="11"/>
  <c r="F294" i="11"/>
  <c r="B295" i="11"/>
  <c r="C295" i="11"/>
  <c r="D295" i="11"/>
  <c r="E295" i="11"/>
  <c r="F295" i="11"/>
  <c r="B296" i="11"/>
  <c r="C296" i="11"/>
  <c r="D296" i="11"/>
  <c r="E296" i="11"/>
  <c r="F296" i="11"/>
  <c r="B297" i="11"/>
  <c r="C297" i="11"/>
  <c r="D297" i="11"/>
  <c r="E297" i="11"/>
  <c r="F297" i="11"/>
  <c r="B298" i="11"/>
  <c r="C298" i="11"/>
  <c r="D298" i="11"/>
  <c r="E298" i="11"/>
  <c r="F298" i="11"/>
  <c r="B299" i="11"/>
  <c r="C299" i="11"/>
  <c r="D299" i="11"/>
  <c r="E299" i="11"/>
  <c r="F299" i="11"/>
  <c r="B300" i="11"/>
  <c r="C300" i="11"/>
  <c r="D300" i="11"/>
  <c r="E300" i="11"/>
  <c r="F300" i="11"/>
  <c r="B301" i="11"/>
  <c r="C301" i="11"/>
  <c r="D301" i="11"/>
  <c r="E301" i="11"/>
  <c r="F301" i="11"/>
  <c r="B302" i="11"/>
  <c r="C302" i="11"/>
  <c r="D302" i="11"/>
  <c r="E302" i="11"/>
  <c r="F302" i="11"/>
  <c r="B303" i="11"/>
  <c r="C303" i="11"/>
  <c r="D303" i="11"/>
  <c r="E303" i="11"/>
  <c r="F303" i="11"/>
  <c r="B304" i="11"/>
  <c r="C304" i="11"/>
  <c r="D304" i="11"/>
  <c r="E304" i="11"/>
  <c r="F304" i="11"/>
  <c r="B305" i="11"/>
  <c r="C305" i="11"/>
  <c r="D305" i="11"/>
  <c r="E305" i="11"/>
  <c r="F305" i="11"/>
  <c r="B306" i="11"/>
  <c r="C306" i="11"/>
  <c r="D306" i="11"/>
  <c r="E306" i="11"/>
  <c r="F306" i="11"/>
  <c r="B307" i="11"/>
  <c r="C307" i="11"/>
  <c r="D307" i="11"/>
  <c r="E307" i="11"/>
  <c r="F307" i="11"/>
  <c r="B308" i="11"/>
  <c r="C308" i="11"/>
  <c r="D308" i="11"/>
  <c r="E308" i="11"/>
  <c r="F308" i="11"/>
  <c r="B309" i="11"/>
  <c r="C309" i="11"/>
  <c r="D309" i="11"/>
  <c r="E309" i="11"/>
  <c r="F309" i="11"/>
  <c r="B310" i="11"/>
  <c r="C310" i="11"/>
  <c r="D310" i="11"/>
  <c r="E310" i="11"/>
  <c r="F310" i="11"/>
  <c r="B311" i="11"/>
  <c r="C311" i="11"/>
  <c r="D311" i="11"/>
  <c r="E311" i="11"/>
  <c r="F311" i="11"/>
  <c r="B312" i="11"/>
  <c r="C312" i="11"/>
  <c r="B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P4" i="8"/>
  <c r="AG4" i="8"/>
  <c r="AW4" i="8"/>
  <c r="AX4" i="8"/>
  <c r="P5" i="8"/>
  <c r="AG5" i="8"/>
  <c r="AW5" i="8"/>
  <c r="AX5" i="8"/>
  <c r="P6" i="8"/>
  <c r="AG6" i="8"/>
  <c r="AW6" i="8"/>
  <c r="AX6" i="8"/>
  <c r="P7" i="8"/>
  <c r="AG7" i="8"/>
  <c r="AW7" i="8"/>
  <c r="AX7" i="8"/>
  <c r="AE8" i="8"/>
  <c r="AV8" i="8"/>
  <c r="B12" i="8"/>
  <c r="C12" i="8"/>
  <c r="F12" i="8"/>
  <c r="G12" i="8"/>
  <c r="H12" i="8"/>
  <c r="I12" i="8"/>
  <c r="J12" i="8"/>
  <c r="M12" i="8"/>
  <c r="N12" i="8"/>
  <c r="O12" i="8"/>
  <c r="P12" i="8"/>
  <c r="Q12" i="8"/>
  <c r="R12" i="8"/>
  <c r="T12" i="8"/>
  <c r="W12" i="8"/>
  <c r="X12" i="8"/>
  <c r="Y12" i="8"/>
  <c r="Z12" i="8"/>
  <c r="AA12" i="8"/>
  <c r="AD12" i="8"/>
  <c r="AE12" i="8"/>
  <c r="AF12" i="8"/>
  <c r="AG12" i="8"/>
  <c r="AH12" i="8"/>
  <c r="AI12" i="8"/>
  <c r="AK12" i="8"/>
  <c r="AN12" i="8"/>
  <c r="AO12" i="8"/>
  <c r="AP12" i="8"/>
  <c r="AQ12" i="8"/>
  <c r="AR12" i="8"/>
  <c r="AU12" i="8"/>
  <c r="AV12" i="8"/>
  <c r="AW12" i="8"/>
  <c r="AX12" i="8"/>
  <c r="AY12" i="8"/>
  <c r="AZ12" i="8"/>
  <c r="BA12" i="8"/>
  <c r="BB12" i="8"/>
  <c r="G13" i="8"/>
  <c r="H13" i="8"/>
  <c r="I13" i="8"/>
  <c r="J13" i="8"/>
  <c r="M13" i="8"/>
  <c r="N13" i="8"/>
  <c r="O13" i="8"/>
  <c r="P13" i="8"/>
  <c r="Q13" i="8"/>
  <c r="R13" i="8"/>
  <c r="T13" i="8"/>
  <c r="X13" i="8"/>
  <c r="Y13" i="8"/>
  <c r="Z13" i="8"/>
  <c r="AA13" i="8"/>
  <c r="AD13" i="8"/>
  <c r="AE13" i="8"/>
  <c r="AF13" i="8"/>
  <c r="AG13" i="8"/>
  <c r="AH13" i="8"/>
  <c r="AI13" i="8"/>
  <c r="AK13" i="8"/>
  <c r="AO13" i="8"/>
  <c r="AP13" i="8"/>
  <c r="AQ13" i="8"/>
  <c r="AR13" i="8"/>
  <c r="AU13" i="8"/>
  <c r="AV13" i="8"/>
  <c r="AW13" i="8"/>
  <c r="AX13" i="8"/>
  <c r="AY13" i="8"/>
  <c r="AZ13" i="8"/>
  <c r="BA13" i="8"/>
  <c r="BB13" i="8"/>
  <c r="B18" i="8"/>
  <c r="C18" i="8"/>
  <c r="D18" i="8"/>
  <c r="F18" i="8"/>
  <c r="G18" i="8"/>
  <c r="H18" i="8"/>
  <c r="I18" i="8"/>
  <c r="J18" i="8"/>
  <c r="M18" i="8"/>
  <c r="N18" i="8"/>
  <c r="O18" i="8"/>
  <c r="P18" i="8"/>
  <c r="Q18" i="8"/>
  <c r="R18" i="8"/>
  <c r="S18" i="8"/>
  <c r="T18" i="8"/>
  <c r="W18" i="8"/>
  <c r="X18" i="8"/>
  <c r="Y18" i="8"/>
  <c r="Z18" i="8"/>
  <c r="AA18" i="8"/>
  <c r="AD18" i="8"/>
  <c r="AE18" i="8"/>
  <c r="AF18" i="8"/>
  <c r="AG18" i="8"/>
  <c r="AH18" i="8"/>
  <c r="AI18" i="8"/>
  <c r="AJ18" i="8"/>
  <c r="AK18" i="8"/>
  <c r="AN18" i="8"/>
  <c r="AO18" i="8"/>
  <c r="AP18" i="8"/>
  <c r="AQ18" i="8"/>
  <c r="AR18" i="8"/>
  <c r="AU18" i="8"/>
  <c r="AV18" i="8"/>
  <c r="AW18" i="8"/>
  <c r="AX18" i="8"/>
  <c r="AY18" i="8"/>
  <c r="AZ18" i="8"/>
  <c r="BA18" i="8"/>
  <c r="BB18" i="8"/>
  <c r="BD18" i="8"/>
  <c r="A19" i="8"/>
  <c r="B19" i="8"/>
  <c r="C19" i="8"/>
  <c r="D19" i="8"/>
  <c r="E19" i="8"/>
  <c r="F19" i="8"/>
  <c r="G19" i="8"/>
  <c r="H19" i="8"/>
  <c r="I19" i="8"/>
  <c r="J19" i="8"/>
  <c r="L19" i="8"/>
  <c r="M19" i="8"/>
  <c r="N19" i="8"/>
  <c r="O19" i="8"/>
  <c r="P19" i="8"/>
  <c r="Q19" i="8"/>
  <c r="R19" i="8"/>
  <c r="S19" i="8"/>
  <c r="T19" i="8"/>
  <c r="V19" i="8"/>
  <c r="W19" i="8"/>
  <c r="X19" i="8"/>
  <c r="Y19" i="8"/>
  <c r="Z19" i="8"/>
  <c r="AA19" i="8"/>
  <c r="AC19" i="8"/>
  <c r="AD19" i="8"/>
  <c r="AE19" i="8"/>
  <c r="AF19" i="8"/>
  <c r="AG19" i="8"/>
  <c r="AH19" i="8"/>
  <c r="AI19" i="8"/>
  <c r="AJ19" i="8"/>
  <c r="AK19" i="8"/>
  <c r="AM19" i="8"/>
  <c r="AN19" i="8"/>
  <c r="AO19" i="8"/>
  <c r="AP19" i="8"/>
  <c r="AQ19" i="8"/>
  <c r="AR19" i="8"/>
  <c r="AT19" i="8"/>
  <c r="AU19" i="8"/>
  <c r="AV19" i="8"/>
  <c r="AW19" i="8"/>
  <c r="AX19" i="8"/>
  <c r="AY19" i="8"/>
  <c r="AZ19" i="8"/>
  <c r="BA19" i="8"/>
  <c r="BB19" i="8"/>
  <c r="BD19" i="8"/>
  <c r="A20" i="8"/>
  <c r="B20" i="8"/>
  <c r="C20" i="8"/>
  <c r="D20" i="8"/>
  <c r="E20" i="8"/>
  <c r="F20" i="8"/>
  <c r="G20" i="8"/>
  <c r="H20" i="8"/>
  <c r="I20" i="8"/>
  <c r="J20" i="8"/>
  <c r="L20" i="8"/>
  <c r="M20" i="8"/>
  <c r="N20" i="8"/>
  <c r="O20" i="8"/>
  <c r="P20" i="8"/>
  <c r="Q20" i="8"/>
  <c r="R20" i="8"/>
  <c r="S20" i="8"/>
  <c r="T20" i="8"/>
  <c r="V20" i="8"/>
  <c r="W20" i="8"/>
  <c r="X20" i="8"/>
  <c r="Y20" i="8"/>
  <c r="Z20" i="8"/>
  <c r="AA20" i="8"/>
  <c r="AC20" i="8"/>
  <c r="AD20" i="8"/>
  <c r="AE20" i="8"/>
  <c r="AF20" i="8"/>
  <c r="AG20" i="8"/>
  <c r="AH20" i="8"/>
  <c r="AI20" i="8"/>
  <c r="AJ20" i="8"/>
  <c r="AK20" i="8"/>
  <c r="AM20" i="8"/>
  <c r="AN20" i="8"/>
  <c r="AO20" i="8"/>
  <c r="AP20" i="8"/>
  <c r="AQ20" i="8"/>
  <c r="AR20" i="8"/>
  <c r="AT20" i="8"/>
  <c r="AU20" i="8"/>
  <c r="AV20" i="8"/>
  <c r="AW20" i="8"/>
  <c r="AX20" i="8"/>
  <c r="AY20" i="8"/>
  <c r="AZ20" i="8"/>
  <c r="BA20" i="8"/>
  <c r="BB20" i="8"/>
  <c r="BD20" i="8"/>
  <c r="A21" i="8"/>
  <c r="B21" i="8"/>
  <c r="C21" i="8"/>
  <c r="D21" i="8"/>
  <c r="E21" i="8"/>
  <c r="F21" i="8"/>
  <c r="G21" i="8"/>
  <c r="H21" i="8"/>
  <c r="I21" i="8"/>
  <c r="J21" i="8"/>
  <c r="L21" i="8"/>
  <c r="M21" i="8"/>
  <c r="N21" i="8"/>
  <c r="O21" i="8"/>
  <c r="P21" i="8"/>
  <c r="Q21" i="8"/>
  <c r="R21" i="8"/>
  <c r="S21" i="8"/>
  <c r="T21" i="8"/>
  <c r="V21" i="8"/>
  <c r="W21" i="8"/>
  <c r="X21" i="8"/>
  <c r="Y21" i="8"/>
  <c r="Z21" i="8"/>
  <c r="AA21" i="8"/>
  <c r="AC21" i="8"/>
  <c r="AD21" i="8"/>
  <c r="AE21" i="8"/>
  <c r="AF21" i="8"/>
  <c r="AG21" i="8"/>
  <c r="AH21" i="8"/>
  <c r="AI21" i="8"/>
  <c r="AJ21" i="8"/>
  <c r="AK21" i="8"/>
  <c r="AM21" i="8"/>
  <c r="AN21" i="8"/>
  <c r="AO21" i="8"/>
  <c r="AP21" i="8"/>
  <c r="AQ21" i="8"/>
  <c r="AR21" i="8"/>
  <c r="AT21" i="8"/>
  <c r="AU21" i="8"/>
  <c r="AV21" i="8"/>
  <c r="AW21" i="8"/>
  <c r="AX21" i="8"/>
  <c r="AY21" i="8"/>
  <c r="AZ21" i="8"/>
  <c r="BA21" i="8"/>
  <c r="BB21" i="8"/>
  <c r="BD21" i="8"/>
  <c r="A22" i="8"/>
  <c r="B22" i="8"/>
  <c r="C22" i="8"/>
  <c r="D22" i="8"/>
  <c r="E22" i="8"/>
  <c r="F22" i="8"/>
  <c r="G22" i="8"/>
  <c r="H22" i="8"/>
  <c r="I22" i="8"/>
  <c r="J22" i="8"/>
  <c r="L22" i="8"/>
  <c r="M22" i="8"/>
  <c r="N22" i="8"/>
  <c r="O22" i="8"/>
  <c r="P22" i="8"/>
  <c r="Q22" i="8"/>
  <c r="R22" i="8"/>
  <c r="S22" i="8"/>
  <c r="T22" i="8"/>
  <c r="V22" i="8"/>
  <c r="W22" i="8"/>
  <c r="X22" i="8"/>
  <c r="Y22" i="8"/>
  <c r="Z22" i="8"/>
  <c r="AA22" i="8"/>
  <c r="AC22" i="8"/>
  <c r="AD22" i="8"/>
  <c r="AE22" i="8"/>
  <c r="AF22" i="8"/>
  <c r="AG22" i="8"/>
  <c r="AH22" i="8"/>
  <c r="AI22" i="8"/>
  <c r="AJ22" i="8"/>
  <c r="AK22" i="8"/>
  <c r="AM22" i="8"/>
  <c r="AN22" i="8"/>
  <c r="AO22" i="8"/>
  <c r="AP22" i="8"/>
  <c r="AQ22" i="8"/>
  <c r="AR22" i="8"/>
  <c r="AT22" i="8"/>
  <c r="AU22" i="8"/>
  <c r="AV22" i="8"/>
  <c r="AW22" i="8"/>
  <c r="AX22" i="8"/>
  <c r="AY22" i="8"/>
  <c r="AZ22" i="8"/>
  <c r="BA22" i="8"/>
  <c r="BB22" i="8"/>
  <c r="BD22" i="8"/>
  <c r="A23" i="8"/>
  <c r="B23" i="8"/>
  <c r="C23" i="8"/>
  <c r="D23" i="8"/>
  <c r="E23" i="8"/>
  <c r="F23" i="8"/>
  <c r="G23" i="8"/>
  <c r="H23" i="8"/>
  <c r="I23" i="8"/>
  <c r="J23" i="8"/>
  <c r="L23" i="8"/>
  <c r="M23" i="8"/>
  <c r="N23" i="8"/>
  <c r="O23" i="8"/>
  <c r="P23" i="8"/>
  <c r="Q23" i="8"/>
  <c r="R23" i="8"/>
  <c r="S23" i="8"/>
  <c r="T23" i="8"/>
  <c r="V23" i="8"/>
  <c r="W23" i="8"/>
  <c r="X23" i="8"/>
  <c r="Y23" i="8"/>
  <c r="Z23" i="8"/>
  <c r="AA23" i="8"/>
  <c r="AC23" i="8"/>
  <c r="AD23" i="8"/>
  <c r="AE23" i="8"/>
  <c r="AF23" i="8"/>
  <c r="AG23" i="8"/>
  <c r="AH23" i="8"/>
  <c r="AI23" i="8"/>
  <c r="AJ23" i="8"/>
  <c r="AK23" i="8"/>
  <c r="AM23" i="8"/>
  <c r="AN23" i="8"/>
  <c r="AO23" i="8"/>
  <c r="AP23" i="8"/>
  <c r="AQ23" i="8"/>
  <c r="AR23" i="8"/>
  <c r="AT23" i="8"/>
  <c r="AU23" i="8"/>
  <c r="AV23" i="8"/>
  <c r="AW23" i="8"/>
  <c r="AX23" i="8"/>
  <c r="AY23" i="8"/>
  <c r="AZ23" i="8"/>
  <c r="BA23" i="8"/>
  <c r="BB23" i="8"/>
  <c r="BD23" i="8"/>
  <c r="A24" i="8"/>
  <c r="B24" i="8"/>
  <c r="C24" i="8"/>
  <c r="D24" i="8"/>
  <c r="E24" i="8"/>
  <c r="F24" i="8"/>
  <c r="G24" i="8"/>
  <c r="H24" i="8"/>
  <c r="I24" i="8"/>
  <c r="J24" i="8"/>
  <c r="L24" i="8"/>
  <c r="M24" i="8"/>
  <c r="N24" i="8"/>
  <c r="O24" i="8"/>
  <c r="P24" i="8"/>
  <c r="Q24" i="8"/>
  <c r="R24" i="8"/>
  <c r="S24" i="8"/>
  <c r="T24" i="8"/>
  <c r="V24" i="8"/>
  <c r="W24" i="8"/>
  <c r="X24" i="8"/>
  <c r="Y24" i="8"/>
  <c r="Z24" i="8"/>
  <c r="AA24" i="8"/>
  <c r="AC24" i="8"/>
  <c r="AD24" i="8"/>
  <c r="AE24" i="8"/>
  <c r="AF24" i="8"/>
  <c r="AG24" i="8"/>
  <c r="AH24" i="8"/>
  <c r="AI24" i="8"/>
  <c r="AJ24" i="8"/>
  <c r="AK24" i="8"/>
  <c r="AM24" i="8"/>
  <c r="AN24" i="8"/>
  <c r="AO24" i="8"/>
  <c r="AP24" i="8"/>
  <c r="AQ24" i="8"/>
  <c r="AR24" i="8"/>
  <c r="AT24" i="8"/>
  <c r="AU24" i="8"/>
  <c r="AV24" i="8"/>
  <c r="AW24" i="8"/>
  <c r="AX24" i="8"/>
  <c r="AY24" i="8"/>
  <c r="AZ24" i="8"/>
  <c r="BA24" i="8"/>
  <c r="BB24" i="8"/>
  <c r="BD24" i="8"/>
  <c r="A25" i="8"/>
  <c r="B25" i="8"/>
  <c r="C25" i="8"/>
  <c r="D25" i="8"/>
  <c r="E25" i="8"/>
  <c r="F25" i="8"/>
  <c r="G25" i="8"/>
  <c r="H25" i="8"/>
  <c r="I25" i="8"/>
  <c r="J25" i="8"/>
  <c r="L25" i="8"/>
  <c r="M25" i="8"/>
  <c r="N25" i="8"/>
  <c r="O25" i="8"/>
  <c r="P25" i="8"/>
  <c r="Q25" i="8"/>
  <c r="R25" i="8"/>
  <c r="S25" i="8"/>
  <c r="T25" i="8"/>
  <c r="V25" i="8"/>
  <c r="W25" i="8"/>
  <c r="X25" i="8"/>
  <c r="Y25" i="8"/>
  <c r="Z25" i="8"/>
  <c r="AA25" i="8"/>
  <c r="AC25" i="8"/>
  <c r="AD25" i="8"/>
  <c r="AE25" i="8"/>
  <c r="AF25" i="8"/>
  <c r="AG25" i="8"/>
  <c r="AH25" i="8"/>
  <c r="AI25" i="8"/>
  <c r="AJ25" i="8"/>
  <c r="AK25" i="8"/>
  <c r="AM25" i="8"/>
  <c r="AN25" i="8"/>
  <c r="AO25" i="8"/>
  <c r="AP25" i="8"/>
  <c r="AQ25" i="8"/>
  <c r="AR25" i="8"/>
  <c r="AT25" i="8"/>
  <c r="AU25" i="8"/>
  <c r="AV25" i="8"/>
  <c r="AW25" i="8"/>
  <c r="AX25" i="8"/>
  <c r="AY25" i="8"/>
  <c r="AZ25" i="8"/>
  <c r="BA25" i="8"/>
  <c r="BB25" i="8"/>
  <c r="BD25" i="8"/>
  <c r="A26" i="8"/>
  <c r="B26" i="8"/>
  <c r="C26" i="8"/>
  <c r="D26" i="8"/>
  <c r="E26" i="8"/>
  <c r="F26" i="8"/>
  <c r="G26" i="8"/>
  <c r="H26" i="8"/>
  <c r="I26" i="8"/>
  <c r="J26" i="8"/>
  <c r="L26" i="8"/>
  <c r="M26" i="8"/>
  <c r="N26" i="8"/>
  <c r="O26" i="8"/>
  <c r="P26" i="8"/>
  <c r="Q26" i="8"/>
  <c r="R26" i="8"/>
  <c r="S26" i="8"/>
  <c r="T26" i="8"/>
  <c r="V26" i="8"/>
  <c r="W26" i="8"/>
  <c r="X26" i="8"/>
  <c r="Y26" i="8"/>
  <c r="Z26" i="8"/>
  <c r="AA26" i="8"/>
  <c r="AC26" i="8"/>
  <c r="AD26" i="8"/>
  <c r="AE26" i="8"/>
  <c r="AF26" i="8"/>
  <c r="AG26" i="8"/>
  <c r="AH26" i="8"/>
  <c r="AI26" i="8"/>
  <c r="AJ26" i="8"/>
  <c r="AK26" i="8"/>
  <c r="AM26" i="8"/>
  <c r="AN26" i="8"/>
  <c r="AO26" i="8"/>
  <c r="AP26" i="8"/>
  <c r="AQ26" i="8"/>
  <c r="AR26" i="8"/>
  <c r="AT26" i="8"/>
  <c r="AU26" i="8"/>
  <c r="AV26" i="8"/>
  <c r="AW26" i="8"/>
  <c r="AX26" i="8"/>
  <c r="AY26" i="8"/>
  <c r="AZ26" i="8"/>
  <c r="BA26" i="8"/>
  <c r="BB26" i="8"/>
  <c r="BD26" i="8"/>
  <c r="A27" i="8"/>
  <c r="B27" i="8"/>
  <c r="C27" i="8"/>
  <c r="D27" i="8"/>
  <c r="E27" i="8"/>
  <c r="F27" i="8"/>
  <c r="G27" i="8"/>
  <c r="H27" i="8"/>
  <c r="I27" i="8"/>
  <c r="J27" i="8"/>
  <c r="L27" i="8"/>
  <c r="M27" i="8"/>
  <c r="N27" i="8"/>
  <c r="O27" i="8"/>
  <c r="P27" i="8"/>
  <c r="Q27" i="8"/>
  <c r="R27" i="8"/>
  <c r="S27" i="8"/>
  <c r="T27" i="8"/>
  <c r="V27" i="8"/>
  <c r="W27" i="8"/>
  <c r="X27" i="8"/>
  <c r="Y27" i="8"/>
  <c r="Z27" i="8"/>
  <c r="AA27" i="8"/>
  <c r="AC27" i="8"/>
  <c r="AD27" i="8"/>
  <c r="AE27" i="8"/>
  <c r="AF27" i="8"/>
  <c r="AG27" i="8"/>
  <c r="AH27" i="8"/>
  <c r="AI27" i="8"/>
  <c r="AJ27" i="8"/>
  <c r="AK27" i="8"/>
  <c r="AM27" i="8"/>
  <c r="AN27" i="8"/>
  <c r="AO27" i="8"/>
  <c r="AP27" i="8"/>
  <c r="AQ27" i="8"/>
  <c r="AR27" i="8"/>
  <c r="AT27" i="8"/>
  <c r="AU27" i="8"/>
  <c r="AV27" i="8"/>
  <c r="AW27" i="8"/>
  <c r="AX27" i="8"/>
  <c r="AY27" i="8"/>
  <c r="AZ27" i="8"/>
  <c r="BA27" i="8"/>
  <c r="BB27" i="8"/>
  <c r="BD27" i="8"/>
  <c r="A28" i="8"/>
  <c r="B28" i="8"/>
  <c r="C28" i="8"/>
  <c r="D28" i="8"/>
  <c r="E28" i="8"/>
  <c r="F28" i="8"/>
  <c r="G28" i="8"/>
  <c r="H28" i="8"/>
  <c r="I28" i="8"/>
  <c r="J28" i="8"/>
  <c r="L28" i="8"/>
  <c r="M28" i="8"/>
  <c r="N28" i="8"/>
  <c r="O28" i="8"/>
  <c r="P28" i="8"/>
  <c r="Q28" i="8"/>
  <c r="R28" i="8"/>
  <c r="S28" i="8"/>
  <c r="T28" i="8"/>
  <c r="V28" i="8"/>
  <c r="W28" i="8"/>
  <c r="X28" i="8"/>
  <c r="Y28" i="8"/>
  <c r="Z28" i="8"/>
  <c r="AA28" i="8"/>
  <c r="AC28" i="8"/>
  <c r="AD28" i="8"/>
  <c r="AE28" i="8"/>
  <c r="AF28" i="8"/>
  <c r="AG28" i="8"/>
  <c r="AH28" i="8"/>
  <c r="AI28" i="8"/>
  <c r="AJ28" i="8"/>
  <c r="AK28" i="8"/>
  <c r="AM28" i="8"/>
  <c r="AN28" i="8"/>
  <c r="AO28" i="8"/>
  <c r="AP28" i="8"/>
  <c r="AQ28" i="8"/>
  <c r="AR28" i="8"/>
  <c r="AT28" i="8"/>
  <c r="AU28" i="8"/>
  <c r="AV28" i="8"/>
  <c r="AW28" i="8"/>
  <c r="AX28" i="8"/>
  <c r="AY28" i="8"/>
  <c r="AZ28" i="8"/>
  <c r="BA28" i="8"/>
  <c r="BB28" i="8"/>
  <c r="BD28" i="8"/>
  <c r="A29" i="8"/>
  <c r="B29" i="8"/>
  <c r="C29" i="8"/>
  <c r="D29" i="8"/>
  <c r="E29" i="8"/>
  <c r="F29" i="8"/>
  <c r="G29" i="8"/>
  <c r="H29" i="8"/>
  <c r="I29" i="8"/>
  <c r="J29" i="8"/>
  <c r="L29" i="8"/>
  <c r="M29" i="8"/>
  <c r="N29" i="8"/>
  <c r="O29" i="8"/>
  <c r="P29" i="8"/>
  <c r="Q29" i="8"/>
  <c r="R29" i="8"/>
  <c r="S29" i="8"/>
  <c r="T29" i="8"/>
  <c r="V29" i="8"/>
  <c r="W29" i="8"/>
  <c r="X29" i="8"/>
  <c r="Y29" i="8"/>
  <c r="Z29" i="8"/>
  <c r="AA29" i="8"/>
  <c r="AC29" i="8"/>
  <c r="AD29" i="8"/>
  <c r="AE29" i="8"/>
  <c r="AF29" i="8"/>
  <c r="AG29" i="8"/>
  <c r="AH29" i="8"/>
  <c r="AI29" i="8"/>
  <c r="AJ29" i="8"/>
  <c r="AK29" i="8"/>
  <c r="AM29" i="8"/>
  <c r="AN29" i="8"/>
  <c r="AO29" i="8"/>
  <c r="AP29" i="8"/>
  <c r="AQ29" i="8"/>
  <c r="AR29" i="8"/>
  <c r="AT29" i="8"/>
  <c r="AU29" i="8"/>
  <c r="AV29" i="8"/>
  <c r="AW29" i="8"/>
  <c r="AX29" i="8"/>
  <c r="AY29" i="8"/>
  <c r="AZ29" i="8"/>
  <c r="BA29" i="8"/>
  <c r="BB29" i="8"/>
  <c r="BD29" i="8"/>
  <c r="A30" i="8"/>
  <c r="B30" i="8"/>
  <c r="C30" i="8"/>
  <c r="D30" i="8"/>
  <c r="E30" i="8"/>
  <c r="F30" i="8"/>
  <c r="G30" i="8"/>
  <c r="H30" i="8"/>
  <c r="I30" i="8"/>
  <c r="J30" i="8"/>
  <c r="L30" i="8"/>
  <c r="M30" i="8"/>
  <c r="N30" i="8"/>
  <c r="O30" i="8"/>
  <c r="P30" i="8"/>
  <c r="Q30" i="8"/>
  <c r="R30" i="8"/>
  <c r="S30" i="8"/>
  <c r="T30" i="8"/>
  <c r="V30" i="8"/>
  <c r="W30" i="8"/>
  <c r="X30" i="8"/>
  <c r="Y30" i="8"/>
  <c r="Z30" i="8"/>
  <c r="AA30" i="8"/>
  <c r="AC30" i="8"/>
  <c r="AD30" i="8"/>
  <c r="AE30" i="8"/>
  <c r="AF30" i="8"/>
  <c r="AG30" i="8"/>
  <c r="AH30" i="8"/>
  <c r="AI30" i="8"/>
  <c r="AJ30" i="8"/>
  <c r="AK30" i="8"/>
  <c r="AM30" i="8"/>
  <c r="AN30" i="8"/>
  <c r="AO30" i="8"/>
  <c r="AP30" i="8"/>
  <c r="AQ30" i="8"/>
  <c r="AR30" i="8"/>
  <c r="AT30" i="8"/>
  <c r="AU30" i="8"/>
  <c r="AV30" i="8"/>
  <c r="AW30" i="8"/>
  <c r="AX30" i="8"/>
  <c r="AY30" i="8"/>
  <c r="AZ30" i="8"/>
  <c r="BA30" i="8"/>
  <c r="BB30" i="8"/>
  <c r="BD30" i="8"/>
  <c r="A31" i="8"/>
  <c r="B31" i="8"/>
  <c r="C31" i="8"/>
  <c r="D31" i="8"/>
  <c r="E31" i="8"/>
  <c r="F31" i="8"/>
  <c r="G31" i="8"/>
  <c r="H31" i="8"/>
  <c r="I31" i="8"/>
  <c r="J31" i="8"/>
  <c r="L31" i="8"/>
  <c r="M31" i="8"/>
  <c r="N31" i="8"/>
  <c r="O31" i="8"/>
  <c r="P31" i="8"/>
  <c r="Q31" i="8"/>
  <c r="R31" i="8"/>
  <c r="S31" i="8"/>
  <c r="T31" i="8"/>
  <c r="V31" i="8"/>
  <c r="W31" i="8"/>
  <c r="X31" i="8"/>
  <c r="Y31" i="8"/>
  <c r="Z31" i="8"/>
  <c r="AA31" i="8"/>
  <c r="AC31" i="8"/>
  <c r="AD31" i="8"/>
  <c r="AE31" i="8"/>
  <c r="AF31" i="8"/>
  <c r="AG31" i="8"/>
  <c r="AH31" i="8"/>
  <c r="AI31" i="8"/>
  <c r="AJ31" i="8"/>
  <c r="AK31" i="8"/>
  <c r="AM31" i="8"/>
  <c r="AN31" i="8"/>
  <c r="AO31" i="8"/>
  <c r="AP31" i="8"/>
  <c r="AQ31" i="8"/>
  <c r="AR31" i="8"/>
  <c r="AT31" i="8"/>
  <c r="AU31" i="8"/>
  <c r="AV31" i="8"/>
  <c r="AW31" i="8"/>
  <c r="AX31" i="8"/>
  <c r="AY31" i="8"/>
  <c r="AZ31" i="8"/>
  <c r="BA31" i="8"/>
  <c r="BB31" i="8"/>
  <c r="BD31" i="8"/>
  <c r="A32" i="8"/>
  <c r="B32" i="8"/>
  <c r="C32" i="8"/>
  <c r="D32" i="8"/>
  <c r="E32" i="8"/>
  <c r="F32" i="8"/>
  <c r="G32" i="8"/>
  <c r="H32" i="8"/>
  <c r="I32" i="8"/>
  <c r="J32" i="8"/>
  <c r="L32" i="8"/>
  <c r="M32" i="8"/>
  <c r="N32" i="8"/>
  <c r="O32" i="8"/>
  <c r="P32" i="8"/>
  <c r="Q32" i="8"/>
  <c r="R32" i="8"/>
  <c r="S32" i="8"/>
  <c r="T32" i="8"/>
  <c r="V32" i="8"/>
  <c r="W32" i="8"/>
  <c r="X32" i="8"/>
  <c r="Y32" i="8"/>
  <c r="Z32" i="8"/>
  <c r="AA32" i="8"/>
  <c r="AC32" i="8"/>
  <c r="AD32" i="8"/>
  <c r="AE32" i="8"/>
  <c r="AF32" i="8"/>
  <c r="AG32" i="8"/>
  <c r="AH32" i="8"/>
  <c r="AI32" i="8"/>
  <c r="AJ32" i="8"/>
  <c r="AK32" i="8"/>
  <c r="AM32" i="8"/>
  <c r="AN32" i="8"/>
  <c r="AO32" i="8"/>
  <c r="AP32" i="8"/>
  <c r="AQ32" i="8"/>
  <c r="AR32" i="8"/>
  <c r="AT32" i="8"/>
  <c r="AU32" i="8"/>
  <c r="AV32" i="8"/>
  <c r="AW32" i="8"/>
  <c r="AX32" i="8"/>
  <c r="AY32" i="8"/>
  <c r="AZ32" i="8"/>
  <c r="BA32" i="8"/>
  <c r="BB32" i="8"/>
  <c r="BD32" i="8"/>
  <c r="A33" i="8"/>
  <c r="B33" i="8"/>
  <c r="C33" i="8"/>
  <c r="D33" i="8"/>
  <c r="E33" i="8"/>
  <c r="F33" i="8"/>
  <c r="G33" i="8"/>
  <c r="H33" i="8"/>
  <c r="I33" i="8"/>
  <c r="J33" i="8"/>
  <c r="L33" i="8"/>
  <c r="M33" i="8"/>
  <c r="N33" i="8"/>
  <c r="O33" i="8"/>
  <c r="P33" i="8"/>
  <c r="Q33" i="8"/>
  <c r="R33" i="8"/>
  <c r="S33" i="8"/>
  <c r="T33" i="8"/>
  <c r="V33" i="8"/>
  <c r="W33" i="8"/>
  <c r="X33" i="8"/>
  <c r="Y33" i="8"/>
  <c r="Z33" i="8"/>
  <c r="AA33" i="8"/>
  <c r="AC33" i="8"/>
  <c r="AD33" i="8"/>
  <c r="AE33" i="8"/>
  <c r="AF33" i="8"/>
  <c r="AG33" i="8"/>
  <c r="AH33" i="8"/>
  <c r="AI33" i="8"/>
  <c r="AJ33" i="8"/>
  <c r="AK33" i="8"/>
  <c r="AM33" i="8"/>
  <c r="AN33" i="8"/>
  <c r="AO33" i="8"/>
  <c r="AP33" i="8"/>
  <c r="AQ33" i="8"/>
  <c r="AR33" i="8"/>
  <c r="AT33" i="8"/>
  <c r="AU33" i="8"/>
  <c r="AV33" i="8"/>
  <c r="AW33" i="8"/>
  <c r="AX33" i="8"/>
  <c r="AY33" i="8"/>
  <c r="AZ33" i="8"/>
  <c r="BA33" i="8"/>
  <c r="BB33" i="8"/>
  <c r="BD33" i="8"/>
  <c r="A34" i="8"/>
  <c r="B34" i="8"/>
  <c r="C34" i="8"/>
  <c r="D34" i="8"/>
  <c r="E34" i="8"/>
  <c r="F34" i="8"/>
  <c r="G34" i="8"/>
  <c r="H34" i="8"/>
  <c r="I34" i="8"/>
  <c r="J34" i="8"/>
  <c r="L34" i="8"/>
  <c r="M34" i="8"/>
  <c r="N34" i="8"/>
  <c r="O34" i="8"/>
  <c r="P34" i="8"/>
  <c r="Q34" i="8"/>
  <c r="R34" i="8"/>
  <c r="S34" i="8"/>
  <c r="T34" i="8"/>
  <c r="V34" i="8"/>
  <c r="W34" i="8"/>
  <c r="X34" i="8"/>
  <c r="Y34" i="8"/>
  <c r="Z34" i="8"/>
  <c r="AA34" i="8"/>
  <c r="AC34" i="8"/>
  <c r="AD34" i="8"/>
  <c r="AE34" i="8"/>
  <c r="AF34" i="8"/>
  <c r="AG34" i="8"/>
  <c r="AH34" i="8"/>
  <c r="AI34" i="8"/>
  <c r="AJ34" i="8"/>
  <c r="AK34" i="8"/>
  <c r="AM34" i="8"/>
  <c r="AN34" i="8"/>
  <c r="AO34" i="8"/>
  <c r="AP34" i="8"/>
  <c r="AQ34" i="8"/>
  <c r="AR34" i="8"/>
  <c r="AT34" i="8"/>
  <c r="AU34" i="8"/>
  <c r="AV34" i="8"/>
  <c r="AW34" i="8"/>
  <c r="AX34" i="8"/>
  <c r="AY34" i="8"/>
  <c r="AZ34" i="8"/>
  <c r="BA34" i="8"/>
  <c r="BB34" i="8"/>
  <c r="BD34" i="8"/>
  <c r="A35" i="8"/>
  <c r="B35" i="8"/>
  <c r="C35" i="8"/>
  <c r="D35" i="8"/>
  <c r="E35" i="8"/>
  <c r="F35" i="8"/>
  <c r="G35" i="8"/>
  <c r="H35" i="8"/>
  <c r="I35" i="8"/>
  <c r="J35" i="8"/>
  <c r="L35" i="8"/>
  <c r="M35" i="8"/>
  <c r="N35" i="8"/>
  <c r="O35" i="8"/>
  <c r="P35" i="8"/>
  <c r="Q35" i="8"/>
  <c r="R35" i="8"/>
  <c r="S35" i="8"/>
  <c r="T35" i="8"/>
  <c r="V35" i="8"/>
  <c r="W35" i="8"/>
  <c r="X35" i="8"/>
  <c r="Y35" i="8"/>
  <c r="Z35" i="8"/>
  <c r="AA35" i="8"/>
  <c r="AC35" i="8"/>
  <c r="AD35" i="8"/>
  <c r="AE35" i="8"/>
  <c r="AF35" i="8"/>
  <c r="AG35" i="8"/>
  <c r="AH35" i="8"/>
  <c r="AI35" i="8"/>
  <c r="AJ35" i="8"/>
  <c r="AK35" i="8"/>
  <c r="AM35" i="8"/>
  <c r="AN35" i="8"/>
  <c r="AO35" i="8"/>
  <c r="AP35" i="8"/>
  <c r="AQ35" i="8"/>
  <c r="AR35" i="8"/>
  <c r="AT35" i="8"/>
  <c r="AU35" i="8"/>
  <c r="AV35" i="8"/>
  <c r="AW35" i="8"/>
  <c r="AX35" i="8"/>
  <c r="AY35" i="8"/>
  <c r="AZ35" i="8"/>
  <c r="BA35" i="8"/>
  <c r="BB35" i="8"/>
  <c r="BD35" i="8"/>
  <c r="A36" i="8"/>
  <c r="B36" i="8"/>
  <c r="C36" i="8"/>
  <c r="D36" i="8"/>
  <c r="E36" i="8"/>
  <c r="F36" i="8"/>
  <c r="G36" i="8"/>
  <c r="H36" i="8"/>
  <c r="I36" i="8"/>
  <c r="J36" i="8"/>
  <c r="L36" i="8"/>
  <c r="M36" i="8"/>
  <c r="N36" i="8"/>
  <c r="O36" i="8"/>
  <c r="P36" i="8"/>
  <c r="Q36" i="8"/>
  <c r="R36" i="8"/>
  <c r="S36" i="8"/>
  <c r="T36" i="8"/>
  <c r="V36" i="8"/>
  <c r="W36" i="8"/>
  <c r="X36" i="8"/>
  <c r="Y36" i="8"/>
  <c r="Z36" i="8"/>
  <c r="AA36" i="8"/>
  <c r="AC36" i="8"/>
  <c r="AD36" i="8"/>
  <c r="AE36" i="8"/>
  <c r="AF36" i="8"/>
  <c r="AG36" i="8"/>
  <c r="AH36" i="8"/>
  <c r="AI36" i="8"/>
  <c r="AJ36" i="8"/>
  <c r="AK36" i="8"/>
  <c r="AM36" i="8"/>
  <c r="AN36" i="8"/>
  <c r="AO36" i="8"/>
  <c r="AP36" i="8"/>
  <c r="AQ36" i="8"/>
  <c r="AR36" i="8"/>
  <c r="AT36" i="8"/>
  <c r="AU36" i="8"/>
  <c r="AV36" i="8"/>
  <c r="AW36" i="8"/>
  <c r="AX36" i="8"/>
  <c r="AY36" i="8"/>
  <c r="AZ36" i="8"/>
  <c r="BA36" i="8"/>
  <c r="BB36" i="8"/>
  <c r="BD36" i="8"/>
  <c r="A37" i="8"/>
  <c r="B37" i="8"/>
  <c r="C37" i="8"/>
  <c r="D37" i="8"/>
  <c r="E37" i="8"/>
  <c r="F37" i="8"/>
  <c r="G37" i="8"/>
  <c r="H37" i="8"/>
  <c r="I37" i="8"/>
  <c r="J37" i="8"/>
  <c r="L37" i="8"/>
  <c r="M37" i="8"/>
  <c r="N37" i="8"/>
  <c r="O37" i="8"/>
  <c r="P37" i="8"/>
  <c r="Q37" i="8"/>
  <c r="R37" i="8"/>
  <c r="S37" i="8"/>
  <c r="T37" i="8"/>
  <c r="V37" i="8"/>
  <c r="W37" i="8"/>
  <c r="X37" i="8"/>
  <c r="Y37" i="8"/>
  <c r="Z37" i="8"/>
  <c r="AA37" i="8"/>
  <c r="AC37" i="8"/>
  <c r="AD37" i="8"/>
  <c r="AE37" i="8"/>
  <c r="AF37" i="8"/>
  <c r="AG37" i="8"/>
  <c r="AH37" i="8"/>
  <c r="AI37" i="8"/>
  <c r="AJ37" i="8"/>
  <c r="AK37" i="8"/>
  <c r="AM37" i="8"/>
  <c r="AN37" i="8"/>
  <c r="AO37" i="8"/>
  <c r="AP37" i="8"/>
  <c r="AQ37" i="8"/>
  <c r="AR37" i="8"/>
  <c r="AT37" i="8"/>
  <c r="AU37" i="8"/>
  <c r="AV37" i="8"/>
  <c r="AW37" i="8"/>
  <c r="AX37" i="8"/>
  <c r="AY37" i="8"/>
  <c r="AZ37" i="8"/>
  <c r="BA37" i="8"/>
  <c r="BB37" i="8"/>
  <c r="BD37" i="8"/>
  <c r="A38" i="8"/>
  <c r="B38" i="8"/>
  <c r="C38" i="8"/>
  <c r="D38" i="8"/>
  <c r="E38" i="8"/>
  <c r="F38" i="8"/>
  <c r="G38" i="8"/>
  <c r="H38" i="8"/>
  <c r="I38" i="8"/>
  <c r="J38" i="8"/>
  <c r="L38" i="8"/>
  <c r="M38" i="8"/>
  <c r="N38" i="8"/>
  <c r="O38" i="8"/>
  <c r="P38" i="8"/>
  <c r="Q38" i="8"/>
  <c r="R38" i="8"/>
  <c r="S38" i="8"/>
  <c r="T38" i="8"/>
  <c r="V38" i="8"/>
  <c r="W38" i="8"/>
  <c r="X38" i="8"/>
  <c r="Y38" i="8"/>
  <c r="Z38" i="8"/>
  <c r="AA38" i="8"/>
  <c r="AC38" i="8"/>
  <c r="AD38" i="8"/>
  <c r="AE38" i="8"/>
  <c r="AF38" i="8"/>
  <c r="AG38" i="8"/>
  <c r="AH38" i="8"/>
  <c r="AI38" i="8"/>
  <c r="AJ38" i="8"/>
  <c r="AK38" i="8"/>
  <c r="AM38" i="8"/>
  <c r="AN38" i="8"/>
  <c r="AO38" i="8"/>
  <c r="AP38" i="8"/>
  <c r="AQ38" i="8"/>
  <c r="AR38" i="8"/>
  <c r="AT38" i="8"/>
  <c r="AU38" i="8"/>
  <c r="AV38" i="8"/>
  <c r="AW38" i="8"/>
  <c r="AX38" i="8"/>
  <c r="AY38" i="8"/>
  <c r="AZ38" i="8"/>
  <c r="BA38" i="8"/>
  <c r="BB38" i="8"/>
  <c r="BD38" i="8"/>
  <c r="A39" i="8"/>
  <c r="B39" i="8"/>
  <c r="C39" i="8"/>
  <c r="D39" i="8"/>
  <c r="E39" i="8"/>
  <c r="F39" i="8"/>
  <c r="G39" i="8"/>
  <c r="H39" i="8"/>
  <c r="I39" i="8"/>
  <c r="J39" i="8"/>
  <c r="L39" i="8"/>
  <c r="M39" i="8"/>
  <c r="N39" i="8"/>
  <c r="O39" i="8"/>
  <c r="P39" i="8"/>
  <c r="Q39" i="8"/>
  <c r="R39" i="8"/>
  <c r="S39" i="8"/>
  <c r="T39" i="8"/>
  <c r="V39" i="8"/>
  <c r="W39" i="8"/>
  <c r="X39" i="8"/>
  <c r="Y39" i="8"/>
  <c r="Z39" i="8"/>
  <c r="AA39" i="8"/>
  <c r="AC39" i="8"/>
  <c r="AD39" i="8"/>
  <c r="AE39" i="8"/>
  <c r="AF39" i="8"/>
  <c r="AG39" i="8"/>
  <c r="AH39" i="8"/>
  <c r="AI39" i="8"/>
  <c r="AJ39" i="8"/>
  <c r="AK39" i="8"/>
  <c r="AM39" i="8"/>
  <c r="AN39" i="8"/>
  <c r="AO39" i="8"/>
  <c r="AP39" i="8"/>
  <c r="AQ39" i="8"/>
  <c r="AR39" i="8"/>
  <c r="AT39" i="8"/>
  <c r="AU39" i="8"/>
  <c r="AV39" i="8"/>
  <c r="AW39" i="8"/>
  <c r="AX39" i="8"/>
  <c r="AY39" i="8"/>
  <c r="AZ39" i="8"/>
  <c r="BA39" i="8"/>
  <c r="BB39" i="8"/>
  <c r="BD39" i="8"/>
  <c r="A40" i="8"/>
  <c r="B40" i="8"/>
  <c r="C40" i="8"/>
  <c r="D40" i="8"/>
  <c r="E40" i="8"/>
  <c r="F40" i="8"/>
  <c r="G40" i="8"/>
  <c r="H40" i="8"/>
  <c r="I40" i="8"/>
  <c r="J40" i="8"/>
  <c r="L40" i="8"/>
  <c r="M40" i="8"/>
  <c r="N40" i="8"/>
  <c r="O40" i="8"/>
  <c r="P40" i="8"/>
  <c r="Q40" i="8"/>
  <c r="R40" i="8"/>
  <c r="S40" i="8"/>
  <c r="T40" i="8"/>
  <c r="V40" i="8"/>
  <c r="W40" i="8"/>
  <c r="X40" i="8"/>
  <c r="Y40" i="8"/>
  <c r="Z40" i="8"/>
  <c r="AA40" i="8"/>
  <c r="AC40" i="8"/>
  <c r="AD40" i="8"/>
  <c r="AE40" i="8"/>
  <c r="AF40" i="8"/>
  <c r="AG40" i="8"/>
  <c r="AH40" i="8"/>
  <c r="AI40" i="8"/>
  <c r="AJ40" i="8"/>
  <c r="AK40" i="8"/>
  <c r="AM40" i="8"/>
  <c r="AN40" i="8"/>
  <c r="AO40" i="8"/>
  <c r="AP40" i="8"/>
  <c r="AQ40" i="8"/>
  <c r="AR40" i="8"/>
  <c r="AT40" i="8"/>
  <c r="AU40" i="8"/>
  <c r="AV40" i="8"/>
  <c r="AW40" i="8"/>
  <c r="AX40" i="8"/>
  <c r="AY40" i="8"/>
  <c r="AZ40" i="8"/>
  <c r="BA40" i="8"/>
  <c r="BB40" i="8"/>
  <c r="BD40" i="8"/>
  <c r="A41" i="8"/>
  <c r="B41" i="8"/>
  <c r="C41" i="8"/>
  <c r="D41" i="8"/>
  <c r="E41" i="8"/>
  <c r="F41" i="8"/>
  <c r="G41" i="8"/>
  <c r="H41" i="8"/>
  <c r="I41" i="8"/>
  <c r="J41" i="8"/>
  <c r="L41" i="8"/>
  <c r="M41" i="8"/>
  <c r="N41" i="8"/>
  <c r="O41" i="8"/>
  <c r="P41" i="8"/>
  <c r="Q41" i="8"/>
  <c r="R41" i="8"/>
  <c r="S41" i="8"/>
  <c r="T41" i="8"/>
  <c r="V41" i="8"/>
  <c r="W41" i="8"/>
  <c r="X41" i="8"/>
  <c r="Y41" i="8"/>
  <c r="Z41" i="8"/>
  <c r="AA41" i="8"/>
  <c r="AC41" i="8"/>
  <c r="AD41" i="8"/>
  <c r="AE41" i="8"/>
  <c r="AF41" i="8"/>
  <c r="AG41" i="8"/>
  <c r="AH41" i="8"/>
  <c r="AI41" i="8"/>
  <c r="AJ41" i="8"/>
  <c r="AK41" i="8"/>
  <c r="AM41" i="8"/>
  <c r="AN41" i="8"/>
  <c r="AO41" i="8"/>
  <c r="AP41" i="8"/>
  <c r="AQ41" i="8"/>
  <c r="AR41" i="8"/>
  <c r="AT41" i="8"/>
  <c r="AU41" i="8"/>
  <c r="AV41" i="8"/>
  <c r="AW41" i="8"/>
  <c r="AX41" i="8"/>
  <c r="AY41" i="8"/>
  <c r="AZ41" i="8"/>
  <c r="BA41" i="8"/>
  <c r="BB41" i="8"/>
  <c r="BD41" i="8"/>
  <c r="A42" i="8"/>
  <c r="B42" i="8"/>
  <c r="C42" i="8"/>
  <c r="D42" i="8"/>
  <c r="E42" i="8"/>
  <c r="F42" i="8"/>
  <c r="G42" i="8"/>
  <c r="H42" i="8"/>
  <c r="I42" i="8"/>
  <c r="J42" i="8"/>
  <c r="L42" i="8"/>
  <c r="M42" i="8"/>
  <c r="N42" i="8"/>
  <c r="O42" i="8"/>
  <c r="P42" i="8"/>
  <c r="Q42" i="8"/>
  <c r="R42" i="8"/>
  <c r="S42" i="8"/>
  <c r="T42" i="8"/>
  <c r="V42" i="8"/>
  <c r="W42" i="8"/>
  <c r="X42" i="8"/>
  <c r="Y42" i="8"/>
  <c r="Z42" i="8"/>
  <c r="AA42" i="8"/>
  <c r="AC42" i="8"/>
  <c r="AD42" i="8"/>
  <c r="AE42" i="8"/>
  <c r="AF42" i="8"/>
  <c r="AG42" i="8"/>
  <c r="AH42" i="8"/>
  <c r="AI42" i="8"/>
  <c r="AJ42" i="8"/>
  <c r="AK42" i="8"/>
  <c r="AM42" i="8"/>
  <c r="AN42" i="8"/>
  <c r="AO42" i="8"/>
  <c r="AP42" i="8"/>
  <c r="AQ42" i="8"/>
  <c r="AR42" i="8"/>
  <c r="AT42" i="8"/>
  <c r="AU42" i="8"/>
  <c r="AV42" i="8"/>
  <c r="AW42" i="8"/>
  <c r="AX42" i="8"/>
  <c r="AY42" i="8"/>
  <c r="AZ42" i="8"/>
  <c r="BA42" i="8"/>
  <c r="BB42" i="8"/>
  <c r="BD42" i="8"/>
  <c r="A43" i="8"/>
  <c r="B43" i="8"/>
  <c r="C43" i="8"/>
  <c r="D43" i="8"/>
  <c r="E43" i="8"/>
  <c r="F43" i="8"/>
  <c r="G43" i="8"/>
  <c r="H43" i="8"/>
  <c r="I43" i="8"/>
  <c r="J43" i="8"/>
  <c r="L43" i="8"/>
  <c r="M43" i="8"/>
  <c r="N43" i="8"/>
  <c r="O43" i="8"/>
  <c r="P43" i="8"/>
  <c r="Q43" i="8"/>
  <c r="R43" i="8"/>
  <c r="S43" i="8"/>
  <c r="T43" i="8"/>
  <c r="V43" i="8"/>
  <c r="W43" i="8"/>
  <c r="X43" i="8"/>
  <c r="Y43" i="8"/>
  <c r="Z43" i="8"/>
  <c r="AA43" i="8"/>
  <c r="AC43" i="8"/>
  <c r="AD43" i="8"/>
  <c r="AE43" i="8"/>
  <c r="AF43" i="8"/>
  <c r="AG43" i="8"/>
  <c r="AH43" i="8"/>
  <c r="AI43" i="8"/>
  <c r="AJ43" i="8"/>
  <c r="AK43" i="8"/>
  <c r="AM43" i="8"/>
  <c r="AN43" i="8"/>
  <c r="AO43" i="8"/>
  <c r="AP43" i="8"/>
  <c r="AQ43" i="8"/>
  <c r="AR43" i="8"/>
  <c r="AT43" i="8"/>
  <c r="AU43" i="8"/>
  <c r="AV43" i="8"/>
  <c r="AW43" i="8"/>
  <c r="AX43" i="8"/>
  <c r="AY43" i="8"/>
  <c r="AZ43" i="8"/>
  <c r="BA43" i="8"/>
  <c r="BB43" i="8"/>
  <c r="BD43" i="8"/>
  <c r="A44" i="8"/>
  <c r="B44" i="8"/>
  <c r="C44" i="8"/>
  <c r="D44" i="8"/>
  <c r="E44" i="8"/>
  <c r="F44" i="8"/>
  <c r="G44" i="8"/>
  <c r="H44" i="8"/>
  <c r="I44" i="8"/>
  <c r="J44" i="8"/>
  <c r="L44" i="8"/>
  <c r="M44" i="8"/>
  <c r="N44" i="8"/>
  <c r="O44" i="8"/>
  <c r="P44" i="8"/>
  <c r="Q44" i="8"/>
  <c r="R44" i="8"/>
  <c r="S44" i="8"/>
  <c r="T44" i="8"/>
  <c r="V44" i="8"/>
  <c r="W44" i="8"/>
  <c r="X44" i="8"/>
  <c r="Y44" i="8"/>
  <c r="Z44" i="8"/>
  <c r="AA44" i="8"/>
  <c r="AC44" i="8"/>
  <c r="AD44" i="8"/>
  <c r="AE44" i="8"/>
  <c r="AF44" i="8"/>
  <c r="AG44" i="8"/>
  <c r="AH44" i="8"/>
  <c r="AI44" i="8"/>
  <c r="AJ44" i="8"/>
  <c r="AK44" i="8"/>
  <c r="AM44" i="8"/>
  <c r="AN44" i="8"/>
  <c r="AO44" i="8"/>
  <c r="AP44" i="8"/>
  <c r="AQ44" i="8"/>
  <c r="AR44" i="8"/>
  <c r="AT44" i="8"/>
  <c r="AU44" i="8"/>
  <c r="AV44" i="8"/>
  <c r="AW44" i="8"/>
  <c r="AX44" i="8"/>
  <c r="AY44" i="8"/>
  <c r="AZ44" i="8"/>
  <c r="BA44" i="8"/>
  <c r="BB44" i="8"/>
  <c r="BD44" i="8"/>
  <c r="A45" i="8"/>
  <c r="B45" i="8"/>
  <c r="C45" i="8"/>
  <c r="D45" i="8"/>
  <c r="E45" i="8"/>
  <c r="F45" i="8"/>
  <c r="G45" i="8"/>
  <c r="H45" i="8"/>
  <c r="I45" i="8"/>
  <c r="J45" i="8"/>
  <c r="L45" i="8"/>
  <c r="M45" i="8"/>
  <c r="N45" i="8"/>
  <c r="O45" i="8"/>
  <c r="P45" i="8"/>
  <c r="Q45" i="8"/>
  <c r="R45" i="8"/>
  <c r="S45" i="8"/>
  <c r="T45" i="8"/>
  <c r="V45" i="8"/>
  <c r="W45" i="8"/>
  <c r="X45" i="8"/>
  <c r="Y45" i="8"/>
  <c r="Z45" i="8"/>
  <c r="AA45" i="8"/>
  <c r="AC45" i="8"/>
  <c r="AD45" i="8"/>
  <c r="AE45" i="8"/>
  <c r="AF45" i="8"/>
  <c r="AG45" i="8"/>
  <c r="AH45" i="8"/>
  <c r="AI45" i="8"/>
  <c r="AJ45" i="8"/>
  <c r="AK45" i="8"/>
  <c r="AM45" i="8"/>
  <c r="AN45" i="8"/>
  <c r="AO45" i="8"/>
  <c r="AP45" i="8"/>
  <c r="AQ45" i="8"/>
  <c r="AR45" i="8"/>
  <c r="AT45" i="8"/>
  <c r="AU45" i="8"/>
  <c r="AV45" i="8"/>
  <c r="AW45" i="8"/>
  <c r="AX45" i="8"/>
  <c r="AY45" i="8"/>
  <c r="AZ45" i="8"/>
  <c r="BA45" i="8"/>
  <c r="BB45" i="8"/>
  <c r="BD45" i="8"/>
  <c r="A46" i="8"/>
  <c r="B46" i="8"/>
  <c r="C46" i="8"/>
  <c r="D46" i="8"/>
  <c r="E46" i="8"/>
  <c r="F46" i="8"/>
  <c r="G46" i="8"/>
  <c r="H46" i="8"/>
  <c r="I46" i="8"/>
  <c r="J46" i="8"/>
  <c r="L46" i="8"/>
  <c r="M46" i="8"/>
  <c r="N46" i="8"/>
  <c r="O46" i="8"/>
  <c r="P46" i="8"/>
  <c r="Q46" i="8"/>
  <c r="R46" i="8"/>
  <c r="S46" i="8"/>
  <c r="T46" i="8"/>
  <c r="V46" i="8"/>
  <c r="W46" i="8"/>
  <c r="X46" i="8"/>
  <c r="Y46" i="8"/>
  <c r="Z46" i="8"/>
  <c r="AA46" i="8"/>
  <c r="AC46" i="8"/>
  <c r="AD46" i="8"/>
  <c r="AE46" i="8"/>
  <c r="AF46" i="8"/>
  <c r="AG46" i="8"/>
  <c r="AH46" i="8"/>
  <c r="AI46" i="8"/>
  <c r="AJ46" i="8"/>
  <c r="AK46" i="8"/>
  <c r="AM46" i="8"/>
  <c r="AN46" i="8"/>
  <c r="AO46" i="8"/>
  <c r="AP46" i="8"/>
  <c r="AQ46" i="8"/>
  <c r="AR46" i="8"/>
  <c r="AT46" i="8"/>
  <c r="AU46" i="8"/>
  <c r="AV46" i="8"/>
  <c r="AW46" i="8"/>
  <c r="AX46" i="8"/>
  <c r="AY46" i="8"/>
  <c r="AZ46" i="8"/>
  <c r="BA46" i="8"/>
  <c r="BB46" i="8"/>
  <c r="BD46" i="8"/>
  <c r="A47" i="8"/>
  <c r="B47" i="8"/>
  <c r="C47" i="8"/>
  <c r="D47" i="8"/>
  <c r="E47" i="8"/>
  <c r="F47" i="8"/>
  <c r="G47" i="8"/>
  <c r="H47" i="8"/>
  <c r="I47" i="8"/>
  <c r="J47" i="8"/>
  <c r="L47" i="8"/>
  <c r="M47" i="8"/>
  <c r="N47" i="8"/>
  <c r="O47" i="8"/>
  <c r="P47" i="8"/>
  <c r="Q47" i="8"/>
  <c r="R47" i="8"/>
  <c r="S47" i="8"/>
  <c r="T47" i="8"/>
  <c r="V47" i="8"/>
  <c r="W47" i="8"/>
  <c r="X47" i="8"/>
  <c r="Y47" i="8"/>
  <c r="Z47" i="8"/>
  <c r="AA47" i="8"/>
  <c r="AC47" i="8"/>
  <c r="AD47" i="8"/>
  <c r="AE47" i="8"/>
  <c r="AF47" i="8"/>
  <c r="AG47" i="8"/>
  <c r="AH47" i="8"/>
  <c r="AI47" i="8"/>
  <c r="AJ47" i="8"/>
  <c r="AK47" i="8"/>
  <c r="AM47" i="8"/>
  <c r="AN47" i="8"/>
  <c r="AO47" i="8"/>
  <c r="AP47" i="8"/>
  <c r="AQ47" i="8"/>
  <c r="AR47" i="8"/>
  <c r="AT47" i="8"/>
  <c r="AU47" i="8"/>
  <c r="AV47" i="8"/>
  <c r="AW47" i="8"/>
  <c r="AX47" i="8"/>
  <c r="AY47" i="8"/>
  <c r="AZ47" i="8"/>
  <c r="BA47" i="8"/>
  <c r="BB47" i="8"/>
  <c r="BD47" i="8"/>
  <c r="A48" i="8"/>
  <c r="B48" i="8"/>
  <c r="C48" i="8"/>
  <c r="D48" i="8"/>
  <c r="E48" i="8"/>
  <c r="F48" i="8"/>
  <c r="G48" i="8"/>
  <c r="H48" i="8"/>
  <c r="I48" i="8"/>
  <c r="J48" i="8"/>
  <c r="L48" i="8"/>
  <c r="M48" i="8"/>
  <c r="N48" i="8"/>
  <c r="O48" i="8"/>
  <c r="P48" i="8"/>
  <c r="Q48" i="8"/>
  <c r="R48" i="8"/>
  <c r="S48" i="8"/>
  <c r="T48" i="8"/>
  <c r="V48" i="8"/>
  <c r="W48" i="8"/>
  <c r="X48" i="8"/>
  <c r="Y48" i="8"/>
  <c r="Z48" i="8"/>
  <c r="AA48" i="8"/>
  <c r="AC48" i="8"/>
  <c r="AD48" i="8"/>
  <c r="AE48" i="8"/>
  <c r="AF48" i="8"/>
  <c r="AG48" i="8"/>
  <c r="AH48" i="8"/>
  <c r="AI48" i="8"/>
  <c r="AJ48" i="8"/>
  <c r="AK48" i="8"/>
  <c r="AM48" i="8"/>
  <c r="AN48" i="8"/>
  <c r="AO48" i="8"/>
  <c r="AP48" i="8"/>
  <c r="AQ48" i="8"/>
  <c r="AR48" i="8"/>
  <c r="AT48" i="8"/>
  <c r="AU48" i="8"/>
  <c r="AV48" i="8"/>
  <c r="AW48" i="8"/>
  <c r="AX48" i="8"/>
  <c r="AY48" i="8"/>
  <c r="AZ48" i="8"/>
  <c r="BA48" i="8"/>
  <c r="BB48" i="8"/>
  <c r="BD48" i="8"/>
  <c r="A49" i="8"/>
  <c r="B49" i="8"/>
  <c r="C49" i="8"/>
  <c r="D49" i="8"/>
  <c r="E49" i="8"/>
  <c r="F49" i="8"/>
  <c r="G49" i="8"/>
  <c r="H49" i="8"/>
  <c r="I49" i="8"/>
  <c r="J49" i="8"/>
  <c r="L49" i="8"/>
  <c r="M49" i="8"/>
  <c r="N49" i="8"/>
  <c r="O49" i="8"/>
  <c r="P49" i="8"/>
  <c r="Q49" i="8"/>
  <c r="R49" i="8"/>
  <c r="S49" i="8"/>
  <c r="T49" i="8"/>
  <c r="V49" i="8"/>
  <c r="W49" i="8"/>
  <c r="X49" i="8"/>
  <c r="Y49" i="8"/>
  <c r="Z49" i="8"/>
  <c r="AA49" i="8"/>
  <c r="AC49" i="8"/>
  <c r="AD49" i="8"/>
  <c r="AE49" i="8"/>
  <c r="AF49" i="8"/>
  <c r="AG49" i="8"/>
  <c r="AH49" i="8"/>
  <c r="AI49" i="8"/>
  <c r="AJ49" i="8"/>
  <c r="AK49" i="8"/>
  <c r="AM49" i="8"/>
  <c r="AN49" i="8"/>
  <c r="AO49" i="8"/>
  <c r="AP49" i="8"/>
  <c r="AQ49" i="8"/>
  <c r="AR49" i="8"/>
  <c r="AT49" i="8"/>
  <c r="AU49" i="8"/>
  <c r="AV49" i="8"/>
  <c r="AW49" i="8"/>
  <c r="AX49" i="8"/>
  <c r="AY49" i="8"/>
  <c r="AZ49" i="8"/>
  <c r="BA49" i="8"/>
  <c r="BB49" i="8"/>
  <c r="BD49" i="8"/>
  <c r="A50" i="8"/>
  <c r="B50" i="8"/>
  <c r="C50" i="8"/>
  <c r="D50" i="8"/>
  <c r="E50" i="8"/>
  <c r="F50" i="8"/>
  <c r="G50" i="8"/>
  <c r="H50" i="8"/>
  <c r="I50" i="8"/>
  <c r="J50" i="8"/>
  <c r="L50" i="8"/>
  <c r="M50" i="8"/>
  <c r="N50" i="8"/>
  <c r="O50" i="8"/>
  <c r="P50" i="8"/>
  <c r="Q50" i="8"/>
  <c r="R50" i="8"/>
  <c r="S50" i="8"/>
  <c r="T50" i="8"/>
  <c r="V50" i="8"/>
  <c r="W50" i="8"/>
  <c r="X50" i="8"/>
  <c r="Y50" i="8"/>
  <c r="Z50" i="8"/>
  <c r="AA50" i="8"/>
  <c r="AC50" i="8"/>
  <c r="AD50" i="8"/>
  <c r="AE50" i="8"/>
  <c r="AF50" i="8"/>
  <c r="AG50" i="8"/>
  <c r="AH50" i="8"/>
  <c r="AI50" i="8"/>
  <c r="AJ50" i="8"/>
  <c r="AK50" i="8"/>
  <c r="AM50" i="8"/>
  <c r="AN50" i="8"/>
  <c r="AO50" i="8"/>
  <c r="AP50" i="8"/>
  <c r="AQ50" i="8"/>
  <c r="AR50" i="8"/>
  <c r="AT50" i="8"/>
  <c r="AU50" i="8"/>
  <c r="AV50" i="8"/>
  <c r="AW50" i="8"/>
  <c r="AX50" i="8"/>
  <c r="AY50" i="8"/>
  <c r="AZ50" i="8"/>
  <c r="BA50" i="8"/>
  <c r="BB50" i="8"/>
  <c r="BD50" i="8"/>
  <c r="A51" i="8"/>
  <c r="B51" i="8"/>
  <c r="C51" i="8"/>
  <c r="D51" i="8"/>
  <c r="E51" i="8"/>
  <c r="F51" i="8"/>
  <c r="G51" i="8"/>
  <c r="H51" i="8"/>
  <c r="I51" i="8"/>
  <c r="J51" i="8"/>
  <c r="L51" i="8"/>
  <c r="M51" i="8"/>
  <c r="N51" i="8"/>
  <c r="O51" i="8"/>
  <c r="P51" i="8"/>
  <c r="Q51" i="8"/>
  <c r="R51" i="8"/>
  <c r="S51" i="8"/>
  <c r="T51" i="8"/>
  <c r="V51" i="8"/>
  <c r="W51" i="8"/>
  <c r="X51" i="8"/>
  <c r="Y51" i="8"/>
  <c r="Z51" i="8"/>
  <c r="AA51" i="8"/>
  <c r="AC51" i="8"/>
  <c r="AD51" i="8"/>
  <c r="AE51" i="8"/>
  <c r="AF51" i="8"/>
  <c r="AG51" i="8"/>
  <c r="AH51" i="8"/>
  <c r="AI51" i="8"/>
  <c r="AJ51" i="8"/>
  <c r="AK51" i="8"/>
  <c r="AM51" i="8"/>
  <c r="AN51" i="8"/>
  <c r="AO51" i="8"/>
  <c r="AP51" i="8"/>
  <c r="AQ51" i="8"/>
  <c r="AR51" i="8"/>
  <c r="AT51" i="8"/>
  <c r="AU51" i="8"/>
  <c r="AV51" i="8"/>
  <c r="AW51" i="8"/>
  <c r="AX51" i="8"/>
  <c r="AY51" i="8"/>
  <c r="AZ51" i="8"/>
  <c r="BA51" i="8"/>
  <c r="BB51" i="8"/>
  <c r="BD51" i="8"/>
  <c r="A52" i="8"/>
  <c r="B52" i="8"/>
  <c r="C52" i="8"/>
  <c r="D52" i="8"/>
  <c r="E52" i="8"/>
  <c r="F52" i="8"/>
  <c r="G52" i="8"/>
  <c r="H52" i="8"/>
  <c r="I52" i="8"/>
  <c r="J52" i="8"/>
  <c r="L52" i="8"/>
  <c r="M52" i="8"/>
  <c r="N52" i="8"/>
  <c r="O52" i="8"/>
  <c r="P52" i="8"/>
  <c r="Q52" i="8"/>
  <c r="R52" i="8"/>
  <c r="S52" i="8"/>
  <c r="T52" i="8"/>
  <c r="V52" i="8"/>
  <c r="W52" i="8"/>
  <c r="X52" i="8"/>
  <c r="Y52" i="8"/>
  <c r="Z52" i="8"/>
  <c r="AA52" i="8"/>
  <c r="AC52" i="8"/>
  <c r="AD52" i="8"/>
  <c r="AE52" i="8"/>
  <c r="AF52" i="8"/>
  <c r="AG52" i="8"/>
  <c r="AH52" i="8"/>
  <c r="AI52" i="8"/>
  <c r="AJ52" i="8"/>
  <c r="AK52" i="8"/>
  <c r="AM52" i="8"/>
  <c r="AN52" i="8"/>
  <c r="AO52" i="8"/>
  <c r="AP52" i="8"/>
  <c r="AQ52" i="8"/>
  <c r="AR52" i="8"/>
  <c r="AT52" i="8"/>
  <c r="AU52" i="8"/>
  <c r="AV52" i="8"/>
  <c r="AW52" i="8"/>
  <c r="AX52" i="8"/>
  <c r="AY52" i="8"/>
  <c r="AZ52" i="8"/>
  <c r="BA52" i="8"/>
  <c r="BB52" i="8"/>
  <c r="BD52" i="8"/>
  <c r="A53" i="8"/>
  <c r="B53" i="8"/>
  <c r="C53" i="8"/>
  <c r="D53" i="8"/>
  <c r="E53" i="8"/>
  <c r="F53" i="8"/>
  <c r="G53" i="8"/>
  <c r="H53" i="8"/>
  <c r="I53" i="8"/>
  <c r="J53" i="8"/>
  <c r="L53" i="8"/>
  <c r="M53" i="8"/>
  <c r="N53" i="8"/>
  <c r="O53" i="8"/>
  <c r="P53" i="8"/>
  <c r="Q53" i="8"/>
  <c r="R53" i="8"/>
  <c r="S53" i="8"/>
  <c r="T53" i="8"/>
  <c r="V53" i="8"/>
  <c r="W53" i="8"/>
  <c r="X53" i="8"/>
  <c r="Y53" i="8"/>
  <c r="Z53" i="8"/>
  <c r="AA53" i="8"/>
  <c r="AC53" i="8"/>
  <c r="AD53" i="8"/>
  <c r="AE53" i="8"/>
  <c r="AF53" i="8"/>
  <c r="AG53" i="8"/>
  <c r="AH53" i="8"/>
  <c r="AI53" i="8"/>
  <c r="AJ53" i="8"/>
  <c r="AK53" i="8"/>
  <c r="AM53" i="8"/>
  <c r="AN53" i="8"/>
  <c r="AO53" i="8"/>
  <c r="AP53" i="8"/>
  <c r="AQ53" i="8"/>
  <c r="AR53" i="8"/>
  <c r="AT53" i="8"/>
  <c r="AU53" i="8"/>
  <c r="AV53" i="8"/>
  <c r="AW53" i="8"/>
  <c r="AX53" i="8"/>
  <c r="AY53" i="8"/>
  <c r="AZ53" i="8"/>
  <c r="BA53" i="8"/>
  <c r="BB53" i="8"/>
  <c r="BD53" i="8"/>
  <c r="A54" i="8"/>
  <c r="B54" i="8"/>
  <c r="C54" i="8"/>
  <c r="D54" i="8"/>
  <c r="E54" i="8"/>
  <c r="F54" i="8"/>
  <c r="G54" i="8"/>
  <c r="H54" i="8"/>
  <c r="I54" i="8"/>
  <c r="J54" i="8"/>
  <c r="L54" i="8"/>
  <c r="M54" i="8"/>
  <c r="N54" i="8"/>
  <c r="O54" i="8"/>
  <c r="P54" i="8"/>
  <c r="Q54" i="8"/>
  <c r="R54" i="8"/>
  <c r="S54" i="8"/>
  <c r="T54" i="8"/>
  <c r="V54" i="8"/>
  <c r="W54" i="8"/>
  <c r="X54" i="8"/>
  <c r="Y54" i="8"/>
  <c r="Z54" i="8"/>
  <c r="AA54" i="8"/>
  <c r="AC54" i="8"/>
  <c r="AD54" i="8"/>
  <c r="AE54" i="8"/>
  <c r="AF54" i="8"/>
  <c r="AG54" i="8"/>
  <c r="AH54" i="8"/>
  <c r="AI54" i="8"/>
  <c r="AJ54" i="8"/>
  <c r="AK54" i="8"/>
  <c r="AM54" i="8"/>
  <c r="AN54" i="8"/>
  <c r="AO54" i="8"/>
  <c r="AP54" i="8"/>
  <c r="AQ54" i="8"/>
  <c r="AR54" i="8"/>
  <c r="AT54" i="8"/>
  <c r="AU54" i="8"/>
  <c r="AV54" i="8"/>
  <c r="AW54" i="8"/>
  <c r="AX54" i="8"/>
  <c r="AY54" i="8"/>
  <c r="AZ54" i="8"/>
  <c r="BA54" i="8"/>
  <c r="BB54" i="8"/>
  <c r="BD54" i="8"/>
  <c r="A55" i="8"/>
  <c r="B55" i="8"/>
  <c r="C55" i="8"/>
  <c r="D55" i="8"/>
  <c r="E55" i="8"/>
  <c r="F55" i="8"/>
  <c r="G55" i="8"/>
  <c r="H55" i="8"/>
  <c r="I55" i="8"/>
  <c r="J55" i="8"/>
  <c r="L55" i="8"/>
  <c r="M55" i="8"/>
  <c r="N55" i="8"/>
  <c r="O55" i="8"/>
  <c r="P55" i="8"/>
  <c r="Q55" i="8"/>
  <c r="R55" i="8"/>
  <c r="S55" i="8"/>
  <c r="T55" i="8"/>
  <c r="V55" i="8"/>
  <c r="W55" i="8"/>
  <c r="X55" i="8"/>
  <c r="Y55" i="8"/>
  <c r="Z55" i="8"/>
  <c r="AA55" i="8"/>
  <c r="AC55" i="8"/>
  <c r="AD55" i="8"/>
  <c r="AE55" i="8"/>
  <c r="AF55" i="8"/>
  <c r="AG55" i="8"/>
  <c r="AH55" i="8"/>
  <c r="AI55" i="8"/>
  <c r="AJ55" i="8"/>
  <c r="AK55" i="8"/>
  <c r="AM55" i="8"/>
  <c r="AN55" i="8"/>
  <c r="AO55" i="8"/>
  <c r="AP55" i="8"/>
  <c r="AQ55" i="8"/>
  <c r="AR55" i="8"/>
  <c r="AT55" i="8"/>
  <c r="AU55" i="8"/>
  <c r="AV55" i="8"/>
  <c r="AW55" i="8"/>
  <c r="AX55" i="8"/>
  <c r="AY55" i="8"/>
  <c r="AZ55" i="8"/>
  <c r="BA55" i="8"/>
  <c r="BB55" i="8"/>
  <c r="BD55" i="8"/>
  <c r="A56" i="8"/>
  <c r="B56" i="8"/>
  <c r="C56" i="8"/>
  <c r="D56" i="8"/>
  <c r="E56" i="8"/>
  <c r="F56" i="8"/>
  <c r="G56" i="8"/>
  <c r="H56" i="8"/>
  <c r="I56" i="8"/>
  <c r="J56" i="8"/>
  <c r="L56" i="8"/>
  <c r="M56" i="8"/>
  <c r="N56" i="8"/>
  <c r="O56" i="8"/>
  <c r="P56" i="8"/>
  <c r="Q56" i="8"/>
  <c r="R56" i="8"/>
  <c r="S56" i="8"/>
  <c r="T56" i="8"/>
  <c r="V56" i="8"/>
  <c r="W56" i="8"/>
  <c r="X56" i="8"/>
  <c r="Y56" i="8"/>
  <c r="Z56" i="8"/>
  <c r="AA56" i="8"/>
  <c r="AC56" i="8"/>
  <c r="AD56" i="8"/>
  <c r="AE56" i="8"/>
  <c r="AF56" i="8"/>
  <c r="AG56" i="8"/>
  <c r="AH56" i="8"/>
  <c r="AI56" i="8"/>
  <c r="AJ56" i="8"/>
  <c r="AK56" i="8"/>
  <c r="AM56" i="8"/>
  <c r="AN56" i="8"/>
  <c r="AO56" i="8"/>
  <c r="AP56" i="8"/>
  <c r="AQ56" i="8"/>
  <c r="AR56" i="8"/>
  <c r="AT56" i="8"/>
  <c r="AU56" i="8"/>
  <c r="AV56" i="8"/>
  <c r="AW56" i="8"/>
  <c r="AX56" i="8"/>
  <c r="AY56" i="8"/>
  <c r="AZ56" i="8"/>
  <c r="BA56" i="8"/>
  <c r="BB56" i="8"/>
  <c r="BD56" i="8"/>
  <c r="A57" i="8"/>
  <c r="B57" i="8"/>
  <c r="C57" i="8"/>
  <c r="D57" i="8"/>
  <c r="E57" i="8"/>
  <c r="F57" i="8"/>
  <c r="G57" i="8"/>
  <c r="H57" i="8"/>
  <c r="I57" i="8"/>
  <c r="J57" i="8"/>
  <c r="L57" i="8"/>
  <c r="M57" i="8"/>
  <c r="N57" i="8"/>
  <c r="O57" i="8"/>
  <c r="P57" i="8"/>
  <c r="Q57" i="8"/>
  <c r="R57" i="8"/>
  <c r="S57" i="8"/>
  <c r="T57" i="8"/>
  <c r="V57" i="8"/>
  <c r="W57" i="8"/>
  <c r="X57" i="8"/>
  <c r="Y57" i="8"/>
  <c r="Z57" i="8"/>
  <c r="AA57" i="8"/>
  <c r="AC57" i="8"/>
  <c r="AD57" i="8"/>
  <c r="AE57" i="8"/>
  <c r="AF57" i="8"/>
  <c r="AG57" i="8"/>
  <c r="AH57" i="8"/>
  <c r="AI57" i="8"/>
  <c r="AJ57" i="8"/>
  <c r="AK57" i="8"/>
  <c r="AM57" i="8"/>
  <c r="AN57" i="8"/>
  <c r="AO57" i="8"/>
  <c r="AP57" i="8"/>
  <c r="AQ57" i="8"/>
  <c r="AR57" i="8"/>
  <c r="AT57" i="8"/>
  <c r="AU57" i="8"/>
  <c r="AV57" i="8"/>
  <c r="AW57" i="8"/>
  <c r="AX57" i="8"/>
  <c r="AY57" i="8"/>
  <c r="AZ57" i="8"/>
  <c r="BA57" i="8"/>
  <c r="BB57" i="8"/>
  <c r="BD57" i="8"/>
  <c r="A58" i="8"/>
  <c r="B58" i="8"/>
  <c r="C58" i="8"/>
  <c r="D58" i="8"/>
  <c r="E58" i="8"/>
  <c r="F58" i="8"/>
  <c r="G58" i="8"/>
  <c r="H58" i="8"/>
  <c r="I58" i="8"/>
  <c r="J58" i="8"/>
  <c r="L58" i="8"/>
  <c r="M58" i="8"/>
  <c r="N58" i="8"/>
  <c r="O58" i="8"/>
  <c r="P58" i="8"/>
  <c r="Q58" i="8"/>
  <c r="R58" i="8"/>
  <c r="S58" i="8"/>
  <c r="T58" i="8"/>
  <c r="V58" i="8"/>
  <c r="W58" i="8"/>
  <c r="X58" i="8"/>
  <c r="Y58" i="8"/>
  <c r="Z58" i="8"/>
  <c r="AA58" i="8"/>
  <c r="AC58" i="8"/>
  <c r="AD58" i="8"/>
  <c r="AE58" i="8"/>
  <c r="AF58" i="8"/>
  <c r="AG58" i="8"/>
  <c r="AH58" i="8"/>
  <c r="AI58" i="8"/>
  <c r="AJ58" i="8"/>
  <c r="AK58" i="8"/>
  <c r="AM58" i="8"/>
  <c r="AN58" i="8"/>
  <c r="AO58" i="8"/>
  <c r="AP58" i="8"/>
  <c r="AQ58" i="8"/>
  <c r="AR58" i="8"/>
  <c r="AT58" i="8"/>
  <c r="AU58" i="8"/>
  <c r="AV58" i="8"/>
  <c r="AW58" i="8"/>
  <c r="AX58" i="8"/>
  <c r="AY58" i="8"/>
  <c r="AZ58" i="8"/>
  <c r="BA58" i="8"/>
  <c r="BB58" i="8"/>
  <c r="BD58" i="8"/>
  <c r="A59" i="8"/>
  <c r="B59" i="8"/>
  <c r="C59" i="8"/>
  <c r="D59" i="8"/>
  <c r="E59" i="8"/>
  <c r="F59" i="8"/>
  <c r="G59" i="8"/>
  <c r="H59" i="8"/>
  <c r="I59" i="8"/>
  <c r="J59" i="8"/>
  <c r="L59" i="8"/>
  <c r="M59" i="8"/>
  <c r="N59" i="8"/>
  <c r="O59" i="8"/>
  <c r="P59" i="8"/>
  <c r="Q59" i="8"/>
  <c r="R59" i="8"/>
  <c r="S59" i="8"/>
  <c r="T59" i="8"/>
  <c r="V59" i="8"/>
  <c r="W59" i="8"/>
  <c r="X59" i="8"/>
  <c r="Y59" i="8"/>
  <c r="Z59" i="8"/>
  <c r="AA59" i="8"/>
  <c r="AC59" i="8"/>
  <c r="AD59" i="8"/>
  <c r="AE59" i="8"/>
  <c r="AF59" i="8"/>
  <c r="AG59" i="8"/>
  <c r="AH59" i="8"/>
  <c r="AI59" i="8"/>
  <c r="AJ59" i="8"/>
  <c r="AK59" i="8"/>
  <c r="AM59" i="8"/>
  <c r="AN59" i="8"/>
  <c r="AO59" i="8"/>
  <c r="AP59" i="8"/>
  <c r="AQ59" i="8"/>
  <c r="AR59" i="8"/>
  <c r="AT59" i="8"/>
  <c r="AU59" i="8"/>
  <c r="AV59" i="8"/>
  <c r="AW59" i="8"/>
  <c r="AX59" i="8"/>
  <c r="AY59" i="8"/>
  <c r="AZ59" i="8"/>
  <c r="BA59" i="8"/>
  <c r="BB59" i="8"/>
  <c r="BD59" i="8"/>
  <c r="A60" i="8"/>
  <c r="B60" i="8"/>
  <c r="C60" i="8"/>
  <c r="D60" i="8"/>
  <c r="E60" i="8"/>
  <c r="F60" i="8"/>
  <c r="G60" i="8"/>
  <c r="H60" i="8"/>
  <c r="I60" i="8"/>
  <c r="J60" i="8"/>
  <c r="L60" i="8"/>
  <c r="M60" i="8"/>
  <c r="N60" i="8"/>
  <c r="O60" i="8"/>
  <c r="P60" i="8"/>
  <c r="Q60" i="8"/>
  <c r="R60" i="8"/>
  <c r="S60" i="8"/>
  <c r="T60" i="8"/>
  <c r="V60" i="8"/>
  <c r="W60" i="8"/>
  <c r="X60" i="8"/>
  <c r="Y60" i="8"/>
  <c r="Z60" i="8"/>
  <c r="AA60" i="8"/>
  <c r="AC60" i="8"/>
  <c r="AD60" i="8"/>
  <c r="AE60" i="8"/>
  <c r="AF60" i="8"/>
  <c r="AG60" i="8"/>
  <c r="AH60" i="8"/>
  <c r="AI60" i="8"/>
  <c r="AJ60" i="8"/>
  <c r="AK60" i="8"/>
  <c r="AM60" i="8"/>
  <c r="AN60" i="8"/>
  <c r="AO60" i="8"/>
  <c r="AP60" i="8"/>
  <c r="AQ60" i="8"/>
  <c r="AR60" i="8"/>
  <c r="AT60" i="8"/>
  <c r="AU60" i="8"/>
  <c r="AV60" i="8"/>
  <c r="AW60" i="8"/>
  <c r="AX60" i="8"/>
  <c r="AY60" i="8"/>
  <c r="AZ60" i="8"/>
  <c r="BA60" i="8"/>
  <c r="BB60" i="8"/>
  <c r="BD60" i="8"/>
  <c r="A61" i="8"/>
  <c r="B61" i="8"/>
  <c r="C61" i="8"/>
  <c r="D61" i="8"/>
  <c r="E61" i="8"/>
  <c r="F61" i="8"/>
  <c r="G61" i="8"/>
  <c r="H61" i="8"/>
  <c r="I61" i="8"/>
  <c r="J61" i="8"/>
  <c r="L61" i="8"/>
  <c r="M61" i="8"/>
  <c r="N61" i="8"/>
  <c r="O61" i="8"/>
  <c r="P61" i="8"/>
  <c r="Q61" i="8"/>
  <c r="R61" i="8"/>
  <c r="S61" i="8"/>
  <c r="T61" i="8"/>
  <c r="V61" i="8"/>
  <c r="W61" i="8"/>
  <c r="X61" i="8"/>
  <c r="Y61" i="8"/>
  <c r="Z61" i="8"/>
  <c r="AA61" i="8"/>
  <c r="AC61" i="8"/>
  <c r="AD61" i="8"/>
  <c r="AE61" i="8"/>
  <c r="AF61" i="8"/>
  <c r="AG61" i="8"/>
  <c r="AH61" i="8"/>
  <c r="AI61" i="8"/>
  <c r="AJ61" i="8"/>
  <c r="AK61" i="8"/>
  <c r="AM61" i="8"/>
  <c r="AN61" i="8"/>
  <c r="AO61" i="8"/>
  <c r="AP61" i="8"/>
  <c r="AQ61" i="8"/>
  <c r="AR61" i="8"/>
  <c r="AT61" i="8"/>
  <c r="AU61" i="8"/>
  <c r="AV61" i="8"/>
  <c r="AW61" i="8"/>
  <c r="AX61" i="8"/>
  <c r="AY61" i="8"/>
  <c r="AZ61" i="8"/>
  <c r="BA61" i="8"/>
  <c r="BB61" i="8"/>
  <c r="BD61" i="8"/>
  <c r="A62" i="8"/>
  <c r="B62" i="8"/>
  <c r="C62" i="8"/>
  <c r="D62" i="8"/>
  <c r="E62" i="8"/>
  <c r="F62" i="8"/>
  <c r="G62" i="8"/>
  <c r="H62" i="8"/>
  <c r="I62" i="8"/>
  <c r="J62" i="8"/>
  <c r="L62" i="8"/>
  <c r="M62" i="8"/>
  <c r="N62" i="8"/>
  <c r="O62" i="8"/>
  <c r="P62" i="8"/>
  <c r="Q62" i="8"/>
  <c r="R62" i="8"/>
  <c r="S62" i="8"/>
  <c r="T62" i="8"/>
  <c r="V62" i="8"/>
  <c r="W62" i="8"/>
  <c r="X62" i="8"/>
  <c r="Y62" i="8"/>
  <c r="Z62" i="8"/>
  <c r="AA62" i="8"/>
  <c r="AC62" i="8"/>
  <c r="AD62" i="8"/>
  <c r="AE62" i="8"/>
  <c r="AF62" i="8"/>
  <c r="AG62" i="8"/>
  <c r="AH62" i="8"/>
  <c r="AI62" i="8"/>
  <c r="AJ62" i="8"/>
  <c r="AK62" i="8"/>
  <c r="AM62" i="8"/>
  <c r="AN62" i="8"/>
  <c r="AO62" i="8"/>
  <c r="AP62" i="8"/>
  <c r="AQ62" i="8"/>
  <c r="AR62" i="8"/>
  <c r="AT62" i="8"/>
  <c r="AU62" i="8"/>
  <c r="AV62" i="8"/>
  <c r="AW62" i="8"/>
  <c r="AX62" i="8"/>
  <c r="AY62" i="8"/>
  <c r="AZ62" i="8"/>
  <c r="BA62" i="8"/>
  <c r="BB62" i="8"/>
  <c r="BD62" i="8"/>
  <c r="A63" i="8"/>
  <c r="B63" i="8"/>
  <c r="C63" i="8"/>
  <c r="D63" i="8"/>
  <c r="E63" i="8"/>
  <c r="F63" i="8"/>
  <c r="G63" i="8"/>
  <c r="H63" i="8"/>
  <c r="I63" i="8"/>
  <c r="J63" i="8"/>
  <c r="L63" i="8"/>
  <c r="M63" i="8"/>
  <c r="N63" i="8"/>
  <c r="O63" i="8"/>
  <c r="P63" i="8"/>
  <c r="Q63" i="8"/>
  <c r="R63" i="8"/>
  <c r="S63" i="8"/>
  <c r="T63" i="8"/>
  <c r="V63" i="8"/>
  <c r="W63" i="8"/>
  <c r="X63" i="8"/>
  <c r="Y63" i="8"/>
  <c r="Z63" i="8"/>
  <c r="AA63" i="8"/>
  <c r="AC63" i="8"/>
  <c r="AD63" i="8"/>
  <c r="AE63" i="8"/>
  <c r="AF63" i="8"/>
  <c r="AG63" i="8"/>
  <c r="AH63" i="8"/>
  <c r="AI63" i="8"/>
  <c r="AJ63" i="8"/>
  <c r="AK63" i="8"/>
  <c r="AM63" i="8"/>
  <c r="AN63" i="8"/>
  <c r="AO63" i="8"/>
  <c r="AP63" i="8"/>
  <c r="AQ63" i="8"/>
  <c r="AR63" i="8"/>
  <c r="AT63" i="8"/>
  <c r="AU63" i="8"/>
  <c r="AV63" i="8"/>
  <c r="AW63" i="8"/>
  <c r="AX63" i="8"/>
  <c r="AY63" i="8"/>
  <c r="AZ63" i="8"/>
  <c r="BA63" i="8"/>
  <c r="BB63" i="8"/>
  <c r="BD63" i="8"/>
  <c r="A64" i="8"/>
  <c r="B64" i="8"/>
  <c r="C64" i="8"/>
  <c r="D64" i="8"/>
  <c r="E64" i="8"/>
  <c r="F64" i="8"/>
  <c r="G64" i="8"/>
  <c r="H64" i="8"/>
  <c r="I64" i="8"/>
  <c r="J64" i="8"/>
  <c r="L64" i="8"/>
  <c r="M64" i="8"/>
  <c r="N64" i="8"/>
  <c r="O64" i="8"/>
  <c r="P64" i="8"/>
  <c r="Q64" i="8"/>
  <c r="R64" i="8"/>
  <c r="S64" i="8"/>
  <c r="T64" i="8"/>
  <c r="V64" i="8"/>
  <c r="W64" i="8"/>
  <c r="X64" i="8"/>
  <c r="Y64" i="8"/>
  <c r="Z64" i="8"/>
  <c r="AA64" i="8"/>
  <c r="AC64" i="8"/>
  <c r="AD64" i="8"/>
  <c r="AE64" i="8"/>
  <c r="AF64" i="8"/>
  <c r="AG64" i="8"/>
  <c r="AH64" i="8"/>
  <c r="AI64" i="8"/>
  <c r="AJ64" i="8"/>
  <c r="AK64" i="8"/>
  <c r="AM64" i="8"/>
  <c r="AN64" i="8"/>
  <c r="AO64" i="8"/>
  <c r="AP64" i="8"/>
  <c r="AQ64" i="8"/>
  <c r="AR64" i="8"/>
  <c r="AT64" i="8"/>
  <c r="AU64" i="8"/>
  <c r="AV64" i="8"/>
  <c r="AW64" i="8"/>
  <c r="AX64" i="8"/>
  <c r="AY64" i="8"/>
  <c r="AZ64" i="8"/>
  <c r="BA64" i="8"/>
  <c r="BB64" i="8"/>
  <c r="BD64" i="8"/>
  <c r="A65" i="8"/>
  <c r="B65" i="8"/>
  <c r="C65" i="8"/>
  <c r="D65" i="8"/>
  <c r="E65" i="8"/>
  <c r="F65" i="8"/>
  <c r="G65" i="8"/>
  <c r="H65" i="8"/>
  <c r="I65" i="8"/>
  <c r="J65" i="8"/>
  <c r="L65" i="8"/>
  <c r="M65" i="8"/>
  <c r="N65" i="8"/>
  <c r="O65" i="8"/>
  <c r="P65" i="8"/>
  <c r="Q65" i="8"/>
  <c r="R65" i="8"/>
  <c r="S65" i="8"/>
  <c r="T65" i="8"/>
  <c r="V65" i="8"/>
  <c r="W65" i="8"/>
  <c r="X65" i="8"/>
  <c r="Y65" i="8"/>
  <c r="Z65" i="8"/>
  <c r="AA65" i="8"/>
  <c r="AC65" i="8"/>
  <c r="AD65" i="8"/>
  <c r="AE65" i="8"/>
  <c r="AF65" i="8"/>
  <c r="AG65" i="8"/>
  <c r="AH65" i="8"/>
  <c r="AI65" i="8"/>
  <c r="AJ65" i="8"/>
  <c r="AK65" i="8"/>
  <c r="AM65" i="8"/>
  <c r="AN65" i="8"/>
  <c r="AO65" i="8"/>
  <c r="AP65" i="8"/>
  <c r="AQ65" i="8"/>
  <c r="AR65" i="8"/>
  <c r="AT65" i="8"/>
  <c r="AU65" i="8"/>
  <c r="AV65" i="8"/>
  <c r="AW65" i="8"/>
  <c r="AX65" i="8"/>
  <c r="AY65" i="8"/>
  <c r="AZ65" i="8"/>
  <c r="BA65" i="8"/>
  <c r="BB65" i="8"/>
  <c r="BD65" i="8"/>
  <c r="A66" i="8"/>
  <c r="B66" i="8"/>
  <c r="C66" i="8"/>
  <c r="D66" i="8"/>
  <c r="E66" i="8"/>
  <c r="F66" i="8"/>
  <c r="G66" i="8"/>
  <c r="H66" i="8"/>
  <c r="I66" i="8"/>
  <c r="J66" i="8"/>
  <c r="L66" i="8"/>
  <c r="M66" i="8"/>
  <c r="N66" i="8"/>
  <c r="O66" i="8"/>
  <c r="P66" i="8"/>
  <c r="Q66" i="8"/>
  <c r="R66" i="8"/>
  <c r="S66" i="8"/>
  <c r="T66" i="8"/>
  <c r="V66" i="8"/>
  <c r="W66" i="8"/>
  <c r="X66" i="8"/>
  <c r="Y66" i="8"/>
  <c r="Z66" i="8"/>
  <c r="AA66" i="8"/>
  <c r="AC66" i="8"/>
  <c r="AD66" i="8"/>
  <c r="AE66" i="8"/>
  <c r="AF66" i="8"/>
  <c r="AG66" i="8"/>
  <c r="AH66" i="8"/>
  <c r="AI66" i="8"/>
  <c r="AJ66" i="8"/>
  <c r="AK66" i="8"/>
  <c r="AM66" i="8"/>
  <c r="AN66" i="8"/>
  <c r="AO66" i="8"/>
  <c r="AP66" i="8"/>
  <c r="AQ66" i="8"/>
  <c r="AR66" i="8"/>
  <c r="AT66" i="8"/>
  <c r="AU66" i="8"/>
  <c r="AV66" i="8"/>
  <c r="AW66" i="8"/>
  <c r="AX66" i="8"/>
  <c r="AY66" i="8"/>
  <c r="AZ66" i="8"/>
  <c r="BA66" i="8"/>
  <c r="BB66" i="8"/>
  <c r="BD66" i="8"/>
  <c r="A67" i="8"/>
  <c r="B67" i="8"/>
  <c r="C67" i="8"/>
  <c r="D67" i="8"/>
  <c r="E67" i="8"/>
  <c r="F67" i="8"/>
  <c r="G67" i="8"/>
  <c r="H67" i="8"/>
  <c r="I67" i="8"/>
  <c r="J67" i="8"/>
  <c r="L67" i="8"/>
  <c r="M67" i="8"/>
  <c r="N67" i="8"/>
  <c r="O67" i="8"/>
  <c r="P67" i="8"/>
  <c r="Q67" i="8"/>
  <c r="R67" i="8"/>
  <c r="S67" i="8"/>
  <c r="T67" i="8"/>
  <c r="V67" i="8"/>
  <c r="W67" i="8"/>
  <c r="X67" i="8"/>
  <c r="Y67" i="8"/>
  <c r="Z67" i="8"/>
  <c r="AA67" i="8"/>
  <c r="AC67" i="8"/>
  <c r="AD67" i="8"/>
  <c r="AE67" i="8"/>
  <c r="AF67" i="8"/>
  <c r="AG67" i="8"/>
  <c r="AH67" i="8"/>
  <c r="AI67" i="8"/>
  <c r="AJ67" i="8"/>
  <c r="AK67" i="8"/>
  <c r="AM67" i="8"/>
  <c r="AN67" i="8"/>
  <c r="AO67" i="8"/>
  <c r="AP67" i="8"/>
  <c r="AQ67" i="8"/>
  <c r="AR67" i="8"/>
  <c r="AT67" i="8"/>
  <c r="AU67" i="8"/>
  <c r="AV67" i="8"/>
  <c r="AW67" i="8"/>
  <c r="AX67" i="8"/>
  <c r="AY67" i="8"/>
  <c r="AZ67" i="8"/>
  <c r="BA67" i="8"/>
  <c r="BB67" i="8"/>
  <c r="BD67" i="8"/>
  <c r="A68" i="8"/>
  <c r="B68" i="8"/>
  <c r="C68" i="8"/>
  <c r="D68" i="8"/>
  <c r="E68" i="8"/>
  <c r="F68" i="8"/>
  <c r="G68" i="8"/>
  <c r="H68" i="8"/>
  <c r="I68" i="8"/>
  <c r="J68" i="8"/>
  <c r="L68" i="8"/>
  <c r="M68" i="8"/>
  <c r="N68" i="8"/>
  <c r="O68" i="8"/>
  <c r="P68" i="8"/>
  <c r="Q68" i="8"/>
  <c r="R68" i="8"/>
  <c r="S68" i="8"/>
  <c r="T68" i="8"/>
  <c r="V68" i="8"/>
  <c r="W68" i="8"/>
  <c r="X68" i="8"/>
  <c r="Y68" i="8"/>
  <c r="Z68" i="8"/>
  <c r="AA68" i="8"/>
  <c r="AC68" i="8"/>
  <c r="AD68" i="8"/>
  <c r="AE68" i="8"/>
  <c r="AF68" i="8"/>
  <c r="AG68" i="8"/>
  <c r="AH68" i="8"/>
  <c r="AI68" i="8"/>
  <c r="AJ68" i="8"/>
  <c r="AK68" i="8"/>
  <c r="AM68" i="8"/>
  <c r="AN68" i="8"/>
  <c r="AO68" i="8"/>
  <c r="AP68" i="8"/>
  <c r="AQ68" i="8"/>
  <c r="AR68" i="8"/>
  <c r="AT68" i="8"/>
  <c r="AU68" i="8"/>
  <c r="AV68" i="8"/>
  <c r="AW68" i="8"/>
  <c r="AX68" i="8"/>
  <c r="AY68" i="8"/>
  <c r="AZ68" i="8"/>
  <c r="BA68" i="8"/>
  <c r="BB68" i="8"/>
  <c r="BD68" i="8"/>
  <c r="A69" i="8"/>
  <c r="B69" i="8"/>
  <c r="C69" i="8"/>
  <c r="D69" i="8"/>
  <c r="E69" i="8"/>
  <c r="F69" i="8"/>
  <c r="G69" i="8"/>
  <c r="H69" i="8"/>
  <c r="I69" i="8"/>
  <c r="J69" i="8"/>
  <c r="L69" i="8"/>
  <c r="M69" i="8"/>
  <c r="N69" i="8"/>
  <c r="O69" i="8"/>
  <c r="P69" i="8"/>
  <c r="Q69" i="8"/>
  <c r="R69" i="8"/>
  <c r="S69" i="8"/>
  <c r="T69" i="8"/>
  <c r="V69" i="8"/>
  <c r="W69" i="8"/>
  <c r="X69" i="8"/>
  <c r="Y69" i="8"/>
  <c r="Z69" i="8"/>
  <c r="AA69" i="8"/>
  <c r="AC69" i="8"/>
  <c r="AD69" i="8"/>
  <c r="AE69" i="8"/>
  <c r="AF69" i="8"/>
  <c r="AG69" i="8"/>
  <c r="AH69" i="8"/>
  <c r="AI69" i="8"/>
  <c r="AJ69" i="8"/>
  <c r="AK69" i="8"/>
  <c r="AM69" i="8"/>
  <c r="AN69" i="8"/>
  <c r="AO69" i="8"/>
  <c r="AP69" i="8"/>
  <c r="AQ69" i="8"/>
  <c r="AR69" i="8"/>
  <c r="AT69" i="8"/>
  <c r="AU69" i="8"/>
  <c r="AV69" i="8"/>
  <c r="AW69" i="8"/>
  <c r="AX69" i="8"/>
  <c r="AY69" i="8"/>
  <c r="AZ69" i="8"/>
  <c r="BA69" i="8"/>
  <c r="BB69" i="8"/>
  <c r="BD69" i="8"/>
  <c r="A70" i="8"/>
  <c r="B70" i="8"/>
  <c r="C70" i="8"/>
  <c r="D70" i="8"/>
  <c r="E70" i="8"/>
  <c r="F70" i="8"/>
  <c r="G70" i="8"/>
  <c r="H70" i="8"/>
  <c r="I70" i="8"/>
  <c r="J70" i="8"/>
  <c r="L70" i="8"/>
  <c r="M70" i="8"/>
  <c r="N70" i="8"/>
  <c r="O70" i="8"/>
  <c r="P70" i="8"/>
  <c r="Q70" i="8"/>
  <c r="R70" i="8"/>
  <c r="S70" i="8"/>
  <c r="T70" i="8"/>
  <c r="V70" i="8"/>
  <c r="W70" i="8"/>
  <c r="X70" i="8"/>
  <c r="Y70" i="8"/>
  <c r="Z70" i="8"/>
  <c r="AA70" i="8"/>
  <c r="AC70" i="8"/>
  <c r="AD70" i="8"/>
  <c r="AE70" i="8"/>
  <c r="AF70" i="8"/>
  <c r="AG70" i="8"/>
  <c r="AH70" i="8"/>
  <c r="AI70" i="8"/>
  <c r="AJ70" i="8"/>
  <c r="AK70" i="8"/>
  <c r="AM70" i="8"/>
  <c r="AN70" i="8"/>
  <c r="AO70" i="8"/>
  <c r="AP70" i="8"/>
  <c r="AQ70" i="8"/>
  <c r="AR70" i="8"/>
  <c r="AT70" i="8"/>
  <c r="AU70" i="8"/>
  <c r="AV70" i="8"/>
  <c r="AW70" i="8"/>
  <c r="AX70" i="8"/>
  <c r="AY70" i="8"/>
  <c r="AZ70" i="8"/>
  <c r="BA70" i="8"/>
  <c r="BB70" i="8"/>
  <c r="BD70" i="8"/>
  <c r="A71" i="8"/>
  <c r="B71" i="8"/>
  <c r="C71" i="8"/>
  <c r="D71" i="8"/>
  <c r="E71" i="8"/>
  <c r="F71" i="8"/>
  <c r="G71" i="8"/>
  <c r="H71" i="8"/>
  <c r="I71" i="8"/>
  <c r="J71" i="8"/>
  <c r="L71" i="8"/>
  <c r="M71" i="8"/>
  <c r="N71" i="8"/>
  <c r="O71" i="8"/>
  <c r="P71" i="8"/>
  <c r="Q71" i="8"/>
  <c r="R71" i="8"/>
  <c r="S71" i="8"/>
  <c r="T71" i="8"/>
  <c r="V71" i="8"/>
  <c r="W71" i="8"/>
  <c r="X71" i="8"/>
  <c r="Y71" i="8"/>
  <c r="Z71" i="8"/>
  <c r="AA71" i="8"/>
  <c r="AC71" i="8"/>
  <c r="AD71" i="8"/>
  <c r="AE71" i="8"/>
  <c r="AF71" i="8"/>
  <c r="AG71" i="8"/>
  <c r="AH71" i="8"/>
  <c r="AI71" i="8"/>
  <c r="AJ71" i="8"/>
  <c r="AK71" i="8"/>
  <c r="AM71" i="8"/>
  <c r="AN71" i="8"/>
  <c r="AO71" i="8"/>
  <c r="AP71" i="8"/>
  <c r="AQ71" i="8"/>
  <c r="AR71" i="8"/>
  <c r="AT71" i="8"/>
  <c r="AU71" i="8"/>
  <c r="AV71" i="8"/>
  <c r="AW71" i="8"/>
  <c r="AX71" i="8"/>
  <c r="AY71" i="8"/>
  <c r="AZ71" i="8"/>
  <c r="BA71" i="8"/>
  <c r="BB71" i="8"/>
  <c r="BD71" i="8"/>
  <c r="A72" i="8"/>
  <c r="B72" i="8"/>
  <c r="C72" i="8"/>
  <c r="D72" i="8"/>
  <c r="E72" i="8"/>
  <c r="F72" i="8"/>
  <c r="G72" i="8"/>
  <c r="H72" i="8"/>
  <c r="I72" i="8"/>
  <c r="J72" i="8"/>
  <c r="L72" i="8"/>
  <c r="M72" i="8"/>
  <c r="N72" i="8"/>
  <c r="O72" i="8"/>
  <c r="P72" i="8"/>
  <c r="Q72" i="8"/>
  <c r="R72" i="8"/>
  <c r="S72" i="8"/>
  <c r="T72" i="8"/>
  <c r="V72" i="8"/>
  <c r="W72" i="8"/>
  <c r="X72" i="8"/>
  <c r="Y72" i="8"/>
  <c r="Z72" i="8"/>
  <c r="AA72" i="8"/>
  <c r="AC72" i="8"/>
  <c r="AD72" i="8"/>
  <c r="AE72" i="8"/>
  <c r="AF72" i="8"/>
  <c r="AG72" i="8"/>
  <c r="AH72" i="8"/>
  <c r="AI72" i="8"/>
  <c r="AJ72" i="8"/>
  <c r="AK72" i="8"/>
  <c r="AM72" i="8"/>
  <c r="AN72" i="8"/>
  <c r="AO72" i="8"/>
  <c r="AP72" i="8"/>
  <c r="AQ72" i="8"/>
  <c r="AR72" i="8"/>
  <c r="AT72" i="8"/>
  <c r="AU72" i="8"/>
  <c r="AV72" i="8"/>
  <c r="AW72" i="8"/>
  <c r="AX72" i="8"/>
  <c r="AY72" i="8"/>
  <c r="AZ72" i="8"/>
  <c r="BA72" i="8"/>
  <c r="BB72" i="8"/>
  <c r="BD72" i="8"/>
  <c r="A73" i="8"/>
  <c r="B73" i="8"/>
  <c r="C73" i="8"/>
  <c r="D73" i="8"/>
  <c r="E73" i="8"/>
  <c r="F73" i="8"/>
  <c r="G73" i="8"/>
  <c r="H73" i="8"/>
  <c r="I73" i="8"/>
  <c r="J73" i="8"/>
  <c r="L73" i="8"/>
  <c r="M73" i="8"/>
  <c r="N73" i="8"/>
  <c r="O73" i="8"/>
  <c r="P73" i="8"/>
  <c r="Q73" i="8"/>
  <c r="R73" i="8"/>
  <c r="S73" i="8"/>
  <c r="T73" i="8"/>
  <c r="V73" i="8"/>
  <c r="W73" i="8"/>
  <c r="X73" i="8"/>
  <c r="Y73" i="8"/>
  <c r="Z73" i="8"/>
  <c r="AA73" i="8"/>
  <c r="AC73" i="8"/>
  <c r="AD73" i="8"/>
  <c r="AE73" i="8"/>
  <c r="AF73" i="8"/>
  <c r="AG73" i="8"/>
  <c r="AH73" i="8"/>
  <c r="AI73" i="8"/>
  <c r="AJ73" i="8"/>
  <c r="AK73" i="8"/>
  <c r="AM73" i="8"/>
  <c r="AN73" i="8"/>
  <c r="AO73" i="8"/>
  <c r="AP73" i="8"/>
  <c r="AQ73" i="8"/>
  <c r="AR73" i="8"/>
  <c r="AT73" i="8"/>
  <c r="AU73" i="8"/>
  <c r="AV73" i="8"/>
  <c r="AW73" i="8"/>
  <c r="AX73" i="8"/>
  <c r="AY73" i="8"/>
  <c r="AZ73" i="8"/>
  <c r="BA73" i="8"/>
  <c r="BB73" i="8"/>
  <c r="BD73" i="8"/>
  <c r="A74" i="8"/>
  <c r="B74" i="8"/>
  <c r="C74" i="8"/>
  <c r="D74" i="8"/>
  <c r="E74" i="8"/>
  <c r="F74" i="8"/>
  <c r="G74" i="8"/>
  <c r="H74" i="8"/>
  <c r="I74" i="8"/>
  <c r="J74" i="8"/>
  <c r="L74" i="8"/>
  <c r="M74" i="8"/>
  <c r="N74" i="8"/>
  <c r="O74" i="8"/>
  <c r="P74" i="8"/>
  <c r="Q74" i="8"/>
  <c r="R74" i="8"/>
  <c r="S74" i="8"/>
  <c r="T74" i="8"/>
  <c r="V74" i="8"/>
  <c r="W74" i="8"/>
  <c r="X74" i="8"/>
  <c r="Y74" i="8"/>
  <c r="Z74" i="8"/>
  <c r="AA74" i="8"/>
  <c r="AC74" i="8"/>
  <c r="AD74" i="8"/>
  <c r="AE74" i="8"/>
  <c r="AF74" i="8"/>
  <c r="AG74" i="8"/>
  <c r="AH74" i="8"/>
  <c r="AI74" i="8"/>
  <c r="AJ74" i="8"/>
  <c r="AK74" i="8"/>
  <c r="AM74" i="8"/>
  <c r="AN74" i="8"/>
  <c r="AO74" i="8"/>
  <c r="AP74" i="8"/>
  <c r="AQ74" i="8"/>
  <c r="AR74" i="8"/>
  <c r="AT74" i="8"/>
  <c r="AU74" i="8"/>
  <c r="AV74" i="8"/>
  <c r="AW74" i="8"/>
  <c r="AX74" i="8"/>
  <c r="AY74" i="8"/>
  <c r="AZ74" i="8"/>
  <c r="BA74" i="8"/>
  <c r="BB74" i="8"/>
  <c r="BD74" i="8"/>
  <c r="A75" i="8"/>
  <c r="B75" i="8"/>
  <c r="C75" i="8"/>
  <c r="D75" i="8"/>
  <c r="E75" i="8"/>
  <c r="F75" i="8"/>
  <c r="G75" i="8"/>
  <c r="H75" i="8"/>
  <c r="I75" i="8"/>
  <c r="J75" i="8"/>
  <c r="L75" i="8"/>
  <c r="M75" i="8"/>
  <c r="N75" i="8"/>
  <c r="O75" i="8"/>
  <c r="P75" i="8"/>
  <c r="Q75" i="8"/>
  <c r="R75" i="8"/>
  <c r="S75" i="8"/>
  <c r="T75" i="8"/>
  <c r="V75" i="8"/>
  <c r="W75" i="8"/>
  <c r="X75" i="8"/>
  <c r="Y75" i="8"/>
  <c r="Z75" i="8"/>
  <c r="AA75" i="8"/>
  <c r="AC75" i="8"/>
  <c r="AD75" i="8"/>
  <c r="AE75" i="8"/>
  <c r="AF75" i="8"/>
  <c r="AG75" i="8"/>
  <c r="AH75" i="8"/>
  <c r="AI75" i="8"/>
  <c r="AJ75" i="8"/>
  <c r="AK75" i="8"/>
  <c r="AM75" i="8"/>
  <c r="AN75" i="8"/>
  <c r="AO75" i="8"/>
  <c r="AP75" i="8"/>
  <c r="AQ75" i="8"/>
  <c r="AR75" i="8"/>
  <c r="AT75" i="8"/>
  <c r="AU75" i="8"/>
  <c r="AV75" i="8"/>
  <c r="AW75" i="8"/>
  <c r="AX75" i="8"/>
  <c r="AY75" i="8"/>
  <c r="AZ75" i="8"/>
  <c r="BA75" i="8"/>
  <c r="BB75" i="8"/>
  <c r="BD75" i="8"/>
  <c r="A76" i="8"/>
  <c r="B76" i="8"/>
  <c r="C76" i="8"/>
  <c r="D76" i="8"/>
  <c r="E76" i="8"/>
  <c r="F76" i="8"/>
  <c r="G76" i="8"/>
  <c r="H76" i="8"/>
  <c r="I76" i="8"/>
  <c r="J76" i="8"/>
  <c r="L76" i="8"/>
  <c r="M76" i="8"/>
  <c r="N76" i="8"/>
  <c r="O76" i="8"/>
  <c r="P76" i="8"/>
  <c r="Q76" i="8"/>
  <c r="R76" i="8"/>
  <c r="S76" i="8"/>
  <c r="T76" i="8"/>
  <c r="V76" i="8"/>
  <c r="W76" i="8"/>
  <c r="X76" i="8"/>
  <c r="Y76" i="8"/>
  <c r="Z76" i="8"/>
  <c r="AA76" i="8"/>
  <c r="AC76" i="8"/>
  <c r="AD76" i="8"/>
  <c r="AE76" i="8"/>
  <c r="AF76" i="8"/>
  <c r="AG76" i="8"/>
  <c r="AH76" i="8"/>
  <c r="AI76" i="8"/>
  <c r="AJ76" i="8"/>
  <c r="AK76" i="8"/>
  <c r="AM76" i="8"/>
  <c r="AN76" i="8"/>
  <c r="AO76" i="8"/>
  <c r="AP76" i="8"/>
  <c r="AQ76" i="8"/>
  <c r="AR76" i="8"/>
  <c r="AT76" i="8"/>
  <c r="AU76" i="8"/>
  <c r="AV76" i="8"/>
  <c r="AW76" i="8"/>
  <c r="AX76" i="8"/>
  <c r="AY76" i="8"/>
  <c r="AZ76" i="8"/>
  <c r="BA76" i="8"/>
  <c r="BB76" i="8"/>
  <c r="BD76" i="8"/>
  <c r="A77" i="8"/>
  <c r="B77" i="8"/>
  <c r="C77" i="8"/>
  <c r="D77" i="8"/>
  <c r="E77" i="8"/>
  <c r="F77" i="8"/>
  <c r="G77" i="8"/>
  <c r="H77" i="8"/>
  <c r="I77" i="8"/>
  <c r="J77" i="8"/>
  <c r="L77" i="8"/>
  <c r="M77" i="8"/>
  <c r="N77" i="8"/>
  <c r="O77" i="8"/>
  <c r="P77" i="8"/>
  <c r="Q77" i="8"/>
  <c r="R77" i="8"/>
  <c r="S77" i="8"/>
  <c r="T77" i="8"/>
  <c r="V77" i="8"/>
  <c r="W77" i="8"/>
  <c r="X77" i="8"/>
  <c r="Y77" i="8"/>
  <c r="Z77" i="8"/>
  <c r="AA77" i="8"/>
  <c r="AC77" i="8"/>
  <c r="AD77" i="8"/>
  <c r="AE77" i="8"/>
  <c r="AF77" i="8"/>
  <c r="AG77" i="8"/>
  <c r="AH77" i="8"/>
  <c r="AI77" i="8"/>
  <c r="AJ77" i="8"/>
  <c r="AK77" i="8"/>
  <c r="AM77" i="8"/>
  <c r="AN77" i="8"/>
  <c r="AO77" i="8"/>
  <c r="AP77" i="8"/>
  <c r="AQ77" i="8"/>
  <c r="AR77" i="8"/>
  <c r="AT77" i="8"/>
  <c r="AU77" i="8"/>
  <c r="AV77" i="8"/>
  <c r="AW77" i="8"/>
  <c r="AX77" i="8"/>
  <c r="AY77" i="8"/>
  <c r="AZ77" i="8"/>
  <c r="BA77" i="8"/>
  <c r="BB77" i="8"/>
  <c r="BD77" i="8"/>
  <c r="A78" i="8"/>
  <c r="B78" i="8"/>
  <c r="C78" i="8"/>
  <c r="D78" i="8"/>
  <c r="E78" i="8"/>
  <c r="F78" i="8"/>
  <c r="G78" i="8"/>
  <c r="H78" i="8"/>
  <c r="I78" i="8"/>
  <c r="J78" i="8"/>
  <c r="L78" i="8"/>
  <c r="M78" i="8"/>
  <c r="N78" i="8"/>
  <c r="O78" i="8"/>
  <c r="P78" i="8"/>
  <c r="Q78" i="8"/>
  <c r="R78" i="8"/>
  <c r="S78" i="8"/>
  <c r="T78" i="8"/>
  <c r="V78" i="8"/>
  <c r="W78" i="8"/>
  <c r="X78" i="8"/>
  <c r="Y78" i="8"/>
  <c r="Z78" i="8"/>
  <c r="AA78" i="8"/>
  <c r="AC78" i="8"/>
  <c r="AD78" i="8"/>
  <c r="AE78" i="8"/>
  <c r="AF78" i="8"/>
  <c r="AG78" i="8"/>
  <c r="AH78" i="8"/>
  <c r="AI78" i="8"/>
  <c r="AJ78" i="8"/>
  <c r="AK78" i="8"/>
  <c r="AM78" i="8"/>
  <c r="AN78" i="8"/>
  <c r="AO78" i="8"/>
  <c r="AP78" i="8"/>
  <c r="AQ78" i="8"/>
  <c r="AR78" i="8"/>
  <c r="AT78" i="8"/>
  <c r="AU78" i="8"/>
  <c r="AV78" i="8"/>
  <c r="AW78" i="8"/>
  <c r="AX78" i="8"/>
  <c r="AY78" i="8"/>
  <c r="AZ78" i="8"/>
  <c r="BA78" i="8"/>
  <c r="BB78" i="8"/>
  <c r="BD78" i="8"/>
  <c r="A79" i="8"/>
  <c r="B79" i="8"/>
  <c r="C79" i="8"/>
  <c r="D79" i="8"/>
  <c r="E79" i="8"/>
  <c r="F79" i="8"/>
  <c r="G79" i="8"/>
  <c r="H79" i="8"/>
  <c r="I79" i="8"/>
  <c r="J79" i="8"/>
  <c r="L79" i="8"/>
  <c r="M79" i="8"/>
  <c r="N79" i="8"/>
  <c r="O79" i="8"/>
  <c r="P79" i="8"/>
  <c r="Q79" i="8"/>
  <c r="R79" i="8"/>
  <c r="S79" i="8"/>
  <c r="T79" i="8"/>
  <c r="V79" i="8"/>
  <c r="W79" i="8"/>
  <c r="X79" i="8"/>
  <c r="Y79" i="8"/>
  <c r="Z79" i="8"/>
  <c r="AA79" i="8"/>
  <c r="AC79" i="8"/>
  <c r="AD79" i="8"/>
  <c r="AE79" i="8"/>
  <c r="AF79" i="8"/>
  <c r="AG79" i="8"/>
  <c r="AH79" i="8"/>
  <c r="AI79" i="8"/>
  <c r="AJ79" i="8"/>
  <c r="AK79" i="8"/>
  <c r="AM79" i="8"/>
  <c r="AN79" i="8"/>
  <c r="AO79" i="8"/>
  <c r="AP79" i="8"/>
  <c r="AQ79" i="8"/>
  <c r="AR79" i="8"/>
  <c r="AT79" i="8"/>
  <c r="AU79" i="8"/>
  <c r="AV79" i="8"/>
  <c r="AW79" i="8"/>
  <c r="AX79" i="8"/>
  <c r="AY79" i="8"/>
  <c r="AZ79" i="8"/>
  <c r="BA79" i="8"/>
  <c r="BB79" i="8"/>
  <c r="BD79" i="8"/>
  <c r="A80" i="8"/>
  <c r="B80" i="8"/>
  <c r="C80" i="8"/>
  <c r="D80" i="8"/>
  <c r="E80" i="8"/>
  <c r="F80" i="8"/>
  <c r="G80" i="8"/>
  <c r="H80" i="8"/>
  <c r="I80" i="8"/>
  <c r="J80" i="8"/>
  <c r="L80" i="8"/>
  <c r="M80" i="8"/>
  <c r="N80" i="8"/>
  <c r="O80" i="8"/>
  <c r="P80" i="8"/>
  <c r="Q80" i="8"/>
  <c r="R80" i="8"/>
  <c r="S80" i="8"/>
  <c r="T80" i="8"/>
  <c r="V80" i="8"/>
  <c r="W80" i="8"/>
  <c r="X80" i="8"/>
  <c r="Y80" i="8"/>
  <c r="Z80" i="8"/>
  <c r="AA80" i="8"/>
  <c r="AC80" i="8"/>
  <c r="AD80" i="8"/>
  <c r="AE80" i="8"/>
  <c r="AF80" i="8"/>
  <c r="AG80" i="8"/>
  <c r="AH80" i="8"/>
  <c r="AI80" i="8"/>
  <c r="AJ80" i="8"/>
  <c r="AK80" i="8"/>
  <c r="AM80" i="8"/>
  <c r="AN80" i="8"/>
  <c r="AO80" i="8"/>
  <c r="AP80" i="8"/>
  <c r="AQ80" i="8"/>
  <c r="AR80" i="8"/>
  <c r="AT80" i="8"/>
  <c r="AU80" i="8"/>
  <c r="AV80" i="8"/>
  <c r="AW80" i="8"/>
  <c r="AX80" i="8"/>
  <c r="AY80" i="8"/>
  <c r="AZ80" i="8"/>
  <c r="BA80" i="8"/>
  <c r="BB80" i="8"/>
  <c r="BD80" i="8"/>
  <c r="A81" i="8"/>
  <c r="B81" i="8"/>
  <c r="C81" i="8"/>
  <c r="D81" i="8"/>
  <c r="E81" i="8"/>
  <c r="F81" i="8"/>
  <c r="G81" i="8"/>
  <c r="H81" i="8"/>
  <c r="I81" i="8"/>
  <c r="J81" i="8"/>
  <c r="L81" i="8"/>
  <c r="M81" i="8"/>
  <c r="N81" i="8"/>
  <c r="O81" i="8"/>
  <c r="P81" i="8"/>
  <c r="Q81" i="8"/>
  <c r="R81" i="8"/>
  <c r="S81" i="8"/>
  <c r="T81" i="8"/>
  <c r="V81" i="8"/>
  <c r="W81" i="8"/>
  <c r="X81" i="8"/>
  <c r="Y81" i="8"/>
  <c r="Z81" i="8"/>
  <c r="AA81" i="8"/>
  <c r="AC81" i="8"/>
  <c r="AD81" i="8"/>
  <c r="AE81" i="8"/>
  <c r="AF81" i="8"/>
  <c r="AG81" i="8"/>
  <c r="AH81" i="8"/>
  <c r="AI81" i="8"/>
  <c r="AJ81" i="8"/>
  <c r="AK81" i="8"/>
  <c r="AM81" i="8"/>
  <c r="AN81" i="8"/>
  <c r="AO81" i="8"/>
  <c r="AP81" i="8"/>
  <c r="AQ81" i="8"/>
  <c r="AR81" i="8"/>
  <c r="AT81" i="8"/>
  <c r="AU81" i="8"/>
  <c r="AV81" i="8"/>
  <c r="AW81" i="8"/>
  <c r="AX81" i="8"/>
  <c r="AY81" i="8"/>
  <c r="AZ81" i="8"/>
  <c r="BA81" i="8"/>
  <c r="BB81" i="8"/>
  <c r="BD81" i="8"/>
  <c r="A82" i="8"/>
  <c r="B82" i="8"/>
  <c r="C82" i="8"/>
  <c r="D82" i="8"/>
  <c r="E82" i="8"/>
  <c r="F82" i="8"/>
  <c r="G82" i="8"/>
  <c r="H82" i="8"/>
  <c r="I82" i="8"/>
  <c r="J82" i="8"/>
  <c r="L82" i="8"/>
  <c r="M82" i="8"/>
  <c r="N82" i="8"/>
  <c r="O82" i="8"/>
  <c r="P82" i="8"/>
  <c r="Q82" i="8"/>
  <c r="R82" i="8"/>
  <c r="S82" i="8"/>
  <c r="T82" i="8"/>
  <c r="V82" i="8"/>
  <c r="W82" i="8"/>
  <c r="X82" i="8"/>
  <c r="Y82" i="8"/>
  <c r="Z82" i="8"/>
  <c r="AA82" i="8"/>
  <c r="AC82" i="8"/>
  <c r="AD82" i="8"/>
  <c r="AE82" i="8"/>
  <c r="AF82" i="8"/>
  <c r="AG82" i="8"/>
  <c r="AH82" i="8"/>
  <c r="AI82" i="8"/>
  <c r="AJ82" i="8"/>
  <c r="AK82" i="8"/>
  <c r="AM82" i="8"/>
  <c r="AN82" i="8"/>
  <c r="AO82" i="8"/>
  <c r="AP82" i="8"/>
  <c r="AQ82" i="8"/>
  <c r="AR82" i="8"/>
  <c r="AT82" i="8"/>
  <c r="AU82" i="8"/>
  <c r="AV82" i="8"/>
  <c r="AW82" i="8"/>
  <c r="AX82" i="8"/>
  <c r="AY82" i="8"/>
  <c r="AZ82" i="8"/>
  <c r="BA82" i="8"/>
  <c r="BB82" i="8"/>
  <c r="BD82" i="8"/>
  <c r="A83" i="8"/>
  <c r="B83" i="8"/>
  <c r="C83" i="8"/>
  <c r="D83" i="8"/>
  <c r="E83" i="8"/>
  <c r="F83" i="8"/>
  <c r="G83" i="8"/>
  <c r="H83" i="8"/>
  <c r="I83" i="8"/>
  <c r="J83" i="8"/>
  <c r="L83" i="8"/>
  <c r="M83" i="8"/>
  <c r="N83" i="8"/>
  <c r="O83" i="8"/>
  <c r="P83" i="8"/>
  <c r="Q83" i="8"/>
  <c r="R83" i="8"/>
  <c r="S83" i="8"/>
  <c r="T83" i="8"/>
  <c r="V83" i="8"/>
  <c r="W83" i="8"/>
  <c r="X83" i="8"/>
  <c r="Y83" i="8"/>
  <c r="Z83" i="8"/>
  <c r="AA83" i="8"/>
  <c r="AC83" i="8"/>
  <c r="AD83" i="8"/>
  <c r="AE83" i="8"/>
  <c r="AF83" i="8"/>
  <c r="AG83" i="8"/>
  <c r="AH83" i="8"/>
  <c r="AI83" i="8"/>
  <c r="AJ83" i="8"/>
  <c r="AK83" i="8"/>
  <c r="AM83" i="8"/>
  <c r="AN83" i="8"/>
  <c r="AO83" i="8"/>
  <c r="AP83" i="8"/>
  <c r="AQ83" i="8"/>
  <c r="AR83" i="8"/>
  <c r="AT83" i="8"/>
  <c r="AU83" i="8"/>
  <c r="AV83" i="8"/>
  <c r="AW83" i="8"/>
  <c r="AX83" i="8"/>
  <c r="AY83" i="8"/>
  <c r="AZ83" i="8"/>
  <c r="BA83" i="8"/>
  <c r="BB83" i="8"/>
  <c r="BD83" i="8"/>
  <c r="A84" i="8"/>
  <c r="B84" i="8"/>
  <c r="C84" i="8"/>
  <c r="D84" i="8"/>
  <c r="E84" i="8"/>
  <c r="F84" i="8"/>
  <c r="G84" i="8"/>
  <c r="H84" i="8"/>
  <c r="I84" i="8"/>
  <c r="J84" i="8"/>
  <c r="L84" i="8"/>
  <c r="M84" i="8"/>
  <c r="N84" i="8"/>
  <c r="O84" i="8"/>
  <c r="P84" i="8"/>
  <c r="Q84" i="8"/>
  <c r="R84" i="8"/>
  <c r="S84" i="8"/>
  <c r="T84" i="8"/>
  <c r="V84" i="8"/>
  <c r="W84" i="8"/>
  <c r="X84" i="8"/>
  <c r="Y84" i="8"/>
  <c r="Z84" i="8"/>
  <c r="AA84" i="8"/>
  <c r="AC84" i="8"/>
  <c r="AD84" i="8"/>
  <c r="AE84" i="8"/>
  <c r="AF84" i="8"/>
  <c r="AG84" i="8"/>
  <c r="AH84" i="8"/>
  <c r="AI84" i="8"/>
  <c r="AJ84" i="8"/>
  <c r="AK84" i="8"/>
  <c r="AM84" i="8"/>
  <c r="AN84" i="8"/>
  <c r="AO84" i="8"/>
  <c r="AP84" i="8"/>
  <c r="AQ84" i="8"/>
  <c r="AR84" i="8"/>
  <c r="AT84" i="8"/>
  <c r="AU84" i="8"/>
  <c r="AV84" i="8"/>
  <c r="AW84" i="8"/>
  <c r="AX84" i="8"/>
  <c r="AY84" i="8"/>
  <c r="AZ84" i="8"/>
  <c r="BA84" i="8"/>
  <c r="BB84" i="8"/>
  <c r="BD84" i="8"/>
  <c r="A85" i="8"/>
  <c r="B85" i="8"/>
  <c r="C85" i="8"/>
  <c r="D85" i="8"/>
  <c r="E85" i="8"/>
  <c r="F85" i="8"/>
  <c r="G85" i="8"/>
  <c r="H85" i="8"/>
  <c r="I85" i="8"/>
  <c r="J85" i="8"/>
  <c r="L85" i="8"/>
  <c r="M85" i="8"/>
  <c r="N85" i="8"/>
  <c r="O85" i="8"/>
  <c r="P85" i="8"/>
  <c r="Q85" i="8"/>
  <c r="R85" i="8"/>
  <c r="S85" i="8"/>
  <c r="T85" i="8"/>
  <c r="V85" i="8"/>
  <c r="W85" i="8"/>
  <c r="X85" i="8"/>
  <c r="Y85" i="8"/>
  <c r="Z85" i="8"/>
  <c r="AA85" i="8"/>
  <c r="AC85" i="8"/>
  <c r="AD85" i="8"/>
  <c r="AE85" i="8"/>
  <c r="AF85" i="8"/>
  <c r="AG85" i="8"/>
  <c r="AH85" i="8"/>
  <c r="AI85" i="8"/>
  <c r="AJ85" i="8"/>
  <c r="AK85" i="8"/>
  <c r="AM85" i="8"/>
  <c r="AN85" i="8"/>
  <c r="AO85" i="8"/>
  <c r="AP85" i="8"/>
  <c r="AQ85" i="8"/>
  <c r="AR85" i="8"/>
  <c r="AT85" i="8"/>
  <c r="AU85" i="8"/>
  <c r="AV85" i="8"/>
  <c r="AW85" i="8"/>
  <c r="AX85" i="8"/>
  <c r="AY85" i="8"/>
  <c r="AZ85" i="8"/>
  <c r="BA85" i="8"/>
  <c r="BB85" i="8"/>
  <c r="BD85" i="8"/>
  <c r="A86" i="8"/>
  <c r="B86" i="8"/>
  <c r="C86" i="8"/>
  <c r="D86" i="8"/>
  <c r="E86" i="8"/>
  <c r="F86" i="8"/>
  <c r="G86" i="8"/>
  <c r="H86" i="8"/>
  <c r="I86" i="8"/>
  <c r="J86" i="8"/>
  <c r="L86" i="8"/>
  <c r="M86" i="8"/>
  <c r="N86" i="8"/>
  <c r="O86" i="8"/>
  <c r="P86" i="8"/>
  <c r="Q86" i="8"/>
  <c r="R86" i="8"/>
  <c r="S86" i="8"/>
  <c r="T86" i="8"/>
  <c r="V86" i="8"/>
  <c r="W86" i="8"/>
  <c r="X86" i="8"/>
  <c r="Y86" i="8"/>
  <c r="Z86" i="8"/>
  <c r="AA86" i="8"/>
  <c r="AC86" i="8"/>
  <c r="AD86" i="8"/>
  <c r="AE86" i="8"/>
  <c r="AF86" i="8"/>
  <c r="AG86" i="8"/>
  <c r="AH86" i="8"/>
  <c r="AI86" i="8"/>
  <c r="AJ86" i="8"/>
  <c r="AK86" i="8"/>
  <c r="AM86" i="8"/>
  <c r="AN86" i="8"/>
  <c r="AO86" i="8"/>
  <c r="AP86" i="8"/>
  <c r="AQ86" i="8"/>
  <c r="AR86" i="8"/>
  <c r="AT86" i="8"/>
  <c r="AU86" i="8"/>
  <c r="AV86" i="8"/>
  <c r="AW86" i="8"/>
  <c r="AX86" i="8"/>
  <c r="AY86" i="8"/>
  <c r="AZ86" i="8"/>
  <c r="BA86" i="8"/>
  <c r="BB86" i="8"/>
  <c r="BD86" i="8"/>
  <c r="A87" i="8"/>
  <c r="B87" i="8"/>
  <c r="C87" i="8"/>
  <c r="D87" i="8"/>
  <c r="E87" i="8"/>
  <c r="F87" i="8"/>
  <c r="G87" i="8"/>
  <c r="H87" i="8"/>
  <c r="I87" i="8"/>
  <c r="J87" i="8"/>
  <c r="L87" i="8"/>
  <c r="M87" i="8"/>
  <c r="N87" i="8"/>
  <c r="O87" i="8"/>
  <c r="P87" i="8"/>
  <c r="Q87" i="8"/>
  <c r="R87" i="8"/>
  <c r="S87" i="8"/>
  <c r="T87" i="8"/>
  <c r="V87" i="8"/>
  <c r="W87" i="8"/>
  <c r="X87" i="8"/>
  <c r="Y87" i="8"/>
  <c r="Z87" i="8"/>
  <c r="AA87" i="8"/>
  <c r="AC87" i="8"/>
  <c r="AD87" i="8"/>
  <c r="AE87" i="8"/>
  <c r="AF87" i="8"/>
  <c r="AG87" i="8"/>
  <c r="AH87" i="8"/>
  <c r="AI87" i="8"/>
  <c r="AJ87" i="8"/>
  <c r="AK87" i="8"/>
  <c r="AM87" i="8"/>
  <c r="AN87" i="8"/>
  <c r="AO87" i="8"/>
  <c r="AP87" i="8"/>
  <c r="AQ87" i="8"/>
  <c r="AR87" i="8"/>
  <c r="AT87" i="8"/>
  <c r="AU87" i="8"/>
  <c r="AV87" i="8"/>
  <c r="AW87" i="8"/>
  <c r="AX87" i="8"/>
  <c r="AY87" i="8"/>
  <c r="AZ87" i="8"/>
  <c r="BA87" i="8"/>
  <c r="BB87" i="8"/>
  <c r="BD87" i="8"/>
  <c r="A88" i="8"/>
  <c r="B88" i="8"/>
  <c r="C88" i="8"/>
  <c r="D88" i="8"/>
  <c r="E88" i="8"/>
  <c r="F88" i="8"/>
  <c r="G88" i="8"/>
  <c r="H88" i="8"/>
  <c r="I88" i="8"/>
  <c r="J88" i="8"/>
  <c r="L88" i="8"/>
  <c r="M88" i="8"/>
  <c r="N88" i="8"/>
  <c r="O88" i="8"/>
  <c r="P88" i="8"/>
  <c r="Q88" i="8"/>
  <c r="R88" i="8"/>
  <c r="S88" i="8"/>
  <c r="T88" i="8"/>
  <c r="V88" i="8"/>
  <c r="W88" i="8"/>
  <c r="X88" i="8"/>
  <c r="Y88" i="8"/>
  <c r="Z88" i="8"/>
  <c r="AA88" i="8"/>
  <c r="AC88" i="8"/>
  <c r="AD88" i="8"/>
  <c r="AE88" i="8"/>
  <c r="AF88" i="8"/>
  <c r="AG88" i="8"/>
  <c r="AH88" i="8"/>
  <c r="AI88" i="8"/>
  <c r="AJ88" i="8"/>
  <c r="AK88" i="8"/>
  <c r="AM88" i="8"/>
  <c r="AN88" i="8"/>
  <c r="AO88" i="8"/>
  <c r="AP88" i="8"/>
  <c r="AQ88" i="8"/>
  <c r="AR88" i="8"/>
  <c r="AT88" i="8"/>
  <c r="AU88" i="8"/>
  <c r="AV88" i="8"/>
  <c r="AW88" i="8"/>
  <c r="AX88" i="8"/>
  <c r="AY88" i="8"/>
  <c r="AZ88" i="8"/>
  <c r="BA88" i="8"/>
  <c r="BB88" i="8"/>
  <c r="BD88" i="8"/>
  <c r="A89" i="8"/>
  <c r="B89" i="8"/>
  <c r="C89" i="8"/>
  <c r="D89" i="8"/>
  <c r="E89" i="8"/>
  <c r="F89" i="8"/>
  <c r="G89" i="8"/>
  <c r="H89" i="8"/>
  <c r="I89" i="8"/>
  <c r="J89" i="8"/>
  <c r="L89" i="8"/>
  <c r="M89" i="8"/>
  <c r="N89" i="8"/>
  <c r="O89" i="8"/>
  <c r="P89" i="8"/>
  <c r="Q89" i="8"/>
  <c r="R89" i="8"/>
  <c r="S89" i="8"/>
  <c r="T89" i="8"/>
  <c r="V89" i="8"/>
  <c r="W89" i="8"/>
  <c r="X89" i="8"/>
  <c r="Y89" i="8"/>
  <c r="Z89" i="8"/>
  <c r="AA89" i="8"/>
  <c r="AC89" i="8"/>
  <c r="AD89" i="8"/>
  <c r="AE89" i="8"/>
  <c r="AF89" i="8"/>
  <c r="AG89" i="8"/>
  <c r="AH89" i="8"/>
  <c r="AI89" i="8"/>
  <c r="AJ89" i="8"/>
  <c r="AK89" i="8"/>
  <c r="AM89" i="8"/>
  <c r="AN89" i="8"/>
  <c r="AO89" i="8"/>
  <c r="AP89" i="8"/>
  <c r="AQ89" i="8"/>
  <c r="AR89" i="8"/>
  <c r="AT89" i="8"/>
  <c r="AU89" i="8"/>
  <c r="AV89" i="8"/>
  <c r="AW89" i="8"/>
  <c r="AX89" i="8"/>
  <c r="AY89" i="8"/>
  <c r="AZ89" i="8"/>
  <c r="BA89" i="8"/>
  <c r="BB89" i="8"/>
  <c r="BD89" i="8"/>
  <c r="A90" i="8"/>
  <c r="B90" i="8"/>
  <c r="C90" i="8"/>
  <c r="D90" i="8"/>
  <c r="E90" i="8"/>
  <c r="F90" i="8"/>
  <c r="G90" i="8"/>
  <c r="H90" i="8"/>
  <c r="I90" i="8"/>
  <c r="J90" i="8"/>
  <c r="L90" i="8"/>
  <c r="M90" i="8"/>
  <c r="N90" i="8"/>
  <c r="O90" i="8"/>
  <c r="P90" i="8"/>
  <c r="Q90" i="8"/>
  <c r="R90" i="8"/>
  <c r="S90" i="8"/>
  <c r="T90" i="8"/>
  <c r="V90" i="8"/>
  <c r="W90" i="8"/>
  <c r="X90" i="8"/>
  <c r="Y90" i="8"/>
  <c r="Z90" i="8"/>
  <c r="AA90" i="8"/>
  <c r="AC90" i="8"/>
  <c r="AD90" i="8"/>
  <c r="AE90" i="8"/>
  <c r="AF90" i="8"/>
  <c r="AG90" i="8"/>
  <c r="AH90" i="8"/>
  <c r="AI90" i="8"/>
  <c r="AJ90" i="8"/>
  <c r="AK90" i="8"/>
  <c r="AM90" i="8"/>
  <c r="AN90" i="8"/>
  <c r="AO90" i="8"/>
  <c r="AP90" i="8"/>
  <c r="AQ90" i="8"/>
  <c r="AR90" i="8"/>
  <c r="AT90" i="8"/>
  <c r="AU90" i="8"/>
  <c r="AV90" i="8"/>
  <c r="AW90" i="8"/>
  <c r="AX90" i="8"/>
  <c r="AY90" i="8"/>
  <c r="AZ90" i="8"/>
  <c r="BA90" i="8"/>
  <c r="BB90" i="8"/>
  <c r="BD90" i="8"/>
  <c r="A91" i="8"/>
  <c r="B91" i="8"/>
  <c r="C91" i="8"/>
  <c r="D91" i="8"/>
  <c r="E91" i="8"/>
  <c r="F91" i="8"/>
  <c r="G91" i="8"/>
  <c r="H91" i="8"/>
  <c r="I91" i="8"/>
  <c r="J91" i="8"/>
  <c r="L91" i="8"/>
  <c r="M91" i="8"/>
  <c r="N91" i="8"/>
  <c r="O91" i="8"/>
  <c r="P91" i="8"/>
  <c r="Q91" i="8"/>
  <c r="R91" i="8"/>
  <c r="S91" i="8"/>
  <c r="T91" i="8"/>
  <c r="V91" i="8"/>
  <c r="W91" i="8"/>
  <c r="X91" i="8"/>
  <c r="Y91" i="8"/>
  <c r="Z91" i="8"/>
  <c r="AA91" i="8"/>
  <c r="AC91" i="8"/>
  <c r="AD91" i="8"/>
  <c r="AE91" i="8"/>
  <c r="AF91" i="8"/>
  <c r="AG91" i="8"/>
  <c r="AH91" i="8"/>
  <c r="AI91" i="8"/>
  <c r="AJ91" i="8"/>
  <c r="AK91" i="8"/>
  <c r="AM91" i="8"/>
  <c r="AN91" i="8"/>
  <c r="AO91" i="8"/>
  <c r="AP91" i="8"/>
  <c r="AQ91" i="8"/>
  <c r="AR91" i="8"/>
  <c r="AT91" i="8"/>
  <c r="AU91" i="8"/>
  <c r="AV91" i="8"/>
  <c r="AW91" i="8"/>
  <c r="AX91" i="8"/>
  <c r="AY91" i="8"/>
  <c r="AZ91" i="8"/>
  <c r="BA91" i="8"/>
  <c r="BB91" i="8"/>
  <c r="BD91" i="8"/>
  <c r="A92" i="8"/>
  <c r="B92" i="8"/>
  <c r="C92" i="8"/>
  <c r="D92" i="8"/>
  <c r="E92" i="8"/>
  <c r="F92" i="8"/>
  <c r="G92" i="8"/>
  <c r="H92" i="8"/>
  <c r="I92" i="8"/>
  <c r="J92" i="8"/>
  <c r="L92" i="8"/>
  <c r="M92" i="8"/>
  <c r="N92" i="8"/>
  <c r="O92" i="8"/>
  <c r="P92" i="8"/>
  <c r="Q92" i="8"/>
  <c r="R92" i="8"/>
  <c r="S92" i="8"/>
  <c r="T92" i="8"/>
  <c r="V92" i="8"/>
  <c r="W92" i="8"/>
  <c r="X92" i="8"/>
  <c r="Y92" i="8"/>
  <c r="Z92" i="8"/>
  <c r="AA92" i="8"/>
  <c r="AC92" i="8"/>
  <c r="AD92" i="8"/>
  <c r="AE92" i="8"/>
  <c r="AF92" i="8"/>
  <c r="AG92" i="8"/>
  <c r="AH92" i="8"/>
  <c r="AI92" i="8"/>
  <c r="AJ92" i="8"/>
  <c r="AK92" i="8"/>
  <c r="AM92" i="8"/>
  <c r="AN92" i="8"/>
  <c r="AO92" i="8"/>
  <c r="AP92" i="8"/>
  <c r="AQ92" i="8"/>
  <c r="AR92" i="8"/>
  <c r="AT92" i="8"/>
  <c r="AU92" i="8"/>
  <c r="AV92" i="8"/>
  <c r="AW92" i="8"/>
  <c r="AX92" i="8"/>
  <c r="AY92" i="8"/>
  <c r="AZ92" i="8"/>
  <c r="BA92" i="8"/>
  <c r="BB92" i="8"/>
  <c r="BD92" i="8"/>
  <c r="A93" i="8"/>
  <c r="B93" i="8"/>
  <c r="C93" i="8"/>
  <c r="D93" i="8"/>
  <c r="E93" i="8"/>
  <c r="F93" i="8"/>
  <c r="G93" i="8"/>
  <c r="H93" i="8"/>
  <c r="I93" i="8"/>
  <c r="J93" i="8"/>
  <c r="L93" i="8"/>
  <c r="M93" i="8"/>
  <c r="N93" i="8"/>
  <c r="O93" i="8"/>
  <c r="P93" i="8"/>
  <c r="Q93" i="8"/>
  <c r="R93" i="8"/>
  <c r="S93" i="8"/>
  <c r="T93" i="8"/>
  <c r="V93" i="8"/>
  <c r="W93" i="8"/>
  <c r="X93" i="8"/>
  <c r="Y93" i="8"/>
  <c r="Z93" i="8"/>
  <c r="AA93" i="8"/>
  <c r="AC93" i="8"/>
  <c r="AD93" i="8"/>
  <c r="AE93" i="8"/>
  <c r="AF93" i="8"/>
  <c r="AG93" i="8"/>
  <c r="AH93" i="8"/>
  <c r="AI93" i="8"/>
  <c r="AJ93" i="8"/>
  <c r="AK93" i="8"/>
  <c r="AM93" i="8"/>
  <c r="AN93" i="8"/>
  <c r="AO93" i="8"/>
  <c r="AP93" i="8"/>
  <c r="AQ93" i="8"/>
  <c r="AR93" i="8"/>
  <c r="AT93" i="8"/>
  <c r="AU93" i="8"/>
  <c r="AV93" i="8"/>
  <c r="AW93" i="8"/>
  <c r="AX93" i="8"/>
  <c r="AY93" i="8"/>
  <c r="AZ93" i="8"/>
  <c r="BA93" i="8"/>
  <c r="BB93" i="8"/>
  <c r="BD93" i="8"/>
  <c r="A94" i="8"/>
  <c r="B94" i="8"/>
  <c r="C94" i="8"/>
  <c r="D94" i="8"/>
  <c r="E94" i="8"/>
  <c r="F94" i="8"/>
  <c r="G94" i="8"/>
  <c r="H94" i="8"/>
  <c r="I94" i="8"/>
  <c r="J94" i="8"/>
  <c r="L94" i="8"/>
  <c r="M94" i="8"/>
  <c r="N94" i="8"/>
  <c r="O94" i="8"/>
  <c r="P94" i="8"/>
  <c r="Q94" i="8"/>
  <c r="R94" i="8"/>
  <c r="S94" i="8"/>
  <c r="T94" i="8"/>
  <c r="V94" i="8"/>
  <c r="W94" i="8"/>
  <c r="X94" i="8"/>
  <c r="Y94" i="8"/>
  <c r="Z94" i="8"/>
  <c r="AA94" i="8"/>
  <c r="AC94" i="8"/>
  <c r="AD94" i="8"/>
  <c r="AE94" i="8"/>
  <c r="AF94" i="8"/>
  <c r="AG94" i="8"/>
  <c r="AH94" i="8"/>
  <c r="AI94" i="8"/>
  <c r="AJ94" i="8"/>
  <c r="AK94" i="8"/>
  <c r="AM94" i="8"/>
  <c r="AN94" i="8"/>
  <c r="AO94" i="8"/>
  <c r="AP94" i="8"/>
  <c r="AQ94" i="8"/>
  <c r="AR94" i="8"/>
  <c r="AT94" i="8"/>
  <c r="AU94" i="8"/>
  <c r="AV94" i="8"/>
  <c r="AW94" i="8"/>
  <c r="AX94" i="8"/>
  <c r="AY94" i="8"/>
  <c r="AZ94" i="8"/>
  <c r="BA94" i="8"/>
  <c r="BB94" i="8"/>
  <c r="BD94" i="8"/>
  <c r="A95" i="8"/>
  <c r="B95" i="8"/>
  <c r="C95" i="8"/>
  <c r="D95" i="8"/>
  <c r="E95" i="8"/>
  <c r="F95" i="8"/>
  <c r="G95" i="8"/>
  <c r="H95" i="8"/>
  <c r="I95" i="8"/>
  <c r="J95" i="8"/>
  <c r="L95" i="8"/>
  <c r="M95" i="8"/>
  <c r="N95" i="8"/>
  <c r="O95" i="8"/>
  <c r="P95" i="8"/>
  <c r="Q95" i="8"/>
  <c r="R95" i="8"/>
  <c r="S95" i="8"/>
  <c r="T95" i="8"/>
  <c r="V95" i="8"/>
  <c r="W95" i="8"/>
  <c r="X95" i="8"/>
  <c r="Y95" i="8"/>
  <c r="Z95" i="8"/>
  <c r="AA95" i="8"/>
  <c r="AC95" i="8"/>
  <c r="AD95" i="8"/>
  <c r="AE95" i="8"/>
  <c r="AF95" i="8"/>
  <c r="AG95" i="8"/>
  <c r="AH95" i="8"/>
  <c r="AI95" i="8"/>
  <c r="AJ95" i="8"/>
  <c r="AK95" i="8"/>
  <c r="AM95" i="8"/>
  <c r="AN95" i="8"/>
  <c r="AO95" i="8"/>
  <c r="AP95" i="8"/>
  <c r="AQ95" i="8"/>
  <c r="AR95" i="8"/>
  <c r="AT95" i="8"/>
  <c r="AU95" i="8"/>
  <c r="AV95" i="8"/>
  <c r="AW95" i="8"/>
  <c r="AX95" i="8"/>
  <c r="AY95" i="8"/>
  <c r="AZ95" i="8"/>
  <c r="BA95" i="8"/>
  <c r="BB95" i="8"/>
  <c r="BD95" i="8"/>
  <c r="A96" i="8"/>
  <c r="B96" i="8"/>
  <c r="C96" i="8"/>
  <c r="D96" i="8"/>
  <c r="E96" i="8"/>
  <c r="F96" i="8"/>
  <c r="G96" i="8"/>
  <c r="H96" i="8"/>
  <c r="I96" i="8"/>
  <c r="J96" i="8"/>
  <c r="L96" i="8"/>
  <c r="M96" i="8"/>
  <c r="N96" i="8"/>
  <c r="O96" i="8"/>
  <c r="P96" i="8"/>
  <c r="Q96" i="8"/>
  <c r="R96" i="8"/>
  <c r="S96" i="8"/>
  <c r="T96" i="8"/>
  <c r="V96" i="8"/>
  <c r="W96" i="8"/>
  <c r="X96" i="8"/>
  <c r="Y96" i="8"/>
  <c r="Z96" i="8"/>
  <c r="AA96" i="8"/>
  <c r="AC96" i="8"/>
  <c r="AD96" i="8"/>
  <c r="AE96" i="8"/>
  <c r="AF96" i="8"/>
  <c r="AG96" i="8"/>
  <c r="AH96" i="8"/>
  <c r="AI96" i="8"/>
  <c r="AJ96" i="8"/>
  <c r="AK96" i="8"/>
  <c r="AM96" i="8"/>
  <c r="AN96" i="8"/>
  <c r="AO96" i="8"/>
  <c r="AP96" i="8"/>
  <c r="AQ96" i="8"/>
  <c r="AR96" i="8"/>
  <c r="AT96" i="8"/>
  <c r="AU96" i="8"/>
  <c r="AV96" i="8"/>
  <c r="AW96" i="8"/>
  <c r="AX96" i="8"/>
  <c r="AY96" i="8"/>
  <c r="AZ96" i="8"/>
  <c r="BA96" i="8"/>
  <c r="BB96" i="8"/>
  <c r="BD96" i="8"/>
  <c r="A97" i="8"/>
  <c r="B97" i="8"/>
  <c r="C97" i="8"/>
  <c r="D97" i="8"/>
  <c r="E97" i="8"/>
  <c r="F97" i="8"/>
  <c r="G97" i="8"/>
  <c r="H97" i="8"/>
  <c r="I97" i="8"/>
  <c r="J97" i="8"/>
  <c r="L97" i="8"/>
  <c r="M97" i="8"/>
  <c r="N97" i="8"/>
  <c r="O97" i="8"/>
  <c r="P97" i="8"/>
  <c r="Q97" i="8"/>
  <c r="R97" i="8"/>
  <c r="S97" i="8"/>
  <c r="T97" i="8"/>
  <c r="V97" i="8"/>
  <c r="W97" i="8"/>
  <c r="X97" i="8"/>
  <c r="Y97" i="8"/>
  <c r="Z97" i="8"/>
  <c r="AA97" i="8"/>
  <c r="AC97" i="8"/>
  <c r="AD97" i="8"/>
  <c r="AE97" i="8"/>
  <c r="AF97" i="8"/>
  <c r="AG97" i="8"/>
  <c r="AH97" i="8"/>
  <c r="AI97" i="8"/>
  <c r="AJ97" i="8"/>
  <c r="AK97" i="8"/>
  <c r="AM97" i="8"/>
  <c r="AN97" i="8"/>
  <c r="AO97" i="8"/>
  <c r="AP97" i="8"/>
  <c r="AQ97" i="8"/>
  <c r="AR97" i="8"/>
  <c r="AT97" i="8"/>
  <c r="AU97" i="8"/>
  <c r="AV97" i="8"/>
  <c r="AW97" i="8"/>
  <c r="AX97" i="8"/>
  <c r="AY97" i="8"/>
  <c r="AZ97" i="8"/>
  <c r="BA97" i="8"/>
  <c r="BB97" i="8"/>
  <c r="BD97" i="8"/>
  <c r="A98" i="8"/>
  <c r="B98" i="8"/>
  <c r="C98" i="8"/>
  <c r="D98" i="8"/>
  <c r="E98" i="8"/>
  <c r="F98" i="8"/>
  <c r="G98" i="8"/>
  <c r="H98" i="8"/>
  <c r="I98" i="8"/>
  <c r="J98" i="8"/>
  <c r="L98" i="8"/>
  <c r="M98" i="8"/>
  <c r="N98" i="8"/>
  <c r="O98" i="8"/>
  <c r="P98" i="8"/>
  <c r="Q98" i="8"/>
  <c r="R98" i="8"/>
  <c r="S98" i="8"/>
  <c r="T98" i="8"/>
  <c r="V98" i="8"/>
  <c r="W98" i="8"/>
  <c r="X98" i="8"/>
  <c r="Y98" i="8"/>
  <c r="Z98" i="8"/>
  <c r="AA98" i="8"/>
  <c r="AC98" i="8"/>
  <c r="AD98" i="8"/>
  <c r="AE98" i="8"/>
  <c r="AF98" i="8"/>
  <c r="AG98" i="8"/>
  <c r="AH98" i="8"/>
  <c r="AI98" i="8"/>
  <c r="AJ98" i="8"/>
  <c r="AK98" i="8"/>
  <c r="AM98" i="8"/>
  <c r="AN98" i="8"/>
  <c r="AO98" i="8"/>
  <c r="AP98" i="8"/>
  <c r="AQ98" i="8"/>
  <c r="AR98" i="8"/>
  <c r="AT98" i="8"/>
  <c r="AU98" i="8"/>
  <c r="AV98" i="8"/>
  <c r="AW98" i="8"/>
  <c r="AX98" i="8"/>
  <c r="AY98" i="8"/>
  <c r="AZ98" i="8"/>
  <c r="BA98" i="8"/>
  <c r="BB98" i="8"/>
  <c r="BD98" i="8"/>
  <c r="A99" i="8"/>
  <c r="B99" i="8"/>
  <c r="C99" i="8"/>
  <c r="D99" i="8"/>
  <c r="E99" i="8"/>
  <c r="F99" i="8"/>
  <c r="G99" i="8"/>
  <c r="H99" i="8"/>
  <c r="I99" i="8"/>
  <c r="J99" i="8"/>
  <c r="L99" i="8"/>
  <c r="M99" i="8"/>
  <c r="N99" i="8"/>
  <c r="O99" i="8"/>
  <c r="P99" i="8"/>
  <c r="Q99" i="8"/>
  <c r="R99" i="8"/>
  <c r="S99" i="8"/>
  <c r="T99" i="8"/>
  <c r="V99" i="8"/>
  <c r="W99" i="8"/>
  <c r="X99" i="8"/>
  <c r="Y99" i="8"/>
  <c r="Z99" i="8"/>
  <c r="AA99" i="8"/>
  <c r="AC99" i="8"/>
  <c r="AD99" i="8"/>
  <c r="AE99" i="8"/>
  <c r="AF99" i="8"/>
  <c r="AG99" i="8"/>
  <c r="AH99" i="8"/>
  <c r="AI99" i="8"/>
  <c r="AJ99" i="8"/>
  <c r="AK99" i="8"/>
  <c r="AM99" i="8"/>
  <c r="AN99" i="8"/>
  <c r="AO99" i="8"/>
  <c r="AP99" i="8"/>
  <c r="AQ99" i="8"/>
  <c r="AR99" i="8"/>
  <c r="AT99" i="8"/>
  <c r="AU99" i="8"/>
  <c r="AV99" i="8"/>
  <c r="AW99" i="8"/>
  <c r="AX99" i="8"/>
  <c r="AY99" i="8"/>
  <c r="AZ99" i="8"/>
  <c r="BA99" i="8"/>
  <c r="BB99" i="8"/>
  <c r="BD99" i="8"/>
  <c r="A100" i="8"/>
  <c r="B100" i="8"/>
  <c r="C100" i="8"/>
  <c r="D100" i="8"/>
  <c r="E100" i="8"/>
  <c r="F100" i="8"/>
  <c r="G100" i="8"/>
  <c r="H100" i="8"/>
  <c r="I100" i="8"/>
  <c r="J100" i="8"/>
  <c r="L100" i="8"/>
  <c r="M100" i="8"/>
  <c r="N100" i="8"/>
  <c r="O100" i="8"/>
  <c r="P100" i="8"/>
  <c r="Q100" i="8"/>
  <c r="R100" i="8"/>
  <c r="S100" i="8"/>
  <c r="T100" i="8"/>
  <c r="V100" i="8"/>
  <c r="W100" i="8"/>
  <c r="X100" i="8"/>
  <c r="Y100" i="8"/>
  <c r="Z100" i="8"/>
  <c r="AA100" i="8"/>
  <c r="AC100" i="8"/>
  <c r="AD100" i="8"/>
  <c r="AE100" i="8"/>
  <c r="AF100" i="8"/>
  <c r="AG100" i="8"/>
  <c r="AH100" i="8"/>
  <c r="AI100" i="8"/>
  <c r="AJ100" i="8"/>
  <c r="AK100" i="8"/>
  <c r="AM100" i="8"/>
  <c r="AN100" i="8"/>
  <c r="AO100" i="8"/>
  <c r="AP100" i="8"/>
  <c r="AQ100" i="8"/>
  <c r="AR100" i="8"/>
  <c r="AT100" i="8"/>
  <c r="AU100" i="8"/>
  <c r="AV100" i="8"/>
  <c r="AW100" i="8"/>
  <c r="AX100" i="8"/>
  <c r="AY100" i="8"/>
  <c r="AZ100" i="8"/>
  <c r="BA100" i="8"/>
  <c r="BB100" i="8"/>
  <c r="BD100" i="8"/>
  <c r="A101" i="8"/>
  <c r="B101" i="8"/>
  <c r="C101" i="8"/>
  <c r="D101" i="8"/>
  <c r="E101" i="8"/>
  <c r="F101" i="8"/>
  <c r="G101" i="8"/>
  <c r="H101" i="8"/>
  <c r="I101" i="8"/>
  <c r="J101" i="8"/>
  <c r="L101" i="8"/>
  <c r="M101" i="8"/>
  <c r="N101" i="8"/>
  <c r="O101" i="8"/>
  <c r="P101" i="8"/>
  <c r="Q101" i="8"/>
  <c r="R101" i="8"/>
  <c r="S101" i="8"/>
  <c r="T101" i="8"/>
  <c r="V101" i="8"/>
  <c r="W101" i="8"/>
  <c r="X101" i="8"/>
  <c r="Y101" i="8"/>
  <c r="Z101" i="8"/>
  <c r="AA101" i="8"/>
  <c r="AC101" i="8"/>
  <c r="AD101" i="8"/>
  <c r="AE101" i="8"/>
  <c r="AF101" i="8"/>
  <c r="AG101" i="8"/>
  <c r="AH101" i="8"/>
  <c r="AI101" i="8"/>
  <c r="AJ101" i="8"/>
  <c r="AK101" i="8"/>
  <c r="AM101" i="8"/>
  <c r="AN101" i="8"/>
  <c r="AO101" i="8"/>
  <c r="AP101" i="8"/>
  <c r="AQ101" i="8"/>
  <c r="AR101" i="8"/>
  <c r="AT101" i="8"/>
  <c r="AU101" i="8"/>
  <c r="AV101" i="8"/>
  <c r="AW101" i="8"/>
  <c r="AX101" i="8"/>
  <c r="AY101" i="8"/>
  <c r="AZ101" i="8"/>
  <c r="BA101" i="8"/>
  <c r="BB101" i="8"/>
  <c r="BD101" i="8"/>
  <c r="A102" i="8"/>
  <c r="B102" i="8"/>
  <c r="C102" i="8"/>
  <c r="D102" i="8"/>
  <c r="E102" i="8"/>
  <c r="F102" i="8"/>
  <c r="G102" i="8"/>
  <c r="H102" i="8"/>
  <c r="I102" i="8"/>
  <c r="J102" i="8"/>
  <c r="L102" i="8"/>
  <c r="M102" i="8"/>
  <c r="N102" i="8"/>
  <c r="O102" i="8"/>
  <c r="P102" i="8"/>
  <c r="Q102" i="8"/>
  <c r="R102" i="8"/>
  <c r="S102" i="8"/>
  <c r="T102" i="8"/>
  <c r="V102" i="8"/>
  <c r="W102" i="8"/>
  <c r="X102" i="8"/>
  <c r="Y102" i="8"/>
  <c r="Z102" i="8"/>
  <c r="AA102" i="8"/>
  <c r="AC102" i="8"/>
  <c r="AD102" i="8"/>
  <c r="AE102" i="8"/>
  <c r="AF102" i="8"/>
  <c r="AG102" i="8"/>
  <c r="AH102" i="8"/>
  <c r="AI102" i="8"/>
  <c r="AJ102" i="8"/>
  <c r="AK102" i="8"/>
  <c r="AM102" i="8"/>
  <c r="AN102" i="8"/>
  <c r="AO102" i="8"/>
  <c r="AP102" i="8"/>
  <c r="AQ102" i="8"/>
  <c r="AR102" i="8"/>
  <c r="AT102" i="8"/>
  <c r="AU102" i="8"/>
  <c r="AV102" i="8"/>
  <c r="AW102" i="8"/>
  <c r="AX102" i="8"/>
  <c r="AY102" i="8"/>
  <c r="AZ102" i="8"/>
  <c r="BA102" i="8"/>
  <c r="BB102" i="8"/>
  <c r="BD102" i="8"/>
  <c r="A103" i="8"/>
  <c r="B103" i="8"/>
  <c r="C103" i="8"/>
  <c r="D103" i="8"/>
  <c r="E103" i="8"/>
  <c r="F103" i="8"/>
  <c r="G103" i="8"/>
  <c r="H103" i="8"/>
  <c r="I103" i="8"/>
  <c r="J103" i="8"/>
  <c r="L103" i="8"/>
  <c r="M103" i="8"/>
  <c r="N103" i="8"/>
  <c r="O103" i="8"/>
  <c r="P103" i="8"/>
  <c r="Q103" i="8"/>
  <c r="R103" i="8"/>
  <c r="S103" i="8"/>
  <c r="T103" i="8"/>
  <c r="V103" i="8"/>
  <c r="W103" i="8"/>
  <c r="X103" i="8"/>
  <c r="Y103" i="8"/>
  <c r="Z103" i="8"/>
  <c r="AA103" i="8"/>
  <c r="AC103" i="8"/>
  <c r="AD103" i="8"/>
  <c r="AE103" i="8"/>
  <c r="AF103" i="8"/>
  <c r="AG103" i="8"/>
  <c r="AH103" i="8"/>
  <c r="AI103" i="8"/>
  <c r="AJ103" i="8"/>
  <c r="AK103" i="8"/>
  <c r="AM103" i="8"/>
  <c r="AN103" i="8"/>
  <c r="AO103" i="8"/>
  <c r="AP103" i="8"/>
  <c r="AQ103" i="8"/>
  <c r="AR103" i="8"/>
  <c r="AT103" i="8"/>
  <c r="AU103" i="8"/>
  <c r="AV103" i="8"/>
  <c r="AW103" i="8"/>
  <c r="AX103" i="8"/>
  <c r="AY103" i="8"/>
  <c r="AZ103" i="8"/>
  <c r="BA103" i="8"/>
  <c r="BB103" i="8"/>
  <c r="BD103" i="8"/>
  <c r="A104" i="8"/>
  <c r="B104" i="8"/>
  <c r="C104" i="8"/>
  <c r="D104" i="8"/>
  <c r="E104" i="8"/>
  <c r="F104" i="8"/>
  <c r="G104" i="8"/>
  <c r="H104" i="8"/>
  <c r="I104" i="8"/>
  <c r="J104" i="8"/>
  <c r="L104" i="8"/>
  <c r="M104" i="8"/>
  <c r="N104" i="8"/>
  <c r="O104" i="8"/>
  <c r="P104" i="8"/>
  <c r="Q104" i="8"/>
  <c r="R104" i="8"/>
  <c r="S104" i="8"/>
  <c r="T104" i="8"/>
  <c r="V104" i="8"/>
  <c r="W104" i="8"/>
  <c r="X104" i="8"/>
  <c r="Y104" i="8"/>
  <c r="Z104" i="8"/>
  <c r="AA104" i="8"/>
  <c r="AC104" i="8"/>
  <c r="AD104" i="8"/>
  <c r="AE104" i="8"/>
  <c r="AF104" i="8"/>
  <c r="AG104" i="8"/>
  <c r="AH104" i="8"/>
  <c r="AI104" i="8"/>
  <c r="AJ104" i="8"/>
  <c r="AK104" i="8"/>
  <c r="AM104" i="8"/>
  <c r="AN104" i="8"/>
  <c r="AO104" i="8"/>
  <c r="AP104" i="8"/>
  <c r="AQ104" i="8"/>
  <c r="AR104" i="8"/>
  <c r="AT104" i="8"/>
  <c r="AU104" i="8"/>
  <c r="AV104" i="8"/>
  <c r="AW104" i="8"/>
  <c r="AX104" i="8"/>
  <c r="AY104" i="8"/>
  <c r="AZ104" i="8"/>
  <c r="BA104" i="8"/>
  <c r="BB104" i="8"/>
  <c r="BD104" i="8"/>
  <c r="A105" i="8"/>
  <c r="B105" i="8"/>
  <c r="C105" i="8"/>
  <c r="D105" i="8"/>
  <c r="E105" i="8"/>
  <c r="F105" i="8"/>
  <c r="G105" i="8"/>
  <c r="H105" i="8"/>
  <c r="I105" i="8"/>
  <c r="J105" i="8"/>
  <c r="L105" i="8"/>
  <c r="M105" i="8"/>
  <c r="N105" i="8"/>
  <c r="O105" i="8"/>
  <c r="P105" i="8"/>
  <c r="Q105" i="8"/>
  <c r="R105" i="8"/>
  <c r="S105" i="8"/>
  <c r="T105" i="8"/>
  <c r="V105" i="8"/>
  <c r="W105" i="8"/>
  <c r="X105" i="8"/>
  <c r="Y105" i="8"/>
  <c r="Z105" i="8"/>
  <c r="AA105" i="8"/>
  <c r="AC105" i="8"/>
  <c r="AD105" i="8"/>
  <c r="AE105" i="8"/>
  <c r="AF105" i="8"/>
  <c r="AG105" i="8"/>
  <c r="AH105" i="8"/>
  <c r="AI105" i="8"/>
  <c r="AJ105" i="8"/>
  <c r="AK105" i="8"/>
  <c r="AM105" i="8"/>
  <c r="AN105" i="8"/>
  <c r="AO105" i="8"/>
  <c r="AP105" i="8"/>
  <c r="AQ105" i="8"/>
  <c r="AR105" i="8"/>
  <c r="AT105" i="8"/>
  <c r="AU105" i="8"/>
  <c r="AV105" i="8"/>
  <c r="AW105" i="8"/>
  <c r="AX105" i="8"/>
  <c r="AY105" i="8"/>
  <c r="AZ105" i="8"/>
  <c r="BA105" i="8"/>
  <c r="BB105" i="8"/>
  <c r="BD105" i="8"/>
  <c r="A106" i="8"/>
  <c r="B106" i="8"/>
  <c r="C106" i="8"/>
  <c r="D106" i="8"/>
  <c r="E106" i="8"/>
  <c r="F106" i="8"/>
  <c r="G106" i="8"/>
  <c r="H106" i="8"/>
  <c r="I106" i="8"/>
  <c r="J106" i="8"/>
  <c r="L106" i="8"/>
  <c r="M106" i="8"/>
  <c r="N106" i="8"/>
  <c r="O106" i="8"/>
  <c r="P106" i="8"/>
  <c r="Q106" i="8"/>
  <c r="R106" i="8"/>
  <c r="S106" i="8"/>
  <c r="T106" i="8"/>
  <c r="V106" i="8"/>
  <c r="W106" i="8"/>
  <c r="X106" i="8"/>
  <c r="Y106" i="8"/>
  <c r="Z106" i="8"/>
  <c r="AA106" i="8"/>
  <c r="AC106" i="8"/>
  <c r="AD106" i="8"/>
  <c r="AE106" i="8"/>
  <c r="AF106" i="8"/>
  <c r="AG106" i="8"/>
  <c r="AH106" i="8"/>
  <c r="AI106" i="8"/>
  <c r="AJ106" i="8"/>
  <c r="AK106" i="8"/>
  <c r="AM106" i="8"/>
  <c r="AN106" i="8"/>
  <c r="AO106" i="8"/>
  <c r="AP106" i="8"/>
  <c r="AQ106" i="8"/>
  <c r="AR106" i="8"/>
  <c r="AT106" i="8"/>
  <c r="AU106" i="8"/>
  <c r="AV106" i="8"/>
  <c r="AW106" i="8"/>
  <c r="AX106" i="8"/>
  <c r="AY106" i="8"/>
  <c r="AZ106" i="8"/>
  <c r="BA106" i="8"/>
  <c r="BB106" i="8"/>
  <c r="BD106" i="8"/>
  <c r="A107" i="8"/>
  <c r="B107" i="8"/>
  <c r="C107" i="8"/>
  <c r="D107" i="8"/>
  <c r="E107" i="8"/>
  <c r="F107" i="8"/>
  <c r="G107" i="8"/>
  <c r="H107" i="8"/>
  <c r="I107" i="8"/>
  <c r="J107" i="8"/>
  <c r="L107" i="8"/>
  <c r="M107" i="8"/>
  <c r="N107" i="8"/>
  <c r="O107" i="8"/>
  <c r="P107" i="8"/>
  <c r="Q107" i="8"/>
  <c r="R107" i="8"/>
  <c r="S107" i="8"/>
  <c r="T107" i="8"/>
  <c r="V107" i="8"/>
  <c r="W107" i="8"/>
  <c r="X107" i="8"/>
  <c r="Y107" i="8"/>
  <c r="Z107" i="8"/>
  <c r="AA107" i="8"/>
  <c r="AC107" i="8"/>
  <c r="AD107" i="8"/>
  <c r="AE107" i="8"/>
  <c r="AF107" i="8"/>
  <c r="AG107" i="8"/>
  <c r="AH107" i="8"/>
  <c r="AI107" i="8"/>
  <c r="AJ107" i="8"/>
  <c r="AK107" i="8"/>
  <c r="AM107" i="8"/>
  <c r="AN107" i="8"/>
  <c r="AO107" i="8"/>
  <c r="AP107" i="8"/>
  <c r="AQ107" i="8"/>
  <c r="AR107" i="8"/>
  <c r="AT107" i="8"/>
  <c r="AU107" i="8"/>
  <c r="AV107" i="8"/>
  <c r="AW107" i="8"/>
  <c r="AX107" i="8"/>
  <c r="AY107" i="8"/>
  <c r="AZ107" i="8"/>
  <c r="BA107" i="8"/>
  <c r="BB107" i="8"/>
  <c r="BD107" i="8"/>
  <c r="A108" i="8"/>
  <c r="B108" i="8"/>
  <c r="C108" i="8"/>
  <c r="D108" i="8"/>
  <c r="E108" i="8"/>
  <c r="F108" i="8"/>
  <c r="G108" i="8"/>
  <c r="H108" i="8"/>
  <c r="I108" i="8"/>
  <c r="J108" i="8"/>
  <c r="L108" i="8"/>
  <c r="M108" i="8"/>
  <c r="N108" i="8"/>
  <c r="O108" i="8"/>
  <c r="P108" i="8"/>
  <c r="Q108" i="8"/>
  <c r="R108" i="8"/>
  <c r="S108" i="8"/>
  <c r="T108" i="8"/>
  <c r="V108" i="8"/>
  <c r="W108" i="8"/>
  <c r="X108" i="8"/>
  <c r="Y108" i="8"/>
  <c r="Z108" i="8"/>
  <c r="AA108" i="8"/>
  <c r="AC108" i="8"/>
  <c r="AD108" i="8"/>
  <c r="AE108" i="8"/>
  <c r="AF108" i="8"/>
  <c r="AG108" i="8"/>
  <c r="AH108" i="8"/>
  <c r="AI108" i="8"/>
  <c r="AJ108" i="8"/>
  <c r="AK108" i="8"/>
  <c r="AM108" i="8"/>
  <c r="AN108" i="8"/>
  <c r="AO108" i="8"/>
  <c r="AP108" i="8"/>
  <c r="AQ108" i="8"/>
  <c r="AR108" i="8"/>
  <c r="AT108" i="8"/>
  <c r="AU108" i="8"/>
  <c r="AV108" i="8"/>
  <c r="AW108" i="8"/>
  <c r="AX108" i="8"/>
  <c r="AY108" i="8"/>
  <c r="AZ108" i="8"/>
  <c r="BA108" i="8"/>
  <c r="BB108" i="8"/>
  <c r="BD108" i="8"/>
  <c r="A109" i="8"/>
  <c r="B109" i="8"/>
  <c r="C109" i="8"/>
  <c r="D109" i="8"/>
  <c r="E109" i="8"/>
  <c r="F109" i="8"/>
  <c r="G109" i="8"/>
  <c r="H109" i="8"/>
  <c r="I109" i="8"/>
  <c r="J109" i="8"/>
  <c r="L109" i="8"/>
  <c r="M109" i="8"/>
  <c r="N109" i="8"/>
  <c r="O109" i="8"/>
  <c r="P109" i="8"/>
  <c r="Q109" i="8"/>
  <c r="R109" i="8"/>
  <c r="S109" i="8"/>
  <c r="T109" i="8"/>
  <c r="V109" i="8"/>
  <c r="W109" i="8"/>
  <c r="X109" i="8"/>
  <c r="Y109" i="8"/>
  <c r="Z109" i="8"/>
  <c r="AA109" i="8"/>
  <c r="AC109" i="8"/>
  <c r="AD109" i="8"/>
  <c r="AE109" i="8"/>
  <c r="AF109" i="8"/>
  <c r="AG109" i="8"/>
  <c r="AH109" i="8"/>
  <c r="AI109" i="8"/>
  <c r="AJ109" i="8"/>
  <c r="AK109" i="8"/>
  <c r="AM109" i="8"/>
  <c r="AN109" i="8"/>
  <c r="AO109" i="8"/>
  <c r="AP109" i="8"/>
  <c r="AQ109" i="8"/>
  <c r="AR109" i="8"/>
  <c r="AT109" i="8"/>
  <c r="AU109" i="8"/>
  <c r="AV109" i="8"/>
  <c r="AW109" i="8"/>
  <c r="AX109" i="8"/>
  <c r="AY109" i="8"/>
  <c r="AZ109" i="8"/>
  <c r="BA109" i="8"/>
  <c r="BB109" i="8"/>
  <c r="BD109" i="8"/>
  <c r="A110" i="8"/>
  <c r="B110" i="8"/>
  <c r="C110" i="8"/>
  <c r="D110" i="8"/>
  <c r="E110" i="8"/>
  <c r="F110" i="8"/>
  <c r="G110" i="8"/>
  <c r="H110" i="8"/>
  <c r="I110" i="8"/>
  <c r="J110" i="8"/>
  <c r="L110" i="8"/>
  <c r="M110" i="8"/>
  <c r="N110" i="8"/>
  <c r="O110" i="8"/>
  <c r="P110" i="8"/>
  <c r="Q110" i="8"/>
  <c r="R110" i="8"/>
  <c r="S110" i="8"/>
  <c r="T110" i="8"/>
  <c r="V110" i="8"/>
  <c r="W110" i="8"/>
  <c r="X110" i="8"/>
  <c r="Y110" i="8"/>
  <c r="Z110" i="8"/>
  <c r="AA110" i="8"/>
  <c r="AC110" i="8"/>
  <c r="AD110" i="8"/>
  <c r="AE110" i="8"/>
  <c r="AF110" i="8"/>
  <c r="AG110" i="8"/>
  <c r="AH110" i="8"/>
  <c r="AI110" i="8"/>
  <c r="AJ110" i="8"/>
  <c r="AK110" i="8"/>
  <c r="AM110" i="8"/>
  <c r="AN110" i="8"/>
  <c r="AO110" i="8"/>
  <c r="AP110" i="8"/>
  <c r="AQ110" i="8"/>
  <c r="AR110" i="8"/>
  <c r="AT110" i="8"/>
  <c r="AU110" i="8"/>
  <c r="AV110" i="8"/>
  <c r="AW110" i="8"/>
  <c r="AX110" i="8"/>
  <c r="AY110" i="8"/>
  <c r="AZ110" i="8"/>
  <c r="BA110" i="8"/>
  <c r="BB110" i="8"/>
  <c r="BD110" i="8"/>
  <c r="A111" i="8"/>
  <c r="B111" i="8"/>
  <c r="C111" i="8"/>
  <c r="D111" i="8"/>
  <c r="E111" i="8"/>
  <c r="F111" i="8"/>
  <c r="G111" i="8"/>
  <c r="H111" i="8"/>
  <c r="I111" i="8"/>
  <c r="J111" i="8"/>
  <c r="L111" i="8"/>
  <c r="M111" i="8"/>
  <c r="N111" i="8"/>
  <c r="O111" i="8"/>
  <c r="P111" i="8"/>
  <c r="Q111" i="8"/>
  <c r="R111" i="8"/>
  <c r="S111" i="8"/>
  <c r="T111" i="8"/>
  <c r="V111" i="8"/>
  <c r="W111" i="8"/>
  <c r="X111" i="8"/>
  <c r="Y111" i="8"/>
  <c r="Z111" i="8"/>
  <c r="AA111" i="8"/>
  <c r="AC111" i="8"/>
  <c r="AD111" i="8"/>
  <c r="AE111" i="8"/>
  <c r="AF111" i="8"/>
  <c r="AG111" i="8"/>
  <c r="AH111" i="8"/>
  <c r="AI111" i="8"/>
  <c r="AJ111" i="8"/>
  <c r="AK111" i="8"/>
  <c r="AM111" i="8"/>
  <c r="AN111" i="8"/>
  <c r="AO111" i="8"/>
  <c r="AP111" i="8"/>
  <c r="AQ111" i="8"/>
  <c r="AR111" i="8"/>
  <c r="AT111" i="8"/>
  <c r="AU111" i="8"/>
  <c r="AV111" i="8"/>
  <c r="AW111" i="8"/>
  <c r="AX111" i="8"/>
  <c r="AY111" i="8"/>
  <c r="AZ111" i="8"/>
  <c r="BA111" i="8"/>
  <c r="BB111" i="8"/>
  <c r="BD111" i="8"/>
  <c r="A112" i="8"/>
  <c r="B112" i="8"/>
  <c r="C112" i="8"/>
  <c r="D112" i="8"/>
  <c r="E112" i="8"/>
  <c r="F112" i="8"/>
  <c r="G112" i="8"/>
  <c r="H112" i="8"/>
  <c r="I112" i="8"/>
  <c r="J112" i="8"/>
  <c r="L112" i="8"/>
  <c r="M112" i="8"/>
  <c r="N112" i="8"/>
  <c r="O112" i="8"/>
  <c r="P112" i="8"/>
  <c r="Q112" i="8"/>
  <c r="R112" i="8"/>
  <c r="S112" i="8"/>
  <c r="T112" i="8"/>
  <c r="V112" i="8"/>
  <c r="W112" i="8"/>
  <c r="X112" i="8"/>
  <c r="Y112" i="8"/>
  <c r="Z112" i="8"/>
  <c r="AA112" i="8"/>
  <c r="AC112" i="8"/>
  <c r="AD112" i="8"/>
  <c r="AE112" i="8"/>
  <c r="AF112" i="8"/>
  <c r="AG112" i="8"/>
  <c r="AH112" i="8"/>
  <c r="AI112" i="8"/>
  <c r="AJ112" i="8"/>
  <c r="AK112" i="8"/>
  <c r="AM112" i="8"/>
  <c r="AN112" i="8"/>
  <c r="AO112" i="8"/>
  <c r="AP112" i="8"/>
  <c r="AQ112" i="8"/>
  <c r="AR112" i="8"/>
  <c r="AT112" i="8"/>
  <c r="AU112" i="8"/>
  <c r="AV112" i="8"/>
  <c r="AW112" i="8"/>
  <c r="AX112" i="8"/>
  <c r="AY112" i="8"/>
  <c r="AZ112" i="8"/>
  <c r="BA112" i="8"/>
  <c r="BB112" i="8"/>
  <c r="BD112" i="8"/>
  <c r="A113" i="8"/>
  <c r="B113" i="8"/>
  <c r="C113" i="8"/>
  <c r="D113" i="8"/>
  <c r="E113" i="8"/>
  <c r="F113" i="8"/>
  <c r="G113" i="8"/>
  <c r="H113" i="8"/>
  <c r="I113" i="8"/>
  <c r="J113" i="8"/>
  <c r="L113" i="8"/>
  <c r="M113" i="8"/>
  <c r="N113" i="8"/>
  <c r="O113" i="8"/>
  <c r="P113" i="8"/>
  <c r="Q113" i="8"/>
  <c r="R113" i="8"/>
  <c r="S113" i="8"/>
  <c r="T113" i="8"/>
  <c r="V113" i="8"/>
  <c r="W113" i="8"/>
  <c r="X113" i="8"/>
  <c r="Y113" i="8"/>
  <c r="Z113" i="8"/>
  <c r="AA113" i="8"/>
  <c r="AC113" i="8"/>
  <c r="AD113" i="8"/>
  <c r="AE113" i="8"/>
  <c r="AF113" i="8"/>
  <c r="AG113" i="8"/>
  <c r="AH113" i="8"/>
  <c r="AI113" i="8"/>
  <c r="AJ113" i="8"/>
  <c r="AK113" i="8"/>
  <c r="AM113" i="8"/>
  <c r="AN113" i="8"/>
  <c r="AO113" i="8"/>
  <c r="AP113" i="8"/>
  <c r="AQ113" i="8"/>
  <c r="AR113" i="8"/>
  <c r="AT113" i="8"/>
  <c r="AU113" i="8"/>
  <c r="AV113" i="8"/>
  <c r="AW113" i="8"/>
  <c r="AX113" i="8"/>
  <c r="AY113" i="8"/>
  <c r="AZ113" i="8"/>
  <c r="BA113" i="8"/>
  <c r="BB113" i="8"/>
  <c r="BD113" i="8"/>
  <c r="A114" i="8"/>
  <c r="B114" i="8"/>
  <c r="C114" i="8"/>
  <c r="D114" i="8"/>
  <c r="E114" i="8"/>
  <c r="F114" i="8"/>
  <c r="G114" i="8"/>
  <c r="H114" i="8"/>
  <c r="I114" i="8"/>
  <c r="J114" i="8"/>
  <c r="L114" i="8"/>
  <c r="M114" i="8"/>
  <c r="N114" i="8"/>
  <c r="O114" i="8"/>
  <c r="P114" i="8"/>
  <c r="Q114" i="8"/>
  <c r="R114" i="8"/>
  <c r="S114" i="8"/>
  <c r="T114" i="8"/>
  <c r="V114" i="8"/>
  <c r="W114" i="8"/>
  <c r="X114" i="8"/>
  <c r="Y114" i="8"/>
  <c r="Z114" i="8"/>
  <c r="AA114" i="8"/>
  <c r="AC114" i="8"/>
  <c r="AD114" i="8"/>
  <c r="AE114" i="8"/>
  <c r="AF114" i="8"/>
  <c r="AG114" i="8"/>
  <c r="AH114" i="8"/>
  <c r="AI114" i="8"/>
  <c r="AJ114" i="8"/>
  <c r="AK114" i="8"/>
  <c r="AM114" i="8"/>
  <c r="AN114" i="8"/>
  <c r="AO114" i="8"/>
  <c r="AP114" i="8"/>
  <c r="AQ114" i="8"/>
  <c r="AR114" i="8"/>
  <c r="AT114" i="8"/>
  <c r="AU114" i="8"/>
  <c r="AV114" i="8"/>
  <c r="AW114" i="8"/>
  <c r="AX114" i="8"/>
  <c r="AY114" i="8"/>
  <c r="AZ114" i="8"/>
  <c r="BA114" i="8"/>
  <c r="BB114" i="8"/>
  <c r="BD114" i="8"/>
  <c r="A115" i="8"/>
  <c r="B115" i="8"/>
  <c r="C115" i="8"/>
  <c r="D115" i="8"/>
  <c r="E115" i="8"/>
  <c r="F115" i="8"/>
  <c r="G115" i="8"/>
  <c r="H115" i="8"/>
  <c r="I115" i="8"/>
  <c r="J115" i="8"/>
  <c r="L115" i="8"/>
  <c r="M115" i="8"/>
  <c r="N115" i="8"/>
  <c r="O115" i="8"/>
  <c r="P115" i="8"/>
  <c r="Q115" i="8"/>
  <c r="R115" i="8"/>
  <c r="S115" i="8"/>
  <c r="T115" i="8"/>
  <c r="V115" i="8"/>
  <c r="W115" i="8"/>
  <c r="X115" i="8"/>
  <c r="Y115" i="8"/>
  <c r="Z115" i="8"/>
  <c r="AA115" i="8"/>
  <c r="AC115" i="8"/>
  <c r="AD115" i="8"/>
  <c r="AE115" i="8"/>
  <c r="AF115" i="8"/>
  <c r="AG115" i="8"/>
  <c r="AH115" i="8"/>
  <c r="AI115" i="8"/>
  <c r="AJ115" i="8"/>
  <c r="AK115" i="8"/>
  <c r="AM115" i="8"/>
  <c r="AN115" i="8"/>
  <c r="AO115" i="8"/>
  <c r="AP115" i="8"/>
  <c r="AQ115" i="8"/>
  <c r="AR115" i="8"/>
  <c r="AT115" i="8"/>
  <c r="AU115" i="8"/>
  <c r="AV115" i="8"/>
  <c r="AW115" i="8"/>
  <c r="AX115" i="8"/>
  <c r="AY115" i="8"/>
  <c r="AZ115" i="8"/>
  <c r="BA115" i="8"/>
  <c r="BB115" i="8"/>
  <c r="BD115" i="8"/>
  <c r="A116" i="8"/>
  <c r="B116" i="8"/>
  <c r="C116" i="8"/>
  <c r="D116" i="8"/>
  <c r="E116" i="8"/>
  <c r="F116" i="8"/>
  <c r="G116" i="8"/>
  <c r="H116" i="8"/>
  <c r="I116" i="8"/>
  <c r="J116" i="8"/>
  <c r="L116" i="8"/>
  <c r="M116" i="8"/>
  <c r="N116" i="8"/>
  <c r="O116" i="8"/>
  <c r="P116" i="8"/>
  <c r="Q116" i="8"/>
  <c r="R116" i="8"/>
  <c r="S116" i="8"/>
  <c r="T116" i="8"/>
  <c r="V116" i="8"/>
  <c r="W116" i="8"/>
  <c r="X116" i="8"/>
  <c r="Y116" i="8"/>
  <c r="Z116" i="8"/>
  <c r="AA116" i="8"/>
  <c r="AC116" i="8"/>
  <c r="AD116" i="8"/>
  <c r="AE116" i="8"/>
  <c r="AF116" i="8"/>
  <c r="AG116" i="8"/>
  <c r="AH116" i="8"/>
  <c r="AI116" i="8"/>
  <c r="AJ116" i="8"/>
  <c r="AK116" i="8"/>
  <c r="AM116" i="8"/>
  <c r="AN116" i="8"/>
  <c r="AO116" i="8"/>
  <c r="AP116" i="8"/>
  <c r="AQ116" i="8"/>
  <c r="AR116" i="8"/>
  <c r="AT116" i="8"/>
  <c r="AU116" i="8"/>
  <c r="AV116" i="8"/>
  <c r="AW116" i="8"/>
  <c r="AX116" i="8"/>
  <c r="AY116" i="8"/>
  <c r="AZ116" i="8"/>
  <c r="BA116" i="8"/>
  <c r="BB116" i="8"/>
  <c r="BD116" i="8"/>
  <c r="A117" i="8"/>
  <c r="B117" i="8"/>
  <c r="C117" i="8"/>
  <c r="D117" i="8"/>
  <c r="E117" i="8"/>
  <c r="F117" i="8"/>
  <c r="G117" i="8"/>
  <c r="H117" i="8"/>
  <c r="I117" i="8"/>
  <c r="J117" i="8"/>
  <c r="L117" i="8"/>
  <c r="M117" i="8"/>
  <c r="N117" i="8"/>
  <c r="O117" i="8"/>
  <c r="P117" i="8"/>
  <c r="Q117" i="8"/>
  <c r="R117" i="8"/>
  <c r="S117" i="8"/>
  <c r="T117" i="8"/>
  <c r="V117" i="8"/>
  <c r="W117" i="8"/>
  <c r="X117" i="8"/>
  <c r="Y117" i="8"/>
  <c r="Z117" i="8"/>
  <c r="AA117" i="8"/>
  <c r="AC117" i="8"/>
  <c r="AD117" i="8"/>
  <c r="AE117" i="8"/>
  <c r="AF117" i="8"/>
  <c r="AG117" i="8"/>
  <c r="AH117" i="8"/>
  <c r="AI117" i="8"/>
  <c r="AJ117" i="8"/>
  <c r="AK117" i="8"/>
  <c r="AM117" i="8"/>
  <c r="AN117" i="8"/>
  <c r="AO117" i="8"/>
  <c r="AP117" i="8"/>
  <c r="AQ117" i="8"/>
  <c r="AR117" i="8"/>
  <c r="AT117" i="8"/>
  <c r="AU117" i="8"/>
  <c r="AV117" i="8"/>
  <c r="AW117" i="8"/>
  <c r="AX117" i="8"/>
  <c r="AY117" i="8"/>
  <c r="AZ117" i="8"/>
  <c r="BA117" i="8"/>
  <c r="BB117" i="8"/>
  <c r="BD117" i="8"/>
  <c r="A118" i="8"/>
  <c r="B118" i="8"/>
  <c r="C118" i="8"/>
  <c r="D118" i="8"/>
  <c r="E118" i="8"/>
  <c r="F118" i="8"/>
  <c r="G118" i="8"/>
  <c r="H118" i="8"/>
  <c r="I118" i="8"/>
  <c r="J118" i="8"/>
  <c r="L118" i="8"/>
  <c r="M118" i="8"/>
  <c r="N118" i="8"/>
  <c r="O118" i="8"/>
  <c r="P118" i="8"/>
  <c r="Q118" i="8"/>
  <c r="R118" i="8"/>
  <c r="S118" i="8"/>
  <c r="T118" i="8"/>
  <c r="V118" i="8"/>
  <c r="W118" i="8"/>
  <c r="X118" i="8"/>
  <c r="Y118" i="8"/>
  <c r="Z118" i="8"/>
  <c r="AA118" i="8"/>
  <c r="AC118" i="8"/>
  <c r="AD118" i="8"/>
  <c r="AE118" i="8"/>
  <c r="AF118" i="8"/>
  <c r="AG118" i="8"/>
  <c r="AH118" i="8"/>
  <c r="AI118" i="8"/>
  <c r="AJ118" i="8"/>
  <c r="AK118" i="8"/>
  <c r="AM118" i="8"/>
  <c r="AN118" i="8"/>
  <c r="AO118" i="8"/>
  <c r="AP118" i="8"/>
  <c r="AQ118" i="8"/>
  <c r="AR118" i="8"/>
  <c r="AT118" i="8"/>
  <c r="AU118" i="8"/>
  <c r="AV118" i="8"/>
  <c r="AW118" i="8"/>
  <c r="AX118" i="8"/>
  <c r="AY118" i="8"/>
  <c r="AZ118" i="8"/>
  <c r="BA118" i="8"/>
  <c r="BB118" i="8"/>
  <c r="BD118" i="8"/>
  <c r="A119" i="8"/>
  <c r="B119" i="8"/>
  <c r="C119" i="8"/>
  <c r="D119" i="8"/>
  <c r="E119" i="8"/>
  <c r="F119" i="8"/>
  <c r="G119" i="8"/>
  <c r="H119" i="8"/>
  <c r="I119" i="8"/>
  <c r="J119" i="8"/>
  <c r="L119" i="8"/>
  <c r="M119" i="8"/>
  <c r="N119" i="8"/>
  <c r="O119" i="8"/>
  <c r="P119" i="8"/>
  <c r="Q119" i="8"/>
  <c r="R119" i="8"/>
  <c r="S119" i="8"/>
  <c r="T119" i="8"/>
  <c r="V119" i="8"/>
  <c r="W119" i="8"/>
  <c r="X119" i="8"/>
  <c r="Y119" i="8"/>
  <c r="Z119" i="8"/>
  <c r="AA119" i="8"/>
  <c r="AC119" i="8"/>
  <c r="AD119" i="8"/>
  <c r="AE119" i="8"/>
  <c r="AF119" i="8"/>
  <c r="AG119" i="8"/>
  <c r="AH119" i="8"/>
  <c r="AI119" i="8"/>
  <c r="AJ119" i="8"/>
  <c r="AK119" i="8"/>
  <c r="AM119" i="8"/>
  <c r="AN119" i="8"/>
  <c r="AO119" i="8"/>
  <c r="AP119" i="8"/>
  <c r="AQ119" i="8"/>
  <c r="AR119" i="8"/>
  <c r="AT119" i="8"/>
  <c r="AU119" i="8"/>
  <c r="AV119" i="8"/>
  <c r="AW119" i="8"/>
  <c r="AX119" i="8"/>
  <c r="AY119" i="8"/>
  <c r="AZ119" i="8"/>
  <c r="BA119" i="8"/>
  <c r="BB119" i="8"/>
  <c r="BD119" i="8"/>
  <c r="A120" i="8"/>
  <c r="B120" i="8"/>
  <c r="C120" i="8"/>
  <c r="D120" i="8"/>
  <c r="E120" i="8"/>
  <c r="F120" i="8"/>
  <c r="G120" i="8"/>
  <c r="H120" i="8"/>
  <c r="I120" i="8"/>
  <c r="J120" i="8"/>
  <c r="L120" i="8"/>
  <c r="M120" i="8"/>
  <c r="N120" i="8"/>
  <c r="O120" i="8"/>
  <c r="P120" i="8"/>
  <c r="Q120" i="8"/>
  <c r="R120" i="8"/>
  <c r="S120" i="8"/>
  <c r="T120" i="8"/>
  <c r="V120" i="8"/>
  <c r="W120" i="8"/>
  <c r="X120" i="8"/>
  <c r="Y120" i="8"/>
  <c r="Z120" i="8"/>
  <c r="AA120" i="8"/>
  <c r="AC120" i="8"/>
  <c r="AD120" i="8"/>
  <c r="AE120" i="8"/>
  <c r="AF120" i="8"/>
  <c r="AG120" i="8"/>
  <c r="AH120" i="8"/>
  <c r="AI120" i="8"/>
  <c r="AJ120" i="8"/>
  <c r="AK120" i="8"/>
  <c r="AM120" i="8"/>
  <c r="AN120" i="8"/>
  <c r="AO120" i="8"/>
  <c r="AP120" i="8"/>
  <c r="AQ120" i="8"/>
  <c r="AR120" i="8"/>
  <c r="AT120" i="8"/>
  <c r="AU120" i="8"/>
  <c r="AV120" i="8"/>
  <c r="AW120" i="8"/>
  <c r="AX120" i="8"/>
  <c r="AY120" i="8"/>
  <c r="AZ120" i="8"/>
  <c r="BA120" i="8"/>
  <c r="BB120" i="8"/>
  <c r="BD120" i="8"/>
  <c r="A121" i="8"/>
  <c r="B121" i="8"/>
  <c r="C121" i="8"/>
  <c r="D121" i="8"/>
  <c r="E121" i="8"/>
  <c r="F121" i="8"/>
  <c r="G121" i="8"/>
  <c r="H121" i="8"/>
  <c r="I121" i="8"/>
  <c r="J121" i="8"/>
  <c r="L121" i="8"/>
  <c r="M121" i="8"/>
  <c r="N121" i="8"/>
  <c r="O121" i="8"/>
  <c r="P121" i="8"/>
  <c r="Q121" i="8"/>
  <c r="R121" i="8"/>
  <c r="S121" i="8"/>
  <c r="T121" i="8"/>
  <c r="V121" i="8"/>
  <c r="W121" i="8"/>
  <c r="X121" i="8"/>
  <c r="Y121" i="8"/>
  <c r="Z121" i="8"/>
  <c r="AA121" i="8"/>
  <c r="AC121" i="8"/>
  <c r="AD121" i="8"/>
  <c r="AE121" i="8"/>
  <c r="AF121" i="8"/>
  <c r="AG121" i="8"/>
  <c r="AH121" i="8"/>
  <c r="AI121" i="8"/>
  <c r="AJ121" i="8"/>
  <c r="AK121" i="8"/>
  <c r="AM121" i="8"/>
  <c r="AN121" i="8"/>
  <c r="AO121" i="8"/>
  <c r="AP121" i="8"/>
  <c r="AQ121" i="8"/>
  <c r="AR121" i="8"/>
  <c r="AT121" i="8"/>
  <c r="AU121" i="8"/>
  <c r="AV121" i="8"/>
  <c r="AW121" i="8"/>
  <c r="AX121" i="8"/>
  <c r="AY121" i="8"/>
  <c r="AZ121" i="8"/>
  <c r="BA121" i="8"/>
  <c r="BB121" i="8"/>
  <c r="BD121" i="8"/>
  <c r="A122" i="8"/>
  <c r="B122" i="8"/>
  <c r="C122" i="8"/>
  <c r="D122" i="8"/>
  <c r="E122" i="8"/>
  <c r="F122" i="8"/>
  <c r="G122" i="8"/>
  <c r="H122" i="8"/>
  <c r="I122" i="8"/>
  <c r="J122" i="8"/>
  <c r="L122" i="8"/>
  <c r="M122" i="8"/>
  <c r="N122" i="8"/>
  <c r="O122" i="8"/>
  <c r="P122" i="8"/>
  <c r="Q122" i="8"/>
  <c r="R122" i="8"/>
  <c r="S122" i="8"/>
  <c r="T122" i="8"/>
  <c r="V122" i="8"/>
  <c r="W122" i="8"/>
  <c r="X122" i="8"/>
  <c r="Y122" i="8"/>
  <c r="Z122" i="8"/>
  <c r="AA122" i="8"/>
  <c r="AC122" i="8"/>
  <c r="AD122" i="8"/>
  <c r="AE122" i="8"/>
  <c r="AF122" i="8"/>
  <c r="AG122" i="8"/>
  <c r="AH122" i="8"/>
  <c r="AI122" i="8"/>
  <c r="AJ122" i="8"/>
  <c r="AK122" i="8"/>
  <c r="AM122" i="8"/>
  <c r="AN122" i="8"/>
  <c r="AO122" i="8"/>
  <c r="AP122" i="8"/>
  <c r="AQ122" i="8"/>
  <c r="AR122" i="8"/>
  <c r="AT122" i="8"/>
  <c r="AU122" i="8"/>
  <c r="AV122" i="8"/>
  <c r="AW122" i="8"/>
  <c r="AX122" i="8"/>
  <c r="AY122" i="8"/>
  <c r="AZ122" i="8"/>
  <c r="BA122" i="8"/>
  <c r="BB122" i="8"/>
  <c r="BD122" i="8"/>
  <c r="A123" i="8"/>
  <c r="B123" i="8"/>
  <c r="C123" i="8"/>
  <c r="D123" i="8"/>
  <c r="E123" i="8"/>
  <c r="F123" i="8"/>
  <c r="G123" i="8"/>
  <c r="H123" i="8"/>
  <c r="I123" i="8"/>
  <c r="J123" i="8"/>
  <c r="L123" i="8"/>
  <c r="M123" i="8"/>
  <c r="N123" i="8"/>
  <c r="O123" i="8"/>
  <c r="P123" i="8"/>
  <c r="Q123" i="8"/>
  <c r="R123" i="8"/>
  <c r="S123" i="8"/>
  <c r="T123" i="8"/>
  <c r="V123" i="8"/>
  <c r="W123" i="8"/>
  <c r="X123" i="8"/>
  <c r="Y123" i="8"/>
  <c r="Z123" i="8"/>
  <c r="AA123" i="8"/>
  <c r="AC123" i="8"/>
  <c r="AD123" i="8"/>
  <c r="AE123" i="8"/>
  <c r="AF123" i="8"/>
  <c r="AG123" i="8"/>
  <c r="AH123" i="8"/>
  <c r="AI123" i="8"/>
  <c r="AJ123" i="8"/>
  <c r="AK123" i="8"/>
  <c r="AM123" i="8"/>
  <c r="AN123" i="8"/>
  <c r="AO123" i="8"/>
  <c r="AP123" i="8"/>
  <c r="AQ123" i="8"/>
  <c r="AR123" i="8"/>
  <c r="AT123" i="8"/>
  <c r="AU123" i="8"/>
  <c r="AV123" i="8"/>
  <c r="AW123" i="8"/>
  <c r="AX123" i="8"/>
  <c r="AY123" i="8"/>
  <c r="AZ123" i="8"/>
  <c r="BA123" i="8"/>
  <c r="BB123" i="8"/>
  <c r="BD123" i="8"/>
  <c r="A124" i="8"/>
  <c r="B124" i="8"/>
  <c r="C124" i="8"/>
  <c r="D124" i="8"/>
  <c r="E124" i="8"/>
  <c r="F124" i="8"/>
  <c r="G124" i="8"/>
  <c r="H124" i="8"/>
  <c r="I124" i="8"/>
  <c r="J124" i="8"/>
  <c r="L124" i="8"/>
  <c r="M124" i="8"/>
  <c r="N124" i="8"/>
  <c r="O124" i="8"/>
  <c r="P124" i="8"/>
  <c r="Q124" i="8"/>
  <c r="R124" i="8"/>
  <c r="S124" i="8"/>
  <c r="T124" i="8"/>
  <c r="V124" i="8"/>
  <c r="W124" i="8"/>
  <c r="X124" i="8"/>
  <c r="Y124" i="8"/>
  <c r="Z124" i="8"/>
  <c r="AA124" i="8"/>
  <c r="AC124" i="8"/>
  <c r="AD124" i="8"/>
  <c r="AE124" i="8"/>
  <c r="AF124" i="8"/>
  <c r="AG124" i="8"/>
  <c r="AH124" i="8"/>
  <c r="AI124" i="8"/>
  <c r="AJ124" i="8"/>
  <c r="AK124" i="8"/>
  <c r="AM124" i="8"/>
  <c r="AN124" i="8"/>
  <c r="AO124" i="8"/>
  <c r="AP124" i="8"/>
  <c r="AQ124" i="8"/>
  <c r="AR124" i="8"/>
  <c r="AT124" i="8"/>
  <c r="AU124" i="8"/>
  <c r="AV124" i="8"/>
  <c r="AW124" i="8"/>
  <c r="AX124" i="8"/>
  <c r="AY124" i="8"/>
  <c r="AZ124" i="8"/>
  <c r="BA124" i="8"/>
  <c r="BB124" i="8"/>
  <c r="BD124" i="8"/>
  <c r="A125" i="8"/>
  <c r="B125" i="8"/>
  <c r="C125" i="8"/>
  <c r="D125" i="8"/>
  <c r="E125" i="8"/>
  <c r="F125" i="8"/>
  <c r="G125" i="8"/>
  <c r="H125" i="8"/>
  <c r="I125" i="8"/>
  <c r="J125" i="8"/>
  <c r="L125" i="8"/>
  <c r="M125" i="8"/>
  <c r="N125" i="8"/>
  <c r="O125" i="8"/>
  <c r="P125" i="8"/>
  <c r="Q125" i="8"/>
  <c r="R125" i="8"/>
  <c r="S125" i="8"/>
  <c r="T125" i="8"/>
  <c r="V125" i="8"/>
  <c r="W125" i="8"/>
  <c r="X125" i="8"/>
  <c r="Y125" i="8"/>
  <c r="Z125" i="8"/>
  <c r="AA125" i="8"/>
  <c r="AC125" i="8"/>
  <c r="AD125" i="8"/>
  <c r="AE125" i="8"/>
  <c r="AF125" i="8"/>
  <c r="AG125" i="8"/>
  <c r="AH125" i="8"/>
  <c r="AI125" i="8"/>
  <c r="AJ125" i="8"/>
  <c r="AK125" i="8"/>
  <c r="AM125" i="8"/>
  <c r="AN125" i="8"/>
  <c r="AO125" i="8"/>
  <c r="AP125" i="8"/>
  <c r="AQ125" i="8"/>
  <c r="AR125" i="8"/>
  <c r="AT125" i="8"/>
  <c r="AU125" i="8"/>
  <c r="AV125" i="8"/>
  <c r="AW125" i="8"/>
  <c r="AX125" i="8"/>
  <c r="AY125" i="8"/>
  <c r="AZ125" i="8"/>
  <c r="BA125" i="8"/>
  <c r="BB125" i="8"/>
  <c r="BD125" i="8"/>
  <c r="A126" i="8"/>
  <c r="B126" i="8"/>
  <c r="C126" i="8"/>
  <c r="D126" i="8"/>
  <c r="E126" i="8"/>
  <c r="F126" i="8"/>
  <c r="G126" i="8"/>
  <c r="H126" i="8"/>
  <c r="I126" i="8"/>
  <c r="J126" i="8"/>
  <c r="L126" i="8"/>
  <c r="M126" i="8"/>
  <c r="N126" i="8"/>
  <c r="O126" i="8"/>
  <c r="P126" i="8"/>
  <c r="Q126" i="8"/>
  <c r="R126" i="8"/>
  <c r="S126" i="8"/>
  <c r="T126" i="8"/>
  <c r="V126" i="8"/>
  <c r="W126" i="8"/>
  <c r="X126" i="8"/>
  <c r="Y126" i="8"/>
  <c r="Z126" i="8"/>
  <c r="AA126" i="8"/>
  <c r="AC126" i="8"/>
  <c r="AD126" i="8"/>
  <c r="AE126" i="8"/>
  <c r="AF126" i="8"/>
  <c r="AG126" i="8"/>
  <c r="AH126" i="8"/>
  <c r="AI126" i="8"/>
  <c r="AJ126" i="8"/>
  <c r="AK126" i="8"/>
  <c r="AM126" i="8"/>
  <c r="AN126" i="8"/>
  <c r="AO126" i="8"/>
  <c r="AP126" i="8"/>
  <c r="AQ126" i="8"/>
  <c r="AR126" i="8"/>
  <c r="AT126" i="8"/>
  <c r="AU126" i="8"/>
  <c r="AV126" i="8"/>
  <c r="AW126" i="8"/>
  <c r="AX126" i="8"/>
  <c r="AY126" i="8"/>
  <c r="AZ126" i="8"/>
  <c r="BA126" i="8"/>
  <c r="BB126" i="8"/>
  <c r="BD126" i="8"/>
  <c r="A127" i="8"/>
  <c r="B127" i="8"/>
  <c r="C127" i="8"/>
  <c r="D127" i="8"/>
  <c r="E127" i="8"/>
  <c r="F127" i="8"/>
  <c r="G127" i="8"/>
  <c r="H127" i="8"/>
  <c r="I127" i="8"/>
  <c r="J127" i="8"/>
  <c r="L127" i="8"/>
  <c r="M127" i="8"/>
  <c r="N127" i="8"/>
  <c r="O127" i="8"/>
  <c r="P127" i="8"/>
  <c r="Q127" i="8"/>
  <c r="R127" i="8"/>
  <c r="S127" i="8"/>
  <c r="T127" i="8"/>
  <c r="V127" i="8"/>
  <c r="W127" i="8"/>
  <c r="X127" i="8"/>
  <c r="Y127" i="8"/>
  <c r="Z127" i="8"/>
  <c r="AA127" i="8"/>
  <c r="AC127" i="8"/>
  <c r="AD127" i="8"/>
  <c r="AE127" i="8"/>
  <c r="AF127" i="8"/>
  <c r="AG127" i="8"/>
  <c r="AH127" i="8"/>
  <c r="AI127" i="8"/>
  <c r="AJ127" i="8"/>
  <c r="AK127" i="8"/>
  <c r="AM127" i="8"/>
  <c r="AN127" i="8"/>
  <c r="AO127" i="8"/>
  <c r="AP127" i="8"/>
  <c r="AQ127" i="8"/>
  <c r="AR127" i="8"/>
  <c r="AT127" i="8"/>
  <c r="AU127" i="8"/>
  <c r="AV127" i="8"/>
  <c r="AW127" i="8"/>
  <c r="AX127" i="8"/>
  <c r="AY127" i="8"/>
  <c r="AZ127" i="8"/>
  <c r="BA127" i="8"/>
  <c r="BB127" i="8"/>
  <c r="BD127" i="8"/>
  <c r="A128" i="8"/>
  <c r="B128" i="8"/>
  <c r="C128" i="8"/>
  <c r="D128" i="8"/>
  <c r="E128" i="8"/>
  <c r="F128" i="8"/>
  <c r="G128" i="8"/>
  <c r="H128" i="8"/>
  <c r="I128" i="8"/>
  <c r="J128" i="8"/>
  <c r="L128" i="8"/>
  <c r="M128" i="8"/>
  <c r="N128" i="8"/>
  <c r="O128" i="8"/>
  <c r="P128" i="8"/>
  <c r="Q128" i="8"/>
  <c r="R128" i="8"/>
  <c r="S128" i="8"/>
  <c r="T128" i="8"/>
  <c r="V128" i="8"/>
  <c r="W128" i="8"/>
  <c r="X128" i="8"/>
  <c r="Y128" i="8"/>
  <c r="Z128" i="8"/>
  <c r="AA128" i="8"/>
  <c r="AC128" i="8"/>
  <c r="AD128" i="8"/>
  <c r="AE128" i="8"/>
  <c r="AF128" i="8"/>
  <c r="AG128" i="8"/>
  <c r="AH128" i="8"/>
  <c r="AI128" i="8"/>
  <c r="AJ128" i="8"/>
  <c r="AK128" i="8"/>
  <c r="AM128" i="8"/>
  <c r="AN128" i="8"/>
  <c r="AO128" i="8"/>
  <c r="AP128" i="8"/>
  <c r="AQ128" i="8"/>
  <c r="AR128" i="8"/>
  <c r="AT128" i="8"/>
  <c r="AU128" i="8"/>
  <c r="AV128" i="8"/>
  <c r="AW128" i="8"/>
  <c r="AX128" i="8"/>
  <c r="AY128" i="8"/>
  <c r="AZ128" i="8"/>
  <c r="BA128" i="8"/>
  <c r="BB128" i="8"/>
  <c r="BD128" i="8"/>
  <c r="A129" i="8"/>
  <c r="B129" i="8"/>
  <c r="C129" i="8"/>
  <c r="D129" i="8"/>
  <c r="E129" i="8"/>
  <c r="F129" i="8"/>
  <c r="G129" i="8"/>
  <c r="H129" i="8"/>
  <c r="I129" i="8"/>
  <c r="J129" i="8"/>
  <c r="L129" i="8"/>
  <c r="M129" i="8"/>
  <c r="N129" i="8"/>
  <c r="O129" i="8"/>
  <c r="P129" i="8"/>
  <c r="Q129" i="8"/>
  <c r="R129" i="8"/>
  <c r="S129" i="8"/>
  <c r="T129" i="8"/>
  <c r="V129" i="8"/>
  <c r="W129" i="8"/>
  <c r="X129" i="8"/>
  <c r="Y129" i="8"/>
  <c r="Z129" i="8"/>
  <c r="AA129" i="8"/>
  <c r="AC129" i="8"/>
  <c r="AD129" i="8"/>
  <c r="AE129" i="8"/>
  <c r="AF129" i="8"/>
  <c r="AG129" i="8"/>
  <c r="AH129" i="8"/>
  <c r="AI129" i="8"/>
  <c r="AJ129" i="8"/>
  <c r="AK129" i="8"/>
  <c r="AM129" i="8"/>
  <c r="AN129" i="8"/>
  <c r="AO129" i="8"/>
  <c r="AP129" i="8"/>
  <c r="AQ129" i="8"/>
  <c r="AR129" i="8"/>
  <c r="AT129" i="8"/>
  <c r="AU129" i="8"/>
  <c r="AV129" i="8"/>
  <c r="AW129" i="8"/>
  <c r="AX129" i="8"/>
  <c r="AY129" i="8"/>
  <c r="AZ129" i="8"/>
  <c r="BA129" i="8"/>
  <c r="BB129" i="8"/>
  <c r="BD129" i="8"/>
  <c r="A130" i="8"/>
  <c r="B130" i="8"/>
  <c r="C130" i="8"/>
  <c r="D130" i="8"/>
  <c r="E130" i="8"/>
  <c r="F130" i="8"/>
  <c r="G130" i="8"/>
  <c r="H130" i="8"/>
  <c r="I130" i="8"/>
  <c r="J130" i="8"/>
  <c r="L130" i="8"/>
  <c r="M130" i="8"/>
  <c r="N130" i="8"/>
  <c r="O130" i="8"/>
  <c r="P130" i="8"/>
  <c r="Q130" i="8"/>
  <c r="R130" i="8"/>
  <c r="S130" i="8"/>
  <c r="T130" i="8"/>
  <c r="V130" i="8"/>
  <c r="W130" i="8"/>
  <c r="X130" i="8"/>
  <c r="Y130" i="8"/>
  <c r="Z130" i="8"/>
  <c r="AA130" i="8"/>
  <c r="AC130" i="8"/>
  <c r="AD130" i="8"/>
  <c r="AE130" i="8"/>
  <c r="AF130" i="8"/>
  <c r="AG130" i="8"/>
  <c r="AH130" i="8"/>
  <c r="AI130" i="8"/>
  <c r="AJ130" i="8"/>
  <c r="AK130" i="8"/>
  <c r="AM130" i="8"/>
  <c r="AN130" i="8"/>
  <c r="AO130" i="8"/>
  <c r="AP130" i="8"/>
  <c r="AQ130" i="8"/>
  <c r="AR130" i="8"/>
  <c r="AT130" i="8"/>
  <c r="AU130" i="8"/>
  <c r="AV130" i="8"/>
  <c r="AW130" i="8"/>
  <c r="AX130" i="8"/>
  <c r="AY130" i="8"/>
  <c r="AZ130" i="8"/>
  <c r="BA130" i="8"/>
  <c r="BB130" i="8"/>
  <c r="BD130" i="8"/>
  <c r="A131" i="8"/>
  <c r="B131" i="8"/>
  <c r="C131" i="8"/>
  <c r="D131" i="8"/>
  <c r="E131" i="8"/>
  <c r="F131" i="8"/>
  <c r="G131" i="8"/>
  <c r="H131" i="8"/>
  <c r="I131" i="8"/>
  <c r="J131" i="8"/>
  <c r="L131" i="8"/>
  <c r="M131" i="8"/>
  <c r="N131" i="8"/>
  <c r="O131" i="8"/>
  <c r="P131" i="8"/>
  <c r="Q131" i="8"/>
  <c r="R131" i="8"/>
  <c r="S131" i="8"/>
  <c r="T131" i="8"/>
  <c r="V131" i="8"/>
  <c r="W131" i="8"/>
  <c r="X131" i="8"/>
  <c r="Y131" i="8"/>
  <c r="Z131" i="8"/>
  <c r="AA131" i="8"/>
  <c r="AC131" i="8"/>
  <c r="AD131" i="8"/>
  <c r="AE131" i="8"/>
  <c r="AF131" i="8"/>
  <c r="AG131" i="8"/>
  <c r="AH131" i="8"/>
  <c r="AI131" i="8"/>
  <c r="AJ131" i="8"/>
  <c r="AK131" i="8"/>
  <c r="AM131" i="8"/>
  <c r="AN131" i="8"/>
  <c r="AO131" i="8"/>
  <c r="AP131" i="8"/>
  <c r="AQ131" i="8"/>
  <c r="AR131" i="8"/>
  <c r="AT131" i="8"/>
  <c r="AU131" i="8"/>
  <c r="AV131" i="8"/>
  <c r="AW131" i="8"/>
  <c r="AX131" i="8"/>
  <c r="AY131" i="8"/>
  <c r="AZ131" i="8"/>
  <c r="BA131" i="8"/>
  <c r="BB131" i="8"/>
  <c r="BD131" i="8"/>
  <c r="A132" i="8"/>
  <c r="B132" i="8"/>
  <c r="C132" i="8"/>
  <c r="D132" i="8"/>
  <c r="E132" i="8"/>
  <c r="F132" i="8"/>
  <c r="G132" i="8"/>
  <c r="H132" i="8"/>
  <c r="I132" i="8"/>
  <c r="J132" i="8"/>
  <c r="L132" i="8"/>
  <c r="M132" i="8"/>
  <c r="N132" i="8"/>
  <c r="O132" i="8"/>
  <c r="P132" i="8"/>
  <c r="Q132" i="8"/>
  <c r="R132" i="8"/>
  <c r="S132" i="8"/>
  <c r="T132" i="8"/>
  <c r="V132" i="8"/>
  <c r="W132" i="8"/>
  <c r="X132" i="8"/>
  <c r="Y132" i="8"/>
  <c r="Z132" i="8"/>
  <c r="AA132" i="8"/>
  <c r="AC132" i="8"/>
  <c r="AD132" i="8"/>
  <c r="AE132" i="8"/>
  <c r="AF132" i="8"/>
  <c r="AG132" i="8"/>
  <c r="AH132" i="8"/>
  <c r="AI132" i="8"/>
  <c r="AJ132" i="8"/>
  <c r="AK132" i="8"/>
  <c r="AM132" i="8"/>
  <c r="AN132" i="8"/>
  <c r="AO132" i="8"/>
  <c r="AP132" i="8"/>
  <c r="AQ132" i="8"/>
  <c r="AR132" i="8"/>
  <c r="AT132" i="8"/>
  <c r="AU132" i="8"/>
  <c r="AV132" i="8"/>
  <c r="AW132" i="8"/>
  <c r="AX132" i="8"/>
  <c r="AY132" i="8"/>
  <c r="AZ132" i="8"/>
  <c r="BA132" i="8"/>
  <c r="BB132" i="8"/>
  <c r="BD132" i="8"/>
  <c r="A133" i="8"/>
  <c r="B133" i="8"/>
  <c r="C133" i="8"/>
  <c r="D133" i="8"/>
  <c r="E133" i="8"/>
  <c r="F133" i="8"/>
  <c r="G133" i="8"/>
  <c r="H133" i="8"/>
  <c r="I133" i="8"/>
  <c r="J133" i="8"/>
  <c r="L133" i="8"/>
  <c r="M133" i="8"/>
  <c r="N133" i="8"/>
  <c r="O133" i="8"/>
  <c r="P133" i="8"/>
  <c r="Q133" i="8"/>
  <c r="R133" i="8"/>
  <c r="S133" i="8"/>
  <c r="T133" i="8"/>
  <c r="V133" i="8"/>
  <c r="W133" i="8"/>
  <c r="X133" i="8"/>
  <c r="Y133" i="8"/>
  <c r="Z133" i="8"/>
  <c r="AA133" i="8"/>
  <c r="AC133" i="8"/>
  <c r="AD133" i="8"/>
  <c r="AE133" i="8"/>
  <c r="AF133" i="8"/>
  <c r="AG133" i="8"/>
  <c r="AH133" i="8"/>
  <c r="AI133" i="8"/>
  <c r="AJ133" i="8"/>
  <c r="AK133" i="8"/>
  <c r="AM133" i="8"/>
  <c r="AN133" i="8"/>
  <c r="AO133" i="8"/>
  <c r="AP133" i="8"/>
  <c r="AQ133" i="8"/>
  <c r="AR133" i="8"/>
  <c r="AT133" i="8"/>
  <c r="AU133" i="8"/>
  <c r="AV133" i="8"/>
  <c r="AW133" i="8"/>
  <c r="AX133" i="8"/>
  <c r="AY133" i="8"/>
  <c r="AZ133" i="8"/>
  <c r="BA133" i="8"/>
  <c r="BB133" i="8"/>
  <c r="BD133" i="8"/>
  <c r="A134" i="8"/>
  <c r="B134" i="8"/>
  <c r="C134" i="8"/>
  <c r="D134" i="8"/>
  <c r="E134" i="8"/>
  <c r="F134" i="8"/>
  <c r="G134" i="8"/>
  <c r="H134" i="8"/>
  <c r="I134" i="8"/>
  <c r="J134" i="8"/>
  <c r="L134" i="8"/>
  <c r="M134" i="8"/>
  <c r="N134" i="8"/>
  <c r="O134" i="8"/>
  <c r="P134" i="8"/>
  <c r="Q134" i="8"/>
  <c r="R134" i="8"/>
  <c r="S134" i="8"/>
  <c r="T134" i="8"/>
  <c r="V134" i="8"/>
  <c r="W134" i="8"/>
  <c r="X134" i="8"/>
  <c r="Y134" i="8"/>
  <c r="Z134" i="8"/>
  <c r="AA134" i="8"/>
  <c r="AC134" i="8"/>
  <c r="AD134" i="8"/>
  <c r="AE134" i="8"/>
  <c r="AF134" i="8"/>
  <c r="AG134" i="8"/>
  <c r="AH134" i="8"/>
  <c r="AI134" i="8"/>
  <c r="AJ134" i="8"/>
  <c r="AK134" i="8"/>
  <c r="AM134" i="8"/>
  <c r="AN134" i="8"/>
  <c r="AO134" i="8"/>
  <c r="AP134" i="8"/>
  <c r="AQ134" i="8"/>
  <c r="AR134" i="8"/>
  <c r="AT134" i="8"/>
  <c r="AU134" i="8"/>
  <c r="AV134" i="8"/>
  <c r="AW134" i="8"/>
  <c r="AX134" i="8"/>
  <c r="AY134" i="8"/>
  <c r="AZ134" i="8"/>
  <c r="BA134" i="8"/>
  <c r="BB134" i="8"/>
  <c r="BD134" i="8"/>
  <c r="A135" i="8"/>
  <c r="B135" i="8"/>
  <c r="C135" i="8"/>
  <c r="D135" i="8"/>
  <c r="E135" i="8"/>
  <c r="F135" i="8"/>
  <c r="G135" i="8"/>
  <c r="H135" i="8"/>
  <c r="I135" i="8"/>
  <c r="J135" i="8"/>
  <c r="L135" i="8"/>
  <c r="M135" i="8"/>
  <c r="N135" i="8"/>
  <c r="O135" i="8"/>
  <c r="P135" i="8"/>
  <c r="Q135" i="8"/>
  <c r="R135" i="8"/>
  <c r="S135" i="8"/>
  <c r="T135" i="8"/>
  <c r="V135" i="8"/>
  <c r="W135" i="8"/>
  <c r="X135" i="8"/>
  <c r="Y135" i="8"/>
  <c r="Z135" i="8"/>
  <c r="AA135" i="8"/>
  <c r="AC135" i="8"/>
  <c r="AD135" i="8"/>
  <c r="AE135" i="8"/>
  <c r="AF135" i="8"/>
  <c r="AG135" i="8"/>
  <c r="AH135" i="8"/>
  <c r="AI135" i="8"/>
  <c r="AJ135" i="8"/>
  <c r="AK135" i="8"/>
  <c r="AM135" i="8"/>
  <c r="AN135" i="8"/>
  <c r="AO135" i="8"/>
  <c r="AP135" i="8"/>
  <c r="AQ135" i="8"/>
  <c r="AR135" i="8"/>
  <c r="AT135" i="8"/>
  <c r="AU135" i="8"/>
  <c r="AV135" i="8"/>
  <c r="AW135" i="8"/>
  <c r="AX135" i="8"/>
  <c r="AY135" i="8"/>
  <c r="AZ135" i="8"/>
  <c r="BA135" i="8"/>
  <c r="BB135" i="8"/>
  <c r="BD135" i="8"/>
  <c r="A136" i="8"/>
  <c r="B136" i="8"/>
  <c r="C136" i="8"/>
  <c r="D136" i="8"/>
  <c r="E136" i="8"/>
  <c r="F136" i="8"/>
  <c r="G136" i="8"/>
  <c r="H136" i="8"/>
  <c r="I136" i="8"/>
  <c r="J136" i="8"/>
  <c r="L136" i="8"/>
  <c r="M136" i="8"/>
  <c r="N136" i="8"/>
  <c r="O136" i="8"/>
  <c r="P136" i="8"/>
  <c r="Q136" i="8"/>
  <c r="R136" i="8"/>
  <c r="S136" i="8"/>
  <c r="T136" i="8"/>
  <c r="V136" i="8"/>
  <c r="W136" i="8"/>
  <c r="X136" i="8"/>
  <c r="Y136" i="8"/>
  <c r="Z136" i="8"/>
  <c r="AA136" i="8"/>
  <c r="AC136" i="8"/>
  <c r="AD136" i="8"/>
  <c r="AE136" i="8"/>
  <c r="AF136" i="8"/>
  <c r="AG136" i="8"/>
  <c r="AH136" i="8"/>
  <c r="AI136" i="8"/>
  <c r="AJ136" i="8"/>
  <c r="AK136" i="8"/>
  <c r="AM136" i="8"/>
  <c r="AN136" i="8"/>
  <c r="AO136" i="8"/>
  <c r="AP136" i="8"/>
  <c r="AQ136" i="8"/>
  <c r="AR136" i="8"/>
  <c r="AT136" i="8"/>
  <c r="AU136" i="8"/>
  <c r="AV136" i="8"/>
  <c r="AW136" i="8"/>
  <c r="AX136" i="8"/>
  <c r="AY136" i="8"/>
  <c r="AZ136" i="8"/>
  <c r="BA136" i="8"/>
  <c r="BB136" i="8"/>
  <c r="BD136" i="8"/>
  <c r="A137" i="8"/>
  <c r="B137" i="8"/>
  <c r="C137" i="8"/>
  <c r="D137" i="8"/>
  <c r="E137" i="8"/>
  <c r="F137" i="8"/>
  <c r="G137" i="8"/>
  <c r="H137" i="8"/>
  <c r="I137" i="8"/>
  <c r="J137" i="8"/>
  <c r="L137" i="8"/>
  <c r="M137" i="8"/>
  <c r="N137" i="8"/>
  <c r="O137" i="8"/>
  <c r="P137" i="8"/>
  <c r="Q137" i="8"/>
  <c r="R137" i="8"/>
  <c r="S137" i="8"/>
  <c r="T137" i="8"/>
  <c r="V137" i="8"/>
  <c r="W137" i="8"/>
  <c r="X137" i="8"/>
  <c r="Y137" i="8"/>
  <c r="Z137" i="8"/>
  <c r="AA137" i="8"/>
  <c r="AC137" i="8"/>
  <c r="AD137" i="8"/>
  <c r="AE137" i="8"/>
  <c r="AF137" i="8"/>
  <c r="AG137" i="8"/>
  <c r="AH137" i="8"/>
  <c r="AI137" i="8"/>
  <c r="AJ137" i="8"/>
  <c r="AK137" i="8"/>
  <c r="AM137" i="8"/>
  <c r="AN137" i="8"/>
  <c r="AO137" i="8"/>
  <c r="AP137" i="8"/>
  <c r="AQ137" i="8"/>
  <c r="AR137" i="8"/>
  <c r="AT137" i="8"/>
  <c r="AU137" i="8"/>
  <c r="AV137" i="8"/>
  <c r="AW137" i="8"/>
  <c r="AX137" i="8"/>
  <c r="AY137" i="8"/>
  <c r="AZ137" i="8"/>
  <c r="BA137" i="8"/>
  <c r="BB137" i="8"/>
  <c r="BD137" i="8"/>
  <c r="A138" i="8"/>
  <c r="B138" i="8"/>
  <c r="C138" i="8"/>
  <c r="D138" i="8"/>
  <c r="E138" i="8"/>
  <c r="F138" i="8"/>
  <c r="G138" i="8"/>
  <c r="H138" i="8"/>
  <c r="I138" i="8"/>
  <c r="J138" i="8"/>
  <c r="L138" i="8"/>
  <c r="M138" i="8"/>
  <c r="N138" i="8"/>
  <c r="O138" i="8"/>
  <c r="P138" i="8"/>
  <c r="Q138" i="8"/>
  <c r="R138" i="8"/>
  <c r="S138" i="8"/>
  <c r="T138" i="8"/>
  <c r="V138" i="8"/>
  <c r="W138" i="8"/>
  <c r="X138" i="8"/>
  <c r="Y138" i="8"/>
  <c r="Z138" i="8"/>
  <c r="AA138" i="8"/>
  <c r="AC138" i="8"/>
  <c r="AD138" i="8"/>
  <c r="AE138" i="8"/>
  <c r="AF138" i="8"/>
  <c r="AG138" i="8"/>
  <c r="AH138" i="8"/>
  <c r="AI138" i="8"/>
  <c r="AJ138" i="8"/>
  <c r="AK138" i="8"/>
  <c r="AM138" i="8"/>
  <c r="AN138" i="8"/>
  <c r="AO138" i="8"/>
  <c r="AP138" i="8"/>
  <c r="AQ138" i="8"/>
  <c r="AR138" i="8"/>
  <c r="AT138" i="8"/>
  <c r="AU138" i="8"/>
  <c r="AV138" i="8"/>
  <c r="AW138" i="8"/>
  <c r="AX138" i="8"/>
  <c r="AY138" i="8"/>
  <c r="AZ138" i="8"/>
  <c r="BA138" i="8"/>
  <c r="BB138" i="8"/>
  <c r="BD138" i="8"/>
  <c r="A139" i="8"/>
  <c r="B139" i="8"/>
  <c r="C139" i="8"/>
  <c r="D139" i="8"/>
  <c r="E139" i="8"/>
  <c r="F139" i="8"/>
  <c r="G139" i="8"/>
  <c r="H139" i="8"/>
  <c r="I139" i="8"/>
  <c r="J139" i="8"/>
  <c r="L139" i="8"/>
  <c r="M139" i="8"/>
  <c r="N139" i="8"/>
  <c r="O139" i="8"/>
  <c r="P139" i="8"/>
  <c r="Q139" i="8"/>
  <c r="R139" i="8"/>
  <c r="S139" i="8"/>
  <c r="T139" i="8"/>
  <c r="V139" i="8"/>
  <c r="W139" i="8"/>
  <c r="X139" i="8"/>
  <c r="Y139" i="8"/>
  <c r="Z139" i="8"/>
  <c r="AA139" i="8"/>
  <c r="AC139" i="8"/>
  <c r="AD139" i="8"/>
  <c r="AE139" i="8"/>
  <c r="AF139" i="8"/>
  <c r="AG139" i="8"/>
  <c r="AH139" i="8"/>
  <c r="AI139" i="8"/>
  <c r="AJ139" i="8"/>
  <c r="AK139" i="8"/>
  <c r="AM139" i="8"/>
  <c r="AN139" i="8"/>
  <c r="AO139" i="8"/>
  <c r="AP139" i="8"/>
  <c r="AQ139" i="8"/>
  <c r="AR139" i="8"/>
  <c r="AT139" i="8"/>
  <c r="AU139" i="8"/>
  <c r="AV139" i="8"/>
  <c r="AW139" i="8"/>
  <c r="AX139" i="8"/>
  <c r="AY139" i="8"/>
  <c r="AZ139" i="8"/>
  <c r="BA139" i="8"/>
  <c r="BB139" i="8"/>
  <c r="BD139" i="8"/>
  <c r="A140" i="8"/>
  <c r="B140" i="8"/>
  <c r="C140" i="8"/>
  <c r="D140" i="8"/>
  <c r="E140" i="8"/>
  <c r="F140" i="8"/>
  <c r="G140" i="8"/>
  <c r="H140" i="8"/>
  <c r="I140" i="8"/>
  <c r="J140" i="8"/>
  <c r="L140" i="8"/>
  <c r="M140" i="8"/>
  <c r="N140" i="8"/>
  <c r="O140" i="8"/>
  <c r="P140" i="8"/>
  <c r="Q140" i="8"/>
  <c r="R140" i="8"/>
  <c r="S140" i="8"/>
  <c r="T140" i="8"/>
  <c r="V140" i="8"/>
  <c r="W140" i="8"/>
  <c r="X140" i="8"/>
  <c r="Y140" i="8"/>
  <c r="Z140" i="8"/>
  <c r="AA140" i="8"/>
  <c r="AC140" i="8"/>
  <c r="AD140" i="8"/>
  <c r="AE140" i="8"/>
  <c r="AF140" i="8"/>
  <c r="AG140" i="8"/>
  <c r="AH140" i="8"/>
  <c r="AI140" i="8"/>
  <c r="AJ140" i="8"/>
  <c r="AK140" i="8"/>
  <c r="AM140" i="8"/>
  <c r="AN140" i="8"/>
  <c r="AO140" i="8"/>
  <c r="AP140" i="8"/>
  <c r="AQ140" i="8"/>
  <c r="AR140" i="8"/>
  <c r="AT140" i="8"/>
  <c r="AU140" i="8"/>
  <c r="AV140" i="8"/>
  <c r="AW140" i="8"/>
  <c r="AX140" i="8"/>
  <c r="AY140" i="8"/>
  <c r="AZ140" i="8"/>
  <c r="BA140" i="8"/>
  <c r="BB140" i="8"/>
  <c r="BD140" i="8"/>
  <c r="A141" i="8"/>
  <c r="B141" i="8"/>
  <c r="C141" i="8"/>
  <c r="D141" i="8"/>
  <c r="E141" i="8"/>
  <c r="F141" i="8"/>
  <c r="G141" i="8"/>
  <c r="H141" i="8"/>
  <c r="I141" i="8"/>
  <c r="J141" i="8"/>
  <c r="L141" i="8"/>
  <c r="M141" i="8"/>
  <c r="N141" i="8"/>
  <c r="O141" i="8"/>
  <c r="P141" i="8"/>
  <c r="Q141" i="8"/>
  <c r="R141" i="8"/>
  <c r="S141" i="8"/>
  <c r="T141" i="8"/>
  <c r="V141" i="8"/>
  <c r="W141" i="8"/>
  <c r="X141" i="8"/>
  <c r="Y141" i="8"/>
  <c r="Z141" i="8"/>
  <c r="AA141" i="8"/>
  <c r="AC141" i="8"/>
  <c r="AD141" i="8"/>
  <c r="AE141" i="8"/>
  <c r="AF141" i="8"/>
  <c r="AG141" i="8"/>
  <c r="AH141" i="8"/>
  <c r="AI141" i="8"/>
  <c r="AJ141" i="8"/>
  <c r="AK141" i="8"/>
  <c r="AM141" i="8"/>
  <c r="AN141" i="8"/>
  <c r="AO141" i="8"/>
  <c r="AP141" i="8"/>
  <c r="AQ141" i="8"/>
  <c r="AR141" i="8"/>
  <c r="AT141" i="8"/>
  <c r="AU141" i="8"/>
  <c r="AV141" i="8"/>
  <c r="AW141" i="8"/>
  <c r="AX141" i="8"/>
  <c r="AY141" i="8"/>
  <c r="AZ141" i="8"/>
  <c r="BA141" i="8"/>
  <c r="BB141" i="8"/>
  <c r="BD141" i="8"/>
  <c r="A142" i="8"/>
  <c r="B142" i="8"/>
  <c r="C142" i="8"/>
  <c r="D142" i="8"/>
  <c r="E142" i="8"/>
  <c r="F142" i="8"/>
  <c r="G142" i="8"/>
  <c r="H142" i="8"/>
  <c r="I142" i="8"/>
  <c r="J142" i="8"/>
  <c r="L142" i="8"/>
  <c r="M142" i="8"/>
  <c r="N142" i="8"/>
  <c r="O142" i="8"/>
  <c r="P142" i="8"/>
  <c r="Q142" i="8"/>
  <c r="R142" i="8"/>
  <c r="S142" i="8"/>
  <c r="T142" i="8"/>
  <c r="V142" i="8"/>
  <c r="W142" i="8"/>
  <c r="X142" i="8"/>
  <c r="Y142" i="8"/>
  <c r="Z142" i="8"/>
  <c r="AA142" i="8"/>
  <c r="AC142" i="8"/>
  <c r="AD142" i="8"/>
  <c r="AE142" i="8"/>
  <c r="AF142" i="8"/>
  <c r="AG142" i="8"/>
  <c r="AH142" i="8"/>
  <c r="AI142" i="8"/>
  <c r="AJ142" i="8"/>
  <c r="AK142" i="8"/>
  <c r="AM142" i="8"/>
  <c r="AN142" i="8"/>
  <c r="AO142" i="8"/>
  <c r="AP142" i="8"/>
  <c r="AQ142" i="8"/>
  <c r="AR142" i="8"/>
  <c r="AT142" i="8"/>
  <c r="AU142" i="8"/>
  <c r="AV142" i="8"/>
  <c r="AW142" i="8"/>
  <c r="AX142" i="8"/>
  <c r="AY142" i="8"/>
  <c r="AZ142" i="8"/>
  <c r="BA142" i="8"/>
  <c r="BB142" i="8"/>
  <c r="BD142" i="8"/>
  <c r="A143" i="8"/>
  <c r="B143" i="8"/>
  <c r="C143" i="8"/>
  <c r="D143" i="8"/>
  <c r="E143" i="8"/>
  <c r="F143" i="8"/>
  <c r="G143" i="8"/>
  <c r="H143" i="8"/>
  <c r="I143" i="8"/>
  <c r="J143" i="8"/>
  <c r="L143" i="8"/>
  <c r="M143" i="8"/>
  <c r="N143" i="8"/>
  <c r="O143" i="8"/>
  <c r="P143" i="8"/>
  <c r="Q143" i="8"/>
  <c r="R143" i="8"/>
  <c r="S143" i="8"/>
  <c r="T143" i="8"/>
  <c r="V143" i="8"/>
  <c r="W143" i="8"/>
  <c r="X143" i="8"/>
  <c r="Y143" i="8"/>
  <c r="Z143" i="8"/>
  <c r="AA143" i="8"/>
  <c r="AC143" i="8"/>
  <c r="AD143" i="8"/>
  <c r="AE143" i="8"/>
  <c r="AF143" i="8"/>
  <c r="AG143" i="8"/>
  <c r="AH143" i="8"/>
  <c r="AI143" i="8"/>
  <c r="AJ143" i="8"/>
  <c r="AK143" i="8"/>
  <c r="AM143" i="8"/>
  <c r="AN143" i="8"/>
  <c r="AO143" i="8"/>
  <c r="AP143" i="8"/>
  <c r="AQ143" i="8"/>
  <c r="AR143" i="8"/>
  <c r="AT143" i="8"/>
  <c r="AU143" i="8"/>
  <c r="AV143" i="8"/>
  <c r="AW143" i="8"/>
  <c r="AX143" i="8"/>
  <c r="AY143" i="8"/>
  <c r="AZ143" i="8"/>
  <c r="BA143" i="8"/>
  <c r="BB143" i="8"/>
  <c r="BD143" i="8"/>
  <c r="A144" i="8"/>
  <c r="B144" i="8"/>
  <c r="C144" i="8"/>
  <c r="D144" i="8"/>
  <c r="E144" i="8"/>
  <c r="F144" i="8"/>
  <c r="G144" i="8"/>
  <c r="H144" i="8"/>
  <c r="I144" i="8"/>
  <c r="J144" i="8"/>
  <c r="L144" i="8"/>
  <c r="M144" i="8"/>
  <c r="N144" i="8"/>
  <c r="O144" i="8"/>
  <c r="P144" i="8"/>
  <c r="Q144" i="8"/>
  <c r="R144" i="8"/>
  <c r="S144" i="8"/>
  <c r="T144" i="8"/>
  <c r="V144" i="8"/>
  <c r="W144" i="8"/>
  <c r="X144" i="8"/>
  <c r="Y144" i="8"/>
  <c r="Z144" i="8"/>
  <c r="AA144" i="8"/>
  <c r="AC144" i="8"/>
  <c r="AD144" i="8"/>
  <c r="AE144" i="8"/>
  <c r="AF144" i="8"/>
  <c r="AG144" i="8"/>
  <c r="AH144" i="8"/>
  <c r="AI144" i="8"/>
  <c r="AJ144" i="8"/>
  <c r="AK144" i="8"/>
  <c r="AM144" i="8"/>
  <c r="AN144" i="8"/>
  <c r="AO144" i="8"/>
  <c r="AP144" i="8"/>
  <c r="AQ144" i="8"/>
  <c r="AR144" i="8"/>
  <c r="AT144" i="8"/>
  <c r="AU144" i="8"/>
  <c r="AV144" i="8"/>
  <c r="AW144" i="8"/>
  <c r="AX144" i="8"/>
  <c r="AY144" i="8"/>
  <c r="AZ144" i="8"/>
  <c r="BA144" i="8"/>
  <c r="BB144" i="8"/>
  <c r="BD144" i="8"/>
  <c r="A145" i="8"/>
  <c r="B145" i="8"/>
  <c r="C145" i="8"/>
  <c r="D145" i="8"/>
  <c r="E145" i="8"/>
  <c r="F145" i="8"/>
  <c r="G145" i="8"/>
  <c r="H145" i="8"/>
  <c r="I145" i="8"/>
  <c r="J145" i="8"/>
  <c r="L145" i="8"/>
  <c r="M145" i="8"/>
  <c r="N145" i="8"/>
  <c r="O145" i="8"/>
  <c r="P145" i="8"/>
  <c r="Q145" i="8"/>
  <c r="R145" i="8"/>
  <c r="S145" i="8"/>
  <c r="T145" i="8"/>
  <c r="V145" i="8"/>
  <c r="W145" i="8"/>
  <c r="X145" i="8"/>
  <c r="Y145" i="8"/>
  <c r="Z145" i="8"/>
  <c r="AA145" i="8"/>
  <c r="AC145" i="8"/>
  <c r="AD145" i="8"/>
  <c r="AE145" i="8"/>
  <c r="AF145" i="8"/>
  <c r="AG145" i="8"/>
  <c r="AH145" i="8"/>
  <c r="AI145" i="8"/>
  <c r="AJ145" i="8"/>
  <c r="AK145" i="8"/>
  <c r="AM145" i="8"/>
  <c r="AN145" i="8"/>
  <c r="AO145" i="8"/>
  <c r="AP145" i="8"/>
  <c r="AQ145" i="8"/>
  <c r="AR145" i="8"/>
  <c r="AT145" i="8"/>
  <c r="AU145" i="8"/>
  <c r="AV145" i="8"/>
  <c r="AW145" i="8"/>
  <c r="AX145" i="8"/>
  <c r="AY145" i="8"/>
  <c r="AZ145" i="8"/>
  <c r="BA145" i="8"/>
  <c r="BB145" i="8"/>
  <c r="BD145" i="8"/>
  <c r="A146" i="8"/>
  <c r="B146" i="8"/>
  <c r="C146" i="8"/>
  <c r="D146" i="8"/>
  <c r="E146" i="8"/>
  <c r="F146" i="8"/>
  <c r="G146" i="8"/>
  <c r="H146" i="8"/>
  <c r="I146" i="8"/>
  <c r="J146" i="8"/>
  <c r="L146" i="8"/>
  <c r="M146" i="8"/>
  <c r="N146" i="8"/>
  <c r="O146" i="8"/>
  <c r="P146" i="8"/>
  <c r="Q146" i="8"/>
  <c r="R146" i="8"/>
  <c r="S146" i="8"/>
  <c r="T146" i="8"/>
  <c r="V146" i="8"/>
  <c r="W146" i="8"/>
  <c r="X146" i="8"/>
  <c r="Y146" i="8"/>
  <c r="Z146" i="8"/>
  <c r="AA146" i="8"/>
  <c r="AC146" i="8"/>
  <c r="AD146" i="8"/>
  <c r="AE146" i="8"/>
  <c r="AF146" i="8"/>
  <c r="AG146" i="8"/>
  <c r="AH146" i="8"/>
  <c r="AI146" i="8"/>
  <c r="AJ146" i="8"/>
  <c r="AK146" i="8"/>
  <c r="AM146" i="8"/>
  <c r="AN146" i="8"/>
  <c r="AO146" i="8"/>
  <c r="AP146" i="8"/>
  <c r="AQ146" i="8"/>
  <c r="AR146" i="8"/>
  <c r="AT146" i="8"/>
  <c r="AU146" i="8"/>
  <c r="AV146" i="8"/>
  <c r="AW146" i="8"/>
  <c r="AX146" i="8"/>
  <c r="AY146" i="8"/>
  <c r="AZ146" i="8"/>
  <c r="BA146" i="8"/>
  <c r="BB146" i="8"/>
  <c r="BD146" i="8"/>
  <c r="A147" i="8"/>
  <c r="B147" i="8"/>
  <c r="C147" i="8"/>
  <c r="D147" i="8"/>
  <c r="E147" i="8"/>
  <c r="F147" i="8"/>
  <c r="G147" i="8"/>
  <c r="H147" i="8"/>
  <c r="I147" i="8"/>
  <c r="J147" i="8"/>
  <c r="L147" i="8"/>
  <c r="M147" i="8"/>
  <c r="N147" i="8"/>
  <c r="O147" i="8"/>
  <c r="P147" i="8"/>
  <c r="Q147" i="8"/>
  <c r="R147" i="8"/>
  <c r="S147" i="8"/>
  <c r="T147" i="8"/>
  <c r="V147" i="8"/>
  <c r="W147" i="8"/>
  <c r="X147" i="8"/>
  <c r="Y147" i="8"/>
  <c r="Z147" i="8"/>
  <c r="AA147" i="8"/>
  <c r="AC147" i="8"/>
  <c r="AD147" i="8"/>
  <c r="AE147" i="8"/>
  <c r="AF147" i="8"/>
  <c r="AG147" i="8"/>
  <c r="AH147" i="8"/>
  <c r="AI147" i="8"/>
  <c r="AJ147" i="8"/>
  <c r="AK147" i="8"/>
  <c r="AM147" i="8"/>
  <c r="AN147" i="8"/>
  <c r="AO147" i="8"/>
  <c r="AP147" i="8"/>
  <c r="AQ147" i="8"/>
  <c r="AR147" i="8"/>
  <c r="AT147" i="8"/>
  <c r="AU147" i="8"/>
  <c r="AV147" i="8"/>
  <c r="AW147" i="8"/>
  <c r="AX147" i="8"/>
  <c r="AY147" i="8"/>
  <c r="AZ147" i="8"/>
  <c r="BA147" i="8"/>
  <c r="BB147" i="8"/>
  <c r="BD147" i="8"/>
  <c r="A148" i="8"/>
  <c r="B148" i="8"/>
  <c r="C148" i="8"/>
  <c r="D148" i="8"/>
  <c r="E148" i="8"/>
  <c r="F148" i="8"/>
  <c r="G148" i="8"/>
  <c r="H148" i="8"/>
  <c r="I148" i="8"/>
  <c r="J148" i="8"/>
  <c r="L148" i="8"/>
  <c r="M148" i="8"/>
  <c r="N148" i="8"/>
  <c r="O148" i="8"/>
  <c r="P148" i="8"/>
  <c r="Q148" i="8"/>
  <c r="R148" i="8"/>
  <c r="S148" i="8"/>
  <c r="T148" i="8"/>
  <c r="V148" i="8"/>
  <c r="W148" i="8"/>
  <c r="X148" i="8"/>
  <c r="Y148" i="8"/>
  <c r="Z148" i="8"/>
  <c r="AA148" i="8"/>
  <c r="AC148" i="8"/>
  <c r="AD148" i="8"/>
  <c r="AE148" i="8"/>
  <c r="AF148" i="8"/>
  <c r="AG148" i="8"/>
  <c r="AH148" i="8"/>
  <c r="AI148" i="8"/>
  <c r="AJ148" i="8"/>
  <c r="AK148" i="8"/>
  <c r="AM148" i="8"/>
  <c r="AN148" i="8"/>
  <c r="AO148" i="8"/>
  <c r="AP148" i="8"/>
  <c r="AQ148" i="8"/>
  <c r="AR148" i="8"/>
  <c r="AT148" i="8"/>
  <c r="AU148" i="8"/>
  <c r="AV148" i="8"/>
  <c r="AW148" i="8"/>
  <c r="AX148" i="8"/>
  <c r="AY148" i="8"/>
  <c r="AZ148" i="8"/>
  <c r="BA148" i="8"/>
  <c r="BB148" i="8"/>
  <c r="BD148" i="8"/>
  <c r="A149" i="8"/>
  <c r="B149" i="8"/>
  <c r="C149" i="8"/>
  <c r="D149" i="8"/>
  <c r="E149" i="8"/>
  <c r="F149" i="8"/>
  <c r="G149" i="8"/>
  <c r="H149" i="8"/>
  <c r="I149" i="8"/>
  <c r="J149" i="8"/>
  <c r="L149" i="8"/>
  <c r="M149" i="8"/>
  <c r="N149" i="8"/>
  <c r="O149" i="8"/>
  <c r="P149" i="8"/>
  <c r="Q149" i="8"/>
  <c r="R149" i="8"/>
  <c r="S149" i="8"/>
  <c r="T149" i="8"/>
  <c r="V149" i="8"/>
  <c r="W149" i="8"/>
  <c r="X149" i="8"/>
  <c r="Y149" i="8"/>
  <c r="Z149" i="8"/>
  <c r="AA149" i="8"/>
  <c r="AC149" i="8"/>
  <c r="AD149" i="8"/>
  <c r="AE149" i="8"/>
  <c r="AF149" i="8"/>
  <c r="AG149" i="8"/>
  <c r="AH149" i="8"/>
  <c r="AI149" i="8"/>
  <c r="AJ149" i="8"/>
  <c r="AK149" i="8"/>
  <c r="AM149" i="8"/>
  <c r="AN149" i="8"/>
  <c r="AO149" i="8"/>
  <c r="AP149" i="8"/>
  <c r="AQ149" i="8"/>
  <c r="AR149" i="8"/>
  <c r="AT149" i="8"/>
  <c r="AU149" i="8"/>
  <c r="AV149" i="8"/>
  <c r="AW149" i="8"/>
  <c r="AX149" i="8"/>
  <c r="AY149" i="8"/>
  <c r="AZ149" i="8"/>
  <c r="BA149" i="8"/>
  <c r="BB149" i="8"/>
  <c r="BD149" i="8"/>
  <c r="A150" i="8"/>
  <c r="B150" i="8"/>
  <c r="C150" i="8"/>
  <c r="D150" i="8"/>
  <c r="E150" i="8"/>
  <c r="F150" i="8"/>
  <c r="G150" i="8"/>
  <c r="H150" i="8"/>
  <c r="I150" i="8"/>
  <c r="J150" i="8"/>
  <c r="L150" i="8"/>
  <c r="M150" i="8"/>
  <c r="N150" i="8"/>
  <c r="O150" i="8"/>
  <c r="P150" i="8"/>
  <c r="Q150" i="8"/>
  <c r="R150" i="8"/>
  <c r="S150" i="8"/>
  <c r="T150" i="8"/>
  <c r="V150" i="8"/>
  <c r="W150" i="8"/>
  <c r="X150" i="8"/>
  <c r="Y150" i="8"/>
  <c r="Z150" i="8"/>
  <c r="AA150" i="8"/>
  <c r="AC150" i="8"/>
  <c r="AD150" i="8"/>
  <c r="AE150" i="8"/>
  <c r="AF150" i="8"/>
  <c r="AG150" i="8"/>
  <c r="AH150" i="8"/>
  <c r="AI150" i="8"/>
  <c r="AJ150" i="8"/>
  <c r="AK150" i="8"/>
  <c r="AM150" i="8"/>
  <c r="AN150" i="8"/>
  <c r="AO150" i="8"/>
  <c r="AP150" i="8"/>
  <c r="AQ150" i="8"/>
  <c r="AR150" i="8"/>
  <c r="AT150" i="8"/>
  <c r="AU150" i="8"/>
  <c r="AV150" i="8"/>
  <c r="AW150" i="8"/>
  <c r="AX150" i="8"/>
  <c r="AY150" i="8"/>
  <c r="AZ150" i="8"/>
  <c r="BA150" i="8"/>
  <c r="BB150" i="8"/>
  <c r="BD150" i="8"/>
  <c r="A151" i="8"/>
  <c r="B151" i="8"/>
  <c r="C151" i="8"/>
  <c r="D151" i="8"/>
  <c r="E151" i="8"/>
  <c r="F151" i="8"/>
  <c r="G151" i="8"/>
  <c r="H151" i="8"/>
  <c r="I151" i="8"/>
  <c r="J151" i="8"/>
  <c r="L151" i="8"/>
  <c r="M151" i="8"/>
  <c r="N151" i="8"/>
  <c r="O151" i="8"/>
  <c r="P151" i="8"/>
  <c r="Q151" i="8"/>
  <c r="R151" i="8"/>
  <c r="S151" i="8"/>
  <c r="T151" i="8"/>
  <c r="V151" i="8"/>
  <c r="W151" i="8"/>
  <c r="X151" i="8"/>
  <c r="Y151" i="8"/>
  <c r="Z151" i="8"/>
  <c r="AA151" i="8"/>
  <c r="AC151" i="8"/>
  <c r="AD151" i="8"/>
  <c r="AE151" i="8"/>
  <c r="AF151" i="8"/>
  <c r="AG151" i="8"/>
  <c r="AH151" i="8"/>
  <c r="AI151" i="8"/>
  <c r="AJ151" i="8"/>
  <c r="AK151" i="8"/>
  <c r="AM151" i="8"/>
  <c r="AN151" i="8"/>
  <c r="AO151" i="8"/>
  <c r="AP151" i="8"/>
  <c r="AQ151" i="8"/>
  <c r="AR151" i="8"/>
  <c r="AT151" i="8"/>
  <c r="AU151" i="8"/>
  <c r="AV151" i="8"/>
  <c r="AW151" i="8"/>
  <c r="AX151" i="8"/>
  <c r="AY151" i="8"/>
  <c r="AZ151" i="8"/>
  <c r="BA151" i="8"/>
  <c r="BB151" i="8"/>
  <c r="BD151" i="8"/>
  <c r="A152" i="8"/>
  <c r="B152" i="8"/>
  <c r="C152" i="8"/>
  <c r="D152" i="8"/>
  <c r="E152" i="8"/>
  <c r="F152" i="8"/>
  <c r="G152" i="8"/>
  <c r="H152" i="8"/>
  <c r="I152" i="8"/>
  <c r="J152" i="8"/>
  <c r="L152" i="8"/>
  <c r="M152" i="8"/>
  <c r="N152" i="8"/>
  <c r="O152" i="8"/>
  <c r="P152" i="8"/>
  <c r="Q152" i="8"/>
  <c r="R152" i="8"/>
  <c r="S152" i="8"/>
  <c r="T152" i="8"/>
  <c r="V152" i="8"/>
  <c r="W152" i="8"/>
  <c r="X152" i="8"/>
  <c r="Y152" i="8"/>
  <c r="Z152" i="8"/>
  <c r="AA152" i="8"/>
  <c r="AC152" i="8"/>
  <c r="AD152" i="8"/>
  <c r="AE152" i="8"/>
  <c r="AF152" i="8"/>
  <c r="AG152" i="8"/>
  <c r="AH152" i="8"/>
  <c r="AI152" i="8"/>
  <c r="AJ152" i="8"/>
  <c r="AK152" i="8"/>
  <c r="AM152" i="8"/>
  <c r="AN152" i="8"/>
  <c r="AO152" i="8"/>
  <c r="AP152" i="8"/>
  <c r="AQ152" i="8"/>
  <c r="AR152" i="8"/>
  <c r="AT152" i="8"/>
  <c r="AU152" i="8"/>
  <c r="AV152" i="8"/>
  <c r="AW152" i="8"/>
  <c r="AX152" i="8"/>
  <c r="AY152" i="8"/>
  <c r="AZ152" i="8"/>
  <c r="BA152" i="8"/>
  <c r="BB152" i="8"/>
  <c r="BD152" i="8"/>
  <c r="A153" i="8"/>
  <c r="B153" i="8"/>
  <c r="C153" i="8"/>
  <c r="D153" i="8"/>
  <c r="E153" i="8"/>
  <c r="F153" i="8"/>
  <c r="G153" i="8"/>
  <c r="H153" i="8"/>
  <c r="I153" i="8"/>
  <c r="J153" i="8"/>
  <c r="L153" i="8"/>
  <c r="M153" i="8"/>
  <c r="N153" i="8"/>
  <c r="O153" i="8"/>
  <c r="P153" i="8"/>
  <c r="Q153" i="8"/>
  <c r="R153" i="8"/>
  <c r="S153" i="8"/>
  <c r="T153" i="8"/>
  <c r="V153" i="8"/>
  <c r="W153" i="8"/>
  <c r="X153" i="8"/>
  <c r="Y153" i="8"/>
  <c r="Z153" i="8"/>
  <c r="AA153" i="8"/>
  <c r="AC153" i="8"/>
  <c r="AD153" i="8"/>
  <c r="AE153" i="8"/>
  <c r="AF153" i="8"/>
  <c r="AG153" i="8"/>
  <c r="AH153" i="8"/>
  <c r="AI153" i="8"/>
  <c r="AJ153" i="8"/>
  <c r="AK153" i="8"/>
  <c r="AM153" i="8"/>
  <c r="AN153" i="8"/>
  <c r="AO153" i="8"/>
  <c r="AP153" i="8"/>
  <c r="AQ153" i="8"/>
  <c r="AR153" i="8"/>
  <c r="AT153" i="8"/>
  <c r="AU153" i="8"/>
  <c r="AV153" i="8"/>
  <c r="AW153" i="8"/>
  <c r="AX153" i="8"/>
  <c r="AY153" i="8"/>
  <c r="AZ153" i="8"/>
  <c r="BA153" i="8"/>
  <c r="BB153" i="8"/>
  <c r="BD153" i="8"/>
  <c r="A154" i="8"/>
  <c r="B154" i="8"/>
  <c r="C154" i="8"/>
  <c r="D154" i="8"/>
  <c r="E154" i="8"/>
  <c r="F154" i="8"/>
  <c r="G154" i="8"/>
  <c r="H154" i="8"/>
  <c r="I154" i="8"/>
  <c r="J154" i="8"/>
  <c r="L154" i="8"/>
  <c r="M154" i="8"/>
  <c r="N154" i="8"/>
  <c r="O154" i="8"/>
  <c r="P154" i="8"/>
  <c r="Q154" i="8"/>
  <c r="R154" i="8"/>
  <c r="S154" i="8"/>
  <c r="T154" i="8"/>
  <c r="V154" i="8"/>
  <c r="W154" i="8"/>
  <c r="X154" i="8"/>
  <c r="Y154" i="8"/>
  <c r="Z154" i="8"/>
  <c r="AA154" i="8"/>
  <c r="AC154" i="8"/>
  <c r="AD154" i="8"/>
  <c r="AE154" i="8"/>
  <c r="AF154" i="8"/>
  <c r="AG154" i="8"/>
  <c r="AH154" i="8"/>
  <c r="AI154" i="8"/>
  <c r="AJ154" i="8"/>
  <c r="AK154" i="8"/>
  <c r="AM154" i="8"/>
  <c r="AN154" i="8"/>
  <c r="AO154" i="8"/>
  <c r="AP154" i="8"/>
  <c r="AQ154" i="8"/>
  <c r="AR154" i="8"/>
  <c r="AT154" i="8"/>
  <c r="AU154" i="8"/>
  <c r="AV154" i="8"/>
  <c r="AW154" i="8"/>
  <c r="AX154" i="8"/>
  <c r="AY154" i="8"/>
  <c r="AZ154" i="8"/>
  <c r="BA154" i="8"/>
  <c r="BB154" i="8"/>
  <c r="BD154" i="8"/>
  <c r="A155" i="8"/>
  <c r="B155" i="8"/>
  <c r="C155" i="8"/>
  <c r="D155" i="8"/>
  <c r="E155" i="8"/>
  <c r="F155" i="8"/>
  <c r="G155" i="8"/>
  <c r="H155" i="8"/>
  <c r="I155" i="8"/>
  <c r="J155" i="8"/>
  <c r="L155" i="8"/>
  <c r="M155" i="8"/>
  <c r="N155" i="8"/>
  <c r="O155" i="8"/>
  <c r="P155" i="8"/>
  <c r="Q155" i="8"/>
  <c r="R155" i="8"/>
  <c r="S155" i="8"/>
  <c r="T155" i="8"/>
  <c r="V155" i="8"/>
  <c r="W155" i="8"/>
  <c r="X155" i="8"/>
  <c r="Y155" i="8"/>
  <c r="Z155" i="8"/>
  <c r="AA155" i="8"/>
  <c r="AC155" i="8"/>
  <c r="AD155" i="8"/>
  <c r="AE155" i="8"/>
  <c r="AF155" i="8"/>
  <c r="AG155" i="8"/>
  <c r="AH155" i="8"/>
  <c r="AI155" i="8"/>
  <c r="AJ155" i="8"/>
  <c r="AK155" i="8"/>
  <c r="AM155" i="8"/>
  <c r="AN155" i="8"/>
  <c r="AO155" i="8"/>
  <c r="AP155" i="8"/>
  <c r="AQ155" i="8"/>
  <c r="AR155" i="8"/>
  <c r="AT155" i="8"/>
  <c r="AU155" i="8"/>
  <c r="AV155" i="8"/>
  <c r="AW155" i="8"/>
  <c r="AX155" i="8"/>
  <c r="AY155" i="8"/>
  <c r="AZ155" i="8"/>
  <c r="BA155" i="8"/>
  <c r="BB155" i="8"/>
  <c r="BD155" i="8"/>
  <c r="A156" i="8"/>
  <c r="B156" i="8"/>
  <c r="C156" i="8"/>
  <c r="D156" i="8"/>
  <c r="E156" i="8"/>
  <c r="F156" i="8"/>
  <c r="G156" i="8"/>
  <c r="H156" i="8"/>
  <c r="I156" i="8"/>
  <c r="J156" i="8"/>
  <c r="L156" i="8"/>
  <c r="M156" i="8"/>
  <c r="N156" i="8"/>
  <c r="O156" i="8"/>
  <c r="P156" i="8"/>
  <c r="Q156" i="8"/>
  <c r="R156" i="8"/>
  <c r="S156" i="8"/>
  <c r="T156" i="8"/>
  <c r="V156" i="8"/>
  <c r="W156" i="8"/>
  <c r="X156" i="8"/>
  <c r="Y156" i="8"/>
  <c r="Z156" i="8"/>
  <c r="AA156" i="8"/>
  <c r="AC156" i="8"/>
  <c r="AD156" i="8"/>
  <c r="AE156" i="8"/>
  <c r="AF156" i="8"/>
  <c r="AG156" i="8"/>
  <c r="AH156" i="8"/>
  <c r="AI156" i="8"/>
  <c r="AJ156" i="8"/>
  <c r="AK156" i="8"/>
  <c r="AM156" i="8"/>
  <c r="AN156" i="8"/>
  <c r="AO156" i="8"/>
  <c r="AP156" i="8"/>
  <c r="AQ156" i="8"/>
  <c r="AR156" i="8"/>
  <c r="AT156" i="8"/>
  <c r="AU156" i="8"/>
  <c r="AV156" i="8"/>
  <c r="AW156" i="8"/>
  <c r="AX156" i="8"/>
  <c r="AY156" i="8"/>
  <c r="AZ156" i="8"/>
  <c r="BA156" i="8"/>
  <c r="BB156" i="8"/>
  <c r="BD156" i="8"/>
  <c r="A157" i="8"/>
  <c r="B157" i="8"/>
  <c r="C157" i="8"/>
  <c r="D157" i="8"/>
  <c r="E157" i="8"/>
  <c r="F157" i="8"/>
  <c r="G157" i="8"/>
  <c r="H157" i="8"/>
  <c r="I157" i="8"/>
  <c r="J157" i="8"/>
  <c r="L157" i="8"/>
  <c r="M157" i="8"/>
  <c r="N157" i="8"/>
  <c r="O157" i="8"/>
  <c r="P157" i="8"/>
  <c r="Q157" i="8"/>
  <c r="R157" i="8"/>
  <c r="S157" i="8"/>
  <c r="T157" i="8"/>
  <c r="V157" i="8"/>
  <c r="W157" i="8"/>
  <c r="X157" i="8"/>
  <c r="Y157" i="8"/>
  <c r="Z157" i="8"/>
  <c r="AA157" i="8"/>
  <c r="AC157" i="8"/>
  <c r="AD157" i="8"/>
  <c r="AE157" i="8"/>
  <c r="AF157" i="8"/>
  <c r="AG157" i="8"/>
  <c r="AH157" i="8"/>
  <c r="AI157" i="8"/>
  <c r="AJ157" i="8"/>
  <c r="AK157" i="8"/>
  <c r="AM157" i="8"/>
  <c r="AN157" i="8"/>
  <c r="AO157" i="8"/>
  <c r="AP157" i="8"/>
  <c r="AQ157" i="8"/>
  <c r="AR157" i="8"/>
  <c r="AT157" i="8"/>
  <c r="AU157" i="8"/>
  <c r="AV157" i="8"/>
  <c r="AW157" i="8"/>
  <c r="AX157" i="8"/>
  <c r="AY157" i="8"/>
  <c r="AZ157" i="8"/>
  <c r="BA157" i="8"/>
  <c r="BB157" i="8"/>
  <c r="BD157" i="8"/>
  <c r="A158" i="8"/>
  <c r="B158" i="8"/>
  <c r="C158" i="8"/>
  <c r="D158" i="8"/>
  <c r="E158" i="8"/>
  <c r="F158" i="8"/>
  <c r="G158" i="8"/>
  <c r="H158" i="8"/>
  <c r="I158" i="8"/>
  <c r="J158" i="8"/>
  <c r="L158" i="8"/>
  <c r="M158" i="8"/>
  <c r="N158" i="8"/>
  <c r="O158" i="8"/>
  <c r="P158" i="8"/>
  <c r="Q158" i="8"/>
  <c r="R158" i="8"/>
  <c r="S158" i="8"/>
  <c r="T158" i="8"/>
  <c r="V158" i="8"/>
  <c r="W158" i="8"/>
  <c r="X158" i="8"/>
  <c r="Y158" i="8"/>
  <c r="Z158" i="8"/>
  <c r="AA158" i="8"/>
  <c r="AC158" i="8"/>
  <c r="AD158" i="8"/>
  <c r="AE158" i="8"/>
  <c r="AF158" i="8"/>
  <c r="AG158" i="8"/>
  <c r="AH158" i="8"/>
  <c r="AI158" i="8"/>
  <c r="AJ158" i="8"/>
  <c r="AK158" i="8"/>
  <c r="AM158" i="8"/>
  <c r="AN158" i="8"/>
  <c r="AO158" i="8"/>
  <c r="AP158" i="8"/>
  <c r="AQ158" i="8"/>
  <c r="AR158" i="8"/>
  <c r="AT158" i="8"/>
  <c r="AU158" i="8"/>
  <c r="AV158" i="8"/>
  <c r="AW158" i="8"/>
  <c r="AX158" i="8"/>
  <c r="AY158" i="8"/>
  <c r="AZ158" i="8"/>
  <c r="BA158" i="8"/>
  <c r="BB158" i="8"/>
  <c r="BD158" i="8"/>
  <c r="A159" i="8"/>
  <c r="B159" i="8"/>
  <c r="C159" i="8"/>
  <c r="D159" i="8"/>
  <c r="E159" i="8"/>
  <c r="F159" i="8"/>
  <c r="G159" i="8"/>
  <c r="H159" i="8"/>
  <c r="I159" i="8"/>
  <c r="J159" i="8"/>
  <c r="L159" i="8"/>
  <c r="M159" i="8"/>
  <c r="N159" i="8"/>
  <c r="O159" i="8"/>
  <c r="P159" i="8"/>
  <c r="Q159" i="8"/>
  <c r="R159" i="8"/>
  <c r="S159" i="8"/>
  <c r="T159" i="8"/>
  <c r="V159" i="8"/>
  <c r="W159" i="8"/>
  <c r="X159" i="8"/>
  <c r="Y159" i="8"/>
  <c r="Z159" i="8"/>
  <c r="AA159" i="8"/>
  <c r="AC159" i="8"/>
  <c r="AD159" i="8"/>
  <c r="AE159" i="8"/>
  <c r="AF159" i="8"/>
  <c r="AG159" i="8"/>
  <c r="AH159" i="8"/>
  <c r="AI159" i="8"/>
  <c r="AJ159" i="8"/>
  <c r="AK159" i="8"/>
  <c r="AM159" i="8"/>
  <c r="AN159" i="8"/>
  <c r="AO159" i="8"/>
  <c r="AP159" i="8"/>
  <c r="AQ159" i="8"/>
  <c r="AR159" i="8"/>
  <c r="AT159" i="8"/>
  <c r="AU159" i="8"/>
  <c r="AV159" i="8"/>
  <c r="AW159" i="8"/>
  <c r="AX159" i="8"/>
  <c r="AY159" i="8"/>
  <c r="AZ159" i="8"/>
  <c r="BA159" i="8"/>
  <c r="BB159" i="8"/>
  <c r="BD159" i="8"/>
  <c r="A160" i="8"/>
  <c r="B160" i="8"/>
  <c r="C160" i="8"/>
  <c r="D160" i="8"/>
  <c r="E160" i="8"/>
  <c r="F160" i="8"/>
  <c r="G160" i="8"/>
  <c r="H160" i="8"/>
  <c r="I160" i="8"/>
  <c r="J160" i="8"/>
  <c r="L160" i="8"/>
  <c r="M160" i="8"/>
  <c r="N160" i="8"/>
  <c r="O160" i="8"/>
  <c r="P160" i="8"/>
  <c r="Q160" i="8"/>
  <c r="R160" i="8"/>
  <c r="S160" i="8"/>
  <c r="T160" i="8"/>
  <c r="V160" i="8"/>
  <c r="W160" i="8"/>
  <c r="X160" i="8"/>
  <c r="Y160" i="8"/>
  <c r="Z160" i="8"/>
  <c r="AA160" i="8"/>
  <c r="AC160" i="8"/>
  <c r="AD160" i="8"/>
  <c r="AE160" i="8"/>
  <c r="AF160" i="8"/>
  <c r="AG160" i="8"/>
  <c r="AH160" i="8"/>
  <c r="AI160" i="8"/>
  <c r="AJ160" i="8"/>
  <c r="AK160" i="8"/>
  <c r="AM160" i="8"/>
  <c r="AN160" i="8"/>
  <c r="AO160" i="8"/>
  <c r="AP160" i="8"/>
  <c r="AQ160" i="8"/>
  <c r="AR160" i="8"/>
  <c r="AT160" i="8"/>
  <c r="AU160" i="8"/>
  <c r="AV160" i="8"/>
  <c r="AW160" i="8"/>
  <c r="AX160" i="8"/>
  <c r="AY160" i="8"/>
  <c r="AZ160" i="8"/>
  <c r="BA160" i="8"/>
  <c r="BB160" i="8"/>
  <c r="BD160" i="8"/>
  <c r="A161" i="8"/>
  <c r="B161" i="8"/>
  <c r="C161" i="8"/>
  <c r="D161" i="8"/>
  <c r="E161" i="8"/>
  <c r="F161" i="8"/>
  <c r="G161" i="8"/>
  <c r="H161" i="8"/>
  <c r="I161" i="8"/>
  <c r="J161" i="8"/>
  <c r="L161" i="8"/>
  <c r="M161" i="8"/>
  <c r="N161" i="8"/>
  <c r="O161" i="8"/>
  <c r="P161" i="8"/>
  <c r="Q161" i="8"/>
  <c r="R161" i="8"/>
  <c r="S161" i="8"/>
  <c r="T161" i="8"/>
  <c r="V161" i="8"/>
  <c r="W161" i="8"/>
  <c r="X161" i="8"/>
  <c r="Y161" i="8"/>
  <c r="Z161" i="8"/>
  <c r="AA161" i="8"/>
  <c r="AC161" i="8"/>
  <c r="AD161" i="8"/>
  <c r="AE161" i="8"/>
  <c r="AF161" i="8"/>
  <c r="AG161" i="8"/>
  <c r="AH161" i="8"/>
  <c r="AI161" i="8"/>
  <c r="AJ161" i="8"/>
  <c r="AK161" i="8"/>
  <c r="AM161" i="8"/>
  <c r="AN161" i="8"/>
  <c r="AO161" i="8"/>
  <c r="AP161" i="8"/>
  <c r="AQ161" i="8"/>
  <c r="AR161" i="8"/>
  <c r="AT161" i="8"/>
  <c r="AU161" i="8"/>
  <c r="AV161" i="8"/>
  <c r="AW161" i="8"/>
  <c r="AX161" i="8"/>
  <c r="AY161" i="8"/>
  <c r="AZ161" i="8"/>
  <c r="BA161" i="8"/>
  <c r="BB161" i="8"/>
  <c r="BD161" i="8"/>
  <c r="A162" i="8"/>
  <c r="B162" i="8"/>
  <c r="C162" i="8"/>
  <c r="D162" i="8"/>
  <c r="E162" i="8"/>
  <c r="F162" i="8"/>
  <c r="G162" i="8"/>
  <c r="H162" i="8"/>
  <c r="I162" i="8"/>
  <c r="J162" i="8"/>
  <c r="L162" i="8"/>
  <c r="M162" i="8"/>
  <c r="N162" i="8"/>
  <c r="O162" i="8"/>
  <c r="P162" i="8"/>
  <c r="Q162" i="8"/>
  <c r="R162" i="8"/>
  <c r="S162" i="8"/>
  <c r="T162" i="8"/>
  <c r="V162" i="8"/>
  <c r="W162" i="8"/>
  <c r="X162" i="8"/>
  <c r="Y162" i="8"/>
  <c r="Z162" i="8"/>
  <c r="AA162" i="8"/>
  <c r="AC162" i="8"/>
  <c r="AD162" i="8"/>
  <c r="AE162" i="8"/>
  <c r="AF162" i="8"/>
  <c r="AG162" i="8"/>
  <c r="AH162" i="8"/>
  <c r="AI162" i="8"/>
  <c r="AJ162" i="8"/>
  <c r="AK162" i="8"/>
  <c r="AM162" i="8"/>
  <c r="AN162" i="8"/>
  <c r="AO162" i="8"/>
  <c r="AP162" i="8"/>
  <c r="AQ162" i="8"/>
  <c r="AR162" i="8"/>
  <c r="AT162" i="8"/>
  <c r="AU162" i="8"/>
  <c r="AV162" i="8"/>
  <c r="AW162" i="8"/>
  <c r="AX162" i="8"/>
  <c r="AY162" i="8"/>
  <c r="AZ162" i="8"/>
  <c r="BA162" i="8"/>
  <c r="BB162" i="8"/>
  <c r="BD162" i="8"/>
  <c r="A163" i="8"/>
  <c r="B163" i="8"/>
  <c r="C163" i="8"/>
  <c r="D163" i="8"/>
  <c r="E163" i="8"/>
  <c r="F163" i="8"/>
  <c r="G163" i="8"/>
  <c r="H163" i="8"/>
  <c r="I163" i="8"/>
  <c r="J163" i="8"/>
  <c r="L163" i="8"/>
  <c r="M163" i="8"/>
  <c r="N163" i="8"/>
  <c r="O163" i="8"/>
  <c r="P163" i="8"/>
  <c r="Q163" i="8"/>
  <c r="R163" i="8"/>
  <c r="S163" i="8"/>
  <c r="T163" i="8"/>
  <c r="V163" i="8"/>
  <c r="W163" i="8"/>
  <c r="X163" i="8"/>
  <c r="Y163" i="8"/>
  <c r="Z163" i="8"/>
  <c r="AA163" i="8"/>
  <c r="AC163" i="8"/>
  <c r="AD163" i="8"/>
  <c r="AE163" i="8"/>
  <c r="AF163" i="8"/>
  <c r="AG163" i="8"/>
  <c r="AH163" i="8"/>
  <c r="AI163" i="8"/>
  <c r="AJ163" i="8"/>
  <c r="AK163" i="8"/>
  <c r="AM163" i="8"/>
  <c r="AN163" i="8"/>
  <c r="AO163" i="8"/>
  <c r="AP163" i="8"/>
  <c r="AQ163" i="8"/>
  <c r="AR163" i="8"/>
  <c r="AT163" i="8"/>
  <c r="AU163" i="8"/>
  <c r="AV163" i="8"/>
  <c r="AW163" i="8"/>
  <c r="AX163" i="8"/>
  <c r="AY163" i="8"/>
  <c r="AZ163" i="8"/>
  <c r="BA163" i="8"/>
  <c r="BB163" i="8"/>
  <c r="BD163" i="8"/>
  <c r="A164" i="8"/>
  <c r="B164" i="8"/>
  <c r="C164" i="8"/>
  <c r="D164" i="8"/>
  <c r="E164" i="8"/>
  <c r="F164" i="8"/>
  <c r="G164" i="8"/>
  <c r="H164" i="8"/>
  <c r="I164" i="8"/>
  <c r="J164" i="8"/>
  <c r="L164" i="8"/>
  <c r="M164" i="8"/>
  <c r="N164" i="8"/>
  <c r="O164" i="8"/>
  <c r="P164" i="8"/>
  <c r="Q164" i="8"/>
  <c r="R164" i="8"/>
  <c r="S164" i="8"/>
  <c r="T164" i="8"/>
  <c r="V164" i="8"/>
  <c r="W164" i="8"/>
  <c r="X164" i="8"/>
  <c r="Y164" i="8"/>
  <c r="Z164" i="8"/>
  <c r="AA164" i="8"/>
  <c r="AC164" i="8"/>
  <c r="AD164" i="8"/>
  <c r="AE164" i="8"/>
  <c r="AF164" i="8"/>
  <c r="AG164" i="8"/>
  <c r="AH164" i="8"/>
  <c r="AI164" i="8"/>
  <c r="AJ164" i="8"/>
  <c r="AK164" i="8"/>
  <c r="AM164" i="8"/>
  <c r="AN164" i="8"/>
  <c r="AO164" i="8"/>
  <c r="AP164" i="8"/>
  <c r="AQ164" i="8"/>
  <c r="AR164" i="8"/>
  <c r="AT164" i="8"/>
  <c r="AU164" i="8"/>
  <c r="AV164" i="8"/>
  <c r="AW164" i="8"/>
  <c r="AX164" i="8"/>
  <c r="AY164" i="8"/>
  <c r="AZ164" i="8"/>
  <c r="BA164" i="8"/>
  <c r="BB164" i="8"/>
  <c r="BD164" i="8"/>
  <c r="A165" i="8"/>
  <c r="B165" i="8"/>
  <c r="C165" i="8"/>
  <c r="D165" i="8"/>
  <c r="E165" i="8"/>
  <c r="F165" i="8"/>
  <c r="G165" i="8"/>
  <c r="H165" i="8"/>
  <c r="I165" i="8"/>
  <c r="J165" i="8"/>
  <c r="L165" i="8"/>
  <c r="M165" i="8"/>
  <c r="N165" i="8"/>
  <c r="O165" i="8"/>
  <c r="P165" i="8"/>
  <c r="Q165" i="8"/>
  <c r="R165" i="8"/>
  <c r="S165" i="8"/>
  <c r="T165" i="8"/>
  <c r="V165" i="8"/>
  <c r="W165" i="8"/>
  <c r="X165" i="8"/>
  <c r="Y165" i="8"/>
  <c r="Z165" i="8"/>
  <c r="AA165" i="8"/>
  <c r="AC165" i="8"/>
  <c r="AD165" i="8"/>
  <c r="AE165" i="8"/>
  <c r="AF165" i="8"/>
  <c r="AG165" i="8"/>
  <c r="AH165" i="8"/>
  <c r="AI165" i="8"/>
  <c r="AJ165" i="8"/>
  <c r="AK165" i="8"/>
  <c r="AM165" i="8"/>
  <c r="AN165" i="8"/>
  <c r="AO165" i="8"/>
  <c r="AP165" i="8"/>
  <c r="AQ165" i="8"/>
  <c r="AR165" i="8"/>
  <c r="AT165" i="8"/>
  <c r="AU165" i="8"/>
  <c r="AV165" i="8"/>
  <c r="AW165" i="8"/>
  <c r="AX165" i="8"/>
  <c r="AY165" i="8"/>
  <c r="AZ165" i="8"/>
  <c r="BA165" i="8"/>
  <c r="BB165" i="8"/>
  <c r="BD165" i="8"/>
  <c r="A166" i="8"/>
  <c r="B166" i="8"/>
  <c r="C166" i="8"/>
  <c r="D166" i="8"/>
  <c r="E166" i="8"/>
  <c r="F166" i="8"/>
  <c r="G166" i="8"/>
  <c r="H166" i="8"/>
  <c r="I166" i="8"/>
  <c r="J166" i="8"/>
  <c r="L166" i="8"/>
  <c r="M166" i="8"/>
  <c r="N166" i="8"/>
  <c r="O166" i="8"/>
  <c r="P166" i="8"/>
  <c r="Q166" i="8"/>
  <c r="R166" i="8"/>
  <c r="S166" i="8"/>
  <c r="T166" i="8"/>
  <c r="V166" i="8"/>
  <c r="W166" i="8"/>
  <c r="X166" i="8"/>
  <c r="Y166" i="8"/>
  <c r="Z166" i="8"/>
  <c r="AA166" i="8"/>
  <c r="AC166" i="8"/>
  <c r="AD166" i="8"/>
  <c r="AE166" i="8"/>
  <c r="AF166" i="8"/>
  <c r="AG166" i="8"/>
  <c r="AH166" i="8"/>
  <c r="AI166" i="8"/>
  <c r="AJ166" i="8"/>
  <c r="AK166" i="8"/>
  <c r="AM166" i="8"/>
  <c r="AN166" i="8"/>
  <c r="AO166" i="8"/>
  <c r="AP166" i="8"/>
  <c r="AQ166" i="8"/>
  <c r="AR166" i="8"/>
  <c r="AT166" i="8"/>
  <c r="AU166" i="8"/>
  <c r="AV166" i="8"/>
  <c r="AW166" i="8"/>
  <c r="AX166" i="8"/>
  <c r="AY166" i="8"/>
  <c r="AZ166" i="8"/>
  <c r="BA166" i="8"/>
  <c r="BB166" i="8"/>
  <c r="BD166" i="8"/>
  <c r="A167" i="8"/>
  <c r="B167" i="8"/>
  <c r="C167" i="8"/>
  <c r="D167" i="8"/>
  <c r="E167" i="8"/>
  <c r="F167" i="8"/>
  <c r="G167" i="8"/>
  <c r="H167" i="8"/>
  <c r="I167" i="8"/>
  <c r="J167" i="8"/>
  <c r="L167" i="8"/>
  <c r="M167" i="8"/>
  <c r="N167" i="8"/>
  <c r="O167" i="8"/>
  <c r="P167" i="8"/>
  <c r="Q167" i="8"/>
  <c r="R167" i="8"/>
  <c r="S167" i="8"/>
  <c r="T167" i="8"/>
  <c r="V167" i="8"/>
  <c r="W167" i="8"/>
  <c r="X167" i="8"/>
  <c r="Y167" i="8"/>
  <c r="Z167" i="8"/>
  <c r="AA167" i="8"/>
  <c r="AC167" i="8"/>
  <c r="AD167" i="8"/>
  <c r="AE167" i="8"/>
  <c r="AF167" i="8"/>
  <c r="AG167" i="8"/>
  <c r="AH167" i="8"/>
  <c r="AI167" i="8"/>
  <c r="AJ167" i="8"/>
  <c r="AK167" i="8"/>
  <c r="AM167" i="8"/>
  <c r="AN167" i="8"/>
  <c r="AO167" i="8"/>
  <c r="AP167" i="8"/>
  <c r="AQ167" i="8"/>
  <c r="AR167" i="8"/>
  <c r="AT167" i="8"/>
  <c r="AU167" i="8"/>
  <c r="AV167" i="8"/>
  <c r="AW167" i="8"/>
  <c r="AX167" i="8"/>
  <c r="AY167" i="8"/>
  <c r="AZ167" i="8"/>
  <c r="BA167" i="8"/>
  <c r="BB167" i="8"/>
  <c r="BD167" i="8"/>
  <c r="A168" i="8"/>
  <c r="B168" i="8"/>
  <c r="C168" i="8"/>
  <c r="D168" i="8"/>
  <c r="E168" i="8"/>
  <c r="F168" i="8"/>
  <c r="G168" i="8"/>
  <c r="H168" i="8"/>
  <c r="I168" i="8"/>
  <c r="J168" i="8"/>
  <c r="L168" i="8"/>
  <c r="M168" i="8"/>
  <c r="N168" i="8"/>
  <c r="O168" i="8"/>
  <c r="P168" i="8"/>
  <c r="Q168" i="8"/>
  <c r="R168" i="8"/>
  <c r="S168" i="8"/>
  <c r="T168" i="8"/>
  <c r="V168" i="8"/>
  <c r="W168" i="8"/>
  <c r="X168" i="8"/>
  <c r="Y168" i="8"/>
  <c r="Z168" i="8"/>
  <c r="AA168" i="8"/>
  <c r="AC168" i="8"/>
  <c r="AD168" i="8"/>
  <c r="AE168" i="8"/>
  <c r="AF168" i="8"/>
  <c r="AG168" i="8"/>
  <c r="AH168" i="8"/>
  <c r="AI168" i="8"/>
  <c r="AJ168" i="8"/>
  <c r="AK168" i="8"/>
  <c r="AM168" i="8"/>
  <c r="AN168" i="8"/>
  <c r="AO168" i="8"/>
  <c r="AP168" i="8"/>
  <c r="AQ168" i="8"/>
  <c r="AR168" i="8"/>
  <c r="AT168" i="8"/>
  <c r="AU168" i="8"/>
  <c r="AV168" i="8"/>
  <c r="AW168" i="8"/>
  <c r="AX168" i="8"/>
  <c r="AY168" i="8"/>
  <c r="AZ168" i="8"/>
  <c r="BA168" i="8"/>
  <c r="BB168" i="8"/>
  <c r="BD168" i="8"/>
  <c r="A169" i="8"/>
  <c r="B169" i="8"/>
  <c r="C169" i="8"/>
  <c r="D169" i="8"/>
  <c r="E169" i="8"/>
  <c r="F169" i="8"/>
  <c r="G169" i="8"/>
  <c r="H169" i="8"/>
  <c r="I169" i="8"/>
  <c r="J169" i="8"/>
  <c r="L169" i="8"/>
  <c r="M169" i="8"/>
  <c r="N169" i="8"/>
  <c r="O169" i="8"/>
  <c r="P169" i="8"/>
  <c r="Q169" i="8"/>
  <c r="R169" i="8"/>
  <c r="S169" i="8"/>
  <c r="T169" i="8"/>
  <c r="V169" i="8"/>
  <c r="W169" i="8"/>
  <c r="X169" i="8"/>
  <c r="Y169" i="8"/>
  <c r="Z169" i="8"/>
  <c r="AA169" i="8"/>
  <c r="AC169" i="8"/>
  <c r="AD169" i="8"/>
  <c r="AE169" i="8"/>
  <c r="AF169" i="8"/>
  <c r="AG169" i="8"/>
  <c r="AH169" i="8"/>
  <c r="AI169" i="8"/>
  <c r="AJ169" i="8"/>
  <c r="AK169" i="8"/>
  <c r="AM169" i="8"/>
  <c r="AN169" i="8"/>
  <c r="AO169" i="8"/>
  <c r="AP169" i="8"/>
  <c r="AQ169" i="8"/>
  <c r="AR169" i="8"/>
  <c r="AT169" i="8"/>
  <c r="AU169" i="8"/>
  <c r="AV169" i="8"/>
  <c r="AW169" i="8"/>
  <c r="AX169" i="8"/>
  <c r="AY169" i="8"/>
  <c r="AZ169" i="8"/>
  <c r="BA169" i="8"/>
  <c r="BB169" i="8"/>
  <c r="BD169" i="8"/>
  <c r="A170" i="8"/>
  <c r="B170" i="8"/>
  <c r="C170" i="8"/>
  <c r="D170" i="8"/>
  <c r="E170" i="8"/>
  <c r="F170" i="8"/>
  <c r="G170" i="8"/>
  <c r="H170" i="8"/>
  <c r="I170" i="8"/>
  <c r="J170" i="8"/>
  <c r="L170" i="8"/>
  <c r="M170" i="8"/>
  <c r="N170" i="8"/>
  <c r="O170" i="8"/>
  <c r="P170" i="8"/>
  <c r="Q170" i="8"/>
  <c r="R170" i="8"/>
  <c r="S170" i="8"/>
  <c r="T170" i="8"/>
  <c r="V170" i="8"/>
  <c r="W170" i="8"/>
  <c r="X170" i="8"/>
  <c r="Y170" i="8"/>
  <c r="Z170" i="8"/>
  <c r="AA170" i="8"/>
  <c r="AC170" i="8"/>
  <c r="AD170" i="8"/>
  <c r="AE170" i="8"/>
  <c r="AF170" i="8"/>
  <c r="AG170" i="8"/>
  <c r="AH170" i="8"/>
  <c r="AI170" i="8"/>
  <c r="AJ170" i="8"/>
  <c r="AK170" i="8"/>
  <c r="AM170" i="8"/>
  <c r="AN170" i="8"/>
  <c r="AO170" i="8"/>
  <c r="AP170" i="8"/>
  <c r="AQ170" i="8"/>
  <c r="AR170" i="8"/>
  <c r="AT170" i="8"/>
  <c r="AU170" i="8"/>
  <c r="AV170" i="8"/>
  <c r="AW170" i="8"/>
  <c r="AX170" i="8"/>
  <c r="AY170" i="8"/>
  <c r="AZ170" i="8"/>
  <c r="BA170" i="8"/>
  <c r="BB170" i="8"/>
  <c r="BD170" i="8"/>
  <c r="A171" i="8"/>
  <c r="B171" i="8"/>
  <c r="C171" i="8"/>
  <c r="D171" i="8"/>
  <c r="E171" i="8"/>
  <c r="F171" i="8"/>
  <c r="G171" i="8"/>
  <c r="H171" i="8"/>
  <c r="I171" i="8"/>
  <c r="J171" i="8"/>
  <c r="L171" i="8"/>
  <c r="M171" i="8"/>
  <c r="N171" i="8"/>
  <c r="O171" i="8"/>
  <c r="P171" i="8"/>
  <c r="Q171" i="8"/>
  <c r="R171" i="8"/>
  <c r="S171" i="8"/>
  <c r="T171" i="8"/>
  <c r="V171" i="8"/>
  <c r="W171" i="8"/>
  <c r="X171" i="8"/>
  <c r="Y171" i="8"/>
  <c r="Z171" i="8"/>
  <c r="AA171" i="8"/>
  <c r="AC171" i="8"/>
  <c r="AD171" i="8"/>
  <c r="AE171" i="8"/>
  <c r="AF171" i="8"/>
  <c r="AG171" i="8"/>
  <c r="AH171" i="8"/>
  <c r="AI171" i="8"/>
  <c r="AJ171" i="8"/>
  <c r="AK171" i="8"/>
  <c r="AM171" i="8"/>
  <c r="AN171" i="8"/>
  <c r="AO171" i="8"/>
  <c r="AP171" i="8"/>
  <c r="AQ171" i="8"/>
  <c r="AR171" i="8"/>
  <c r="AT171" i="8"/>
  <c r="AU171" i="8"/>
  <c r="AV171" i="8"/>
  <c r="AW171" i="8"/>
  <c r="AX171" i="8"/>
  <c r="AY171" i="8"/>
  <c r="AZ171" i="8"/>
  <c r="BA171" i="8"/>
  <c r="BB171" i="8"/>
  <c r="BD171" i="8"/>
  <c r="A172" i="8"/>
  <c r="B172" i="8"/>
  <c r="C172" i="8"/>
  <c r="D172" i="8"/>
  <c r="E172" i="8"/>
  <c r="F172" i="8"/>
  <c r="G172" i="8"/>
  <c r="H172" i="8"/>
  <c r="I172" i="8"/>
  <c r="J172" i="8"/>
  <c r="L172" i="8"/>
  <c r="M172" i="8"/>
  <c r="N172" i="8"/>
  <c r="O172" i="8"/>
  <c r="P172" i="8"/>
  <c r="Q172" i="8"/>
  <c r="R172" i="8"/>
  <c r="S172" i="8"/>
  <c r="T172" i="8"/>
  <c r="V172" i="8"/>
  <c r="W172" i="8"/>
  <c r="X172" i="8"/>
  <c r="Y172" i="8"/>
  <c r="Z172" i="8"/>
  <c r="AA172" i="8"/>
  <c r="AC172" i="8"/>
  <c r="AD172" i="8"/>
  <c r="AE172" i="8"/>
  <c r="AF172" i="8"/>
  <c r="AG172" i="8"/>
  <c r="AH172" i="8"/>
  <c r="AI172" i="8"/>
  <c r="AJ172" i="8"/>
  <c r="AK172" i="8"/>
  <c r="AM172" i="8"/>
  <c r="AN172" i="8"/>
  <c r="AO172" i="8"/>
  <c r="AP172" i="8"/>
  <c r="AQ172" i="8"/>
  <c r="AR172" i="8"/>
  <c r="AT172" i="8"/>
  <c r="AU172" i="8"/>
  <c r="AV172" i="8"/>
  <c r="AW172" i="8"/>
  <c r="AX172" i="8"/>
  <c r="AY172" i="8"/>
  <c r="AZ172" i="8"/>
  <c r="BA172" i="8"/>
  <c r="BB172" i="8"/>
  <c r="BD172" i="8"/>
  <c r="A173" i="8"/>
  <c r="B173" i="8"/>
  <c r="C173" i="8"/>
  <c r="D173" i="8"/>
  <c r="E173" i="8"/>
  <c r="F173" i="8"/>
  <c r="G173" i="8"/>
  <c r="H173" i="8"/>
  <c r="I173" i="8"/>
  <c r="J173" i="8"/>
  <c r="L173" i="8"/>
  <c r="M173" i="8"/>
  <c r="N173" i="8"/>
  <c r="O173" i="8"/>
  <c r="P173" i="8"/>
  <c r="Q173" i="8"/>
  <c r="R173" i="8"/>
  <c r="S173" i="8"/>
  <c r="T173" i="8"/>
  <c r="V173" i="8"/>
  <c r="W173" i="8"/>
  <c r="X173" i="8"/>
  <c r="Y173" i="8"/>
  <c r="Z173" i="8"/>
  <c r="AA173" i="8"/>
  <c r="AC173" i="8"/>
  <c r="AD173" i="8"/>
  <c r="AE173" i="8"/>
  <c r="AF173" i="8"/>
  <c r="AG173" i="8"/>
  <c r="AH173" i="8"/>
  <c r="AI173" i="8"/>
  <c r="AJ173" i="8"/>
  <c r="AK173" i="8"/>
  <c r="AM173" i="8"/>
  <c r="AN173" i="8"/>
  <c r="AO173" i="8"/>
  <c r="AP173" i="8"/>
  <c r="AQ173" i="8"/>
  <c r="AR173" i="8"/>
  <c r="AT173" i="8"/>
  <c r="AU173" i="8"/>
  <c r="AV173" i="8"/>
  <c r="AW173" i="8"/>
  <c r="AX173" i="8"/>
  <c r="AY173" i="8"/>
  <c r="AZ173" i="8"/>
  <c r="BA173" i="8"/>
  <c r="BB173" i="8"/>
  <c r="BD173" i="8"/>
  <c r="A174" i="8"/>
  <c r="B174" i="8"/>
  <c r="C174" i="8"/>
  <c r="D174" i="8"/>
  <c r="E174" i="8"/>
  <c r="F174" i="8"/>
  <c r="G174" i="8"/>
  <c r="H174" i="8"/>
  <c r="I174" i="8"/>
  <c r="J174" i="8"/>
  <c r="L174" i="8"/>
  <c r="M174" i="8"/>
  <c r="N174" i="8"/>
  <c r="O174" i="8"/>
  <c r="P174" i="8"/>
  <c r="Q174" i="8"/>
  <c r="R174" i="8"/>
  <c r="S174" i="8"/>
  <c r="T174" i="8"/>
  <c r="V174" i="8"/>
  <c r="W174" i="8"/>
  <c r="X174" i="8"/>
  <c r="Y174" i="8"/>
  <c r="Z174" i="8"/>
  <c r="AA174" i="8"/>
  <c r="AC174" i="8"/>
  <c r="AD174" i="8"/>
  <c r="AE174" i="8"/>
  <c r="AF174" i="8"/>
  <c r="AG174" i="8"/>
  <c r="AH174" i="8"/>
  <c r="AI174" i="8"/>
  <c r="AJ174" i="8"/>
  <c r="AK174" i="8"/>
  <c r="AM174" i="8"/>
  <c r="AN174" i="8"/>
  <c r="AO174" i="8"/>
  <c r="AP174" i="8"/>
  <c r="AQ174" i="8"/>
  <c r="AR174" i="8"/>
  <c r="AT174" i="8"/>
  <c r="AU174" i="8"/>
  <c r="AV174" i="8"/>
  <c r="AW174" i="8"/>
  <c r="AX174" i="8"/>
  <c r="AY174" i="8"/>
  <c r="AZ174" i="8"/>
  <c r="BA174" i="8"/>
  <c r="BB174" i="8"/>
  <c r="BD174" i="8"/>
  <c r="A175" i="8"/>
  <c r="B175" i="8"/>
  <c r="C175" i="8"/>
  <c r="D175" i="8"/>
  <c r="E175" i="8"/>
  <c r="F175" i="8"/>
  <c r="G175" i="8"/>
  <c r="H175" i="8"/>
  <c r="I175" i="8"/>
  <c r="J175" i="8"/>
  <c r="L175" i="8"/>
  <c r="M175" i="8"/>
  <c r="N175" i="8"/>
  <c r="O175" i="8"/>
  <c r="P175" i="8"/>
  <c r="Q175" i="8"/>
  <c r="R175" i="8"/>
  <c r="S175" i="8"/>
  <c r="T175" i="8"/>
  <c r="V175" i="8"/>
  <c r="W175" i="8"/>
  <c r="X175" i="8"/>
  <c r="Y175" i="8"/>
  <c r="Z175" i="8"/>
  <c r="AA175" i="8"/>
  <c r="AC175" i="8"/>
  <c r="AD175" i="8"/>
  <c r="AE175" i="8"/>
  <c r="AF175" i="8"/>
  <c r="AG175" i="8"/>
  <c r="AH175" i="8"/>
  <c r="AI175" i="8"/>
  <c r="AJ175" i="8"/>
  <c r="AK175" i="8"/>
  <c r="AM175" i="8"/>
  <c r="AN175" i="8"/>
  <c r="AO175" i="8"/>
  <c r="AP175" i="8"/>
  <c r="AQ175" i="8"/>
  <c r="AR175" i="8"/>
  <c r="AT175" i="8"/>
  <c r="AU175" i="8"/>
  <c r="AV175" i="8"/>
  <c r="AW175" i="8"/>
  <c r="AX175" i="8"/>
  <c r="AY175" i="8"/>
  <c r="AZ175" i="8"/>
  <c r="BA175" i="8"/>
  <c r="BB175" i="8"/>
  <c r="BD175" i="8"/>
  <c r="A176" i="8"/>
  <c r="B176" i="8"/>
  <c r="C176" i="8"/>
  <c r="D176" i="8"/>
  <c r="E176" i="8"/>
  <c r="F176" i="8"/>
  <c r="G176" i="8"/>
  <c r="H176" i="8"/>
  <c r="I176" i="8"/>
  <c r="J176" i="8"/>
  <c r="L176" i="8"/>
  <c r="M176" i="8"/>
  <c r="N176" i="8"/>
  <c r="O176" i="8"/>
  <c r="P176" i="8"/>
  <c r="Q176" i="8"/>
  <c r="R176" i="8"/>
  <c r="S176" i="8"/>
  <c r="T176" i="8"/>
  <c r="V176" i="8"/>
  <c r="W176" i="8"/>
  <c r="X176" i="8"/>
  <c r="Y176" i="8"/>
  <c r="Z176" i="8"/>
  <c r="AA176" i="8"/>
  <c r="AC176" i="8"/>
  <c r="AD176" i="8"/>
  <c r="AE176" i="8"/>
  <c r="AF176" i="8"/>
  <c r="AG176" i="8"/>
  <c r="AH176" i="8"/>
  <c r="AI176" i="8"/>
  <c r="AJ176" i="8"/>
  <c r="AK176" i="8"/>
  <c r="AM176" i="8"/>
  <c r="AN176" i="8"/>
  <c r="AO176" i="8"/>
  <c r="AP176" i="8"/>
  <c r="AQ176" i="8"/>
  <c r="AR176" i="8"/>
  <c r="AT176" i="8"/>
  <c r="AU176" i="8"/>
  <c r="AV176" i="8"/>
  <c r="AW176" i="8"/>
  <c r="AX176" i="8"/>
  <c r="AY176" i="8"/>
  <c r="AZ176" i="8"/>
  <c r="BA176" i="8"/>
  <c r="BB176" i="8"/>
  <c r="BD176" i="8"/>
  <c r="A177" i="8"/>
  <c r="B177" i="8"/>
  <c r="C177" i="8"/>
  <c r="D177" i="8"/>
  <c r="E177" i="8"/>
  <c r="F177" i="8"/>
  <c r="G177" i="8"/>
  <c r="H177" i="8"/>
  <c r="I177" i="8"/>
  <c r="J177" i="8"/>
  <c r="L177" i="8"/>
  <c r="M177" i="8"/>
  <c r="N177" i="8"/>
  <c r="O177" i="8"/>
  <c r="P177" i="8"/>
  <c r="Q177" i="8"/>
  <c r="R177" i="8"/>
  <c r="S177" i="8"/>
  <c r="T177" i="8"/>
  <c r="V177" i="8"/>
  <c r="W177" i="8"/>
  <c r="X177" i="8"/>
  <c r="Y177" i="8"/>
  <c r="Z177" i="8"/>
  <c r="AA177" i="8"/>
  <c r="AC177" i="8"/>
  <c r="AD177" i="8"/>
  <c r="AE177" i="8"/>
  <c r="AF177" i="8"/>
  <c r="AG177" i="8"/>
  <c r="AH177" i="8"/>
  <c r="AI177" i="8"/>
  <c r="AJ177" i="8"/>
  <c r="AK177" i="8"/>
  <c r="AM177" i="8"/>
  <c r="AN177" i="8"/>
  <c r="AO177" i="8"/>
  <c r="AP177" i="8"/>
  <c r="AQ177" i="8"/>
  <c r="AR177" i="8"/>
  <c r="AT177" i="8"/>
  <c r="AU177" i="8"/>
  <c r="AV177" i="8"/>
  <c r="AW177" i="8"/>
  <c r="AX177" i="8"/>
  <c r="AY177" i="8"/>
  <c r="AZ177" i="8"/>
  <c r="BA177" i="8"/>
  <c r="BB177" i="8"/>
  <c r="BD177" i="8"/>
  <c r="A178" i="8"/>
  <c r="B178" i="8"/>
  <c r="C178" i="8"/>
  <c r="D178" i="8"/>
  <c r="E178" i="8"/>
  <c r="F178" i="8"/>
  <c r="G178" i="8"/>
  <c r="H178" i="8"/>
  <c r="I178" i="8"/>
  <c r="J178" i="8"/>
  <c r="L178" i="8"/>
  <c r="M178" i="8"/>
  <c r="N178" i="8"/>
  <c r="O178" i="8"/>
  <c r="P178" i="8"/>
  <c r="Q178" i="8"/>
  <c r="R178" i="8"/>
  <c r="S178" i="8"/>
  <c r="T178" i="8"/>
  <c r="V178" i="8"/>
  <c r="W178" i="8"/>
  <c r="X178" i="8"/>
  <c r="Y178" i="8"/>
  <c r="Z178" i="8"/>
  <c r="AA178" i="8"/>
  <c r="AC178" i="8"/>
  <c r="AD178" i="8"/>
  <c r="AE178" i="8"/>
  <c r="AF178" i="8"/>
  <c r="AG178" i="8"/>
  <c r="AH178" i="8"/>
  <c r="AI178" i="8"/>
  <c r="AJ178" i="8"/>
  <c r="AK178" i="8"/>
  <c r="AM178" i="8"/>
  <c r="AN178" i="8"/>
  <c r="AO178" i="8"/>
  <c r="AP178" i="8"/>
  <c r="AQ178" i="8"/>
  <c r="AR178" i="8"/>
  <c r="AT178" i="8"/>
  <c r="AU178" i="8"/>
  <c r="AV178" i="8"/>
  <c r="AW178" i="8"/>
  <c r="AX178" i="8"/>
  <c r="AY178" i="8"/>
  <c r="AZ178" i="8"/>
  <c r="BA178" i="8"/>
  <c r="BB178" i="8"/>
  <c r="BD178" i="8"/>
  <c r="A179" i="8"/>
  <c r="B179" i="8"/>
  <c r="C179" i="8"/>
  <c r="D179" i="8"/>
  <c r="E179" i="8"/>
  <c r="F179" i="8"/>
  <c r="G179" i="8"/>
  <c r="H179" i="8"/>
  <c r="I179" i="8"/>
  <c r="J179" i="8"/>
  <c r="L179" i="8"/>
  <c r="M179" i="8"/>
  <c r="N179" i="8"/>
  <c r="O179" i="8"/>
  <c r="P179" i="8"/>
  <c r="Q179" i="8"/>
  <c r="R179" i="8"/>
  <c r="S179" i="8"/>
  <c r="T179" i="8"/>
  <c r="V179" i="8"/>
  <c r="W179" i="8"/>
  <c r="X179" i="8"/>
  <c r="Y179" i="8"/>
  <c r="Z179" i="8"/>
  <c r="AA179" i="8"/>
  <c r="AC179" i="8"/>
  <c r="AD179" i="8"/>
  <c r="AE179" i="8"/>
  <c r="AF179" i="8"/>
  <c r="AG179" i="8"/>
  <c r="AH179" i="8"/>
  <c r="AI179" i="8"/>
  <c r="AJ179" i="8"/>
  <c r="AK179" i="8"/>
  <c r="AM179" i="8"/>
  <c r="AN179" i="8"/>
  <c r="AO179" i="8"/>
  <c r="AP179" i="8"/>
  <c r="AQ179" i="8"/>
  <c r="AR179" i="8"/>
  <c r="AT179" i="8"/>
  <c r="AU179" i="8"/>
  <c r="AV179" i="8"/>
  <c r="AW179" i="8"/>
  <c r="AX179" i="8"/>
  <c r="AY179" i="8"/>
  <c r="AZ179" i="8"/>
  <c r="BA179" i="8"/>
  <c r="BB179" i="8"/>
  <c r="BD179" i="8"/>
  <c r="A180" i="8"/>
  <c r="B180" i="8"/>
  <c r="C180" i="8"/>
  <c r="D180" i="8"/>
  <c r="E180" i="8"/>
  <c r="F180" i="8"/>
  <c r="G180" i="8"/>
  <c r="H180" i="8"/>
  <c r="I180" i="8"/>
  <c r="J180" i="8"/>
  <c r="L180" i="8"/>
  <c r="M180" i="8"/>
  <c r="N180" i="8"/>
  <c r="O180" i="8"/>
  <c r="P180" i="8"/>
  <c r="Q180" i="8"/>
  <c r="R180" i="8"/>
  <c r="S180" i="8"/>
  <c r="T180" i="8"/>
  <c r="V180" i="8"/>
  <c r="W180" i="8"/>
  <c r="X180" i="8"/>
  <c r="Y180" i="8"/>
  <c r="Z180" i="8"/>
  <c r="AA180" i="8"/>
  <c r="AC180" i="8"/>
  <c r="AD180" i="8"/>
  <c r="AE180" i="8"/>
  <c r="AF180" i="8"/>
  <c r="AG180" i="8"/>
  <c r="AH180" i="8"/>
  <c r="AI180" i="8"/>
  <c r="AJ180" i="8"/>
  <c r="AK180" i="8"/>
  <c r="AM180" i="8"/>
  <c r="AN180" i="8"/>
  <c r="AO180" i="8"/>
  <c r="AP180" i="8"/>
  <c r="AQ180" i="8"/>
  <c r="AR180" i="8"/>
  <c r="AT180" i="8"/>
  <c r="AU180" i="8"/>
  <c r="AV180" i="8"/>
  <c r="AW180" i="8"/>
  <c r="AX180" i="8"/>
  <c r="AY180" i="8"/>
  <c r="AZ180" i="8"/>
  <c r="BA180" i="8"/>
  <c r="BB180" i="8"/>
  <c r="BD180" i="8"/>
  <c r="A181" i="8"/>
  <c r="B181" i="8"/>
  <c r="C181" i="8"/>
  <c r="D181" i="8"/>
  <c r="E181" i="8"/>
  <c r="F181" i="8"/>
  <c r="G181" i="8"/>
  <c r="H181" i="8"/>
  <c r="I181" i="8"/>
  <c r="J181" i="8"/>
  <c r="L181" i="8"/>
  <c r="M181" i="8"/>
  <c r="N181" i="8"/>
  <c r="O181" i="8"/>
  <c r="P181" i="8"/>
  <c r="Q181" i="8"/>
  <c r="R181" i="8"/>
  <c r="S181" i="8"/>
  <c r="T181" i="8"/>
  <c r="V181" i="8"/>
  <c r="W181" i="8"/>
  <c r="X181" i="8"/>
  <c r="Y181" i="8"/>
  <c r="Z181" i="8"/>
  <c r="AA181" i="8"/>
  <c r="AC181" i="8"/>
  <c r="AD181" i="8"/>
  <c r="AE181" i="8"/>
  <c r="AF181" i="8"/>
  <c r="AG181" i="8"/>
  <c r="AH181" i="8"/>
  <c r="AI181" i="8"/>
  <c r="AJ181" i="8"/>
  <c r="AK181" i="8"/>
  <c r="AM181" i="8"/>
  <c r="AN181" i="8"/>
  <c r="AO181" i="8"/>
  <c r="AP181" i="8"/>
  <c r="AQ181" i="8"/>
  <c r="AR181" i="8"/>
  <c r="AT181" i="8"/>
  <c r="AU181" i="8"/>
  <c r="AV181" i="8"/>
  <c r="AW181" i="8"/>
  <c r="AX181" i="8"/>
  <c r="AY181" i="8"/>
  <c r="AZ181" i="8"/>
  <c r="BA181" i="8"/>
  <c r="BB181" i="8"/>
  <c r="BD181" i="8"/>
  <c r="A182" i="8"/>
  <c r="B182" i="8"/>
  <c r="C182" i="8"/>
  <c r="D182" i="8"/>
  <c r="E182" i="8"/>
  <c r="F182" i="8"/>
  <c r="G182" i="8"/>
  <c r="H182" i="8"/>
  <c r="I182" i="8"/>
  <c r="J182" i="8"/>
  <c r="L182" i="8"/>
  <c r="M182" i="8"/>
  <c r="N182" i="8"/>
  <c r="O182" i="8"/>
  <c r="P182" i="8"/>
  <c r="Q182" i="8"/>
  <c r="R182" i="8"/>
  <c r="S182" i="8"/>
  <c r="T182" i="8"/>
  <c r="V182" i="8"/>
  <c r="W182" i="8"/>
  <c r="X182" i="8"/>
  <c r="Y182" i="8"/>
  <c r="Z182" i="8"/>
  <c r="AA182" i="8"/>
  <c r="AC182" i="8"/>
  <c r="AD182" i="8"/>
  <c r="AE182" i="8"/>
  <c r="AF182" i="8"/>
  <c r="AG182" i="8"/>
  <c r="AH182" i="8"/>
  <c r="AI182" i="8"/>
  <c r="AJ182" i="8"/>
  <c r="AK182" i="8"/>
  <c r="AM182" i="8"/>
  <c r="AN182" i="8"/>
  <c r="AO182" i="8"/>
  <c r="AP182" i="8"/>
  <c r="AQ182" i="8"/>
  <c r="AR182" i="8"/>
  <c r="AT182" i="8"/>
  <c r="AU182" i="8"/>
  <c r="AV182" i="8"/>
  <c r="AW182" i="8"/>
  <c r="AX182" i="8"/>
  <c r="AY182" i="8"/>
  <c r="AZ182" i="8"/>
  <c r="BA182" i="8"/>
  <c r="BB182" i="8"/>
  <c r="BD182" i="8"/>
  <c r="A183" i="8"/>
  <c r="B183" i="8"/>
  <c r="C183" i="8"/>
  <c r="D183" i="8"/>
  <c r="E183" i="8"/>
  <c r="F183" i="8"/>
  <c r="G183" i="8"/>
  <c r="H183" i="8"/>
  <c r="I183" i="8"/>
  <c r="J183" i="8"/>
  <c r="L183" i="8"/>
  <c r="M183" i="8"/>
  <c r="N183" i="8"/>
  <c r="O183" i="8"/>
  <c r="P183" i="8"/>
  <c r="Q183" i="8"/>
  <c r="R183" i="8"/>
  <c r="S183" i="8"/>
  <c r="T183" i="8"/>
  <c r="V183" i="8"/>
  <c r="W183" i="8"/>
  <c r="X183" i="8"/>
  <c r="Y183" i="8"/>
  <c r="Z183" i="8"/>
  <c r="AA183" i="8"/>
  <c r="AC183" i="8"/>
  <c r="AD183" i="8"/>
  <c r="AE183" i="8"/>
  <c r="AF183" i="8"/>
  <c r="AG183" i="8"/>
  <c r="AH183" i="8"/>
  <c r="AI183" i="8"/>
  <c r="AJ183" i="8"/>
  <c r="AK183" i="8"/>
  <c r="AM183" i="8"/>
  <c r="AN183" i="8"/>
  <c r="AO183" i="8"/>
  <c r="AP183" i="8"/>
  <c r="AQ183" i="8"/>
  <c r="AR183" i="8"/>
  <c r="AT183" i="8"/>
  <c r="AU183" i="8"/>
  <c r="AV183" i="8"/>
  <c r="AW183" i="8"/>
  <c r="AX183" i="8"/>
  <c r="AY183" i="8"/>
  <c r="AZ183" i="8"/>
  <c r="BA183" i="8"/>
  <c r="BB183" i="8"/>
  <c r="BD183" i="8"/>
  <c r="A184" i="8"/>
  <c r="B184" i="8"/>
  <c r="C184" i="8"/>
  <c r="D184" i="8"/>
  <c r="E184" i="8"/>
  <c r="F184" i="8"/>
  <c r="G184" i="8"/>
  <c r="H184" i="8"/>
  <c r="I184" i="8"/>
  <c r="J184" i="8"/>
  <c r="L184" i="8"/>
  <c r="M184" i="8"/>
  <c r="N184" i="8"/>
  <c r="O184" i="8"/>
  <c r="P184" i="8"/>
  <c r="Q184" i="8"/>
  <c r="R184" i="8"/>
  <c r="S184" i="8"/>
  <c r="T184" i="8"/>
  <c r="V184" i="8"/>
  <c r="W184" i="8"/>
  <c r="X184" i="8"/>
  <c r="Y184" i="8"/>
  <c r="Z184" i="8"/>
  <c r="AA184" i="8"/>
  <c r="AC184" i="8"/>
  <c r="AD184" i="8"/>
  <c r="AE184" i="8"/>
  <c r="AF184" i="8"/>
  <c r="AG184" i="8"/>
  <c r="AH184" i="8"/>
  <c r="AI184" i="8"/>
  <c r="AJ184" i="8"/>
  <c r="AK184" i="8"/>
  <c r="AM184" i="8"/>
  <c r="AN184" i="8"/>
  <c r="AO184" i="8"/>
  <c r="AP184" i="8"/>
  <c r="AQ184" i="8"/>
  <c r="AR184" i="8"/>
  <c r="AT184" i="8"/>
  <c r="AU184" i="8"/>
  <c r="AV184" i="8"/>
  <c r="AW184" i="8"/>
  <c r="AX184" i="8"/>
  <c r="AY184" i="8"/>
  <c r="AZ184" i="8"/>
  <c r="BA184" i="8"/>
  <c r="BB184" i="8"/>
  <c r="BD184" i="8"/>
  <c r="A185" i="8"/>
  <c r="B185" i="8"/>
  <c r="C185" i="8"/>
  <c r="D185" i="8"/>
  <c r="E185" i="8"/>
  <c r="F185" i="8"/>
  <c r="G185" i="8"/>
  <c r="H185" i="8"/>
  <c r="I185" i="8"/>
  <c r="J185" i="8"/>
  <c r="L185" i="8"/>
  <c r="M185" i="8"/>
  <c r="N185" i="8"/>
  <c r="O185" i="8"/>
  <c r="P185" i="8"/>
  <c r="Q185" i="8"/>
  <c r="R185" i="8"/>
  <c r="S185" i="8"/>
  <c r="T185" i="8"/>
  <c r="V185" i="8"/>
  <c r="W185" i="8"/>
  <c r="X185" i="8"/>
  <c r="Y185" i="8"/>
  <c r="Z185" i="8"/>
  <c r="AA185" i="8"/>
  <c r="AC185" i="8"/>
  <c r="AD185" i="8"/>
  <c r="AE185" i="8"/>
  <c r="AF185" i="8"/>
  <c r="AG185" i="8"/>
  <c r="AH185" i="8"/>
  <c r="AI185" i="8"/>
  <c r="AJ185" i="8"/>
  <c r="AK185" i="8"/>
  <c r="AM185" i="8"/>
  <c r="AN185" i="8"/>
  <c r="AO185" i="8"/>
  <c r="AP185" i="8"/>
  <c r="AQ185" i="8"/>
  <c r="AR185" i="8"/>
  <c r="AT185" i="8"/>
  <c r="AU185" i="8"/>
  <c r="AV185" i="8"/>
  <c r="AW185" i="8"/>
  <c r="AX185" i="8"/>
  <c r="AY185" i="8"/>
  <c r="AZ185" i="8"/>
  <c r="BA185" i="8"/>
  <c r="BB185" i="8"/>
  <c r="BD185" i="8"/>
  <c r="A186" i="8"/>
  <c r="B186" i="8"/>
  <c r="C186" i="8"/>
  <c r="D186" i="8"/>
  <c r="E186" i="8"/>
  <c r="F186" i="8"/>
  <c r="G186" i="8"/>
  <c r="H186" i="8"/>
  <c r="I186" i="8"/>
  <c r="J186" i="8"/>
  <c r="L186" i="8"/>
  <c r="M186" i="8"/>
  <c r="N186" i="8"/>
  <c r="O186" i="8"/>
  <c r="P186" i="8"/>
  <c r="Q186" i="8"/>
  <c r="R186" i="8"/>
  <c r="S186" i="8"/>
  <c r="T186" i="8"/>
  <c r="V186" i="8"/>
  <c r="W186" i="8"/>
  <c r="X186" i="8"/>
  <c r="Y186" i="8"/>
  <c r="Z186" i="8"/>
  <c r="AA186" i="8"/>
  <c r="AC186" i="8"/>
  <c r="AD186" i="8"/>
  <c r="AE186" i="8"/>
  <c r="AF186" i="8"/>
  <c r="AG186" i="8"/>
  <c r="AH186" i="8"/>
  <c r="AI186" i="8"/>
  <c r="AJ186" i="8"/>
  <c r="AK186" i="8"/>
  <c r="AM186" i="8"/>
  <c r="AN186" i="8"/>
  <c r="AO186" i="8"/>
  <c r="AP186" i="8"/>
  <c r="AQ186" i="8"/>
  <c r="AR186" i="8"/>
  <c r="AT186" i="8"/>
  <c r="AU186" i="8"/>
  <c r="AV186" i="8"/>
  <c r="AW186" i="8"/>
  <c r="AX186" i="8"/>
  <c r="AY186" i="8"/>
  <c r="AZ186" i="8"/>
  <c r="BA186" i="8"/>
  <c r="BB186" i="8"/>
  <c r="BD186" i="8"/>
  <c r="A187" i="8"/>
  <c r="B187" i="8"/>
  <c r="C187" i="8"/>
  <c r="D187" i="8"/>
  <c r="E187" i="8"/>
  <c r="F187" i="8"/>
  <c r="G187" i="8"/>
  <c r="H187" i="8"/>
  <c r="I187" i="8"/>
  <c r="J187" i="8"/>
  <c r="L187" i="8"/>
  <c r="M187" i="8"/>
  <c r="N187" i="8"/>
  <c r="O187" i="8"/>
  <c r="P187" i="8"/>
  <c r="Q187" i="8"/>
  <c r="R187" i="8"/>
  <c r="S187" i="8"/>
  <c r="T187" i="8"/>
  <c r="V187" i="8"/>
  <c r="W187" i="8"/>
  <c r="X187" i="8"/>
  <c r="Y187" i="8"/>
  <c r="Z187" i="8"/>
  <c r="AA187" i="8"/>
  <c r="AC187" i="8"/>
  <c r="AD187" i="8"/>
  <c r="AE187" i="8"/>
  <c r="AF187" i="8"/>
  <c r="AG187" i="8"/>
  <c r="AH187" i="8"/>
  <c r="AI187" i="8"/>
  <c r="AJ187" i="8"/>
  <c r="AK187" i="8"/>
  <c r="AM187" i="8"/>
  <c r="AN187" i="8"/>
  <c r="AO187" i="8"/>
  <c r="AP187" i="8"/>
  <c r="AQ187" i="8"/>
  <c r="AR187" i="8"/>
  <c r="AT187" i="8"/>
  <c r="AU187" i="8"/>
  <c r="AV187" i="8"/>
  <c r="AW187" i="8"/>
  <c r="AX187" i="8"/>
  <c r="AY187" i="8"/>
  <c r="AZ187" i="8"/>
  <c r="BA187" i="8"/>
  <c r="BB187" i="8"/>
  <c r="BD187" i="8"/>
  <c r="A188" i="8"/>
  <c r="B188" i="8"/>
  <c r="C188" i="8"/>
  <c r="D188" i="8"/>
  <c r="E188" i="8"/>
  <c r="F188" i="8"/>
  <c r="G188" i="8"/>
  <c r="H188" i="8"/>
  <c r="I188" i="8"/>
  <c r="J188" i="8"/>
  <c r="L188" i="8"/>
  <c r="M188" i="8"/>
  <c r="N188" i="8"/>
  <c r="O188" i="8"/>
  <c r="P188" i="8"/>
  <c r="Q188" i="8"/>
  <c r="R188" i="8"/>
  <c r="S188" i="8"/>
  <c r="T188" i="8"/>
  <c r="V188" i="8"/>
  <c r="W188" i="8"/>
  <c r="X188" i="8"/>
  <c r="Y188" i="8"/>
  <c r="Z188" i="8"/>
  <c r="AA188" i="8"/>
  <c r="AC188" i="8"/>
  <c r="AD188" i="8"/>
  <c r="AE188" i="8"/>
  <c r="AF188" i="8"/>
  <c r="AG188" i="8"/>
  <c r="AH188" i="8"/>
  <c r="AI188" i="8"/>
  <c r="AJ188" i="8"/>
  <c r="AK188" i="8"/>
  <c r="AM188" i="8"/>
  <c r="AN188" i="8"/>
  <c r="AO188" i="8"/>
  <c r="AP188" i="8"/>
  <c r="AQ188" i="8"/>
  <c r="AR188" i="8"/>
  <c r="AT188" i="8"/>
  <c r="AU188" i="8"/>
  <c r="AV188" i="8"/>
  <c r="AW188" i="8"/>
  <c r="AX188" i="8"/>
  <c r="AY188" i="8"/>
  <c r="AZ188" i="8"/>
  <c r="BA188" i="8"/>
  <c r="BB188" i="8"/>
  <c r="BD188" i="8"/>
  <c r="A189" i="8"/>
  <c r="B189" i="8"/>
  <c r="C189" i="8"/>
  <c r="D189" i="8"/>
  <c r="E189" i="8"/>
  <c r="F189" i="8"/>
  <c r="G189" i="8"/>
  <c r="H189" i="8"/>
  <c r="I189" i="8"/>
  <c r="J189" i="8"/>
  <c r="L189" i="8"/>
  <c r="M189" i="8"/>
  <c r="N189" i="8"/>
  <c r="O189" i="8"/>
  <c r="P189" i="8"/>
  <c r="Q189" i="8"/>
  <c r="R189" i="8"/>
  <c r="S189" i="8"/>
  <c r="T189" i="8"/>
  <c r="V189" i="8"/>
  <c r="W189" i="8"/>
  <c r="X189" i="8"/>
  <c r="Y189" i="8"/>
  <c r="Z189" i="8"/>
  <c r="AA189" i="8"/>
  <c r="AC189" i="8"/>
  <c r="AD189" i="8"/>
  <c r="AE189" i="8"/>
  <c r="AF189" i="8"/>
  <c r="AG189" i="8"/>
  <c r="AH189" i="8"/>
  <c r="AI189" i="8"/>
  <c r="AJ189" i="8"/>
  <c r="AK189" i="8"/>
  <c r="AM189" i="8"/>
  <c r="AN189" i="8"/>
  <c r="AO189" i="8"/>
  <c r="AP189" i="8"/>
  <c r="AQ189" i="8"/>
  <c r="AR189" i="8"/>
  <c r="AT189" i="8"/>
  <c r="AU189" i="8"/>
  <c r="AV189" i="8"/>
  <c r="AW189" i="8"/>
  <c r="AX189" i="8"/>
  <c r="AY189" i="8"/>
  <c r="AZ189" i="8"/>
  <c r="BA189" i="8"/>
  <c r="BB189" i="8"/>
  <c r="BD189" i="8"/>
  <c r="A190" i="8"/>
  <c r="B190" i="8"/>
  <c r="C190" i="8"/>
  <c r="D190" i="8"/>
  <c r="E190" i="8"/>
  <c r="F190" i="8"/>
  <c r="G190" i="8"/>
  <c r="H190" i="8"/>
  <c r="I190" i="8"/>
  <c r="J190" i="8"/>
  <c r="L190" i="8"/>
  <c r="M190" i="8"/>
  <c r="N190" i="8"/>
  <c r="O190" i="8"/>
  <c r="P190" i="8"/>
  <c r="Q190" i="8"/>
  <c r="R190" i="8"/>
  <c r="S190" i="8"/>
  <c r="T190" i="8"/>
  <c r="V190" i="8"/>
  <c r="W190" i="8"/>
  <c r="X190" i="8"/>
  <c r="Y190" i="8"/>
  <c r="Z190" i="8"/>
  <c r="AA190" i="8"/>
  <c r="AC190" i="8"/>
  <c r="AD190" i="8"/>
  <c r="AE190" i="8"/>
  <c r="AF190" i="8"/>
  <c r="AG190" i="8"/>
  <c r="AH190" i="8"/>
  <c r="AI190" i="8"/>
  <c r="AJ190" i="8"/>
  <c r="AK190" i="8"/>
  <c r="AM190" i="8"/>
  <c r="AN190" i="8"/>
  <c r="AO190" i="8"/>
  <c r="AP190" i="8"/>
  <c r="AQ190" i="8"/>
  <c r="AR190" i="8"/>
  <c r="AT190" i="8"/>
  <c r="AU190" i="8"/>
  <c r="AV190" i="8"/>
  <c r="AW190" i="8"/>
  <c r="AX190" i="8"/>
  <c r="AY190" i="8"/>
  <c r="AZ190" i="8"/>
  <c r="BA190" i="8"/>
  <c r="BB190" i="8"/>
  <c r="BD190" i="8"/>
  <c r="A191" i="8"/>
  <c r="B191" i="8"/>
  <c r="C191" i="8"/>
  <c r="D191" i="8"/>
  <c r="E191" i="8"/>
  <c r="F191" i="8"/>
  <c r="G191" i="8"/>
  <c r="H191" i="8"/>
  <c r="I191" i="8"/>
  <c r="J191" i="8"/>
  <c r="L191" i="8"/>
  <c r="M191" i="8"/>
  <c r="N191" i="8"/>
  <c r="O191" i="8"/>
  <c r="P191" i="8"/>
  <c r="Q191" i="8"/>
  <c r="R191" i="8"/>
  <c r="S191" i="8"/>
  <c r="T191" i="8"/>
  <c r="V191" i="8"/>
  <c r="W191" i="8"/>
  <c r="X191" i="8"/>
  <c r="Y191" i="8"/>
  <c r="Z191" i="8"/>
  <c r="AA191" i="8"/>
  <c r="AC191" i="8"/>
  <c r="AD191" i="8"/>
  <c r="AE191" i="8"/>
  <c r="AF191" i="8"/>
  <c r="AG191" i="8"/>
  <c r="AH191" i="8"/>
  <c r="AI191" i="8"/>
  <c r="AJ191" i="8"/>
  <c r="AK191" i="8"/>
  <c r="AM191" i="8"/>
  <c r="AN191" i="8"/>
  <c r="AO191" i="8"/>
  <c r="AP191" i="8"/>
  <c r="AQ191" i="8"/>
  <c r="AR191" i="8"/>
  <c r="AT191" i="8"/>
  <c r="AU191" i="8"/>
  <c r="AV191" i="8"/>
  <c r="AW191" i="8"/>
  <c r="AX191" i="8"/>
  <c r="AY191" i="8"/>
  <c r="AZ191" i="8"/>
  <c r="BA191" i="8"/>
  <c r="BB191" i="8"/>
  <c r="BD191" i="8"/>
  <c r="A192" i="8"/>
  <c r="B192" i="8"/>
  <c r="C192" i="8"/>
  <c r="D192" i="8"/>
  <c r="E192" i="8"/>
  <c r="F192" i="8"/>
  <c r="G192" i="8"/>
  <c r="H192" i="8"/>
  <c r="I192" i="8"/>
  <c r="J192" i="8"/>
  <c r="L192" i="8"/>
  <c r="M192" i="8"/>
  <c r="N192" i="8"/>
  <c r="O192" i="8"/>
  <c r="P192" i="8"/>
  <c r="Q192" i="8"/>
  <c r="R192" i="8"/>
  <c r="S192" i="8"/>
  <c r="T192" i="8"/>
  <c r="V192" i="8"/>
  <c r="W192" i="8"/>
  <c r="X192" i="8"/>
  <c r="Y192" i="8"/>
  <c r="Z192" i="8"/>
  <c r="AA192" i="8"/>
  <c r="AC192" i="8"/>
  <c r="AD192" i="8"/>
  <c r="AE192" i="8"/>
  <c r="AF192" i="8"/>
  <c r="AG192" i="8"/>
  <c r="AH192" i="8"/>
  <c r="AI192" i="8"/>
  <c r="AJ192" i="8"/>
  <c r="AK192" i="8"/>
  <c r="AM192" i="8"/>
  <c r="AN192" i="8"/>
  <c r="AO192" i="8"/>
  <c r="AP192" i="8"/>
  <c r="AQ192" i="8"/>
  <c r="AR192" i="8"/>
  <c r="AT192" i="8"/>
  <c r="AU192" i="8"/>
  <c r="AV192" i="8"/>
  <c r="AW192" i="8"/>
  <c r="AX192" i="8"/>
  <c r="AY192" i="8"/>
  <c r="AZ192" i="8"/>
  <c r="BA192" i="8"/>
  <c r="BB192" i="8"/>
  <c r="BD192" i="8"/>
  <c r="A193" i="8"/>
  <c r="B193" i="8"/>
  <c r="C193" i="8"/>
  <c r="D193" i="8"/>
  <c r="E193" i="8"/>
  <c r="F193" i="8"/>
  <c r="G193" i="8"/>
  <c r="H193" i="8"/>
  <c r="I193" i="8"/>
  <c r="J193" i="8"/>
  <c r="L193" i="8"/>
  <c r="M193" i="8"/>
  <c r="N193" i="8"/>
  <c r="O193" i="8"/>
  <c r="P193" i="8"/>
  <c r="Q193" i="8"/>
  <c r="R193" i="8"/>
  <c r="S193" i="8"/>
  <c r="T193" i="8"/>
  <c r="V193" i="8"/>
  <c r="W193" i="8"/>
  <c r="X193" i="8"/>
  <c r="Y193" i="8"/>
  <c r="Z193" i="8"/>
  <c r="AA193" i="8"/>
  <c r="AC193" i="8"/>
  <c r="AD193" i="8"/>
  <c r="AE193" i="8"/>
  <c r="AF193" i="8"/>
  <c r="AG193" i="8"/>
  <c r="AH193" i="8"/>
  <c r="AI193" i="8"/>
  <c r="AJ193" i="8"/>
  <c r="AK193" i="8"/>
  <c r="AM193" i="8"/>
  <c r="AN193" i="8"/>
  <c r="AO193" i="8"/>
  <c r="AP193" i="8"/>
  <c r="AQ193" i="8"/>
  <c r="AR193" i="8"/>
  <c r="AT193" i="8"/>
  <c r="AU193" i="8"/>
  <c r="AV193" i="8"/>
  <c r="AW193" i="8"/>
  <c r="AX193" i="8"/>
  <c r="AY193" i="8"/>
  <c r="AZ193" i="8"/>
  <c r="BA193" i="8"/>
  <c r="BB193" i="8"/>
  <c r="BD193" i="8"/>
  <c r="A194" i="8"/>
  <c r="B194" i="8"/>
  <c r="C194" i="8"/>
  <c r="D194" i="8"/>
  <c r="E194" i="8"/>
  <c r="F194" i="8"/>
  <c r="G194" i="8"/>
  <c r="H194" i="8"/>
  <c r="I194" i="8"/>
  <c r="J194" i="8"/>
  <c r="L194" i="8"/>
  <c r="M194" i="8"/>
  <c r="N194" i="8"/>
  <c r="O194" i="8"/>
  <c r="P194" i="8"/>
  <c r="Q194" i="8"/>
  <c r="R194" i="8"/>
  <c r="S194" i="8"/>
  <c r="T194" i="8"/>
  <c r="V194" i="8"/>
  <c r="W194" i="8"/>
  <c r="X194" i="8"/>
  <c r="Y194" i="8"/>
  <c r="Z194" i="8"/>
  <c r="AA194" i="8"/>
  <c r="AC194" i="8"/>
  <c r="AD194" i="8"/>
  <c r="AE194" i="8"/>
  <c r="AF194" i="8"/>
  <c r="AG194" i="8"/>
  <c r="AH194" i="8"/>
  <c r="AI194" i="8"/>
  <c r="AJ194" i="8"/>
  <c r="AK194" i="8"/>
  <c r="AM194" i="8"/>
  <c r="AN194" i="8"/>
  <c r="AO194" i="8"/>
  <c r="AP194" i="8"/>
  <c r="AQ194" i="8"/>
  <c r="AR194" i="8"/>
  <c r="AT194" i="8"/>
  <c r="AU194" i="8"/>
  <c r="AV194" i="8"/>
  <c r="AW194" i="8"/>
  <c r="AX194" i="8"/>
  <c r="AY194" i="8"/>
  <c r="AZ194" i="8"/>
  <c r="BA194" i="8"/>
  <c r="BB194" i="8"/>
  <c r="BD194" i="8"/>
  <c r="A195" i="8"/>
  <c r="B195" i="8"/>
  <c r="C195" i="8"/>
  <c r="D195" i="8"/>
  <c r="E195" i="8"/>
  <c r="F195" i="8"/>
  <c r="G195" i="8"/>
  <c r="H195" i="8"/>
  <c r="I195" i="8"/>
  <c r="J195" i="8"/>
  <c r="L195" i="8"/>
  <c r="M195" i="8"/>
  <c r="N195" i="8"/>
  <c r="O195" i="8"/>
  <c r="P195" i="8"/>
  <c r="Q195" i="8"/>
  <c r="R195" i="8"/>
  <c r="S195" i="8"/>
  <c r="T195" i="8"/>
  <c r="V195" i="8"/>
  <c r="W195" i="8"/>
  <c r="X195" i="8"/>
  <c r="Y195" i="8"/>
  <c r="Z195" i="8"/>
  <c r="AA195" i="8"/>
  <c r="AC195" i="8"/>
  <c r="AD195" i="8"/>
  <c r="AE195" i="8"/>
  <c r="AF195" i="8"/>
  <c r="AG195" i="8"/>
  <c r="AH195" i="8"/>
  <c r="AI195" i="8"/>
  <c r="AJ195" i="8"/>
  <c r="AK195" i="8"/>
  <c r="AM195" i="8"/>
  <c r="AN195" i="8"/>
  <c r="AO195" i="8"/>
  <c r="AP195" i="8"/>
  <c r="AQ195" i="8"/>
  <c r="AR195" i="8"/>
  <c r="AT195" i="8"/>
  <c r="AU195" i="8"/>
  <c r="AV195" i="8"/>
  <c r="AW195" i="8"/>
  <c r="AX195" i="8"/>
  <c r="AY195" i="8"/>
  <c r="AZ195" i="8"/>
  <c r="BA195" i="8"/>
  <c r="BB195" i="8"/>
  <c r="BD195" i="8"/>
  <c r="A196" i="8"/>
  <c r="B196" i="8"/>
  <c r="C196" i="8"/>
  <c r="D196" i="8"/>
  <c r="E196" i="8"/>
  <c r="F196" i="8"/>
  <c r="G196" i="8"/>
  <c r="H196" i="8"/>
  <c r="I196" i="8"/>
  <c r="J196" i="8"/>
  <c r="L196" i="8"/>
  <c r="M196" i="8"/>
  <c r="N196" i="8"/>
  <c r="O196" i="8"/>
  <c r="P196" i="8"/>
  <c r="Q196" i="8"/>
  <c r="R196" i="8"/>
  <c r="S196" i="8"/>
  <c r="T196" i="8"/>
  <c r="V196" i="8"/>
  <c r="W196" i="8"/>
  <c r="X196" i="8"/>
  <c r="Y196" i="8"/>
  <c r="Z196" i="8"/>
  <c r="AA196" i="8"/>
  <c r="AC196" i="8"/>
  <c r="AD196" i="8"/>
  <c r="AE196" i="8"/>
  <c r="AF196" i="8"/>
  <c r="AG196" i="8"/>
  <c r="AH196" i="8"/>
  <c r="AI196" i="8"/>
  <c r="AJ196" i="8"/>
  <c r="AK196" i="8"/>
  <c r="AM196" i="8"/>
  <c r="AN196" i="8"/>
  <c r="AO196" i="8"/>
  <c r="AP196" i="8"/>
  <c r="AQ196" i="8"/>
  <c r="AR196" i="8"/>
  <c r="AT196" i="8"/>
  <c r="AU196" i="8"/>
  <c r="AV196" i="8"/>
  <c r="AW196" i="8"/>
  <c r="AX196" i="8"/>
  <c r="AY196" i="8"/>
  <c r="AZ196" i="8"/>
  <c r="BA196" i="8"/>
  <c r="BB196" i="8"/>
  <c r="BD196" i="8"/>
  <c r="A197" i="8"/>
  <c r="B197" i="8"/>
  <c r="C197" i="8"/>
  <c r="D197" i="8"/>
  <c r="E197" i="8"/>
  <c r="F197" i="8"/>
  <c r="G197" i="8"/>
  <c r="H197" i="8"/>
  <c r="I197" i="8"/>
  <c r="J197" i="8"/>
  <c r="L197" i="8"/>
  <c r="M197" i="8"/>
  <c r="N197" i="8"/>
  <c r="O197" i="8"/>
  <c r="P197" i="8"/>
  <c r="Q197" i="8"/>
  <c r="R197" i="8"/>
  <c r="S197" i="8"/>
  <c r="T197" i="8"/>
  <c r="V197" i="8"/>
  <c r="W197" i="8"/>
  <c r="X197" i="8"/>
  <c r="Y197" i="8"/>
  <c r="Z197" i="8"/>
  <c r="AA197" i="8"/>
  <c r="AC197" i="8"/>
  <c r="AD197" i="8"/>
  <c r="AE197" i="8"/>
  <c r="AF197" i="8"/>
  <c r="AG197" i="8"/>
  <c r="AH197" i="8"/>
  <c r="AI197" i="8"/>
  <c r="AJ197" i="8"/>
  <c r="AK197" i="8"/>
  <c r="AM197" i="8"/>
  <c r="AN197" i="8"/>
  <c r="AO197" i="8"/>
  <c r="AP197" i="8"/>
  <c r="AQ197" i="8"/>
  <c r="AR197" i="8"/>
  <c r="AT197" i="8"/>
  <c r="AU197" i="8"/>
  <c r="AV197" i="8"/>
  <c r="AW197" i="8"/>
  <c r="AX197" i="8"/>
  <c r="AY197" i="8"/>
  <c r="AZ197" i="8"/>
  <c r="BA197" i="8"/>
  <c r="BB197" i="8"/>
  <c r="BD197" i="8"/>
  <c r="A198" i="8"/>
  <c r="B198" i="8"/>
  <c r="C198" i="8"/>
  <c r="D198" i="8"/>
  <c r="E198" i="8"/>
  <c r="F198" i="8"/>
  <c r="G198" i="8"/>
  <c r="H198" i="8"/>
  <c r="I198" i="8"/>
  <c r="J198" i="8"/>
  <c r="L198" i="8"/>
  <c r="M198" i="8"/>
  <c r="N198" i="8"/>
  <c r="O198" i="8"/>
  <c r="P198" i="8"/>
  <c r="Q198" i="8"/>
  <c r="R198" i="8"/>
  <c r="S198" i="8"/>
  <c r="T198" i="8"/>
  <c r="V198" i="8"/>
  <c r="W198" i="8"/>
  <c r="X198" i="8"/>
  <c r="Y198" i="8"/>
  <c r="Z198" i="8"/>
  <c r="AA198" i="8"/>
  <c r="AC198" i="8"/>
  <c r="AD198" i="8"/>
  <c r="AE198" i="8"/>
  <c r="AF198" i="8"/>
  <c r="AG198" i="8"/>
  <c r="AH198" i="8"/>
  <c r="AI198" i="8"/>
  <c r="AJ198" i="8"/>
  <c r="AK198" i="8"/>
  <c r="AM198" i="8"/>
  <c r="AN198" i="8"/>
  <c r="AO198" i="8"/>
  <c r="AP198" i="8"/>
  <c r="AQ198" i="8"/>
  <c r="AR198" i="8"/>
  <c r="AT198" i="8"/>
  <c r="AU198" i="8"/>
  <c r="AV198" i="8"/>
  <c r="AW198" i="8"/>
  <c r="AX198" i="8"/>
  <c r="AY198" i="8"/>
  <c r="AZ198" i="8"/>
  <c r="BA198" i="8"/>
  <c r="BB198" i="8"/>
  <c r="BD198" i="8"/>
  <c r="A199" i="8"/>
  <c r="B199" i="8"/>
  <c r="C199" i="8"/>
  <c r="D199" i="8"/>
  <c r="E199" i="8"/>
  <c r="F199" i="8"/>
  <c r="G199" i="8"/>
  <c r="H199" i="8"/>
  <c r="I199" i="8"/>
  <c r="J199" i="8"/>
  <c r="L199" i="8"/>
  <c r="M199" i="8"/>
  <c r="N199" i="8"/>
  <c r="O199" i="8"/>
  <c r="P199" i="8"/>
  <c r="Q199" i="8"/>
  <c r="R199" i="8"/>
  <c r="S199" i="8"/>
  <c r="T199" i="8"/>
  <c r="V199" i="8"/>
  <c r="W199" i="8"/>
  <c r="X199" i="8"/>
  <c r="Y199" i="8"/>
  <c r="Z199" i="8"/>
  <c r="AA199" i="8"/>
  <c r="AC199" i="8"/>
  <c r="AD199" i="8"/>
  <c r="AE199" i="8"/>
  <c r="AF199" i="8"/>
  <c r="AG199" i="8"/>
  <c r="AH199" i="8"/>
  <c r="AI199" i="8"/>
  <c r="AJ199" i="8"/>
  <c r="AK199" i="8"/>
  <c r="AM199" i="8"/>
  <c r="AN199" i="8"/>
  <c r="AO199" i="8"/>
  <c r="AP199" i="8"/>
  <c r="AQ199" i="8"/>
  <c r="AR199" i="8"/>
  <c r="AT199" i="8"/>
  <c r="AU199" i="8"/>
  <c r="AV199" i="8"/>
  <c r="AW199" i="8"/>
  <c r="AX199" i="8"/>
  <c r="AY199" i="8"/>
  <c r="AZ199" i="8"/>
  <c r="BA199" i="8"/>
  <c r="BB199" i="8"/>
  <c r="BD199" i="8"/>
  <c r="A200" i="8"/>
  <c r="B200" i="8"/>
  <c r="C200" i="8"/>
  <c r="D200" i="8"/>
  <c r="E200" i="8"/>
  <c r="F200" i="8"/>
  <c r="G200" i="8"/>
  <c r="H200" i="8"/>
  <c r="I200" i="8"/>
  <c r="J200" i="8"/>
  <c r="L200" i="8"/>
  <c r="M200" i="8"/>
  <c r="N200" i="8"/>
  <c r="O200" i="8"/>
  <c r="P200" i="8"/>
  <c r="Q200" i="8"/>
  <c r="R200" i="8"/>
  <c r="S200" i="8"/>
  <c r="T200" i="8"/>
  <c r="V200" i="8"/>
  <c r="W200" i="8"/>
  <c r="X200" i="8"/>
  <c r="Y200" i="8"/>
  <c r="Z200" i="8"/>
  <c r="AA200" i="8"/>
  <c r="AC200" i="8"/>
  <c r="AD200" i="8"/>
  <c r="AE200" i="8"/>
  <c r="AF200" i="8"/>
  <c r="AG200" i="8"/>
  <c r="AH200" i="8"/>
  <c r="AI200" i="8"/>
  <c r="AJ200" i="8"/>
  <c r="AK200" i="8"/>
  <c r="AM200" i="8"/>
  <c r="AN200" i="8"/>
  <c r="AO200" i="8"/>
  <c r="AP200" i="8"/>
  <c r="AQ200" i="8"/>
  <c r="AR200" i="8"/>
  <c r="AT200" i="8"/>
  <c r="AU200" i="8"/>
  <c r="AV200" i="8"/>
  <c r="AW200" i="8"/>
  <c r="AX200" i="8"/>
  <c r="AY200" i="8"/>
  <c r="AZ200" i="8"/>
  <c r="BA200" i="8"/>
  <c r="BB200" i="8"/>
  <c r="BD200" i="8"/>
  <c r="A201" i="8"/>
  <c r="B201" i="8"/>
  <c r="C201" i="8"/>
  <c r="D201" i="8"/>
  <c r="E201" i="8"/>
  <c r="F201" i="8"/>
  <c r="G201" i="8"/>
  <c r="H201" i="8"/>
  <c r="I201" i="8"/>
  <c r="J201" i="8"/>
  <c r="L201" i="8"/>
  <c r="M201" i="8"/>
  <c r="N201" i="8"/>
  <c r="O201" i="8"/>
  <c r="P201" i="8"/>
  <c r="Q201" i="8"/>
  <c r="R201" i="8"/>
  <c r="S201" i="8"/>
  <c r="T201" i="8"/>
  <c r="V201" i="8"/>
  <c r="W201" i="8"/>
  <c r="X201" i="8"/>
  <c r="Y201" i="8"/>
  <c r="Z201" i="8"/>
  <c r="AA201" i="8"/>
  <c r="AC201" i="8"/>
  <c r="AD201" i="8"/>
  <c r="AE201" i="8"/>
  <c r="AF201" i="8"/>
  <c r="AG201" i="8"/>
  <c r="AH201" i="8"/>
  <c r="AI201" i="8"/>
  <c r="AJ201" i="8"/>
  <c r="AK201" i="8"/>
  <c r="AM201" i="8"/>
  <c r="AN201" i="8"/>
  <c r="AO201" i="8"/>
  <c r="AP201" i="8"/>
  <c r="AQ201" i="8"/>
  <c r="AR201" i="8"/>
  <c r="AT201" i="8"/>
  <c r="AU201" i="8"/>
  <c r="AV201" i="8"/>
  <c r="AW201" i="8"/>
  <c r="AX201" i="8"/>
  <c r="AY201" i="8"/>
  <c r="AZ201" i="8"/>
  <c r="BA201" i="8"/>
  <c r="BB201" i="8"/>
  <c r="BD201" i="8"/>
  <c r="A202" i="8"/>
  <c r="B202" i="8"/>
  <c r="C202" i="8"/>
  <c r="D202" i="8"/>
  <c r="E202" i="8"/>
  <c r="F202" i="8"/>
  <c r="G202" i="8"/>
  <c r="H202" i="8"/>
  <c r="I202" i="8"/>
  <c r="J202" i="8"/>
  <c r="L202" i="8"/>
  <c r="M202" i="8"/>
  <c r="N202" i="8"/>
  <c r="O202" i="8"/>
  <c r="P202" i="8"/>
  <c r="Q202" i="8"/>
  <c r="R202" i="8"/>
  <c r="S202" i="8"/>
  <c r="T202" i="8"/>
  <c r="V202" i="8"/>
  <c r="W202" i="8"/>
  <c r="X202" i="8"/>
  <c r="Y202" i="8"/>
  <c r="Z202" i="8"/>
  <c r="AA202" i="8"/>
  <c r="AC202" i="8"/>
  <c r="AD202" i="8"/>
  <c r="AE202" i="8"/>
  <c r="AF202" i="8"/>
  <c r="AG202" i="8"/>
  <c r="AH202" i="8"/>
  <c r="AI202" i="8"/>
  <c r="AJ202" i="8"/>
  <c r="AK202" i="8"/>
  <c r="AM202" i="8"/>
  <c r="AN202" i="8"/>
  <c r="AO202" i="8"/>
  <c r="AP202" i="8"/>
  <c r="AQ202" i="8"/>
  <c r="AR202" i="8"/>
  <c r="AT202" i="8"/>
  <c r="AU202" i="8"/>
  <c r="AV202" i="8"/>
  <c r="AW202" i="8"/>
  <c r="AX202" i="8"/>
  <c r="AY202" i="8"/>
  <c r="AZ202" i="8"/>
  <c r="BA202" i="8"/>
  <c r="BB202" i="8"/>
  <c r="BD202" i="8"/>
  <c r="A203" i="8"/>
  <c r="B203" i="8"/>
  <c r="C203" i="8"/>
  <c r="D203" i="8"/>
  <c r="E203" i="8"/>
  <c r="F203" i="8"/>
  <c r="G203" i="8"/>
  <c r="H203" i="8"/>
  <c r="I203" i="8"/>
  <c r="J203" i="8"/>
  <c r="L203" i="8"/>
  <c r="M203" i="8"/>
  <c r="N203" i="8"/>
  <c r="O203" i="8"/>
  <c r="P203" i="8"/>
  <c r="Q203" i="8"/>
  <c r="R203" i="8"/>
  <c r="S203" i="8"/>
  <c r="T203" i="8"/>
  <c r="V203" i="8"/>
  <c r="W203" i="8"/>
  <c r="X203" i="8"/>
  <c r="Y203" i="8"/>
  <c r="Z203" i="8"/>
  <c r="AA203" i="8"/>
  <c r="AC203" i="8"/>
  <c r="AD203" i="8"/>
  <c r="AE203" i="8"/>
  <c r="AF203" i="8"/>
  <c r="AG203" i="8"/>
  <c r="AH203" i="8"/>
  <c r="AI203" i="8"/>
  <c r="AJ203" i="8"/>
  <c r="AK203" i="8"/>
  <c r="AM203" i="8"/>
  <c r="AN203" i="8"/>
  <c r="AO203" i="8"/>
  <c r="AP203" i="8"/>
  <c r="AQ203" i="8"/>
  <c r="AR203" i="8"/>
  <c r="AT203" i="8"/>
  <c r="AU203" i="8"/>
  <c r="AV203" i="8"/>
  <c r="AW203" i="8"/>
  <c r="AX203" i="8"/>
  <c r="AY203" i="8"/>
  <c r="AZ203" i="8"/>
  <c r="BA203" i="8"/>
  <c r="BB203" i="8"/>
  <c r="BD203" i="8"/>
  <c r="A204" i="8"/>
  <c r="B204" i="8"/>
  <c r="C204" i="8"/>
  <c r="D204" i="8"/>
  <c r="E204" i="8"/>
  <c r="F204" i="8"/>
  <c r="G204" i="8"/>
  <c r="H204" i="8"/>
  <c r="I204" i="8"/>
  <c r="J204" i="8"/>
  <c r="L204" i="8"/>
  <c r="M204" i="8"/>
  <c r="N204" i="8"/>
  <c r="O204" i="8"/>
  <c r="P204" i="8"/>
  <c r="Q204" i="8"/>
  <c r="R204" i="8"/>
  <c r="S204" i="8"/>
  <c r="T204" i="8"/>
  <c r="V204" i="8"/>
  <c r="W204" i="8"/>
  <c r="X204" i="8"/>
  <c r="Y204" i="8"/>
  <c r="Z204" i="8"/>
  <c r="AA204" i="8"/>
  <c r="AC204" i="8"/>
  <c r="AD204" i="8"/>
  <c r="AE204" i="8"/>
  <c r="AF204" i="8"/>
  <c r="AG204" i="8"/>
  <c r="AH204" i="8"/>
  <c r="AI204" i="8"/>
  <c r="AJ204" i="8"/>
  <c r="AK204" i="8"/>
  <c r="AM204" i="8"/>
  <c r="AN204" i="8"/>
  <c r="AO204" i="8"/>
  <c r="AP204" i="8"/>
  <c r="AQ204" i="8"/>
  <c r="AR204" i="8"/>
  <c r="AT204" i="8"/>
  <c r="AU204" i="8"/>
  <c r="AV204" i="8"/>
  <c r="AW204" i="8"/>
  <c r="AX204" i="8"/>
  <c r="AY204" i="8"/>
  <c r="AZ204" i="8"/>
  <c r="BA204" i="8"/>
  <c r="BB204" i="8"/>
  <c r="BD204" i="8"/>
  <c r="A205" i="8"/>
  <c r="B205" i="8"/>
  <c r="C205" i="8"/>
  <c r="D205" i="8"/>
  <c r="E205" i="8"/>
  <c r="F205" i="8"/>
  <c r="G205" i="8"/>
  <c r="H205" i="8"/>
  <c r="I205" i="8"/>
  <c r="J205" i="8"/>
  <c r="L205" i="8"/>
  <c r="M205" i="8"/>
  <c r="N205" i="8"/>
  <c r="O205" i="8"/>
  <c r="P205" i="8"/>
  <c r="Q205" i="8"/>
  <c r="R205" i="8"/>
  <c r="S205" i="8"/>
  <c r="T205" i="8"/>
  <c r="V205" i="8"/>
  <c r="W205" i="8"/>
  <c r="X205" i="8"/>
  <c r="Y205" i="8"/>
  <c r="Z205" i="8"/>
  <c r="AA205" i="8"/>
  <c r="AC205" i="8"/>
  <c r="AD205" i="8"/>
  <c r="AE205" i="8"/>
  <c r="AF205" i="8"/>
  <c r="AG205" i="8"/>
  <c r="AH205" i="8"/>
  <c r="AI205" i="8"/>
  <c r="AJ205" i="8"/>
  <c r="AK205" i="8"/>
  <c r="AM205" i="8"/>
  <c r="AN205" i="8"/>
  <c r="AO205" i="8"/>
  <c r="AP205" i="8"/>
  <c r="AQ205" i="8"/>
  <c r="AR205" i="8"/>
  <c r="AT205" i="8"/>
  <c r="AU205" i="8"/>
  <c r="AV205" i="8"/>
  <c r="AW205" i="8"/>
  <c r="AX205" i="8"/>
  <c r="AY205" i="8"/>
  <c r="AZ205" i="8"/>
  <c r="BA205" i="8"/>
  <c r="BB205" i="8"/>
  <c r="BD205" i="8"/>
  <c r="A206" i="8"/>
  <c r="B206" i="8"/>
  <c r="C206" i="8"/>
  <c r="D206" i="8"/>
  <c r="E206" i="8"/>
  <c r="F206" i="8"/>
  <c r="G206" i="8"/>
  <c r="H206" i="8"/>
  <c r="I206" i="8"/>
  <c r="J206" i="8"/>
  <c r="L206" i="8"/>
  <c r="M206" i="8"/>
  <c r="N206" i="8"/>
  <c r="O206" i="8"/>
  <c r="P206" i="8"/>
  <c r="Q206" i="8"/>
  <c r="R206" i="8"/>
  <c r="S206" i="8"/>
  <c r="T206" i="8"/>
  <c r="V206" i="8"/>
  <c r="W206" i="8"/>
  <c r="X206" i="8"/>
  <c r="Y206" i="8"/>
  <c r="Z206" i="8"/>
  <c r="AA206" i="8"/>
  <c r="AC206" i="8"/>
  <c r="AD206" i="8"/>
  <c r="AE206" i="8"/>
  <c r="AF206" i="8"/>
  <c r="AG206" i="8"/>
  <c r="AH206" i="8"/>
  <c r="AI206" i="8"/>
  <c r="AJ206" i="8"/>
  <c r="AK206" i="8"/>
  <c r="AM206" i="8"/>
  <c r="AN206" i="8"/>
  <c r="AO206" i="8"/>
  <c r="AP206" i="8"/>
  <c r="AQ206" i="8"/>
  <c r="AR206" i="8"/>
  <c r="AT206" i="8"/>
  <c r="AU206" i="8"/>
  <c r="AV206" i="8"/>
  <c r="AW206" i="8"/>
  <c r="AX206" i="8"/>
  <c r="AY206" i="8"/>
  <c r="AZ206" i="8"/>
  <c r="BA206" i="8"/>
  <c r="BB206" i="8"/>
  <c r="BD206" i="8"/>
  <c r="A207" i="8"/>
  <c r="B207" i="8"/>
  <c r="C207" i="8"/>
  <c r="D207" i="8"/>
  <c r="E207" i="8"/>
  <c r="F207" i="8"/>
  <c r="G207" i="8"/>
  <c r="H207" i="8"/>
  <c r="I207" i="8"/>
  <c r="J207" i="8"/>
  <c r="L207" i="8"/>
  <c r="M207" i="8"/>
  <c r="N207" i="8"/>
  <c r="O207" i="8"/>
  <c r="P207" i="8"/>
  <c r="Q207" i="8"/>
  <c r="R207" i="8"/>
  <c r="S207" i="8"/>
  <c r="T207" i="8"/>
  <c r="V207" i="8"/>
  <c r="W207" i="8"/>
  <c r="X207" i="8"/>
  <c r="Y207" i="8"/>
  <c r="Z207" i="8"/>
  <c r="AA207" i="8"/>
  <c r="AC207" i="8"/>
  <c r="AD207" i="8"/>
  <c r="AE207" i="8"/>
  <c r="AF207" i="8"/>
  <c r="AG207" i="8"/>
  <c r="AH207" i="8"/>
  <c r="AI207" i="8"/>
  <c r="AJ207" i="8"/>
  <c r="AK207" i="8"/>
  <c r="AM207" i="8"/>
  <c r="AN207" i="8"/>
  <c r="AO207" i="8"/>
  <c r="AP207" i="8"/>
  <c r="AQ207" i="8"/>
  <c r="AR207" i="8"/>
  <c r="AT207" i="8"/>
  <c r="AU207" i="8"/>
  <c r="AV207" i="8"/>
  <c r="AW207" i="8"/>
  <c r="AX207" i="8"/>
  <c r="AY207" i="8"/>
  <c r="AZ207" i="8"/>
  <c r="BA207" i="8"/>
  <c r="BB207" i="8"/>
  <c r="BD207" i="8"/>
  <c r="A208" i="8"/>
  <c r="B208" i="8"/>
  <c r="C208" i="8"/>
  <c r="D208" i="8"/>
  <c r="E208" i="8"/>
  <c r="F208" i="8"/>
  <c r="G208" i="8"/>
  <c r="H208" i="8"/>
  <c r="I208" i="8"/>
  <c r="J208" i="8"/>
  <c r="L208" i="8"/>
  <c r="M208" i="8"/>
  <c r="N208" i="8"/>
  <c r="O208" i="8"/>
  <c r="P208" i="8"/>
  <c r="Q208" i="8"/>
  <c r="R208" i="8"/>
  <c r="S208" i="8"/>
  <c r="T208" i="8"/>
  <c r="V208" i="8"/>
  <c r="W208" i="8"/>
  <c r="X208" i="8"/>
  <c r="Y208" i="8"/>
  <c r="Z208" i="8"/>
  <c r="AA208" i="8"/>
  <c r="AC208" i="8"/>
  <c r="AD208" i="8"/>
  <c r="AE208" i="8"/>
  <c r="AF208" i="8"/>
  <c r="AG208" i="8"/>
  <c r="AH208" i="8"/>
  <c r="AI208" i="8"/>
  <c r="AJ208" i="8"/>
  <c r="AK208" i="8"/>
  <c r="AM208" i="8"/>
  <c r="AN208" i="8"/>
  <c r="AO208" i="8"/>
  <c r="AP208" i="8"/>
  <c r="AQ208" i="8"/>
  <c r="AR208" i="8"/>
  <c r="AT208" i="8"/>
  <c r="AU208" i="8"/>
  <c r="AV208" i="8"/>
  <c r="AW208" i="8"/>
  <c r="AX208" i="8"/>
  <c r="AY208" i="8"/>
  <c r="AZ208" i="8"/>
  <c r="BA208" i="8"/>
  <c r="BB208" i="8"/>
  <c r="BD208" i="8"/>
  <c r="A209" i="8"/>
  <c r="B209" i="8"/>
  <c r="C209" i="8"/>
  <c r="D209" i="8"/>
  <c r="E209" i="8"/>
  <c r="F209" i="8"/>
  <c r="G209" i="8"/>
  <c r="H209" i="8"/>
  <c r="I209" i="8"/>
  <c r="J209" i="8"/>
  <c r="L209" i="8"/>
  <c r="M209" i="8"/>
  <c r="N209" i="8"/>
  <c r="O209" i="8"/>
  <c r="P209" i="8"/>
  <c r="Q209" i="8"/>
  <c r="R209" i="8"/>
  <c r="S209" i="8"/>
  <c r="T209" i="8"/>
  <c r="V209" i="8"/>
  <c r="W209" i="8"/>
  <c r="X209" i="8"/>
  <c r="Y209" i="8"/>
  <c r="Z209" i="8"/>
  <c r="AA209" i="8"/>
  <c r="AC209" i="8"/>
  <c r="AD209" i="8"/>
  <c r="AE209" i="8"/>
  <c r="AF209" i="8"/>
  <c r="AG209" i="8"/>
  <c r="AH209" i="8"/>
  <c r="AI209" i="8"/>
  <c r="AJ209" i="8"/>
  <c r="AK209" i="8"/>
  <c r="AM209" i="8"/>
  <c r="AN209" i="8"/>
  <c r="AO209" i="8"/>
  <c r="AP209" i="8"/>
  <c r="AQ209" i="8"/>
  <c r="AR209" i="8"/>
  <c r="AT209" i="8"/>
  <c r="AU209" i="8"/>
  <c r="AV209" i="8"/>
  <c r="AW209" i="8"/>
  <c r="AX209" i="8"/>
  <c r="AY209" i="8"/>
  <c r="AZ209" i="8"/>
  <c r="BA209" i="8"/>
  <c r="BB209" i="8"/>
  <c r="BD209" i="8"/>
  <c r="A210" i="8"/>
  <c r="B210" i="8"/>
  <c r="C210" i="8"/>
  <c r="D210" i="8"/>
  <c r="E210" i="8"/>
  <c r="F210" i="8"/>
  <c r="G210" i="8"/>
  <c r="H210" i="8"/>
  <c r="I210" i="8"/>
  <c r="J210" i="8"/>
  <c r="L210" i="8"/>
  <c r="M210" i="8"/>
  <c r="N210" i="8"/>
  <c r="O210" i="8"/>
  <c r="P210" i="8"/>
  <c r="Q210" i="8"/>
  <c r="R210" i="8"/>
  <c r="S210" i="8"/>
  <c r="T210" i="8"/>
  <c r="V210" i="8"/>
  <c r="W210" i="8"/>
  <c r="X210" i="8"/>
  <c r="Y210" i="8"/>
  <c r="Z210" i="8"/>
  <c r="AA210" i="8"/>
  <c r="AC210" i="8"/>
  <c r="AD210" i="8"/>
  <c r="AE210" i="8"/>
  <c r="AF210" i="8"/>
  <c r="AG210" i="8"/>
  <c r="AH210" i="8"/>
  <c r="AI210" i="8"/>
  <c r="AJ210" i="8"/>
  <c r="AK210" i="8"/>
  <c r="AM210" i="8"/>
  <c r="AN210" i="8"/>
  <c r="AO210" i="8"/>
  <c r="AP210" i="8"/>
  <c r="AQ210" i="8"/>
  <c r="AR210" i="8"/>
  <c r="AT210" i="8"/>
  <c r="AU210" i="8"/>
  <c r="AV210" i="8"/>
  <c r="AW210" i="8"/>
  <c r="AX210" i="8"/>
  <c r="AY210" i="8"/>
  <c r="AZ210" i="8"/>
  <c r="BA210" i="8"/>
  <c r="BB210" i="8"/>
  <c r="BD210" i="8"/>
  <c r="A211" i="8"/>
  <c r="B211" i="8"/>
  <c r="C211" i="8"/>
  <c r="D211" i="8"/>
  <c r="E211" i="8"/>
  <c r="F211" i="8"/>
  <c r="G211" i="8"/>
  <c r="H211" i="8"/>
  <c r="I211" i="8"/>
  <c r="J211" i="8"/>
  <c r="L211" i="8"/>
  <c r="M211" i="8"/>
  <c r="N211" i="8"/>
  <c r="O211" i="8"/>
  <c r="P211" i="8"/>
  <c r="Q211" i="8"/>
  <c r="R211" i="8"/>
  <c r="S211" i="8"/>
  <c r="T211" i="8"/>
  <c r="V211" i="8"/>
  <c r="W211" i="8"/>
  <c r="X211" i="8"/>
  <c r="Y211" i="8"/>
  <c r="Z211" i="8"/>
  <c r="AA211" i="8"/>
  <c r="AC211" i="8"/>
  <c r="AD211" i="8"/>
  <c r="AE211" i="8"/>
  <c r="AF211" i="8"/>
  <c r="AG211" i="8"/>
  <c r="AH211" i="8"/>
  <c r="AI211" i="8"/>
  <c r="AJ211" i="8"/>
  <c r="AK211" i="8"/>
  <c r="AM211" i="8"/>
  <c r="AN211" i="8"/>
  <c r="AO211" i="8"/>
  <c r="AP211" i="8"/>
  <c r="AQ211" i="8"/>
  <c r="AR211" i="8"/>
  <c r="AT211" i="8"/>
  <c r="AU211" i="8"/>
  <c r="AV211" i="8"/>
  <c r="AW211" i="8"/>
  <c r="AX211" i="8"/>
  <c r="AY211" i="8"/>
  <c r="AZ211" i="8"/>
  <c r="BA211" i="8"/>
  <c r="BB211" i="8"/>
  <c r="BD211" i="8"/>
  <c r="A212" i="8"/>
  <c r="B212" i="8"/>
  <c r="C212" i="8"/>
  <c r="D212" i="8"/>
  <c r="E212" i="8"/>
  <c r="F212" i="8"/>
  <c r="G212" i="8"/>
  <c r="H212" i="8"/>
  <c r="I212" i="8"/>
  <c r="J212" i="8"/>
  <c r="L212" i="8"/>
  <c r="M212" i="8"/>
  <c r="N212" i="8"/>
  <c r="O212" i="8"/>
  <c r="P212" i="8"/>
  <c r="Q212" i="8"/>
  <c r="R212" i="8"/>
  <c r="S212" i="8"/>
  <c r="T212" i="8"/>
  <c r="V212" i="8"/>
  <c r="W212" i="8"/>
  <c r="X212" i="8"/>
  <c r="Y212" i="8"/>
  <c r="Z212" i="8"/>
  <c r="AA212" i="8"/>
  <c r="AC212" i="8"/>
  <c r="AD212" i="8"/>
  <c r="AE212" i="8"/>
  <c r="AF212" i="8"/>
  <c r="AG212" i="8"/>
  <c r="AH212" i="8"/>
  <c r="AI212" i="8"/>
  <c r="AJ212" i="8"/>
  <c r="AK212" i="8"/>
  <c r="AM212" i="8"/>
  <c r="AN212" i="8"/>
  <c r="AO212" i="8"/>
  <c r="AP212" i="8"/>
  <c r="AQ212" i="8"/>
  <c r="AR212" i="8"/>
  <c r="AT212" i="8"/>
  <c r="AU212" i="8"/>
  <c r="AV212" i="8"/>
  <c r="AW212" i="8"/>
  <c r="AX212" i="8"/>
  <c r="AY212" i="8"/>
  <c r="AZ212" i="8"/>
  <c r="BA212" i="8"/>
  <c r="BB212" i="8"/>
  <c r="BD212" i="8"/>
  <c r="A213" i="8"/>
  <c r="B213" i="8"/>
  <c r="C213" i="8"/>
  <c r="D213" i="8"/>
  <c r="E213" i="8"/>
  <c r="F213" i="8"/>
  <c r="G213" i="8"/>
  <c r="H213" i="8"/>
  <c r="I213" i="8"/>
  <c r="J213" i="8"/>
  <c r="L213" i="8"/>
  <c r="M213" i="8"/>
  <c r="N213" i="8"/>
  <c r="O213" i="8"/>
  <c r="P213" i="8"/>
  <c r="Q213" i="8"/>
  <c r="R213" i="8"/>
  <c r="S213" i="8"/>
  <c r="T213" i="8"/>
  <c r="V213" i="8"/>
  <c r="W213" i="8"/>
  <c r="X213" i="8"/>
  <c r="Y213" i="8"/>
  <c r="Z213" i="8"/>
  <c r="AA213" i="8"/>
  <c r="AC213" i="8"/>
  <c r="AD213" i="8"/>
  <c r="AE213" i="8"/>
  <c r="AF213" i="8"/>
  <c r="AG213" i="8"/>
  <c r="AH213" i="8"/>
  <c r="AI213" i="8"/>
  <c r="AJ213" i="8"/>
  <c r="AK213" i="8"/>
  <c r="AM213" i="8"/>
  <c r="AN213" i="8"/>
  <c r="AO213" i="8"/>
  <c r="AP213" i="8"/>
  <c r="AQ213" i="8"/>
  <c r="AR213" i="8"/>
  <c r="AT213" i="8"/>
  <c r="AU213" i="8"/>
  <c r="AV213" i="8"/>
  <c r="AW213" i="8"/>
  <c r="AX213" i="8"/>
  <c r="AY213" i="8"/>
  <c r="AZ213" i="8"/>
  <c r="BA213" i="8"/>
  <c r="BB213" i="8"/>
  <c r="BD213" i="8"/>
  <c r="A214" i="8"/>
  <c r="B214" i="8"/>
  <c r="C214" i="8"/>
  <c r="D214" i="8"/>
  <c r="E214" i="8"/>
  <c r="F214" i="8"/>
  <c r="G214" i="8"/>
  <c r="H214" i="8"/>
  <c r="I214" i="8"/>
  <c r="J214" i="8"/>
  <c r="L214" i="8"/>
  <c r="M214" i="8"/>
  <c r="N214" i="8"/>
  <c r="O214" i="8"/>
  <c r="P214" i="8"/>
  <c r="Q214" i="8"/>
  <c r="R214" i="8"/>
  <c r="S214" i="8"/>
  <c r="T214" i="8"/>
  <c r="V214" i="8"/>
  <c r="W214" i="8"/>
  <c r="X214" i="8"/>
  <c r="Y214" i="8"/>
  <c r="Z214" i="8"/>
  <c r="AA214" i="8"/>
  <c r="AC214" i="8"/>
  <c r="AD214" i="8"/>
  <c r="AE214" i="8"/>
  <c r="AF214" i="8"/>
  <c r="AG214" i="8"/>
  <c r="AH214" i="8"/>
  <c r="AI214" i="8"/>
  <c r="AJ214" i="8"/>
  <c r="AK214" i="8"/>
  <c r="AM214" i="8"/>
  <c r="AN214" i="8"/>
  <c r="AO214" i="8"/>
  <c r="AP214" i="8"/>
  <c r="AQ214" i="8"/>
  <c r="AR214" i="8"/>
  <c r="AT214" i="8"/>
  <c r="AU214" i="8"/>
  <c r="AV214" i="8"/>
  <c r="AW214" i="8"/>
  <c r="AX214" i="8"/>
  <c r="AY214" i="8"/>
  <c r="AZ214" i="8"/>
  <c r="BA214" i="8"/>
  <c r="BB214" i="8"/>
  <c r="BD214" i="8"/>
  <c r="A215" i="8"/>
  <c r="B215" i="8"/>
  <c r="C215" i="8"/>
  <c r="D215" i="8"/>
  <c r="E215" i="8"/>
  <c r="F215" i="8"/>
  <c r="G215" i="8"/>
  <c r="H215" i="8"/>
  <c r="I215" i="8"/>
  <c r="J215" i="8"/>
  <c r="L215" i="8"/>
  <c r="M215" i="8"/>
  <c r="N215" i="8"/>
  <c r="O215" i="8"/>
  <c r="P215" i="8"/>
  <c r="Q215" i="8"/>
  <c r="R215" i="8"/>
  <c r="S215" i="8"/>
  <c r="T215" i="8"/>
  <c r="V215" i="8"/>
  <c r="W215" i="8"/>
  <c r="X215" i="8"/>
  <c r="Y215" i="8"/>
  <c r="Z215" i="8"/>
  <c r="AA215" i="8"/>
  <c r="AC215" i="8"/>
  <c r="AD215" i="8"/>
  <c r="AE215" i="8"/>
  <c r="AF215" i="8"/>
  <c r="AG215" i="8"/>
  <c r="AH215" i="8"/>
  <c r="AI215" i="8"/>
  <c r="AJ215" i="8"/>
  <c r="AK215" i="8"/>
  <c r="AM215" i="8"/>
  <c r="AN215" i="8"/>
  <c r="AO215" i="8"/>
  <c r="AP215" i="8"/>
  <c r="AQ215" i="8"/>
  <c r="AR215" i="8"/>
  <c r="AT215" i="8"/>
  <c r="AU215" i="8"/>
  <c r="AV215" i="8"/>
  <c r="AW215" i="8"/>
  <c r="AX215" i="8"/>
  <c r="AY215" i="8"/>
  <c r="AZ215" i="8"/>
  <c r="BA215" i="8"/>
  <c r="BB215" i="8"/>
  <c r="BD215" i="8"/>
  <c r="A216" i="8"/>
  <c r="B216" i="8"/>
  <c r="C216" i="8"/>
  <c r="D216" i="8"/>
  <c r="E216" i="8"/>
  <c r="F216" i="8"/>
  <c r="G216" i="8"/>
  <c r="H216" i="8"/>
  <c r="I216" i="8"/>
  <c r="J216" i="8"/>
  <c r="L216" i="8"/>
  <c r="M216" i="8"/>
  <c r="N216" i="8"/>
  <c r="O216" i="8"/>
  <c r="P216" i="8"/>
  <c r="Q216" i="8"/>
  <c r="R216" i="8"/>
  <c r="S216" i="8"/>
  <c r="T216" i="8"/>
  <c r="V216" i="8"/>
  <c r="W216" i="8"/>
  <c r="X216" i="8"/>
  <c r="Y216" i="8"/>
  <c r="Z216" i="8"/>
  <c r="AA216" i="8"/>
  <c r="AC216" i="8"/>
  <c r="AD216" i="8"/>
  <c r="AE216" i="8"/>
  <c r="AF216" i="8"/>
  <c r="AG216" i="8"/>
  <c r="AH216" i="8"/>
  <c r="AI216" i="8"/>
  <c r="AJ216" i="8"/>
  <c r="AK216" i="8"/>
  <c r="AM216" i="8"/>
  <c r="AN216" i="8"/>
  <c r="AO216" i="8"/>
  <c r="AP216" i="8"/>
  <c r="AQ216" i="8"/>
  <c r="AR216" i="8"/>
  <c r="AT216" i="8"/>
  <c r="AU216" i="8"/>
  <c r="AV216" i="8"/>
  <c r="AW216" i="8"/>
  <c r="AX216" i="8"/>
  <c r="AY216" i="8"/>
  <c r="AZ216" i="8"/>
  <c r="BA216" i="8"/>
  <c r="BB216" i="8"/>
  <c r="BD216" i="8"/>
  <c r="A217" i="8"/>
  <c r="B217" i="8"/>
  <c r="C217" i="8"/>
  <c r="D217" i="8"/>
  <c r="E217" i="8"/>
  <c r="F217" i="8"/>
  <c r="G217" i="8"/>
  <c r="H217" i="8"/>
  <c r="I217" i="8"/>
  <c r="J217" i="8"/>
  <c r="L217" i="8"/>
  <c r="M217" i="8"/>
  <c r="N217" i="8"/>
  <c r="O217" i="8"/>
  <c r="P217" i="8"/>
  <c r="Q217" i="8"/>
  <c r="R217" i="8"/>
  <c r="S217" i="8"/>
  <c r="T217" i="8"/>
  <c r="V217" i="8"/>
  <c r="W217" i="8"/>
  <c r="X217" i="8"/>
  <c r="Y217" i="8"/>
  <c r="Z217" i="8"/>
  <c r="AA217" i="8"/>
  <c r="AC217" i="8"/>
  <c r="AD217" i="8"/>
  <c r="AE217" i="8"/>
  <c r="AF217" i="8"/>
  <c r="AG217" i="8"/>
  <c r="AH217" i="8"/>
  <c r="AI217" i="8"/>
  <c r="AJ217" i="8"/>
  <c r="AK217" i="8"/>
  <c r="AM217" i="8"/>
  <c r="AN217" i="8"/>
  <c r="AO217" i="8"/>
  <c r="AP217" i="8"/>
  <c r="AQ217" i="8"/>
  <c r="AR217" i="8"/>
  <c r="AT217" i="8"/>
  <c r="AU217" i="8"/>
  <c r="AV217" i="8"/>
  <c r="AW217" i="8"/>
  <c r="AX217" i="8"/>
  <c r="AY217" i="8"/>
  <c r="AZ217" i="8"/>
  <c r="BA217" i="8"/>
  <c r="BB217" i="8"/>
  <c r="BD217" i="8"/>
  <c r="A218" i="8"/>
  <c r="B218" i="8"/>
  <c r="C218" i="8"/>
  <c r="D218" i="8"/>
  <c r="E218" i="8"/>
  <c r="F218" i="8"/>
  <c r="G218" i="8"/>
  <c r="H218" i="8"/>
  <c r="I218" i="8"/>
  <c r="J218" i="8"/>
  <c r="L218" i="8"/>
  <c r="M218" i="8"/>
  <c r="N218" i="8"/>
  <c r="O218" i="8"/>
  <c r="P218" i="8"/>
  <c r="Q218" i="8"/>
  <c r="R218" i="8"/>
  <c r="S218" i="8"/>
  <c r="T218" i="8"/>
  <c r="V218" i="8"/>
  <c r="W218" i="8"/>
  <c r="X218" i="8"/>
  <c r="Y218" i="8"/>
  <c r="Z218" i="8"/>
  <c r="AA218" i="8"/>
  <c r="AC218" i="8"/>
  <c r="AD218" i="8"/>
  <c r="AE218" i="8"/>
  <c r="AF218" i="8"/>
  <c r="AG218" i="8"/>
  <c r="AH218" i="8"/>
  <c r="AI218" i="8"/>
  <c r="AJ218" i="8"/>
  <c r="AK218" i="8"/>
  <c r="AM218" i="8"/>
  <c r="AN218" i="8"/>
  <c r="AO218" i="8"/>
  <c r="AP218" i="8"/>
  <c r="AQ218" i="8"/>
  <c r="AR218" i="8"/>
  <c r="AT218" i="8"/>
  <c r="AU218" i="8"/>
  <c r="AV218" i="8"/>
  <c r="AW218" i="8"/>
  <c r="AX218" i="8"/>
  <c r="AY218" i="8"/>
  <c r="AZ218" i="8"/>
  <c r="BA218" i="8"/>
  <c r="BB218" i="8"/>
  <c r="BD218" i="8"/>
  <c r="A219" i="8"/>
  <c r="B219" i="8"/>
  <c r="C219" i="8"/>
  <c r="D219" i="8"/>
  <c r="E219" i="8"/>
  <c r="F219" i="8"/>
  <c r="G219" i="8"/>
  <c r="H219" i="8"/>
  <c r="I219" i="8"/>
  <c r="J219" i="8"/>
  <c r="L219" i="8"/>
  <c r="M219" i="8"/>
  <c r="N219" i="8"/>
  <c r="O219" i="8"/>
  <c r="P219" i="8"/>
  <c r="Q219" i="8"/>
  <c r="R219" i="8"/>
  <c r="S219" i="8"/>
  <c r="T219" i="8"/>
  <c r="V219" i="8"/>
  <c r="W219" i="8"/>
  <c r="X219" i="8"/>
  <c r="Y219" i="8"/>
  <c r="Z219" i="8"/>
  <c r="AA219" i="8"/>
  <c r="AC219" i="8"/>
  <c r="AD219" i="8"/>
  <c r="AE219" i="8"/>
  <c r="AF219" i="8"/>
  <c r="AG219" i="8"/>
  <c r="AH219" i="8"/>
  <c r="AI219" i="8"/>
  <c r="AJ219" i="8"/>
  <c r="AK219" i="8"/>
  <c r="AM219" i="8"/>
  <c r="AN219" i="8"/>
  <c r="AO219" i="8"/>
  <c r="AP219" i="8"/>
  <c r="AQ219" i="8"/>
  <c r="AR219" i="8"/>
  <c r="AT219" i="8"/>
  <c r="AU219" i="8"/>
  <c r="AV219" i="8"/>
  <c r="AW219" i="8"/>
  <c r="AX219" i="8"/>
  <c r="AY219" i="8"/>
  <c r="AZ219" i="8"/>
  <c r="BA219" i="8"/>
  <c r="BB219" i="8"/>
  <c r="BD219" i="8"/>
  <c r="A220" i="8"/>
  <c r="B220" i="8"/>
  <c r="C220" i="8"/>
  <c r="D220" i="8"/>
  <c r="E220" i="8"/>
  <c r="F220" i="8"/>
  <c r="G220" i="8"/>
  <c r="H220" i="8"/>
  <c r="I220" i="8"/>
  <c r="J220" i="8"/>
  <c r="L220" i="8"/>
  <c r="M220" i="8"/>
  <c r="N220" i="8"/>
  <c r="O220" i="8"/>
  <c r="P220" i="8"/>
  <c r="Q220" i="8"/>
  <c r="R220" i="8"/>
  <c r="S220" i="8"/>
  <c r="T220" i="8"/>
  <c r="V220" i="8"/>
  <c r="W220" i="8"/>
  <c r="X220" i="8"/>
  <c r="Y220" i="8"/>
  <c r="Z220" i="8"/>
  <c r="AA220" i="8"/>
  <c r="AC220" i="8"/>
  <c r="AD220" i="8"/>
  <c r="AE220" i="8"/>
  <c r="AF220" i="8"/>
  <c r="AG220" i="8"/>
  <c r="AH220" i="8"/>
  <c r="AI220" i="8"/>
  <c r="AJ220" i="8"/>
  <c r="AK220" i="8"/>
  <c r="AM220" i="8"/>
  <c r="AN220" i="8"/>
  <c r="AO220" i="8"/>
  <c r="AP220" i="8"/>
  <c r="AQ220" i="8"/>
  <c r="AR220" i="8"/>
  <c r="AT220" i="8"/>
  <c r="AU220" i="8"/>
  <c r="AV220" i="8"/>
  <c r="AW220" i="8"/>
  <c r="AX220" i="8"/>
  <c r="AY220" i="8"/>
  <c r="AZ220" i="8"/>
  <c r="BA220" i="8"/>
  <c r="BB220" i="8"/>
  <c r="BD220" i="8"/>
  <c r="A221" i="8"/>
  <c r="B221" i="8"/>
  <c r="C221" i="8"/>
  <c r="D221" i="8"/>
  <c r="E221" i="8"/>
  <c r="F221" i="8"/>
  <c r="G221" i="8"/>
  <c r="H221" i="8"/>
  <c r="I221" i="8"/>
  <c r="J221" i="8"/>
  <c r="L221" i="8"/>
  <c r="M221" i="8"/>
  <c r="N221" i="8"/>
  <c r="O221" i="8"/>
  <c r="P221" i="8"/>
  <c r="Q221" i="8"/>
  <c r="R221" i="8"/>
  <c r="S221" i="8"/>
  <c r="T221" i="8"/>
  <c r="V221" i="8"/>
  <c r="W221" i="8"/>
  <c r="X221" i="8"/>
  <c r="Y221" i="8"/>
  <c r="Z221" i="8"/>
  <c r="AA221" i="8"/>
  <c r="AC221" i="8"/>
  <c r="AD221" i="8"/>
  <c r="AE221" i="8"/>
  <c r="AF221" i="8"/>
  <c r="AG221" i="8"/>
  <c r="AH221" i="8"/>
  <c r="AI221" i="8"/>
  <c r="AJ221" i="8"/>
  <c r="AK221" i="8"/>
  <c r="AM221" i="8"/>
  <c r="AN221" i="8"/>
  <c r="AO221" i="8"/>
  <c r="AP221" i="8"/>
  <c r="AQ221" i="8"/>
  <c r="AR221" i="8"/>
  <c r="AT221" i="8"/>
  <c r="AU221" i="8"/>
  <c r="AV221" i="8"/>
  <c r="AW221" i="8"/>
  <c r="AX221" i="8"/>
  <c r="AY221" i="8"/>
  <c r="AZ221" i="8"/>
  <c r="BA221" i="8"/>
  <c r="BB221" i="8"/>
  <c r="BD221" i="8"/>
  <c r="A222" i="8"/>
  <c r="B222" i="8"/>
  <c r="C222" i="8"/>
  <c r="D222" i="8"/>
  <c r="E222" i="8"/>
  <c r="F222" i="8"/>
  <c r="G222" i="8"/>
  <c r="H222" i="8"/>
  <c r="I222" i="8"/>
  <c r="J222" i="8"/>
  <c r="L222" i="8"/>
  <c r="M222" i="8"/>
  <c r="N222" i="8"/>
  <c r="O222" i="8"/>
  <c r="P222" i="8"/>
  <c r="Q222" i="8"/>
  <c r="R222" i="8"/>
  <c r="S222" i="8"/>
  <c r="T222" i="8"/>
  <c r="V222" i="8"/>
  <c r="W222" i="8"/>
  <c r="X222" i="8"/>
  <c r="Y222" i="8"/>
  <c r="Z222" i="8"/>
  <c r="AA222" i="8"/>
  <c r="AC222" i="8"/>
  <c r="AD222" i="8"/>
  <c r="AE222" i="8"/>
  <c r="AF222" i="8"/>
  <c r="AG222" i="8"/>
  <c r="AH222" i="8"/>
  <c r="AI222" i="8"/>
  <c r="AJ222" i="8"/>
  <c r="AK222" i="8"/>
  <c r="AM222" i="8"/>
  <c r="AN222" i="8"/>
  <c r="AO222" i="8"/>
  <c r="AP222" i="8"/>
  <c r="AQ222" i="8"/>
  <c r="AR222" i="8"/>
  <c r="AT222" i="8"/>
  <c r="AU222" i="8"/>
  <c r="AV222" i="8"/>
  <c r="AW222" i="8"/>
  <c r="AX222" i="8"/>
  <c r="AY222" i="8"/>
  <c r="AZ222" i="8"/>
  <c r="BA222" i="8"/>
  <c r="BB222" i="8"/>
  <c r="BD222" i="8"/>
  <c r="A223" i="8"/>
  <c r="B223" i="8"/>
  <c r="C223" i="8"/>
  <c r="D223" i="8"/>
  <c r="E223" i="8"/>
  <c r="F223" i="8"/>
  <c r="G223" i="8"/>
  <c r="H223" i="8"/>
  <c r="I223" i="8"/>
  <c r="J223" i="8"/>
  <c r="L223" i="8"/>
  <c r="M223" i="8"/>
  <c r="N223" i="8"/>
  <c r="O223" i="8"/>
  <c r="P223" i="8"/>
  <c r="Q223" i="8"/>
  <c r="R223" i="8"/>
  <c r="S223" i="8"/>
  <c r="T223" i="8"/>
  <c r="V223" i="8"/>
  <c r="W223" i="8"/>
  <c r="X223" i="8"/>
  <c r="Y223" i="8"/>
  <c r="Z223" i="8"/>
  <c r="AA223" i="8"/>
  <c r="AC223" i="8"/>
  <c r="AD223" i="8"/>
  <c r="AE223" i="8"/>
  <c r="AF223" i="8"/>
  <c r="AG223" i="8"/>
  <c r="AH223" i="8"/>
  <c r="AI223" i="8"/>
  <c r="AJ223" i="8"/>
  <c r="AK223" i="8"/>
  <c r="AM223" i="8"/>
  <c r="AN223" i="8"/>
  <c r="AO223" i="8"/>
  <c r="AP223" i="8"/>
  <c r="AQ223" i="8"/>
  <c r="AR223" i="8"/>
  <c r="AT223" i="8"/>
  <c r="AU223" i="8"/>
  <c r="AV223" i="8"/>
  <c r="AW223" i="8"/>
  <c r="AX223" i="8"/>
  <c r="AY223" i="8"/>
  <c r="AZ223" i="8"/>
  <c r="BA223" i="8"/>
  <c r="BB223" i="8"/>
  <c r="BD223" i="8"/>
  <c r="A224" i="8"/>
  <c r="B224" i="8"/>
  <c r="C224" i="8"/>
  <c r="D224" i="8"/>
  <c r="E224" i="8"/>
  <c r="F224" i="8"/>
  <c r="G224" i="8"/>
  <c r="H224" i="8"/>
  <c r="I224" i="8"/>
  <c r="J224" i="8"/>
  <c r="L224" i="8"/>
  <c r="M224" i="8"/>
  <c r="N224" i="8"/>
  <c r="O224" i="8"/>
  <c r="P224" i="8"/>
  <c r="Q224" i="8"/>
  <c r="R224" i="8"/>
  <c r="S224" i="8"/>
  <c r="T224" i="8"/>
  <c r="V224" i="8"/>
  <c r="W224" i="8"/>
  <c r="X224" i="8"/>
  <c r="Y224" i="8"/>
  <c r="Z224" i="8"/>
  <c r="AA224" i="8"/>
  <c r="AC224" i="8"/>
  <c r="AD224" i="8"/>
  <c r="AE224" i="8"/>
  <c r="AF224" i="8"/>
  <c r="AG224" i="8"/>
  <c r="AH224" i="8"/>
  <c r="AI224" i="8"/>
  <c r="AJ224" i="8"/>
  <c r="AK224" i="8"/>
  <c r="AM224" i="8"/>
  <c r="AN224" i="8"/>
  <c r="AO224" i="8"/>
  <c r="AP224" i="8"/>
  <c r="AQ224" i="8"/>
  <c r="AR224" i="8"/>
  <c r="AT224" i="8"/>
  <c r="AU224" i="8"/>
  <c r="AV224" i="8"/>
  <c r="AW224" i="8"/>
  <c r="AX224" i="8"/>
  <c r="AY224" i="8"/>
  <c r="AZ224" i="8"/>
  <c r="BA224" i="8"/>
  <c r="BB224" i="8"/>
  <c r="BD224" i="8"/>
  <c r="A225" i="8"/>
  <c r="B225" i="8"/>
  <c r="C225" i="8"/>
  <c r="D225" i="8"/>
  <c r="E225" i="8"/>
  <c r="F225" i="8"/>
  <c r="G225" i="8"/>
  <c r="H225" i="8"/>
  <c r="I225" i="8"/>
  <c r="J225" i="8"/>
  <c r="L225" i="8"/>
  <c r="M225" i="8"/>
  <c r="N225" i="8"/>
  <c r="O225" i="8"/>
  <c r="P225" i="8"/>
  <c r="Q225" i="8"/>
  <c r="R225" i="8"/>
  <c r="S225" i="8"/>
  <c r="T225" i="8"/>
  <c r="V225" i="8"/>
  <c r="W225" i="8"/>
  <c r="X225" i="8"/>
  <c r="Y225" i="8"/>
  <c r="Z225" i="8"/>
  <c r="AA225" i="8"/>
  <c r="AC225" i="8"/>
  <c r="AD225" i="8"/>
  <c r="AE225" i="8"/>
  <c r="AF225" i="8"/>
  <c r="AG225" i="8"/>
  <c r="AH225" i="8"/>
  <c r="AI225" i="8"/>
  <c r="AJ225" i="8"/>
  <c r="AK225" i="8"/>
  <c r="AM225" i="8"/>
  <c r="AN225" i="8"/>
  <c r="AO225" i="8"/>
  <c r="AP225" i="8"/>
  <c r="AQ225" i="8"/>
  <c r="AR225" i="8"/>
  <c r="AT225" i="8"/>
  <c r="AU225" i="8"/>
  <c r="AV225" i="8"/>
  <c r="AW225" i="8"/>
  <c r="AX225" i="8"/>
  <c r="AY225" i="8"/>
  <c r="AZ225" i="8"/>
  <c r="BA225" i="8"/>
  <c r="BB225" i="8"/>
  <c r="BD225" i="8"/>
  <c r="A226" i="8"/>
  <c r="B226" i="8"/>
  <c r="C226" i="8"/>
  <c r="D226" i="8"/>
  <c r="E226" i="8"/>
  <c r="F226" i="8"/>
  <c r="G226" i="8"/>
  <c r="H226" i="8"/>
  <c r="I226" i="8"/>
  <c r="J226" i="8"/>
  <c r="L226" i="8"/>
  <c r="M226" i="8"/>
  <c r="N226" i="8"/>
  <c r="O226" i="8"/>
  <c r="P226" i="8"/>
  <c r="Q226" i="8"/>
  <c r="R226" i="8"/>
  <c r="S226" i="8"/>
  <c r="T226" i="8"/>
  <c r="V226" i="8"/>
  <c r="W226" i="8"/>
  <c r="X226" i="8"/>
  <c r="Y226" i="8"/>
  <c r="Z226" i="8"/>
  <c r="AA226" i="8"/>
  <c r="AC226" i="8"/>
  <c r="AD226" i="8"/>
  <c r="AE226" i="8"/>
  <c r="AF226" i="8"/>
  <c r="AG226" i="8"/>
  <c r="AH226" i="8"/>
  <c r="AI226" i="8"/>
  <c r="AJ226" i="8"/>
  <c r="AK226" i="8"/>
  <c r="AM226" i="8"/>
  <c r="AN226" i="8"/>
  <c r="AO226" i="8"/>
  <c r="AP226" i="8"/>
  <c r="AQ226" i="8"/>
  <c r="AR226" i="8"/>
  <c r="AT226" i="8"/>
  <c r="AU226" i="8"/>
  <c r="AV226" i="8"/>
  <c r="AW226" i="8"/>
  <c r="AX226" i="8"/>
  <c r="AY226" i="8"/>
  <c r="AZ226" i="8"/>
  <c r="BA226" i="8"/>
  <c r="BB226" i="8"/>
  <c r="BD226" i="8"/>
  <c r="A227" i="8"/>
  <c r="B227" i="8"/>
  <c r="C227" i="8"/>
  <c r="D227" i="8"/>
  <c r="E227" i="8"/>
  <c r="F227" i="8"/>
  <c r="G227" i="8"/>
  <c r="H227" i="8"/>
  <c r="I227" i="8"/>
  <c r="J227" i="8"/>
  <c r="L227" i="8"/>
  <c r="M227" i="8"/>
  <c r="N227" i="8"/>
  <c r="O227" i="8"/>
  <c r="P227" i="8"/>
  <c r="Q227" i="8"/>
  <c r="R227" i="8"/>
  <c r="S227" i="8"/>
  <c r="T227" i="8"/>
  <c r="V227" i="8"/>
  <c r="W227" i="8"/>
  <c r="X227" i="8"/>
  <c r="Y227" i="8"/>
  <c r="Z227" i="8"/>
  <c r="AA227" i="8"/>
  <c r="AC227" i="8"/>
  <c r="AD227" i="8"/>
  <c r="AE227" i="8"/>
  <c r="AF227" i="8"/>
  <c r="AG227" i="8"/>
  <c r="AH227" i="8"/>
  <c r="AI227" i="8"/>
  <c r="AJ227" i="8"/>
  <c r="AK227" i="8"/>
  <c r="AM227" i="8"/>
  <c r="AN227" i="8"/>
  <c r="AO227" i="8"/>
  <c r="AP227" i="8"/>
  <c r="AQ227" i="8"/>
  <c r="AR227" i="8"/>
  <c r="AT227" i="8"/>
  <c r="AU227" i="8"/>
  <c r="AV227" i="8"/>
  <c r="AW227" i="8"/>
  <c r="AX227" i="8"/>
  <c r="AY227" i="8"/>
  <c r="AZ227" i="8"/>
  <c r="BA227" i="8"/>
  <c r="BB227" i="8"/>
  <c r="BD227" i="8"/>
  <c r="A228" i="8"/>
  <c r="B228" i="8"/>
  <c r="C228" i="8"/>
  <c r="D228" i="8"/>
  <c r="E228" i="8"/>
  <c r="F228" i="8"/>
  <c r="G228" i="8"/>
  <c r="H228" i="8"/>
  <c r="I228" i="8"/>
  <c r="J228" i="8"/>
  <c r="L228" i="8"/>
  <c r="M228" i="8"/>
  <c r="N228" i="8"/>
  <c r="O228" i="8"/>
  <c r="P228" i="8"/>
  <c r="Q228" i="8"/>
  <c r="R228" i="8"/>
  <c r="S228" i="8"/>
  <c r="T228" i="8"/>
  <c r="V228" i="8"/>
  <c r="W228" i="8"/>
  <c r="X228" i="8"/>
  <c r="Y228" i="8"/>
  <c r="Z228" i="8"/>
  <c r="AA228" i="8"/>
  <c r="AC228" i="8"/>
  <c r="AD228" i="8"/>
  <c r="AE228" i="8"/>
  <c r="AF228" i="8"/>
  <c r="AG228" i="8"/>
  <c r="AH228" i="8"/>
  <c r="AI228" i="8"/>
  <c r="AJ228" i="8"/>
  <c r="AK228" i="8"/>
  <c r="AM228" i="8"/>
  <c r="AN228" i="8"/>
  <c r="AO228" i="8"/>
  <c r="AP228" i="8"/>
  <c r="AQ228" i="8"/>
  <c r="AR228" i="8"/>
  <c r="AT228" i="8"/>
  <c r="AU228" i="8"/>
  <c r="AV228" i="8"/>
  <c r="AW228" i="8"/>
  <c r="AX228" i="8"/>
  <c r="AY228" i="8"/>
  <c r="AZ228" i="8"/>
  <c r="BA228" i="8"/>
  <c r="BB228" i="8"/>
  <c r="BD228" i="8"/>
  <c r="A229" i="8"/>
  <c r="B229" i="8"/>
  <c r="C229" i="8"/>
  <c r="D229" i="8"/>
  <c r="E229" i="8"/>
  <c r="F229" i="8"/>
  <c r="G229" i="8"/>
  <c r="H229" i="8"/>
  <c r="I229" i="8"/>
  <c r="J229" i="8"/>
  <c r="L229" i="8"/>
  <c r="M229" i="8"/>
  <c r="N229" i="8"/>
  <c r="O229" i="8"/>
  <c r="P229" i="8"/>
  <c r="Q229" i="8"/>
  <c r="R229" i="8"/>
  <c r="S229" i="8"/>
  <c r="T229" i="8"/>
  <c r="V229" i="8"/>
  <c r="W229" i="8"/>
  <c r="X229" i="8"/>
  <c r="Y229" i="8"/>
  <c r="Z229" i="8"/>
  <c r="AA229" i="8"/>
  <c r="AC229" i="8"/>
  <c r="AD229" i="8"/>
  <c r="AE229" i="8"/>
  <c r="AF229" i="8"/>
  <c r="AG229" i="8"/>
  <c r="AH229" i="8"/>
  <c r="AI229" i="8"/>
  <c r="AJ229" i="8"/>
  <c r="AK229" i="8"/>
  <c r="AM229" i="8"/>
  <c r="AN229" i="8"/>
  <c r="AO229" i="8"/>
  <c r="AP229" i="8"/>
  <c r="AQ229" i="8"/>
  <c r="AR229" i="8"/>
  <c r="AT229" i="8"/>
  <c r="AU229" i="8"/>
  <c r="AV229" i="8"/>
  <c r="AW229" i="8"/>
  <c r="AX229" i="8"/>
  <c r="AY229" i="8"/>
  <c r="AZ229" i="8"/>
  <c r="BA229" i="8"/>
  <c r="BB229" i="8"/>
  <c r="BD229" i="8"/>
  <c r="A230" i="8"/>
  <c r="B230" i="8"/>
  <c r="C230" i="8"/>
  <c r="D230" i="8"/>
  <c r="E230" i="8"/>
  <c r="F230" i="8"/>
  <c r="G230" i="8"/>
  <c r="H230" i="8"/>
  <c r="I230" i="8"/>
  <c r="J230" i="8"/>
  <c r="L230" i="8"/>
  <c r="M230" i="8"/>
  <c r="N230" i="8"/>
  <c r="O230" i="8"/>
  <c r="P230" i="8"/>
  <c r="Q230" i="8"/>
  <c r="R230" i="8"/>
  <c r="S230" i="8"/>
  <c r="T230" i="8"/>
  <c r="V230" i="8"/>
  <c r="W230" i="8"/>
  <c r="X230" i="8"/>
  <c r="Y230" i="8"/>
  <c r="Z230" i="8"/>
  <c r="AA230" i="8"/>
  <c r="AC230" i="8"/>
  <c r="AD230" i="8"/>
  <c r="AE230" i="8"/>
  <c r="AF230" i="8"/>
  <c r="AG230" i="8"/>
  <c r="AH230" i="8"/>
  <c r="AI230" i="8"/>
  <c r="AJ230" i="8"/>
  <c r="AK230" i="8"/>
  <c r="AM230" i="8"/>
  <c r="AN230" i="8"/>
  <c r="AO230" i="8"/>
  <c r="AP230" i="8"/>
  <c r="AQ230" i="8"/>
  <c r="AR230" i="8"/>
  <c r="AT230" i="8"/>
  <c r="AU230" i="8"/>
  <c r="AV230" i="8"/>
  <c r="AW230" i="8"/>
  <c r="AX230" i="8"/>
  <c r="AY230" i="8"/>
  <c r="AZ230" i="8"/>
  <c r="BA230" i="8"/>
  <c r="BB230" i="8"/>
  <c r="BD230" i="8"/>
  <c r="A231" i="8"/>
  <c r="B231" i="8"/>
  <c r="C231" i="8"/>
  <c r="D231" i="8"/>
  <c r="E231" i="8"/>
  <c r="F231" i="8"/>
  <c r="G231" i="8"/>
  <c r="H231" i="8"/>
  <c r="I231" i="8"/>
  <c r="J231" i="8"/>
  <c r="L231" i="8"/>
  <c r="M231" i="8"/>
  <c r="N231" i="8"/>
  <c r="O231" i="8"/>
  <c r="P231" i="8"/>
  <c r="Q231" i="8"/>
  <c r="R231" i="8"/>
  <c r="S231" i="8"/>
  <c r="T231" i="8"/>
  <c r="V231" i="8"/>
  <c r="W231" i="8"/>
  <c r="X231" i="8"/>
  <c r="Y231" i="8"/>
  <c r="Z231" i="8"/>
  <c r="AA231" i="8"/>
  <c r="AC231" i="8"/>
  <c r="AD231" i="8"/>
  <c r="AE231" i="8"/>
  <c r="AF231" i="8"/>
  <c r="AG231" i="8"/>
  <c r="AH231" i="8"/>
  <c r="AI231" i="8"/>
  <c r="AJ231" i="8"/>
  <c r="AK231" i="8"/>
  <c r="AM231" i="8"/>
  <c r="AN231" i="8"/>
  <c r="AO231" i="8"/>
  <c r="AP231" i="8"/>
  <c r="AQ231" i="8"/>
  <c r="AR231" i="8"/>
  <c r="AT231" i="8"/>
  <c r="AU231" i="8"/>
  <c r="AV231" i="8"/>
  <c r="AW231" i="8"/>
  <c r="AX231" i="8"/>
  <c r="AY231" i="8"/>
  <c r="AZ231" i="8"/>
  <c r="BA231" i="8"/>
  <c r="BB231" i="8"/>
  <c r="BD231" i="8"/>
  <c r="A232" i="8"/>
  <c r="B232" i="8"/>
  <c r="C232" i="8"/>
  <c r="D232" i="8"/>
  <c r="E232" i="8"/>
  <c r="F232" i="8"/>
  <c r="G232" i="8"/>
  <c r="H232" i="8"/>
  <c r="I232" i="8"/>
  <c r="J232" i="8"/>
  <c r="L232" i="8"/>
  <c r="M232" i="8"/>
  <c r="N232" i="8"/>
  <c r="O232" i="8"/>
  <c r="P232" i="8"/>
  <c r="Q232" i="8"/>
  <c r="R232" i="8"/>
  <c r="S232" i="8"/>
  <c r="T232" i="8"/>
  <c r="V232" i="8"/>
  <c r="W232" i="8"/>
  <c r="X232" i="8"/>
  <c r="Y232" i="8"/>
  <c r="Z232" i="8"/>
  <c r="AA232" i="8"/>
  <c r="AC232" i="8"/>
  <c r="AD232" i="8"/>
  <c r="AE232" i="8"/>
  <c r="AF232" i="8"/>
  <c r="AG232" i="8"/>
  <c r="AH232" i="8"/>
  <c r="AI232" i="8"/>
  <c r="AJ232" i="8"/>
  <c r="AK232" i="8"/>
  <c r="AM232" i="8"/>
  <c r="AN232" i="8"/>
  <c r="AO232" i="8"/>
  <c r="AP232" i="8"/>
  <c r="AQ232" i="8"/>
  <c r="AR232" i="8"/>
  <c r="AT232" i="8"/>
  <c r="AU232" i="8"/>
  <c r="AV232" i="8"/>
  <c r="AW232" i="8"/>
  <c r="AX232" i="8"/>
  <c r="AY232" i="8"/>
  <c r="AZ232" i="8"/>
  <c r="BA232" i="8"/>
  <c r="BB232" i="8"/>
  <c r="BD232" i="8"/>
  <c r="A233" i="8"/>
  <c r="B233" i="8"/>
  <c r="C233" i="8"/>
  <c r="D233" i="8"/>
  <c r="E233" i="8"/>
  <c r="F233" i="8"/>
  <c r="G233" i="8"/>
  <c r="H233" i="8"/>
  <c r="I233" i="8"/>
  <c r="J233" i="8"/>
  <c r="L233" i="8"/>
  <c r="M233" i="8"/>
  <c r="N233" i="8"/>
  <c r="O233" i="8"/>
  <c r="P233" i="8"/>
  <c r="Q233" i="8"/>
  <c r="R233" i="8"/>
  <c r="S233" i="8"/>
  <c r="T233" i="8"/>
  <c r="V233" i="8"/>
  <c r="W233" i="8"/>
  <c r="X233" i="8"/>
  <c r="Y233" i="8"/>
  <c r="Z233" i="8"/>
  <c r="AA233" i="8"/>
  <c r="AC233" i="8"/>
  <c r="AD233" i="8"/>
  <c r="AE233" i="8"/>
  <c r="AF233" i="8"/>
  <c r="AG233" i="8"/>
  <c r="AH233" i="8"/>
  <c r="AI233" i="8"/>
  <c r="AJ233" i="8"/>
  <c r="AK233" i="8"/>
  <c r="AM233" i="8"/>
  <c r="AN233" i="8"/>
  <c r="AO233" i="8"/>
  <c r="AP233" i="8"/>
  <c r="AQ233" i="8"/>
  <c r="AR233" i="8"/>
  <c r="AT233" i="8"/>
  <c r="AU233" i="8"/>
  <c r="AV233" i="8"/>
  <c r="AW233" i="8"/>
  <c r="AX233" i="8"/>
  <c r="AY233" i="8"/>
  <c r="AZ233" i="8"/>
  <c r="BA233" i="8"/>
  <c r="BB233" i="8"/>
  <c r="BD233" i="8"/>
  <c r="A234" i="8"/>
  <c r="B234" i="8"/>
  <c r="C234" i="8"/>
  <c r="D234" i="8"/>
  <c r="E234" i="8"/>
  <c r="F234" i="8"/>
  <c r="G234" i="8"/>
  <c r="H234" i="8"/>
  <c r="I234" i="8"/>
  <c r="J234" i="8"/>
  <c r="L234" i="8"/>
  <c r="M234" i="8"/>
  <c r="N234" i="8"/>
  <c r="O234" i="8"/>
  <c r="P234" i="8"/>
  <c r="Q234" i="8"/>
  <c r="R234" i="8"/>
  <c r="S234" i="8"/>
  <c r="T234" i="8"/>
  <c r="V234" i="8"/>
  <c r="W234" i="8"/>
  <c r="X234" i="8"/>
  <c r="Y234" i="8"/>
  <c r="Z234" i="8"/>
  <c r="AA234" i="8"/>
  <c r="AC234" i="8"/>
  <c r="AD234" i="8"/>
  <c r="AE234" i="8"/>
  <c r="AF234" i="8"/>
  <c r="AG234" i="8"/>
  <c r="AH234" i="8"/>
  <c r="AI234" i="8"/>
  <c r="AJ234" i="8"/>
  <c r="AK234" i="8"/>
  <c r="AM234" i="8"/>
  <c r="AN234" i="8"/>
  <c r="AO234" i="8"/>
  <c r="AP234" i="8"/>
  <c r="AQ234" i="8"/>
  <c r="AR234" i="8"/>
  <c r="AT234" i="8"/>
  <c r="AU234" i="8"/>
  <c r="AV234" i="8"/>
  <c r="AW234" i="8"/>
  <c r="AX234" i="8"/>
  <c r="AY234" i="8"/>
  <c r="AZ234" i="8"/>
  <c r="BA234" i="8"/>
  <c r="BB234" i="8"/>
  <c r="BD234" i="8"/>
  <c r="A235" i="8"/>
  <c r="B235" i="8"/>
  <c r="C235" i="8"/>
  <c r="D235" i="8"/>
  <c r="E235" i="8"/>
  <c r="F235" i="8"/>
  <c r="G235" i="8"/>
  <c r="H235" i="8"/>
  <c r="I235" i="8"/>
  <c r="J235" i="8"/>
  <c r="L235" i="8"/>
  <c r="M235" i="8"/>
  <c r="N235" i="8"/>
  <c r="O235" i="8"/>
  <c r="P235" i="8"/>
  <c r="Q235" i="8"/>
  <c r="R235" i="8"/>
  <c r="S235" i="8"/>
  <c r="T235" i="8"/>
  <c r="V235" i="8"/>
  <c r="W235" i="8"/>
  <c r="X235" i="8"/>
  <c r="Y235" i="8"/>
  <c r="Z235" i="8"/>
  <c r="AA235" i="8"/>
  <c r="AC235" i="8"/>
  <c r="AD235" i="8"/>
  <c r="AE235" i="8"/>
  <c r="AF235" i="8"/>
  <c r="AG235" i="8"/>
  <c r="AH235" i="8"/>
  <c r="AI235" i="8"/>
  <c r="AJ235" i="8"/>
  <c r="AK235" i="8"/>
  <c r="AM235" i="8"/>
  <c r="AN235" i="8"/>
  <c r="AO235" i="8"/>
  <c r="AP235" i="8"/>
  <c r="AQ235" i="8"/>
  <c r="AR235" i="8"/>
  <c r="AT235" i="8"/>
  <c r="AU235" i="8"/>
  <c r="AV235" i="8"/>
  <c r="AW235" i="8"/>
  <c r="AX235" i="8"/>
  <c r="AY235" i="8"/>
  <c r="AZ235" i="8"/>
  <c r="BA235" i="8"/>
  <c r="BB235" i="8"/>
  <c r="BD235" i="8"/>
  <c r="A236" i="8"/>
  <c r="B236" i="8"/>
  <c r="C236" i="8"/>
  <c r="D236" i="8"/>
  <c r="E236" i="8"/>
  <c r="F236" i="8"/>
  <c r="G236" i="8"/>
  <c r="H236" i="8"/>
  <c r="I236" i="8"/>
  <c r="J236" i="8"/>
  <c r="L236" i="8"/>
  <c r="M236" i="8"/>
  <c r="N236" i="8"/>
  <c r="O236" i="8"/>
  <c r="P236" i="8"/>
  <c r="Q236" i="8"/>
  <c r="R236" i="8"/>
  <c r="S236" i="8"/>
  <c r="T236" i="8"/>
  <c r="V236" i="8"/>
  <c r="W236" i="8"/>
  <c r="X236" i="8"/>
  <c r="Y236" i="8"/>
  <c r="Z236" i="8"/>
  <c r="AA236" i="8"/>
  <c r="AC236" i="8"/>
  <c r="AD236" i="8"/>
  <c r="AE236" i="8"/>
  <c r="AF236" i="8"/>
  <c r="AG236" i="8"/>
  <c r="AH236" i="8"/>
  <c r="AI236" i="8"/>
  <c r="AJ236" i="8"/>
  <c r="AK236" i="8"/>
  <c r="AM236" i="8"/>
  <c r="AN236" i="8"/>
  <c r="AO236" i="8"/>
  <c r="AP236" i="8"/>
  <c r="AQ236" i="8"/>
  <c r="AR236" i="8"/>
  <c r="AT236" i="8"/>
  <c r="AU236" i="8"/>
  <c r="AV236" i="8"/>
  <c r="AW236" i="8"/>
  <c r="AX236" i="8"/>
  <c r="AY236" i="8"/>
  <c r="AZ236" i="8"/>
  <c r="BA236" i="8"/>
  <c r="BB236" i="8"/>
  <c r="BD236" i="8"/>
  <c r="A237" i="8"/>
  <c r="B237" i="8"/>
  <c r="C237" i="8"/>
  <c r="D237" i="8"/>
  <c r="E237" i="8"/>
  <c r="F237" i="8"/>
  <c r="G237" i="8"/>
  <c r="H237" i="8"/>
  <c r="I237" i="8"/>
  <c r="J237" i="8"/>
  <c r="L237" i="8"/>
  <c r="M237" i="8"/>
  <c r="N237" i="8"/>
  <c r="O237" i="8"/>
  <c r="P237" i="8"/>
  <c r="Q237" i="8"/>
  <c r="R237" i="8"/>
  <c r="S237" i="8"/>
  <c r="T237" i="8"/>
  <c r="V237" i="8"/>
  <c r="W237" i="8"/>
  <c r="X237" i="8"/>
  <c r="Y237" i="8"/>
  <c r="Z237" i="8"/>
  <c r="AA237" i="8"/>
  <c r="AC237" i="8"/>
  <c r="AD237" i="8"/>
  <c r="AE237" i="8"/>
  <c r="AF237" i="8"/>
  <c r="AG237" i="8"/>
  <c r="AH237" i="8"/>
  <c r="AI237" i="8"/>
  <c r="AJ237" i="8"/>
  <c r="AK237" i="8"/>
  <c r="AM237" i="8"/>
  <c r="AN237" i="8"/>
  <c r="AO237" i="8"/>
  <c r="AP237" i="8"/>
  <c r="AQ237" i="8"/>
  <c r="AR237" i="8"/>
  <c r="AT237" i="8"/>
  <c r="AU237" i="8"/>
  <c r="AV237" i="8"/>
  <c r="AW237" i="8"/>
  <c r="AX237" i="8"/>
  <c r="AY237" i="8"/>
  <c r="AZ237" i="8"/>
  <c r="BA237" i="8"/>
  <c r="BB237" i="8"/>
  <c r="BD237" i="8"/>
  <c r="A238" i="8"/>
  <c r="B238" i="8"/>
  <c r="C238" i="8"/>
  <c r="D238" i="8"/>
  <c r="E238" i="8"/>
  <c r="F238" i="8"/>
  <c r="G238" i="8"/>
  <c r="H238" i="8"/>
  <c r="I238" i="8"/>
  <c r="J238" i="8"/>
  <c r="L238" i="8"/>
  <c r="M238" i="8"/>
  <c r="N238" i="8"/>
  <c r="O238" i="8"/>
  <c r="P238" i="8"/>
  <c r="Q238" i="8"/>
  <c r="R238" i="8"/>
  <c r="S238" i="8"/>
  <c r="T238" i="8"/>
  <c r="V238" i="8"/>
  <c r="W238" i="8"/>
  <c r="X238" i="8"/>
  <c r="Y238" i="8"/>
  <c r="Z238" i="8"/>
  <c r="AA238" i="8"/>
  <c r="AC238" i="8"/>
  <c r="AD238" i="8"/>
  <c r="AE238" i="8"/>
  <c r="AF238" i="8"/>
  <c r="AG238" i="8"/>
  <c r="AH238" i="8"/>
  <c r="AI238" i="8"/>
  <c r="AJ238" i="8"/>
  <c r="AK238" i="8"/>
  <c r="AM238" i="8"/>
  <c r="AN238" i="8"/>
  <c r="AO238" i="8"/>
  <c r="AP238" i="8"/>
  <c r="AQ238" i="8"/>
  <c r="AR238" i="8"/>
  <c r="AT238" i="8"/>
  <c r="AU238" i="8"/>
  <c r="AV238" i="8"/>
  <c r="AW238" i="8"/>
  <c r="AX238" i="8"/>
  <c r="AY238" i="8"/>
  <c r="AZ238" i="8"/>
  <c r="BA238" i="8"/>
  <c r="BB238" i="8"/>
  <c r="BD238" i="8"/>
  <c r="A239" i="8"/>
  <c r="B239" i="8"/>
  <c r="C239" i="8"/>
  <c r="D239" i="8"/>
  <c r="E239" i="8"/>
  <c r="F239" i="8"/>
  <c r="G239" i="8"/>
  <c r="H239" i="8"/>
  <c r="I239" i="8"/>
  <c r="J239" i="8"/>
  <c r="L239" i="8"/>
  <c r="M239" i="8"/>
  <c r="N239" i="8"/>
  <c r="O239" i="8"/>
  <c r="P239" i="8"/>
  <c r="Q239" i="8"/>
  <c r="R239" i="8"/>
  <c r="S239" i="8"/>
  <c r="T239" i="8"/>
  <c r="V239" i="8"/>
  <c r="W239" i="8"/>
  <c r="X239" i="8"/>
  <c r="Y239" i="8"/>
  <c r="Z239" i="8"/>
  <c r="AA239" i="8"/>
  <c r="AC239" i="8"/>
  <c r="AD239" i="8"/>
  <c r="AE239" i="8"/>
  <c r="AF239" i="8"/>
  <c r="AG239" i="8"/>
  <c r="AH239" i="8"/>
  <c r="AI239" i="8"/>
  <c r="AJ239" i="8"/>
  <c r="AK239" i="8"/>
  <c r="AM239" i="8"/>
  <c r="AN239" i="8"/>
  <c r="AO239" i="8"/>
  <c r="AP239" i="8"/>
  <c r="AQ239" i="8"/>
  <c r="AR239" i="8"/>
  <c r="AT239" i="8"/>
  <c r="AU239" i="8"/>
  <c r="AV239" i="8"/>
  <c r="AW239" i="8"/>
  <c r="AX239" i="8"/>
  <c r="AY239" i="8"/>
  <c r="AZ239" i="8"/>
  <c r="BA239" i="8"/>
  <c r="BB239" i="8"/>
  <c r="BD239" i="8"/>
  <c r="A240" i="8"/>
  <c r="B240" i="8"/>
  <c r="C240" i="8"/>
  <c r="D240" i="8"/>
  <c r="E240" i="8"/>
  <c r="F240" i="8"/>
  <c r="G240" i="8"/>
  <c r="H240" i="8"/>
  <c r="I240" i="8"/>
  <c r="J240" i="8"/>
  <c r="L240" i="8"/>
  <c r="M240" i="8"/>
  <c r="N240" i="8"/>
  <c r="O240" i="8"/>
  <c r="P240" i="8"/>
  <c r="Q240" i="8"/>
  <c r="R240" i="8"/>
  <c r="S240" i="8"/>
  <c r="T240" i="8"/>
  <c r="V240" i="8"/>
  <c r="W240" i="8"/>
  <c r="X240" i="8"/>
  <c r="Y240" i="8"/>
  <c r="Z240" i="8"/>
  <c r="AA240" i="8"/>
  <c r="AC240" i="8"/>
  <c r="AD240" i="8"/>
  <c r="AE240" i="8"/>
  <c r="AF240" i="8"/>
  <c r="AG240" i="8"/>
  <c r="AH240" i="8"/>
  <c r="AI240" i="8"/>
  <c r="AJ240" i="8"/>
  <c r="AK240" i="8"/>
  <c r="AM240" i="8"/>
  <c r="AN240" i="8"/>
  <c r="AO240" i="8"/>
  <c r="AP240" i="8"/>
  <c r="AQ240" i="8"/>
  <c r="AR240" i="8"/>
  <c r="AT240" i="8"/>
  <c r="AU240" i="8"/>
  <c r="AV240" i="8"/>
  <c r="AW240" i="8"/>
  <c r="AX240" i="8"/>
  <c r="AY240" i="8"/>
  <c r="AZ240" i="8"/>
  <c r="BA240" i="8"/>
  <c r="BB240" i="8"/>
  <c r="BD240" i="8"/>
  <c r="A241" i="8"/>
  <c r="B241" i="8"/>
  <c r="C241" i="8"/>
  <c r="D241" i="8"/>
  <c r="E241" i="8"/>
  <c r="F241" i="8"/>
  <c r="G241" i="8"/>
  <c r="H241" i="8"/>
  <c r="I241" i="8"/>
  <c r="J241" i="8"/>
  <c r="L241" i="8"/>
  <c r="M241" i="8"/>
  <c r="N241" i="8"/>
  <c r="O241" i="8"/>
  <c r="P241" i="8"/>
  <c r="Q241" i="8"/>
  <c r="R241" i="8"/>
  <c r="S241" i="8"/>
  <c r="T241" i="8"/>
  <c r="V241" i="8"/>
  <c r="W241" i="8"/>
  <c r="X241" i="8"/>
  <c r="Y241" i="8"/>
  <c r="Z241" i="8"/>
  <c r="AA241" i="8"/>
  <c r="AC241" i="8"/>
  <c r="AD241" i="8"/>
  <c r="AE241" i="8"/>
  <c r="AF241" i="8"/>
  <c r="AG241" i="8"/>
  <c r="AH241" i="8"/>
  <c r="AI241" i="8"/>
  <c r="AJ241" i="8"/>
  <c r="AK241" i="8"/>
  <c r="AM241" i="8"/>
  <c r="AN241" i="8"/>
  <c r="AO241" i="8"/>
  <c r="AP241" i="8"/>
  <c r="AQ241" i="8"/>
  <c r="AR241" i="8"/>
  <c r="AT241" i="8"/>
  <c r="AU241" i="8"/>
  <c r="AV241" i="8"/>
  <c r="AW241" i="8"/>
  <c r="AX241" i="8"/>
  <c r="AY241" i="8"/>
  <c r="AZ241" i="8"/>
  <c r="BA241" i="8"/>
  <c r="BB241" i="8"/>
  <c r="BD241" i="8"/>
  <c r="A242" i="8"/>
  <c r="B242" i="8"/>
  <c r="C242" i="8"/>
  <c r="D242" i="8"/>
  <c r="E242" i="8"/>
  <c r="F242" i="8"/>
  <c r="G242" i="8"/>
  <c r="H242" i="8"/>
  <c r="I242" i="8"/>
  <c r="J242" i="8"/>
  <c r="L242" i="8"/>
  <c r="M242" i="8"/>
  <c r="N242" i="8"/>
  <c r="O242" i="8"/>
  <c r="P242" i="8"/>
  <c r="Q242" i="8"/>
  <c r="R242" i="8"/>
  <c r="S242" i="8"/>
  <c r="T242" i="8"/>
  <c r="V242" i="8"/>
  <c r="W242" i="8"/>
  <c r="X242" i="8"/>
  <c r="Y242" i="8"/>
  <c r="Z242" i="8"/>
  <c r="AA242" i="8"/>
  <c r="AC242" i="8"/>
  <c r="AD242" i="8"/>
  <c r="AE242" i="8"/>
  <c r="AF242" i="8"/>
  <c r="AG242" i="8"/>
  <c r="AH242" i="8"/>
  <c r="AI242" i="8"/>
  <c r="AJ242" i="8"/>
  <c r="AK242" i="8"/>
  <c r="AM242" i="8"/>
  <c r="AN242" i="8"/>
  <c r="AO242" i="8"/>
  <c r="AP242" i="8"/>
  <c r="AQ242" i="8"/>
  <c r="AR242" i="8"/>
  <c r="AT242" i="8"/>
  <c r="AU242" i="8"/>
  <c r="AV242" i="8"/>
  <c r="AW242" i="8"/>
  <c r="AX242" i="8"/>
  <c r="AY242" i="8"/>
  <c r="AZ242" i="8"/>
  <c r="BA242" i="8"/>
  <c r="BB242" i="8"/>
  <c r="BD242" i="8"/>
  <c r="A243" i="8"/>
  <c r="B243" i="8"/>
  <c r="C243" i="8"/>
  <c r="D243" i="8"/>
  <c r="E243" i="8"/>
  <c r="F243" i="8"/>
  <c r="G243" i="8"/>
  <c r="H243" i="8"/>
  <c r="I243" i="8"/>
  <c r="J243" i="8"/>
  <c r="L243" i="8"/>
  <c r="M243" i="8"/>
  <c r="N243" i="8"/>
  <c r="O243" i="8"/>
  <c r="P243" i="8"/>
  <c r="Q243" i="8"/>
  <c r="R243" i="8"/>
  <c r="S243" i="8"/>
  <c r="T243" i="8"/>
  <c r="V243" i="8"/>
  <c r="W243" i="8"/>
  <c r="X243" i="8"/>
  <c r="Y243" i="8"/>
  <c r="Z243" i="8"/>
  <c r="AA243" i="8"/>
  <c r="AC243" i="8"/>
  <c r="AD243" i="8"/>
  <c r="AE243" i="8"/>
  <c r="AF243" i="8"/>
  <c r="AG243" i="8"/>
  <c r="AH243" i="8"/>
  <c r="AI243" i="8"/>
  <c r="AJ243" i="8"/>
  <c r="AK243" i="8"/>
  <c r="AM243" i="8"/>
  <c r="AN243" i="8"/>
  <c r="AO243" i="8"/>
  <c r="AP243" i="8"/>
  <c r="AQ243" i="8"/>
  <c r="AR243" i="8"/>
  <c r="AT243" i="8"/>
  <c r="AU243" i="8"/>
  <c r="AV243" i="8"/>
  <c r="AW243" i="8"/>
  <c r="AX243" i="8"/>
  <c r="AY243" i="8"/>
  <c r="AZ243" i="8"/>
  <c r="BA243" i="8"/>
  <c r="BB243" i="8"/>
  <c r="BD243" i="8"/>
  <c r="A244" i="8"/>
  <c r="B244" i="8"/>
  <c r="C244" i="8"/>
  <c r="D244" i="8"/>
  <c r="E244" i="8"/>
  <c r="F244" i="8"/>
  <c r="G244" i="8"/>
  <c r="H244" i="8"/>
  <c r="I244" i="8"/>
  <c r="J244" i="8"/>
  <c r="L244" i="8"/>
  <c r="M244" i="8"/>
  <c r="N244" i="8"/>
  <c r="O244" i="8"/>
  <c r="P244" i="8"/>
  <c r="Q244" i="8"/>
  <c r="R244" i="8"/>
  <c r="S244" i="8"/>
  <c r="T244" i="8"/>
  <c r="V244" i="8"/>
  <c r="W244" i="8"/>
  <c r="X244" i="8"/>
  <c r="Y244" i="8"/>
  <c r="Z244" i="8"/>
  <c r="AA244" i="8"/>
  <c r="AC244" i="8"/>
  <c r="AD244" i="8"/>
  <c r="AE244" i="8"/>
  <c r="AF244" i="8"/>
  <c r="AG244" i="8"/>
  <c r="AH244" i="8"/>
  <c r="AI244" i="8"/>
  <c r="AJ244" i="8"/>
  <c r="AK244" i="8"/>
  <c r="AM244" i="8"/>
  <c r="AN244" i="8"/>
  <c r="AO244" i="8"/>
  <c r="AP244" i="8"/>
  <c r="AQ244" i="8"/>
  <c r="AR244" i="8"/>
  <c r="AT244" i="8"/>
  <c r="AU244" i="8"/>
  <c r="AV244" i="8"/>
  <c r="AW244" i="8"/>
  <c r="AX244" i="8"/>
  <c r="AY244" i="8"/>
  <c r="AZ244" i="8"/>
  <c r="BA244" i="8"/>
  <c r="BB244" i="8"/>
  <c r="BD244" i="8"/>
  <c r="A245" i="8"/>
  <c r="B245" i="8"/>
  <c r="C245" i="8"/>
  <c r="D245" i="8"/>
  <c r="E245" i="8"/>
  <c r="F245" i="8"/>
  <c r="G245" i="8"/>
  <c r="H245" i="8"/>
  <c r="I245" i="8"/>
  <c r="J245" i="8"/>
  <c r="L245" i="8"/>
  <c r="M245" i="8"/>
  <c r="N245" i="8"/>
  <c r="O245" i="8"/>
  <c r="P245" i="8"/>
  <c r="Q245" i="8"/>
  <c r="R245" i="8"/>
  <c r="S245" i="8"/>
  <c r="T245" i="8"/>
  <c r="V245" i="8"/>
  <c r="W245" i="8"/>
  <c r="X245" i="8"/>
  <c r="Y245" i="8"/>
  <c r="Z245" i="8"/>
  <c r="AA245" i="8"/>
  <c r="AC245" i="8"/>
  <c r="AD245" i="8"/>
  <c r="AE245" i="8"/>
  <c r="AF245" i="8"/>
  <c r="AG245" i="8"/>
  <c r="AH245" i="8"/>
  <c r="AI245" i="8"/>
  <c r="AJ245" i="8"/>
  <c r="AK245" i="8"/>
  <c r="AM245" i="8"/>
  <c r="AN245" i="8"/>
  <c r="AO245" i="8"/>
  <c r="AP245" i="8"/>
  <c r="AQ245" i="8"/>
  <c r="AR245" i="8"/>
  <c r="AT245" i="8"/>
  <c r="AU245" i="8"/>
  <c r="AV245" i="8"/>
  <c r="AW245" i="8"/>
  <c r="AX245" i="8"/>
  <c r="AY245" i="8"/>
  <c r="AZ245" i="8"/>
  <c r="BA245" i="8"/>
  <c r="BB245" i="8"/>
  <c r="BD245" i="8"/>
  <c r="A246" i="8"/>
  <c r="B246" i="8"/>
  <c r="C246" i="8"/>
  <c r="D246" i="8"/>
  <c r="E246" i="8"/>
  <c r="F246" i="8"/>
  <c r="G246" i="8"/>
  <c r="H246" i="8"/>
  <c r="I246" i="8"/>
  <c r="J246" i="8"/>
  <c r="L246" i="8"/>
  <c r="M246" i="8"/>
  <c r="N246" i="8"/>
  <c r="O246" i="8"/>
  <c r="P246" i="8"/>
  <c r="Q246" i="8"/>
  <c r="R246" i="8"/>
  <c r="S246" i="8"/>
  <c r="T246" i="8"/>
  <c r="V246" i="8"/>
  <c r="W246" i="8"/>
  <c r="X246" i="8"/>
  <c r="Y246" i="8"/>
  <c r="Z246" i="8"/>
  <c r="AA246" i="8"/>
  <c r="AC246" i="8"/>
  <c r="AD246" i="8"/>
  <c r="AE246" i="8"/>
  <c r="AF246" i="8"/>
  <c r="AG246" i="8"/>
  <c r="AH246" i="8"/>
  <c r="AI246" i="8"/>
  <c r="AJ246" i="8"/>
  <c r="AK246" i="8"/>
  <c r="AM246" i="8"/>
  <c r="AN246" i="8"/>
  <c r="AO246" i="8"/>
  <c r="AP246" i="8"/>
  <c r="AQ246" i="8"/>
  <c r="AR246" i="8"/>
  <c r="AT246" i="8"/>
  <c r="AU246" i="8"/>
  <c r="AV246" i="8"/>
  <c r="AW246" i="8"/>
  <c r="AX246" i="8"/>
  <c r="AY246" i="8"/>
  <c r="AZ246" i="8"/>
  <c r="BA246" i="8"/>
  <c r="BB246" i="8"/>
  <c r="BD246" i="8"/>
  <c r="A247" i="8"/>
  <c r="B247" i="8"/>
  <c r="C247" i="8"/>
  <c r="D247" i="8"/>
  <c r="E247" i="8"/>
  <c r="F247" i="8"/>
  <c r="G247" i="8"/>
  <c r="H247" i="8"/>
  <c r="I247" i="8"/>
  <c r="J247" i="8"/>
  <c r="L247" i="8"/>
  <c r="M247" i="8"/>
  <c r="N247" i="8"/>
  <c r="O247" i="8"/>
  <c r="P247" i="8"/>
  <c r="Q247" i="8"/>
  <c r="R247" i="8"/>
  <c r="S247" i="8"/>
  <c r="T247" i="8"/>
  <c r="V247" i="8"/>
  <c r="W247" i="8"/>
  <c r="X247" i="8"/>
  <c r="Y247" i="8"/>
  <c r="Z247" i="8"/>
  <c r="AA247" i="8"/>
  <c r="AC247" i="8"/>
  <c r="AD247" i="8"/>
  <c r="AE247" i="8"/>
  <c r="AF247" i="8"/>
  <c r="AG247" i="8"/>
  <c r="AH247" i="8"/>
  <c r="AI247" i="8"/>
  <c r="AJ247" i="8"/>
  <c r="AK247" i="8"/>
  <c r="AM247" i="8"/>
  <c r="AN247" i="8"/>
  <c r="AO247" i="8"/>
  <c r="AP247" i="8"/>
  <c r="AQ247" i="8"/>
  <c r="AR247" i="8"/>
  <c r="AT247" i="8"/>
  <c r="AU247" i="8"/>
  <c r="AV247" i="8"/>
  <c r="AW247" i="8"/>
  <c r="AX247" i="8"/>
  <c r="AY247" i="8"/>
  <c r="AZ247" i="8"/>
  <c r="BA247" i="8"/>
  <c r="BB247" i="8"/>
  <c r="BD247" i="8"/>
  <c r="A248" i="8"/>
  <c r="B248" i="8"/>
  <c r="C248" i="8"/>
  <c r="D248" i="8"/>
  <c r="E248" i="8"/>
  <c r="F248" i="8"/>
  <c r="G248" i="8"/>
  <c r="H248" i="8"/>
  <c r="I248" i="8"/>
  <c r="J248" i="8"/>
  <c r="L248" i="8"/>
  <c r="M248" i="8"/>
  <c r="N248" i="8"/>
  <c r="O248" i="8"/>
  <c r="P248" i="8"/>
  <c r="Q248" i="8"/>
  <c r="R248" i="8"/>
  <c r="S248" i="8"/>
  <c r="T248" i="8"/>
  <c r="V248" i="8"/>
  <c r="W248" i="8"/>
  <c r="X248" i="8"/>
  <c r="Y248" i="8"/>
  <c r="Z248" i="8"/>
  <c r="AA248" i="8"/>
  <c r="AC248" i="8"/>
  <c r="AD248" i="8"/>
  <c r="AE248" i="8"/>
  <c r="AF248" i="8"/>
  <c r="AG248" i="8"/>
  <c r="AH248" i="8"/>
  <c r="AI248" i="8"/>
  <c r="AJ248" i="8"/>
  <c r="AK248" i="8"/>
  <c r="AM248" i="8"/>
  <c r="AN248" i="8"/>
  <c r="AO248" i="8"/>
  <c r="AP248" i="8"/>
  <c r="AQ248" i="8"/>
  <c r="AR248" i="8"/>
  <c r="AT248" i="8"/>
  <c r="AU248" i="8"/>
  <c r="AV248" i="8"/>
  <c r="AW248" i="8"/>
  <c r="AX248" i="8"/>
  <c r="AY248" i="8"/>
  <c r="AZ248" i="8"/>
  <c r="BA248" i="8"/>
  <c r="BB248" i="8"/>
  <c r="BD248" i="8"/>
  <c r="A249" i="8"/>
  <c r="B249" i="8"/>
  <c r="C249" i="8"/>
  <c r="D249" i="8"/>
  <c r="E249" i="8"/>
  <c r="F249" i="8"/>
  <c r="G249" i="8"/>
  <c r="H249" i="8"/>
  <c r="I249" i="8"/>
  <c r="J249" i="8"/>
  <c r="L249" i="8"/>
  <c r="M249" i="8"/>
  <c r="N249" i="8"/>
  <c r="O249" i="8"/>
  <c r="P249" i="8"/>
  <c r="Q249" i="8"/>
  <c r="R249" i="8"/>
  <c r="S249" i="8"/>
  <c r="T249" i="8"/>
  <c r="V249" i="8"/>
  <c r="W249" i="8"/>
  <c r="X249" i="8"/>
  <c r="Y249" i="8"/>
  <c r="Z249" i="8"/>
  <c r="AA249" i="8"/>
  <c r="AC249" i="8"/>
  <c r="AD249" i="8"/>
  <c r="AE249" i="8"/>
  <c r="AF249" i="8"/>
  <c r="AG249" i="8"/>
  <c r="AH249" i="8"/>
  <c r="AI249" i="8"/>
  <c r="AJ249" i="8"/>
  <c r="AK249" i="8"/>
  <c r="AM249" i="8"/>
  <c r="AN249" i="8"/>
  <c r="AO249" i="8"/>
  <c r="AP249" i="8"/>
  <c r="AQ249" i="8"/>
  <c r="AR249" i="8"/>
  <c r="AT249" i="8"/>
  <c r="AU249" i="8"/>
  <c r="AV249" i="8"/>
  <c r="AW249" i="8"/>
  <c r="AX249" i="8"/>
  <c r="AY249" i="8"/>
  <c r="AZ249" i="8"/>
  <c r="BA249" i="8"/>
  <c r="BB249" i="8"/>
  <c r="BD249" i="8"/>
  <c r="A250" i="8"/>
  <c r="B250" i="8"/>
  <c r="C250" i="8"/>
  <c r="D250" i="8"/>
  <c r="E250" i="8"/>
  <c r="F250" i="8"/>
  <c r="G250" i="8"/>
  <c r="H250" i="8"/>
  <c r="I250" i="8"/>
  <c r="J250" i="8"/>
  <c r="L250" i="8"/>
  <c r="M250" i="8"/>
  <c r="N250" i="8"/>
  <c r="O250" i="8"/>
  <c r="P250" i="8"/>
  <c r="Q250" i="8"/>
  <c r="R250" i="8"/>
  <c r="S250" i="8"/>
  <c r="T250" i="8"/>
  <c r="V250" i="8"/>
  <c r="W250" i="8"/>
  <c r="X250" i="8"/>
  <c r="Y250" i="8"/>
  <c r="Z250" i="8"/>
  <c r="AA250" i="8"/>
  <c r="AC250" i="8"/>
  <c r="AD250" i="8"/>
  <c r="AE250" i="8"/>
  <c r="AF250" i="8"/>
  <c r="AG250" i="8"/>
  <c r="AH250" i="8"/>
  <c r="AI250" i="8"/>
  <c r="AJ250" i="8"/>
  <c r="AK250" i="8"/>
  <c r="AM250" i="8"/>
  <c r="AN250" i="8"/>
  <c r="AO250" i="8"/>
  <c r="AP250" i="8"/>
  <c r="AQ250" i="8"/>
  <c r="AR250" i="8"/>
  <c r="AT250" i="8"/>
  <c r="AU250" i="8"/>
  <c r="AV250" i="8"/>
  <c r="AW250" i="8"/>
  <c r="AX250" i="8"/>
  <c r="AY250" i="8"/>
  <c r="AZ250" i="8"/>
  <c r="BA250" i="8"/>
  <c r="BB250" i="8"/>
  <c r="BD250" i="8"/>
  <c r="A251" i="8"/>
  <c r="B251" i="8"/>
  <c r="C251" i="8"/>
  <c r="D251" i="8"/>
  <c r="E251" i="8"/>
  <c r="F251" i="8"/>
  <c r="G251" i="8"/>
  <c r="H251" i="8"/>
  <c r="I251" i="8"/>
  <c r="J251" i="8"/>
  <c r="L251" i="8"/>
  <c r="M251" i="8"/>
  <c r="N251" i="8"/>
  <c r="O251" i="8"/>
  <c r="P251" i="8"/>
  <c r="Q251" i="8"/>
  <c r="R251" i="8"/>
  <c r="S251" i="8"/>
  <c r="T251" i="8"/>
  <c r="V251" i="8"/>
  <c r="W251" i="8"/>
  <c r="X251" i="8"/>
  <c r="Y251" i="8"/>
  <c r="Z251" i="8"/>
  <c r="AA251" i="8"/>
  <c r="AC251" i="8"/>
  <c r="AD251" i="8"/>
  <c r="AE251" i="8"/>
  <c r="AF251" i="8"/>
  <c r="AG251" i="8"/>
  <c r="AH251" i="8"/>
  <c r="AI251" i="8"/>
  <c r="AJ251" i="8"/>
  <c r="AK251" i="8"/>
  <c r="AM251" i="8"/>
  <c r="AN251" i="8"/>
  <c r="AO251" i="8"/>
  <c r="AP251" i="8"/>
  <c r="AQ251" i="8"/>
  <c r="AR251" i="8"/>
  <c r="AT251" i="8"/>
  <c r="AU251" i="8"/>
  <c r="AV251" i="8"/>
  <c r="AW251" i="8"/>
  <c r="AX251" i="8"/>
  <c r="AY251" i="8"/>
  <c r="AZ251" i="8"/>
  <c r="BA251" i="8"/>
  <c r="BB251" i="8"/>
  <c r="BD251" i="8"/>
  <c r="A252" i="8"/>
  <c r="B252" i="8"/>
  <c r="C252" i="8"/>
  <c r="D252" i="8"/>
  <c r="E252" i="8"/>
  <c r="F252" i="8"/>
  <c r="G252" i="8"/>
  <c r="H252" i="8"/>
  <c r="I252" i="8"/>
  <c r="J252" i="8"/>
  <c r="L252" i="8"/>
  <c r="M252" i="8"/>
  <c r="N252" i="8"/>
  <c r="O252" i="8"/>
  <c r="P252" i="8"/>
  <c r="Q252" i="8"/>
  <c r="R252" i="8"/>
  <c r="S252" i="8"/>
  <c r="T252" i="8"/>
  <c r="V252" i="8"/>
  <c r="W252" i="8"/>
  <c r="X252" i="8"/>
  <c r="Y252" i="8"/>
  <c r="Z252" i="8"/>
  <c r="AA252" i="8"/>
  <c r="AC252" i="8"/>
  <c r="AD252" i="8"/>
  <c r="AE252" i="8"/>
  <c r="AF252" i="8"/>
  <c r="AG252" i="8"/>
  <c r="AH252" i="8"/>
  <c r="AI252" i="8"/>
  <c r="AJ252" i="8"/>
  <c r="AK252" i="8"/>
  <c r="AM252" i="8"/>
  <c r="AN252" i="8"/>
  <c r="AO252" i="8"/>
  <c r="AP252" i="8"/>
  <c r="AQ252" i="8"/>
  <c r="AR252" i="8"/>
  <c r="AT252" i="8"/>
  <c r="AU252" i="8"/>
  <c r="AV252" i="8"/>
  <c r="AW252" i="8"/>
  <c r="AX252" i="8"/>
  <c r="AY252" i="8"/>
  <c r="AZ252" i="8"/>
  <c r="BA252" i="8"/>
  <c r="BB252" i="8"/>
  <c r="BD252" i="8"/>
  <c r="A253" i="8"/>
  <c r="B253" i="8"/>
  <c r="C253" i="8"/>
  <c r="D253" i="8"/>
  <c r="E253" i="8"/>
  <c r="F253" i="8"/>
  <c r="G253" i="8"/>
  <c r="H253" i="8"/>
  <c r="I253" i="8"/>
  <c r="J253" i="8"/>
  <c r="L253" i="8"/>
  <c r="M253" i="8"/>
  <c r="N253" i="8"/>
  <c r="O253" i="8"/>
  <c r="P253" i="8"/>
  <c r="Q253" i="8"/>
  <c r="R253" i="8"/>
  <c r="S253" i="8"/>
  <c r="T253" i="8"/>
  <c r="V253" i="8"/>
  <c r="W253" i="8"/>
  <c r="X253" i="8"/>
  <c r="Y253" i="8"/>
  <c r="Z253" i="8"/>
  <c r="AA253" i="8"/>
  <c r="AC253" i="8"/>
  <c r="AD253" i="8"/>
  <c r="AE253" i="8"/>
  <c r="AF253" i="8"/>
  <c r="AG253" i="8"/>
  <c r="AH253" i="8"/>
  <c r="AI253" i="8"/>
  <c r="AJ253" i="8"/>
  <c r="AK253" i="8"/>
  <c r="AM253" i="8"/>
  <c r="AN253" i="8"/>
  <c r="AO253" i="8"/>
  <c r="AP253" i="8"/>
  <c r="AQ253" i="8"/>
  <c r="AR253" i="8"/>
  <c r="AT253" i="8"/>
  <c r="AU253" i="8"/>
  <c r="AV253" i="8"/>
  <c r="AW253" i="8"/>
  <c r="AX253" i="8"/>
  <c r="AY253" i="8"/>
  <c r="AZ253" i="8"/>
  <c r="BA253" i="8"/>
  <c r="BB253" i="8"/>
  <c r="BD253" i="8"/>
  <c r="A254" i="8"/>
  <c r="B254" i="8"/>
  <c r="C254" i="8"/>
  <c r="D254" i="8"/>
  <c r="E254" i="8"/>
  <c r="F254" i="8"/>
  <c r="G254" i="8"/>
  <c r="H254" i="8"/>
  <c r="I254" i="8"/>
  <c r="J254" i="8"/>
  <c r="L254" i="8"/>
  <c r="M254" i="8"/>
  <c r="N254" i="8"/>
  <c r="O254" i="8"/>
  <c r="P254" i="8"/>
  <c r="Q254" i="8"/>
  <c r="R254" i="8"/>
  <c r="S254" i="8"/>
  <c r="T254" i="8"/>
  <c r="V254" i="8"/>
  <c r="W254" i="8"/>
  <c r="X254" i="8"/>
  <c r="Y254" i="8"/>
  <c r="Z254" i="8"/>
  <c r="AA254" i="8"/>
  <c r="AC254" i="8"/>
  <c r="AD254" i="8"/>
  <c r="AE254" i="8"/>
  <c r="AF254" i="8"/>
  <c r="AG254" i="8"/>
  <c r="AH254" i="8"/>
  <c r="AI254" i="8"/>
  <c r="AJ254" i="8"/>
  <c r="AK254" i="8"/>
  <c r="AM254" i="8"/>
  <c r="AN254" i="8"/>
  <c r="AO254" i="8"/>
  <c r="AP254" i="8"/>
  <c r="AQ254" i="8"/>
  <c r="AR254" i="8"/>
  <c r="AT254" i="8"/>
  <c r="AU254" i="8"/>
  <c r="AV254" i="8"/>
  <c r="AW254" i="8"/>
  <c r="AX254" i="8"/>
  <c r="AY254" i="8"/>
  <c r="AZ254" i="8"/>
  <c r="BA254" i="8"/>
  <c r="BB254" i="8"/>
  <c r="BD254" i="8"/>
  <c r="A255" i="8"/>
  <c r="B255" i="8"/>
  <c r="C255" i="8"/>
  <c r="D255" i="8"/>
  <c r="E255" i="8"/>
  <c r="F255" i="8"/>
  <c r="G255" i="8"/>
  <c r="H255" i="8"/>
  <c r="I255" i="8"/>
  <c r="J255" i="8"/>
  <c r="L255" i="8"/>
  <c r="M255" i="8"/>
  <c r="N255" i="8"/>
  <c r="O255" i="8"/>
  <c r="P255" i="8"/>
  <c r="Q255" i="8"/>
  <c r="R255" i="8"/>
  <c r="S255" i="8"/>
  <c r="T255" i="8"/>
  <c r="V255" i="8"/>
  <c r="W255" i="8"/>
  <c r="X255" i="8"/>
  <c r="Y255" i="8"/>
  <c r="Z255" i="8"/>
  <c r="AA255" i="8"/>
  <c r="AC255" i="8"/>
  <c r="AD255" i="8"/>
  <c r="AE255" i="8"/>
  <c r="AF255" i="8"/>
  <c r="AG255" i="8"/>
  <c r="AH255" i="8"/>
  <c r="AI255" i="8"/>
  <c r="AJ255" i="8"/>
  <c r="AK255" i="8"/>
  <c r="AM255" i="8"/>
  <c r="AN255" i="8"/>
  <c r="AO255" i="8"/>
  <c r="AP255" i="8"/>
  <c r="AQ255" i="8"/>
  <c r="AR255" i="8"/>
  <c r="AT255" i="8"/>
  <c r="AU255" i="8"/>
  <c r="AV255" i="8"/>
  <c r="AW255" i="8"/>
  <c r="AX255" i="8"/>
  <c r="AY255" i="8"/>
  <c r="AZ255" i="8"/>
  <c r="BA255" i="8"/>
  <c r="BB255" i="8"/>
  <c r="BD255" i="8"/>
  <c r="A256" i="8"/>
  <c r="B256" i="8"/>
  <c r="C256" i="8"/>
  <c r="D256" i="8"/>
  <c r="E256" i="8"/>
  <c r="F256" i="8"/>
  <c r="G256" i="8"/>
  <c r="H256" i="8"/>
  <c r="I256" i="8"/>
  <c r="J256" i="8"/>
  <c r="L256" i="8"/>
  <c r="M256" i="8"/>
  <c r="N256" i="8"/>
  <c r="O256" i="8"/>
  <c r="P256" i="8"/>
  <c r="Q256" i="8"/>
  <c r="R256" i="8"/>
  <c r="S256" i="8"/>
  <c r="T256" i="8"/>
  <c r="V256" i="8"/>
  <c r="W256" i="8"/>
  <c r="X256" i="8"/>
  <c r="Y256" i="8"/>
  <c r="Z256" i="8"/>
  <c r="AA256" i="8"/>
  <c r="AC256" i="8"/>
  <c r="AD256" i="8"/>
  <c r="AE256" i="8"/>
  <c r="AF256" i="8"/>
  <c r="AG256" i="8"/>
  <c r="AH256" i="8"/>
  <c r="AI256" i="8"/>
  <c r="AJ256" i="8"/>
  <c r="AK256" i="8"/>
  <c r="AM256" i="8"/>
  <c r="AN256" i="8"/>
  <c r="AO256" i="8"/>
  <c r="AP256" i="8"/>
  <c r="AQ256" i="8"/>
  <c r="AR256" i="8"/>
  <c r="AT256" i="8"/>
  <c r="AU256" i="8"/>
  <c r="AV256" i="8"/>
  <c r="AW256" i="8"/>
  <c r="AX256" i="8"/>
  <c r="AY256" i="8"/>
  <c r="AZ256" i="8"/>
  <c r="BA256" i="8"/>
  <c r="BB256" i="8"/>
  <c r="BD256" i="8"/>
  <c r="A257" i="8"/>
  <c r="B257" i="8"/>
  <c r="C257" i="8"/>
  <c r="D257" i="8"/>
  <c r="E257" i="8"/>
  <c r="F257" i="8"/>
  <c r="G257" i="8"/>
  <c r="H257" i="8"/>
  <c r="I257" i="8"/>
  <c r="J257" i="8"/>
  <c r="L257" i="8"/>
  <c r="M257" i="8"/>
  <c r="N257" i="8"/>
  <c r="O257" i="8"/>
  <c r="P257" i="8"/>
  <c r="Q257" i="8"/>
  <c r="R257" i="8"/>
  <c r="S257" i="8"/>
  <c r="T257" i="8"/>
  <c r="V257" i="8"/>
  <c r="W257" i="8"/>
  <c r="X257" i="8"/>
  <c r="Y257" i="8"/>
  <c r="Z257" i="8"/>
  <c r="AA257" i="8"/>
  <c r="AC257" i="8"/>
  <c r="AD257" i="8"/>
  <c r="AE257" i="8"/>
  <c r="AF257" i="8"/>
  <c r="AG257" i="8"/>
  <c r="AH257" i="8"/>
  <c r="AI257" i="8"/>
  <c r="AJ257" i="8"/>
  <c r="AK257" i="8"/>
  <c r="AM257" i="8"/>
  <c r="AN257" i="8"/>
  <c r="AO257" i="8"/>
  <c r="AP257" i="8"/>
  <c r="AQ257" i="8"/>
  <c r="AR257" i="8"/>
  <c r="AT257" i="8"/>
  <c r="AU257" i="8"/>
  <c r="AV257" i="8"/>
  <c r="AW257" i="8"/>
  <c r="AX257" i="8"/>
  <c r="AY257" i="8"/>
  <c r="AZ257" i="8"/>
  <c r="BA257" i="8"/>
  <c r="BB257" i="8"/>
  <c r="BD257" i="8"/>
  <c r="A258" i="8"/>
  <c r="B258" i="8"/>
  <c r="C258" i="8"/>
  <c r="D258" i="8"/>
  <c r="E258" i="8"/>
  <c r="F258" i="8"/>
  <c r="G258" i="8"/>
  <c r="H258" i="8"/>
  <c r="I258" i="8"/>
  <c r="J258" i="8"/>
  <c r="L258" i="8"/>
  <c r="M258" i="8"/>
  <c r="N258" i="8"/>
  <c r="O258" i="8"/>
  <c r="P258" i="8"/>
  <c r="Q258" i="8"/>
  <c r="R258" i="8"/>
  <c r="S258" i="8"/>
  <c r="T258" i="8"/>
  <c r="V258" i="8"/>
  <c r="W258" i="8"/>
  <c r="X258" i="8"/>
  <c r="Y258" i="8"/>
  <c r="Z258" i="8"/>
  <c r="AA258" i="8"/>
  <c r="AC258" i="8"/>
  <c r="AD258" i="8"/>
  <c r="AE258" i="8"/>
  <c r="AF258" i="8"/>
  <c r="AG258" i="8"/>
  <c r="AH258" i="8"/>
  <c r="AI258" i="8"/>
  <c r="AJ258" i="8"/>
  <c r="AK258" i="8"/>
  <c r="AM258" i="8"/>
  <c r="AN258" i="8"/>
  <c r="AO258" i="8"/>
  <c r="AP258" i="8"/>
  <c r="AQ258" i="8"/>
  <c r="AR258" i="8"/>
  <c r="AT258" i="8"/>
  <c r="AU258" i="8"/>
  <c r="AV258" i="8"/>
  <c r="AW258" i="8"/>
  <c r="AX258" i="8"/>
  <c r="AY258" i="8"/>
  <c r="AZ258" i="8"/>
  <c r="BA258" i="8"/>
  <c r="BB258" i="8"/>
  <c r="BD258" i="8"/>
  <c r="A259" i="8"/>
  <c r="B259" i="8"/>
  <c r="C259" i="8"/>
  <c r="D259" i="8"/>
  <c r="E259" i="8"/>
  <c r="F259" i="8"/>
  <c r="G259" i="8"/>
  <c r="H259" i="8"/>
  <c r="I259" i="8"/>
  <c r="J259" i="8"/>
  <c r="L259" i="8"/>
  <c r="M259" i="8"/>
  <c r="N259" i="8"/>
  <c r="O259" i="8"/>
  <c r="P259" i="8"/>
  <c r="Q259" i="8"/>
  <c r="R259" i="8"/>
  <c r="S259" i="8"/>
  <c r="T259" i="8"/>
  <c r="V259" i="8"/>
  <c r="W259" i="8"/>
  <c r="X259" i="8"/>
  <c r="Y259" i="8"/>
  <c r="Z259" i="8"/>
  <c r="AA259" i="8"/>
  <c r="AC259" i="8"/>
  <c r="AD259" i="8"/>
  <c r="AE259" i="8"/>
  <c r="AF259" i="8"/>
  <c r="AG259" i="8"/>
  <c r="AH259" i="8"/>
  <c r="AI259" i="8"/>
  <c r="AJ259" i="8"/>
  <c r="AK259" i="8"/>
  <c r="AM259" i="8"/>
  <c r="AN259" i="8"/>
  <c r="AO259" i="8"/>
  <c r="AP259" i="8"/>
  <c r="AQ259" i="8"/>
  <c r="AR259" i="8"/>
  <c r="AT259" i="8"/>
  <c r="AU259" i="8"/>
  <c r="AV259" i="8"/>
  <c r="AW259" i="8"/>
  <c r="AX259" i="8"/>
  <c r="AY259" i="8"/>
  <c r="AZ259" i="8"/>
  <c r="BA259" i="8"/>
  <c r="BB259" i="8"/>
  <c r="BD259" i="8"/>
  <c r="A260" i="8"/>
  <c r="B260" i="8"/>
  <c r="C260" i="8"/>
  <c r="D260" i="8"/>
  <c r="E260" i="8"/>
  <c r="F260" i="8"/>
  <c r="G260" i="8"/>
  <c r="H260" i="8"/>
  <c r="I260" i="8"/>
  <c r="J260" i="8"/>
  <c r="L260" i="8"/>
  <c r="M260" i="8"/>
  <c r="N260" i="8"/>
  <c r="O260" i="8"/>
  <c r="P260" i="8"/>
  <c r="Q260" i="8"/>
  <c r="R260" i="8"/>
  <c r="S260" i="8"/>
  <c r="T260" i="8"/>
  <c r="V260" i="8"/>
  <c r="W260" i="8"/>
  <c r="X260" i="8"/>
  <c r="Y260" i="8"/>
  <c r="Z260" i="8"/>
  <c r="AA260" i="8"/>
  <c r="AC260" i="8"/>
  <c r="AD260" i="8"/>
  <c r="AE260" i="8"/>
  <c r="AF260" i="8"/>
  <c r="AG260" i="8"/>
  <c r="AH260" i="8"/>
  <c r="AI260" i="8"/>
  <c r="AJ260" i="8"/>
  <c r="AK260" i="8"/>
  <c r="AM260" i="8"/>
  <c r="AN260" i="8"/>
  <c r="AO260" i="8"/>
  <c r="AP260" i="8"/>
  <c r="AQ260" i="8"/>
  <c r="AR260" i="8"/>
  <c r="AT260" i="8"/>
  <c r="AU260" i="8"/>
  <c r="AV260" i="8"/>
  <c r="AW260" i="8"/>
  <c r="AX260" i="8"/>
  <c r="AY260" i="8"/>
  <c r="AZ260" i="8"/>
  <c r="BA260" i="8"/>
  <c r="BB260" i="8"/>
  <c r="BD260" i="8"/>
  <c r="A261" i="8"/>
  <c r="B261" i="8"/>
  <c r="C261" i="8"/>
  <c r="D261" i="8"/>
  <c r="E261" i="8"/>
  <c r="F261" i="8"/>
  <c r="G261" i="8"/>
  <c r="H261" i="8"/>
  <c r="I261" i="8"/>
  <c r="J261" i="8"/>
  <c r="L261" i="8"/>
  <c r="M261" i="8"/>
  <c r="N261" i="8"/>
  <c r="O261" i="8"/>
  <c r="P261" i="8"/>
  <c r="Q261" i="8"/>
  <c r="R261" i="8"/>
  <c r="S261" i="8"/>
  <c r="T261" i="8"/>
  <c r="V261" i="8"/>
  <c r="W261" i="8"/>
  <c r="X261" i="8"/>
  <c r="Y261" i="8"/>
  <c r="Z261" i="8"/>
  <c r="AA261" i="8"/>
  <c r="AC261" i="8"/>
  <c r="AD261" i="8"/>
  <c r="AE261" i="8"/>
  <c r="AF261" i="8"/>
  <c r="AG261" i="8"/>
  <c r="AH261" i="8"/>
  <c r="AI261" i="8"/>
  <c r="AJ261" i="8"/>
  <c r="AK261" i="8"/>
  <c r="AM261" i="8"/>
  <c r="AN261" i="8"/>
  <c r="AO261" i="8"/>
  <c r="AP261" i="8"/>
  <c r="AQ261" i="8"/>
  <c r="AR261" i="8"/>
  <c r="AT261" i="8"/>
  <c r="AU261" i="8"/>
  <c r="AV261" i="8"/>
  <c r="AW261" i="8"/>
  <c r="AX261" i="8"/>
  <c r="AY261" i="8"/>
  <c r="AZ261" i="8"/>
  <c r="BA261" i="8"/>
  <c r="BB261" i="8"/>
  <c r="BD261" i="8"/>
  <c r="A262" i="8"/>
  <c r="B262" i="8"/>
  <c r="C262" i="8"/>
  <c r="D262" i="8"/>
  <c r="E262" i="8"/>
  <c r="F262" i="8"/>
  <c r="G262" i="8"/>
  <c r="H262" i="8"/>
  <c r="I262" i="8"/>
  <c r="J262" i="8"/>
  <c r="L262" i="8"/>
  <c r="M262" i="8"/>
  <c r="N262" i="8"/>
  <c r="O262" i="8"/>
  <c r="P262" i="8"/>
  <c r="Q262" i="8"/>
  <c r="R262" i="8"/>
  <c r="S262" i="8"/>
  <c r="T262" i="8"/>
  <c r="V262" i="8"/>
  <c r="W262" i="8"/>
  <c r="X262" i="8"/>
  <c r="Y262" i="8"/>
  <c r="Z262" i="8"/>
  <c r="AA262" i="8"/>
  <c r="AC262" i="8"/>
  <c r="AD262" i="8"/>
  <c r="AE262" i="8"/>
  <c r="AF262" i="8"/>
  <c r="AG262" i="8"/>
  <c r="AH262" i="8"/>
  <c r="AI262" i="8"/>
  <c r="AJ262" i="8"/>
  <c r="AK262" i="8"/>
  <c r="AM262" i="8"/>
  <c r="AN262" i="8"/>
  <c r="AO262" i="8"/>
  <c r="AP262" i="8"/>
  <c r="AQ262" i="8"/>
  <c r="AR262" i="8"/>
  <c r="AT262" i="8"/>
  <c r="AU262" i="8"/>
  <c r="AV262" i="8"/>
  <c r="AW262" i="8"/>
  <c r="AX262" i="8"/>
  <c r="AY262" i="8"/>
  <c r="AZ262" i="8"/>
  <c r="BA262" i="8"/>
  <c r="BB262" i="8"/>
  <c r="BD262" i="8"/>
  <c r="A263" i="8"/>
  <c r="B263" i="8"/>
  <c r="C263" i="8"/>
  <c r="D263" i="8"/>
  <c r="E263" i="8"/>
  <c r="F263" i="8"/>
  <c r="G263" i="8"/>
  <c r="H263" i="8"/>
  <c r="I263" i="8"/>
  <c r="J263" i="8"/>
  <c r="L263" i="8"/>
  <c r="M263" i="8"/>
  <c r="N263" i="8"/>
  <c r="O263" i="8"/>
  <c r="P263" i="8"/>
  <c r="Q263" i="8"/>
  <c r="R263" i="8"/>
  <c r="S263" i="8"/>
  <c r="T263" i="8"/>
  <c r="V263" i="8"/>
  <c r="W263" i="8"/>
  <c r="X263" i="8"/>
  <c r="Y263" i="8"/>
  <c r="Z263" i="8"/>
  <c r="AA263" i="8"/>
  <c r="AC263" i="8"/>
  <c r="AD263" i="8"/>
  <c r="AE263" i="8"/>
  <c r="AF263" i="8"/>
  <c r="AG263" i="8"/>
  <c r="AH263" i="8"/>
  <c r="AI263" i="8"/>
  <c r="AJ263" i="8"/>
  <c r="AK263" i="8"/>
  <c r="AM263" i="8"/>
  <c r="AN263" i="8"/>
  <c r="AO263" i="8"/>
  <c r="AP263" i="8"/>
  <c r="AQ263" i="8"/>
  <c r="AR263" i="8"/>
  <c r="AT263" i="8"/>
  <c r="AU263" i="8"/>
  <c r="AV263" i="8"/>
  <c r="AW263" i="8"/>
  <c r="AX263" i="8"/>
  <c r="AY263" i="8"/>
  <c r="AZ263" i="8"/>
  <c r="BA263" i="8"/>
  <c r="BB263" i="8"/>
  <c r="BD263" i="8"/>
  <c r="A264" i="8"/>
  <c r="B264" i="8"/>
  <c r="C264" i="8"/>
  <c r="D264" i="8"/>
  <c r="E264" i="8"/>
  <c r="F264" i="8"/>
  <c r="G264" i="8"/>
  <c r="H264" i="8"/>
  <c r="I264" i="8"/>
  <c r="J264" i="8"/>
  <c r="L264" i="8"/>
  <c r="M264" i="8"/>
  <c r="N264" i="8"/>
  <c r="O264" i="8"/>
  <c r="P264" i="8"/>
  <c r="Q264" i="8"/>
  <c r="R264" i="8"/>
  <c r="S264" i="8"/>
  <c r="T264" i="8"/>
  <c r="V264" i="8"/>
  <c r="W264" i="8"/>
  <c r="X264" i="8"/>
  <c r="Y264" i="8"/>
  <c r="Z264" i="8"/>
  <c r="AA264" i="8"/>
  <c r="AC264" i="8"/>
  <c r="AD264" i="8"/>
  <c r="AE264" i="8"/>
  <c r="AF264" i="8"/>
  <c r="AG264" i="8"/>
  <c r="AH264" i="8"/>
  <c r="AI264" i="8"/>
  <c r="AJ264" i="8"/>
  <c r="AK264" i="8"/>
  <c r="AM264" i="8"/>
  <c r="AN264" i="8"/>
  <c r="AO264" i="8"/>
  <c r="AP264" i="8"/>
  <c r="AQ264" i="8"/>
  <c r="AR264" i="8"/>
  <c r="AT264" i="8"/>
  <c r="AU264" i="8"/>
  <c r="AV264" i="8"/>
  <c r="AW264" i="8"/>
  <c r="AX264" i="8"/>
  <c r="AY264" i="8"/>
  <c r="AZ264" i="8"/>
  <c r="BA264" i="8"/>
  <c r="BB264" i="8"/>
  <c r="BD264" i="8"/>
  <c r="A265" i="8"/>
  <c r="B265" i="8"/>
  <c r="C265" i="8"/>
  <c r="D265" i="8"/>
  <c r="E265" i="8"/>
  <c r="F265" i="8"/>
  <c r="G265" i="8"/>
  <c r="H265" i="8"/>
  <c r="I265" i="8"/>
  <c r="J265" i="8"/>
  <c r="L265" i="8"/>
  <c r="M265" i="8"/>
  <c r="N265" i="8"/>
  <c r="O265" i="8"/>
  <c r="P265" i="8"/>
  <c r="Q265" i="8"/>
  <c r="R265" i="8"/>
  <c r="S265" i="8"/>
  <c r="T265" i="8"/>
  <c r="V265" i="8"/>
  <c r="W265" i="8"/>
  <c r="X265" i="8"/>
  <c r="Y265" i="8"/>
  <c r="Z265" i="8"/>
  <c r="AA265" i="8"/>
  <c r="AC265" i="8"/>
  <c r="AD265" i="8"/>
  <c r="AE265" i="8"/>
  <c r="AF265" i="8"/>
  <c r="AG265" i="8"/>
  <c r="AH265" i="8"/>
  <c r="AI265" i="8"/>
  <c r="AJ265" i="8"/>
  <c r="AK265" i="8"/>
  <c r="AM265" i="8"/>
  <c r="AN265" i="8"/>
  <c r="AO265" i="8"/>
  <c r="AP265" i="8"/>
  <c r="AQ265" i="8"/>
  <c r="AR265" i="8"/>
  <c r="AT265" i="8"/>
  <c r="AU265" i="8"/>
  <c r="AV265" i="8"/>
  <c r="AW265" i="8"/>
  <c r="AX265" i="8"/>
  <c r="AY265" i="8"/>
  <c r="AZ265" i="8"/>
  <c r="BA265" i="8"/>
  <c r="BB265" i="8"/>
  <c r="BD265" i="8"/>
  <c r="A266" i="8"/>
  <c r="B266" i="8"/>
  <c r="C266" i="8"/>
  <c r="D266" i="8"/>
  <c r="E266" i="8"/>
  <c r="F266" i="8"/>
  <c r="G266" i="8"/>
  <c r="H266" i="8"/>
  <c r="I266" i="8"/>
  <c r="J266" i="8"/>
  <c r="L266" i="8"/>
  <c r="M266" i="8"/>
  <c r="N266" i="8"/>
  <c r="O266" i="8"/>
  <c r="P266" i="8"/>
  <c r="Q266" i="8"/>
  <c r="R266" i="8"/>
  <c r="S266" i="8"/>
  <c r="T266" i="8"/>
  <c r="V266" i="8"/>
  <c r="W266" i="8"/>
  <c r="X266" i="8"/>
  <c r="Y266" i="8"/>
  <c r="Z266" i="8"/>
  <c r="AA266" i="8"/>
  <c r="AC266" i="8"/>
  <c r="AD266" i="8"/>
  <c r="AE266" i="8"/>
  <c r="AF266" i="8"/>
  <c r="AG266" i="8"/>
  <c r="AH266" i="8"/>
  <c r="AI266" i="8"/>
  <c r="AJ266" i="8"/>
  <c r="AK266" i="8"/>
  <c r="AM266" i="8"/>
  <c r="AN266" i="8"/>
  <c r="AO266" i="8"/>
  <c r="AP266" i="8"/>
  <c r="AQ266" i="8"/>
  <c r="AR266" i="8"/>
  <c r="AT266" i="8"/>
  <c r="AU266" i="8"/>
  <c r="AV266" i="8"/>
  <c r="AW266" i="8"/>
  <c r="AX266" i="8"/>
  <c r="AY266" i="8"/>
  <c r="AZ266" i="8"/>
  <c r="BA266" i="8"/>
  <c r="BB266" i="8"/>
  <c r="BD266" i="8"/>
  <c r="A267" i="8"/>
  <c r="B267" i="8"/>
  <c r="C267" i="8"/>
  <c r="D267" i="8"/>
  <c r="E267" i="8"/>
  <c r="F267" i="8"/>
  <c r="G267" i="8"/>
  <c r="H267" i="8"/>
  <c r="I267" i="8"/>
  <c r="J267" i="8"/>
  <c r="L267" i="8"/>
  <c r="M267" i="8"/>
  <c r="N267" i="8"/>
  <c r="O267" i="8"/>
  <c r="P267" i="8"/>
  <c r="Q267" i="8"/>
  <c r="R267" i="8"/>
  <c r="S267" i="8"/>
  <c r="T267" i="8"/>
  <c r="V267" i="8"/>
  <c r="W267" i="8"/>
  <c r="X267" i="8"/>
  <c r="Y267" i="8"/>
  <c r="Z267" i="8"/>
  <c r="AA267" i="8"/>
  <c r="AC267" i="8"/>
  <c r="AD267" i="8"/>
  <c r="AE267" i="8"/>
  <c r="AF267" i="8"/>
  <c r="AG267" i="8"/>
  <c r="AH267" i="8"/>
  <c r="AI267" i="8"/>
  <c r="AJ267" i="8"/>
  <c r="AK267" i="8"/>
  <c r="AM267" i="8"/>
  <c r="AN267" i="8"/>
  <c r="AO267" i="8"/>
  <c r="AP267" i="8"/>
  <c r="AQ267" i="8"/>
  <c r="AR267" i="8"/>
  <c r="AT267" i="8"/>
  <c r="AU267" i="8"/>
  <c r="AV267" i="8"/>
  <c r="AW267" i="8"/>
  <c r="AX267" i="8"/>
  <c r="AY267" i="8"/>
  <c r="AZ267" i="8"/>
  <c r="BA267" i="8"/>
  <c r="BB267" i="8"/>
  <c r="BD267" i="8"/>
  <c r="A268" i="8"/>
  <c r="B268" i="8"/>
  <c r="C268" i="8"/>
  <c r="D268" i="8"/>
  <c r="E268" i="8"/>
  <c r="F268" i="8"/>
  <c r="G268" i="8"/>
  <c r="H268" i="8"/>
  <c r="I268" i="8"/>
  <c r="J268" i="8"/>
  <c r="L268" i="8"/>
  <c r="M268" i="8"/>
  <c r="N268" i="8"/>
  <c r="O268" i="8"/>
  <c r="P268" i="8"/>
  <c r="Q268" i="8"/>
  <c r="R268" i="8"/>
  <c r="S268" i="8"/>
  <c r="T268" i="8"/>
  <c r="V268" i="8"/>
  <c r="W268" i="8"/>
  <c r="X268" i="8"/>
  <c r="Y268" i="8"/>
  <c r="Z268" i="8"/>
  <c r="AA268" i="8"/>
  <c r="AC268" i="8"/>
  <c r="AD268" i="8"/>
  <c r="AE268" i="8"/>
  <c r="AF268" i="8"/>
  <c r="AG268" i="8"/>
  <c r="AH268" i="8"/>
  <c r="AI268" i="8"/>
  <c r="AJ268" i="8"/>
  <c r="AK268" i="8"/>
  <c r="AM268" i="8"/>
  <c r="AN268" i="8"/>
  <c r="AO268" i="8"/>
  <c r="AP268" i="8"/>
  <c r="AQ268" i="8"/>
  <c r="AR268" i="8"/>
  <c r="AT268" i="8"/>
  <c r="AU268" i="8"/>
  <c r="AV268" i="8"/>
  <c r="AW268" i="8"/>
  <c r="AX268" i="8"/>
  <c r="AY268" i="8"/>
  <c r="AZ268" i="8"/>
  <c r="BA268" i="8"/>
  <c r="BB268" i="8"/>
  <c r="BD268" i="8"/>
  <c r="A269" i="8"/>
  <c r="B269" i="8"/>
  <c r="C269" i="8"/>
  <c r="D269" i="8"/>
  <c r="E269" i="8"/>
  <c r="F269" i="8"/>
  <c r="G269" i="8"/>
  <c r="H269" i="8"/>
  <c r="I269" i="8"/>
  <c r="J269" i="8"/>
  <c r="L269" i="8"/>
  <c r="M269" i="8"/>
  <c r="N269" i="8"/>
  <c r="O269" i="8"/>
  <c r="P269" i="8"/>
  <c r="Q269" i="8"/>
  <c r="R269" i="8"/>
  <c r="S269" i="8"/>
  <c r="T269" i="8"/>
  <c r="V269" i="8"/>
  <c r="W269" i="8"/>
  <c r="X269" i="8"/>
  <c r="Y269" i="8"/>
  <c r="Z269" i="8"/>
  <c r="AA269" i="8"/>
  <c r="AC269" i="8"/>
  <c r="AD269" i="8"/>
  <c r="AE269" i="8"/>
  <c r="AF269" i="8"/>
  <c r="AG269" i="8"/>
  <c r="AH269" i="8"/>
  <c r="AI269" i="8"/>
  <c r="AJ269" i="8"/>
  <c r="AK269" i="8"/>
  <c r="AM269" i="8"/>
  <c r="AN269" i="8"/>
  <c r="AO269" i="8"/>
  <c r="AP269" i="8"/>
  <c r="AQ269" i="8"/>
  <c r="AR269" i="8"/>
  <c r="AT269" i="8"/>
  <c r="AU269" i="8"/>
  <c r="AV269" i="8"/>
  <c r="AW269" i="8"/>
  <c r="AX269" i="8"/>
  <c r="AY269" i="8"/>
  <c r="AZ269" i="8"/>
  <c r="BA269" i="8"/>
  <c r="BB269" i="8"/>
  <c r="BD269" i="8"/>
  <c r="A270" i="8"/>
  <c r="B270" i="8"/>
  <c r="C270" i="8"/>
  <c r="D270" i="8"/>
  <c r="E270" i="8"/>
  <c r="F270" i="8"/>
  <c r="G270" i="8"/>
  <c r="H270" i="8"/>
  <c r="I270" i="8"/>
  <c r="J270" i="8"/>
  <c r="L270" i="8"/>
  <c r="M270" i="8"/>
  <c r="N270" i="8"/>
  <c r="O270" i="8"/>
  <c r="P270" i="8"/>
  <c r="Q270" i="8"/>
  <c r="R270" i="8"/>
  <c r="S270" i="8"/>
  <c r="T270" i="8"/>
  <c r="V270" i="8"/>
  <c r="W270" i="8"/>
  <c r="X270" i="8"/>
  <c r="Y270" i="8"/>
  <c r="Z270" i="8"/>
  <c r="AA270" i="8"/>
  <c r="AC270" i="8"/>
  <c r="AD270" i="8"/>
  <c r="AE270" i="8"/>
  <c r="AF270" i="8"/>
  <c r="AG270" i="8"/>
  <c r="AH270" i="8"/>
  <c r="AI270" i="8"/>
  <c r="AJ270" i="8"/>
  <c r="AK270" i="8"/>
  <c r="AM270" i="8"/>
  <c r="AN270" i="8"/>
  <c r="AO270" i="8"/>
  <c r="AP270" i="8"/>
  <c r="AQ270" i="8"/>
  <c r="AR270" i="8"/>
  <c r="AT270" i="8"/>
  <c r="AU270" i="8"/>
  <c r="AV270" i="8"/>
  <c r="AW270" i="8"/>
  <c r="AX270" i="8"/>
  <c r="AY270" i="8"/>
  <c r="AZ270" i="8"/>
  <c r="BA270" i="8"/>
  <c r="BB270" i="8"/>
  <c r="BD270" i="8"/>
  <c r="A271" i="8"/>
  <c r="B271" i="8"/>
  <c r="C271" i="8"/>
  <c r="D271" i="8"/>
  <c r="E271" i="8"/>
  <c r="F271" i="8"/>
  <c r="G271" i="8"/>
  <c r="H271" i="8"/>
  <c r="I271" i="8"/>
  <c r="J271" i="8"/>
  <c r="L271" i="8"/>
  <c r="M271" i="8"/>
  <c r="N271" i="8"/>
  <c r="O271" i="8"/>
  <c r="P271" i="8"/>
  <c r="Q271" i="8"/>
  <c r="R271" i="8"/>
  <c r="S271" i="8"/>
  <c r="T271" i="8"/>
  <c r="V271" i="8"/>
  <c r="W271" i="8"/>
  <c r="X271" i="8"/>
  <c r="Y271" i="8"/>
  <c r="Z271" i="8"/>
  <c r="AA271" i="8"/>
  <c r="AC271" i="8"/>
  <c r="AD271" i="8"/>
  <c r="AE271" i="8"/>
  <c r="AF271" i="8"/>
  <c r="AG271" i="8"/>
  <c r="AH271" i="8"/>
  <c r="AI271" i="8"/>
  <c r="AJ271" i="8"/>
  <c r="AK271" i="8"/>
  <c r="AM271" i="8"/>
  <c r="AN271" i="8"/>
  <c r="AO271" i="8"/>
  <c r="AP271" i="8"/>
  <c r="AQ271" i="8"/>
  <c r="AR271" i="8"/>
  <c r="AT271" i="8"/>
  <c r="AU271" i="8"/>
  <c r="AV271" i="8"/>
  <c r="AW271" i="8"/>
  <c r="AX271" i="8"/>
  <c r="AY271" i="8"/>
  <c r="AZ271" i="8"/>
  <c r="BA271" i="8"/>
  <c r="BB271" i="8"/>
  <c r="BD271" i="8"/>
  <c r="A272" i="8"/>
  <c r="B272" i="8"/>
  <c r="C272" i="8"/>
  <c r="D272" i="8"/>
  <c r="E272" i="8"/>
  <c r="F272" i="8"/>
  <c r="G272" i="8"/>
  <c r="H272" i="8"/>
  <c r="I272" i="8"/>
  <c r="J272" i="8"/>
  <c r="L272" i="8"/>
  <c r="M272" i="8"/>
  <c r="N272" i="8"/>
  <c r="O272" i="8"/>
  <c r="P272" i="8"/>
  <c r="Q272" i="8"/>
  <c r="R272" i="8"/>
  <c r="S272" i="8"/>
  <c r="T272" i="8"/>
  <c r="V272" i="8"/>
  <c r="W272" i="8"/>
  <c r="X272" i="8"/>
  <c r="Y272" i="8"/>
  <c r="Z272" i="8"/>
  <c r="AA272" i="8"/>
  <c r="AC272" i="8"/>
  <c r="AD272" i="8"/>
  <c r="AE272" i="8"/>
  <c r="AF272" i="8"/>
  <c r="AG272" i="8"/>
  <c r="AH272" i="8"/>
  <c r="AI272" i="8"/>
  <c r="AJ272" i="8"/>
  <c r="AK272" i="8"/>
  <c r="AM272" i="8"/>
  <c r="AN272" i="8"/>
  <c r="AO272" i="8"/>
  <c r="AP272" i="8"/>
  <c r="AQ272" i="8"/>
  <c r="AR272" i="8"/>
  <c r="AT272" i="8"/>
  <c r="AU272" i="8"/>
  <c r="AV272" i="8"/>
  <c r="AW272" i="8"/>
  <c r="AX272" i="8"/>
  <c r="AY272" i="8"/>
  <c r="AZ272" i="8"/>
  <c r="BA272" i="8"/>
  <c r="BB272" i="8"/>
  <c r="BD272" i="8"/>
  <c r="A273" i="8"/>
  <c r="B273" i="8"/>
  <c r="C273" i="8"/>
  <c r="D273" i="8"/>
  <c r="E273" i="8"/>
  <c r="F273" i="8"/>
  <c r="G273" i="8"/>
  <c r="H273" i="8"/>
  <c r="I273" i="8"/>
  <c r="J273" i="8"/>
  <c r="L273" i="8"/>
  <c r="M273" i="8"/>
  <c r="N273" i="8"/>
  <c r="O273" i="8"/>
  <c r="P273" i="8"/>
  <c r="Q273" i="8"/>
  <c r="R273" i="8"/>
  <c r="S273" i="8"/>
  <c r="T273" i="8"/>
  <c r="V273" i="8"/>
  <c r="W273" i="8"/>
  <c r="X273" i="8"/>
  <c r="Y273" i="8"/>
  <c r="Z273" i="8"/>
  <c r="AA273" i="8"/>
  <c r="AC273" i="8"/>
  <c r="AD273" i="8"/>
  <c r="AE273" i="8"/>
  <c r="AF273" i="8"/>
  <c r="AG273" i="8"/>
  <c r="AH273" i="8"/>
  <c r="AI273" i="8"/>
  <c r="AJ273" i="8"/>
  <c r="AK273" i="8"/>
  <c r="AM273" i="8"/>
  <c r="AN273" i="8"/>
  <c r="AO273" i="8"/>
  <c r="AP273" i="8"/>
  <c r="AQ273" i="8"/>
  <c r="AR273" i="8"/>
  <c r="AT273" i="8"/>
  <c r="AU273" i="8"/>
  <c r="AV273" i="8"/>
  <c r="AW273" i="8"/>
  <c r="AX273" i="8"/>
  <c r="AY273" i="8"/>
  <c r="AZ273" i="8"/>
  <c r="BA273" i="8"/>
  <c r="BB273" i="8"/>
  <c r="BD273" i="8"/>
  <c r="A274" i="8"/>
  <c r="B274" i="8"/>
  <c r="C274" i="8"/>
  <c r="D274" i="8"/>
  <c r="E274" i="8"/>
  <c r="F274" i="8"/>
  <c r="G274" i="8"/>
  <c r="H274" i="8"/>
  <c r="I274" i="8"/>
  <c r="J274" i="8"/>
  <c r="L274" i="8"/>
  <c r="M274" i="8"/>
  <c r="N274" i="8"/>
  <c r="O274" i="8"/>
  <c r="P274" i="8"/>
  <c r="Q274" i="8"/>
  <c r="R274" i="8"/>
  <c r="S274" i="8"/>
  <c r="T274" i="8"/>
  <c r="V274" i="8"/>
  <c r="W274" i="8"/>
  <c r="X274" i="8"/>
  <c r="Y274" i="8"/>
  <c r="Z274" i="8"/>
  <c r="AA274" i="8"/>
  <c r="AC274" i="8"/>
  <c r="AD274" i="8"/>
  <c r="AE274" i="8"/>
  <c r="AF274" i="8"/>
  <c r="AG274" i="8"/>
  <c r="AH274" i="8"/>
  <c r="AI274" i="8"/>
  <c r="AJ274" i="8"/>
  <c r="AK274" i="8"/>
  <c r="AM274" i="8"/>
  <c r="AN274" i="8"/>
  <c r="AO274" i="8"/>
  <c r="AP274" i="8"/>
  <c r="AQ274" i="8"/>
  <c r="AR274" i="8"/>
  <c r="AT274" i="8"/>
  <c r="AU274" i="8"/>
  <c r="AV274" i="8"/>
  <c r="AW274" i="8"/>
  <c r="AX274" i="8"/>
  <c r="AY274" i="8"/>
  <c r="AZ274" i="8"/>
  <c r="BA274" i="8"/>
  <c r="BB274" i="8"/>
  <c r="BD274" i="8"/>
  <c r="A275" i="8"/>
  <c r="B275" i="8"/>
  <c r="C275" i="8"/>
  <c r="D275" i="8"/>
  <c r="E275" i="8"/>
  <c r="F275" i="8"/>
  <c r="G275" i="8"/>
  <c r="H275" i="8"/>
  <c r="I275" i="8"/>
  <c r="J275" i="8"/>
  <c r="L275" i="8"/>
  <c r="M275" i="8"/>
  <c r="N275" i="8"/>
  <c r="O275" i="8"/>
  <c r="P275" i="8"/>
  <c r="Q275" i="8"/>
  <c r="R275" i="8"/>
  <c r="S275" i="8"/>
  <c r="T275" i="8"/>
  <c r="V275" i="8"/>
  <c r="W275" i="8"/>
  <c r="X275" i="8"/>
  <c r="Y275" i="8"/>
  <c r="Z275" i="8"/>
  <c r="AA275" i="8"/>
  <c r="AC275" i="8"/>
  <c r="AD275" i="8"/>
  <c r="AE275" i="8"/>
  <c r="AF275" i="8"/>
  <c r="AG275" i="8"/>
  <c r="AH275" i="8"/>
  <c r="AI275" i="8"/>
  <c r="AJ275" i="8"/>
  <c r="AK275" i="8"/>
  <c r="AM275" i="8"/>
  <c r="AN275" i="8"/>
  <c r="AO275" i="8"/>
  <c r="AP275" i="8"/>
  <c r="AQ275" i="8"/>
  <c r="AR275" i="8"/>
  <c r="AT275" i="8"/>
  <c r="AU275" i="8"/>
  <c r="AV275" i="8"/>
  <c r="AW275" i="8"/>
  <c r="AX275" i="8"/>
  <c r="AY275" i="8"/>
  <c r="AZ275" i="8"/>
  <c r="BA275" i="8"/>
  <c r="BB275" i="8"/>
  <c r="BD275" i="8"/>
  <c r="A276" i="8"/>
  <c r="B276" i="8"/>
  <c r="C276" i="8"/>
  <c r="D276" i="8"/>
  <c r="E276" i="8"/>
  <c r="F276" i="8"/>
  <c r="G276" i="8"/>
  <c r="H276" i="8"/>
  <c r="I276" i="8"/>
  <c r="J276" i="8"/>
  <c r="L276" i="8"/>
  <c r="M276" i="8"/>
  <c r="N276" i="8"/>
  <c r="O276" i="8"/>
  <c r="P276" i="8"/>
  <c r="Q276" i="8"/>
  <c r="R276" i="8"/>
  <c r="S276" i="8"/>
  <c r="T276" i="8"/>
  <c r="V276" i="8"/>
  <c r="W276" i="8"/>
  <c r="X276" i="8"/>
  <c r="Y276" i="8"/>
  <c r="Z276" i="8"/>
  <c r="AA276" i="8"/>
  <c r="AC276" i="8"/>
  <c r="AD276" i="8"/>
  <c r="AE276" i="8"/>
  <c r="AF276" i="8"/>
  <c r="AG276" i="8"/>
  <c r="AH276" i="8"/>
  <c r="AI276" i="8"/>
  <c r="AJ276" i="8"/>
  <c r="AK276" i="8"/>
  <c r="AM276" i="8"/>
  <c r="AN276" i="8"/>
  <c r="AO276" i="8"/>
  <c r="AP276" i="8"/>
  <c r="AQ276" i="8"/>
  <c r="AR276" i="8"/>
  <c r="AT276" i="8"/>
  <c r="AU276" i="8"/>
  <c r="AV276" i="8"/>
  <c r="AW276" i="8"/>
  <c r="AX276" i="8"/>
  <c r="AY276" i="8"/>
  <c r="AZ276" i="8"/>
  <c r="BA276" i="8"/>
  <c r="BB276" i="8"/>
  <c r="BD276" i="8"/>
  <c r="A277" i="8"/>
  <c r="B277" i="8"/>
  <c r="C277" i="8"/>
  <c r="D277" i="8"/>
  <c r="E277" i="8"/>
  <c r="F277" i="8"/>
  <c r="G277" i="8"/>
  <c r="H277" i="8"/>
  <c r="I277" i="8"/>
  <c r="J277" i="8"/>
  <c r="L277" i="8"/>
  <c r="M277" i="8"/>
  <c r="N277" i="8"/>
  <c r="O277" i="8"/>
  <c r="P277" i="8"/>
  <c r="Q277" i="8"/>
  <c r="R277" i="8"/>
  <c r="S277" i="8"/>
  <c r="T277" i="8"/>
  <c r="V277" i="8"/>
  <c r="W277" i="8"/>
  <c r="X277" i="8"/>
  <c r="Y277" i="8"/>
  <c r="Z277" i="8"/>
  <c r="AA277" i="8"/>
  <c r="AC277" i="8"/>
  <c r="AD277" i="8"/>
  <c r="AE277" i="8"/>
  <c r="AF277" i="8"/>
  <c r="AG277" i="8"/>
  <c r="AH277" i="8"/>
  <c r="AI277" i="8"/>
  <c r="AJ277" i="8"/>
  <c r="AK277" i="8"/>
  <c r="AM277" i="8"/>
  <c r="AN277" i="8"/>
  <c r="AO277" i="8"/>
  <c r="AP277" i="8"/>
  <c r="AQ277" i="8"/>
  <c r="AR277" i="8"/>
  <c r="AT277" i="8"/>
  <c r="AU277" i="8"/>
  <c r="AV277" i="8"/>
  <c r="AW277" i="8"/>
  <c r="AX277" i="8"/>
  <c r="AY277" i="8"/>
  <c r="AZ277" i="8"/>
  <c r="BA277" i="8"/>
  <c r="BB277" i="8"/>
  <c r="BD277" i="8"/>
  <c r="A278" i="8"/>
  <c r="B278" i="8"/>
  <c r="C278" i="8"/>
  <c r="D278" i="8"/>
  <c r="E278" i="8"/>
  <c r="F278" i="8"/>
  <c r="G278" i="8"/>
  <c r="H278" i="8"/>
  <c r="I278" i="8"/>
  <c r="J278" i="8"/>
  <c r="L278" i="8"/>
  <c r="M278" i="8"/>
  <c r="N278" i="8"/>
  <c r="O278" i="8"/>
  <c r="P278" i="8"/>
  <c r="Q278" i="8"/>
  <c r="R278" i="8"/>
  <c r="S278" i="8"/>
  <c r="T278" i="8"/>
  <c r="V278" i="8"/>
  <c r="W278" i="8"/>
  <c r="X278" i="8"/>
  <c r="Y278" i="8"/>
  <c r="Z278" i="8"/>
  <c r="AA278" i="8"/>
  <c r="AC278" i="8"/>
  <c r="AD278" i="8"/>
  <c r="AE278" i="8"/>
  <c r="AF278" i="8"/>
  <c r="AG278" i="8"/>
  <c r="AH278" i="8"/>
  <c r="AI278" i="8"/>
  <c r="AJ278" i="8"/>
  <c r="AK278" i="8"/>
  <c r="AM278" i="8"/>
  <c r="AN278" i="8"/>
  <c r="AO278" i="8"/>
  <c r="AP278" i="8"/>
  <c r="AQ278" i="8"/>
  <c r="AR278" i="8"/>
  <c r="AT278" i="8"/>
  <c r="AU278" i="8"/>
  <c r="AV278" i="8"/>
  <c r="AW278" i="8"/>
  <c r="AX278" i="8"/>
  <c r="AY278" i="8"/>
  <c r="AZ278" i="8"/>
  <c r="BA278" i="8"/>
  <c r="BB278" i="8"/>
  <c r="BD278" i="8"/>
  <c r="A279" i="8"/>
  <c r="B279" i="8"/>
  <c r="C279" i="8"/>
  <c r="D279" i="8"/>
  <c r="E279" i="8"/>
  <c r="F279" i="8"/>
  <c r="G279" i="8"/>
  <c r="H279" i="8"/>
  <c r="I279" i="8"/>
  <c r="J279" i="8"/>
  <c r="L279" i="8"/>
  <c r="M279" i="8"/>
  <c r="N279" i="8"/>
  <c r="O279" i="8"/>
  <c r="P279" i="8"/>
  <c r="Q279" i="8"/>
  <c r="R279" i="8"/>
  <c r="S279" i="8"/>
  <c r="T279" i="8"/>
  <c r="V279" i="8"/>
  <c r="W279" i="8"/>
  <c r="X279" i="8"/>
  <c r="Y279" i="8"/>
  <c r="Z279" i="8"/>
  <c r="AA279" i="8"/>
  <c r="AC279" i="8"/>
  <c r="AD279" i="8"/>
  <c r="AE279" i="8"/>
  <c r="AF279" i="8"/>
  <c r="AG279" i="8"/>
  <c r="AH279" i="8"/>
  <c r="AI279" i="8"/>
  <c r="AJ279" i="8"/>
  <c r="AK279" i="8"/>
  <c r="AM279" i="8"/>
  <c r="AN279" i="8"/>
  <c r="AO279" i="8"/>
  <c r="AP279" i="8"/>
  <c r="AQ279" i="8"/>
  <c r="AR279" i="8"/>
  <c r="AT279" i="8"/>
  <c r="AU279" i="8"/>
  <c r="AV279" i="8"/>
  <c r="AW279" i="8"/>
  <c r="AX279" i="8"/>
  <c r="AY279" i="8"/>
  <c r="AZ279" i="8"/>
  <c r="BA279" i="8"/>
  <c r="BB279" i="8"/>
  <c r="BD279" i="8"/>
  <c r="A280" i="8"/>
  <c r="B280" i="8"/>
  <c r="C280" i="8"/>
  <c r="D280" i="8"/>
  <c r="E280" i="8"/>
  <c r="F280" i="8"/>
  <c r="G280" i="8"/>
  <c r="H280" i="8"/>
  <c r="I280" i="8"/>
  <c r="J280" i="8"/>
  <c r="L280" i="8"/>
  <c r="M280" i="8"/>
  <c r="N280" i="8"/>
  <c r="O280" i="8"/>
  <c r="P280" i="8"/>
  <c r="Q280" i="8"/>
  <c r="R280" i="8"/>
  <c r="S280" i="8"/>
  <c r="T280" i="8"/>
  <c r="V280" i="8"/>
  <c r="W280" i="8"/>
  <c r="X280" i="8"/>
  <c r="Y280" i="8"/>
  <c r="Z280" i="8"/>
  <c r="AA280" i="8"/>
  <c r="AC280" i="8"/>
  <c r="AD280" i="8"/>
  <c r="AE280" i="8"/>
  <c r="AF280" i="8"/>
  <c r="AG280" i="8"/>
  <c r="AH280" i="8"/>
  <c r="AI280" i="8"/>
  <c r="AJ280" i="8"/>
  <c r="AK280" i="8"/>
  <c r="AM280" i="8"/>
  <c r="AN280" i="8"/>
  <c r="AO280" i="8"/>
  <c r="AP280" i="8"/>
  <c r="AQ280" i="8"/>
  <c r="AR280" i="8"/>
  <c r="AT280" i="8"/>
  <c r="AU280" i="8"/>
  <c r="AV280" i="8"/>
  <c r="AW280" i="8"/>
  <c r="AX280" i="8"/>
  <c r="AY280" i="8"/>
  <c r="AZ280" i="8"/>
  <c r="BA280" i="8"/>
  <c r="BB280" i="8"/>
  <c r="BD280" i="8"/>
  <c r="A281" i="8"/>
  <c r="B281" i="8"/>
  <c r="C281" i="8"/>
  <c r="D281" i="8"/>
  <c r="E281" i="8"/>
  <c r="F281" i="8"/>
  <c r="G281" i="8"/>
  <c r="H281" i="8"/>
  <c r="I281" i="8"/>
  <c r="J281" i="8"/>
  <c r="L281" i="8"/>
  <c r="M281" i="8"/>
  <c r="N281" i="8"/>
  <c r="O281" i="8"/>
  <c r="P281" i="8"/>
  <c r="Q281" i="8"/>
  <c r="R281" i="8"/>
  <c r="S281" i="8"/>
  <c r="T281" i="8"/>
  <c r="V281" i="8"/>
  <c r="W281" i="8"/>
  <c r="X281" i="8"/>
  <c r="Y281" i="8"/>
  <c r="Z281" i="8"/>
  <c r="AA281" i="8"/>
  <c r="AC281" i="8"/>
  <c r="AD281" i="8"/>
  <c r="AE281" i="8"/>
  <c r="AF281" i="8"/>
  <c r="AG281" i="8"/>
  <c r="AH281" i="8"/>
  <c r="AI281" i="8"/>
  <c r="AJ281" i="8"/>
  <c r="AK281" i="8"/>
  <c r="AM281" i="8"/>
  <c r="AN281" i="8"/>
  <c r="AO281" i="8"/>
  <c r="AP281" i="8"/>
  <c r="AQ281" i="8"/>
  <c r="AR281" i="8"/>
  <c r="AT281" i="8"/>
  <c r="AU281" i="8"/>
  <c r="AV281" i="8"/>
  <c r="AW281" i="8"/>
  <c r="AX281" i="8"/>
  <c r="AY281" i="8"/>
  <c r="AZ281" i="8"/>
  <c r="BA281" i="8"/>
  <c r="BB281" i="8"/>
  <c r="BD281" i="8"/>
  <c r="A282" i="8"/>
  <c r="B282" i="8"/>
  <c r="C282" i="8"/>
  <c r="D282" i="8"/>
  <c r="E282" i="8"/>
  <c r="F282" i="8"/>
  <c r="G282" i="8"/>
  <c r="H282" i="8"/>
  <c r="I282" i="8"/>
  <c r="J282" i="8"/>
  <c r="L282" i="8"/>
  <c r="M282" i="8"/>
  <c r="N282" i="8"/>
  <c r="O282" i="8"/>
  <c r="P282" i="8"/>
  <c r="Q282" i="8"/>
  <c r="R282" i="8"/>
  <c r="S282" i="8"/>
  <c r="T282" i="8"/>
  <c r="V282" i="8"/>
  <c r="W282" i="8"/>
  <c r="X282" i="8"/>
  <c r="Y282" i="8"/>
  <c r="Z282" i="8"/>
  <c r="AA282" i="8"/>
  <c r="AC282" i="8"/>
  <c r="AD282" i="8"/>
  <c r="AE282" i="8"/>
  <c r="AF282" i="8"/>
  <c r="AG282" i="8"/>
  <c r="AH282" i="8"/>
  <c r="AI282" i="8"/>
  <c r="AJ282" i="8"/>
  <c r="AK282" i="8"/>
  <c r="AM282" i="8"/>
  <c r="AN282" i="8"/>
  <c r="AO282" i="8"/>
  <c r="AP282" i="8"/>
  <c r="AQ282" i="8"/>
  <c r="AR282" i="8"/>
  <c r="AT282" i="8"/>
  <c r="AU282" i="8"/>
  <c r="AV282" i="8"/>
  <c r="AW282" i="8"/>
  <c r="AX282" i="8"/>
  <c r="AY282" i="8"/>
  <c r="AZ282" i="8"/>
  <c r="BA282" i="8"/>
  <c r="BB282" i="8"/>
  <c r="BD282" i="8"/>
  <c r="A283" i="8"/>
  <c r="B283" i="8"/>
  <c r="C283" i="8"/>
  <c r="D283" i="8"/>
  <c r="E283" i="8"/>
  <c r="F283" i="8"/>
  <c r="G283" i="8"/>
  <c r="H283" i="8"/>
  <c r="I283" i="8"/>
  <c r="J283" i="8"/>
  <c r="L283" i="8"/>
  <c r="M283" i="8"/>
  <c r="N283" i="8"/>
  <c r="O283" i="8"/>
  <c r="P283" i="8"/>
  <c r="Q283" i="8"/>
  <c r="R283" i="8"/>
  <c r="S283" i="8"/>
  <c r="T283" i="8"/>
  <c r="V283" i="8"/>
  <c r="W283" i="8"/>
  <c r="X283" i="8"/>
  <c r="Y283" i="8"/>
  <c r="Z283" i="8"/>
  <c r="AA283" i="8"/>
  <c r="AC283" i="8"/>
  <c r="AD283" i="8"/>
  <c r="AE283" i="8"/>
  <c r="AF283" i="8"/>
  <c r="AG283" i="8"/>
  <c r="AH283" i="8"/>
  <c r="AI283" i="8"/>
  <c r="AJ283" i="8"/>
  <c r="AK283" i="8"/>
  <c r="AM283" i="8"/>
  <c r="AN283" i="8"/>
  <c r="AO283" i="8"/>
  <c r="AP283" i="8"/>
  <c r="AQ283" i="8"/>
  <c r="AR283" i="8"/>
  <c r="AT283" i="8"/>
  <c r="AU283" i="8"/>
  <c r="AV283" i="8"/>
  <c r="AW283" i="8"/>
  <c r="AX283" i="8"/>
  <c r="AY283" i="8"/>
  <c r="AZ283" i="8"/>
  <c r="BA283" i="8"/>
  <c r="BB283" i="8"/>
  <c r="BD283" i="8"/>
  <c r="A284" i="8"/>
  <c r="B284" i="8"/>
  <c r="C284" i="8"/>
  <c r="D284" i="8"/>
  <c r="E284" i="8"/>
  <c r="F284" i="8"/>
  <c r="G284" i="8"/>
  <c r="H284" i="8"/>
  <c r="I284" i="8"/>
  <c r="J284" i="8"/>
  <c r="L284" i="8"/>
  <c r="M284" i="8"/>
  <c r="N284" i="8"/>
  <c r="O284" i="8"/>
  <c r="P284" i="8"/>
  <c r="Q284" i="8"/>
  <c r="R284" i="8"/>
  <c r="S284" i="8"/>
  <c r="T284" i="8"/>
  <c r="V284" i="8"/>
  <c r="W284" i="8"/>
  <c r="X284" i="8"/>
  <c r="Y284" i="8"/>
  <c r="Z284" i="8"/>
  <c r="AA284" i="8"/>
  <c r="AC284" i="8"/>
  <c r="AD284" i="8"/>
  <c r="AE284" i="8"/>
  <c r="AF284" i="8"/>
  <c r="AG284" i="8"/>
  <c r="AH284" i="8"/>
  <c r="AI284" i="8"/>
  <c r="AJ284" i="8"/>
  <c r="AK284" i="8"/>
  <c r="AM284" i="8"/>
  <c r="AN284" i="8"/>
  <c r="AO284" i="8"/>
  <c r="AP284" i="8"/>
  <c r="AQ284" i="8"/>
  <c r="AR284" i="8"/>
  <c r="AT284" i="8"/>
  <c r="AU284" i="8"/>
  <c r="AV284" i="8"/>
  <c r="AW284" i="8"/>
  <c r="AX284" i="8"/>
  <c r="AY284" i="8"/>
  <c r="AZ284" i="8"/>
  <c r="BA284" i="8"/>
  <c r="BB284" i="8"/>
  <c r="BD284" i="8"/>
  <c r="A285" i="8"/>
  <c r="B285" i="8"/>
  <c r="C285" i="8"/>
  <c r="D285" i="8"/>
  <c r="E285" i="8"/>
  <c r="F285" i="8"/>
  <c r="G285" i="8"/>
  <c r="H285" i="8"/>
  <c r="I285" i="8"/>
  <c r="J285" i="8"/>
  <c r="L285" i="8"/>
  <c r="M285" i="8"/>
  <c r="N285" i="8"/>
  <c r="O285" i="8"/>
  <c r="P285" i="8"/>
  <c r="Q285" i="8"/>
  <c r="R285" i="8"/>
  <c r="S285" i="8"/>
  <c r="T285" i="8"/>
  <c r="V285" i="8"/>
  <c r="W285" i="8"/>
  <c r="X285" i="8"/>
  <c r="Y285" i="8"/>
  <c r="Z285" i="8"/>
  <c r="AA285" i="8"/>
  <c r="AC285" i="8"/>
  <c r="AD285" i="8"/>
  <c r="AE285" i="8"/>
  <c r="AF285" i="8"/>
  <c r="AG285" i="8"/>
  <c r="AH285" i="8"/>
  <c r="AI285" i="8"/>
  <c r="AJ285" i="8"/>
  <c r="AK285" i="8"/>
  <c r="AM285" i="8"/>
  <c r="AN285" i="8"/>
  <c r="AO285" i="8"/>
  <c r="AP285" i="8"/>
  <c r="AQ285" i="8"/>
  <c r="AR285" i="8"/>
  <c r="AT285" i="8"/>
  <c r="AU285" i="8"/>
  <c r="AV285" i="8"/>
  <c r="AW285" i="8"/>
  <c r="AX285" i="8"/>
  <c r="AY285" i="8"/>
  <c r="AZ285" i="8"/>
  <c r="BA285" i="8"/>
  <c r="BB285" i="8"/>
  <c r="BD285" i="8"/>
  <c r="A286" i="8"/>
  <c r="B286" i="8"/>
  <c r="C286" i="8"/>
  <c r="D286" i="8"/>
  <c r="E286" i="8"/>
  <c r="F286" i="8"/>
  <c r="G286" i="8"/>
  <c r="H286" i="8"/>
  <c r="I286" i="8"/>
  <c r="J286" i="8"/>
  <c r="L286" i="8"/>
  <c r="M286" i="8"/>
  <c r="N286" i="8"/>
  <c r="O286" i="8"/>
  <c r="P286" i="8"/>
  <c r="Q286" i="8"/>
  <c r="R286" i="8"/>
  <c r="S286" i="8"/>
  <c r="T286" i="8"/>
  <c r="V286" i="8"/>
  <c r="W286" i="8"/>
  <c r="X286" i="8"/>
  <c r="Y286" i="8"/>
  <c r="Z286" i="8"/>
  <c r="AA286" i="8"/>
  <c r="AC286" i="8"/>
  <c r="AD286" i="8"/>
  <c r="AE286" i="8"/>
  <c r="AF286" i="8"/>
  <c r="AG286" i="8"/>
  <c r="AH286" i="8"/>
  <c r="AI286" i="8"/>
  <c r="AJ286" i="8"/>
  <c r="AK286" i="8"/>
  <c r="AM286" i="8"/>
  <c r="AN286" i="8"/>
  <c r="AO286" i="8"/>
  <c r="AP286" i="8"/>
  <c r="AQ286" i="8"/>
  <c r="AR286" i="8"/>
  <c r="AT286" i="8"/>
  <c r="AU286" i="8"/>
  <c r="AV286" i="8"/>
  <c r="AW286" i="8"/>
  <c r="AX286" i="8"/>
  <c r="AY286" i="8"/>
  <c r="AZ286" i="8"/>
  <c r="BA286" i="8"/>
  <c r="BB286" i="8"/>
  <c r="BD286" i="8"/>
  <c r="A287" i="8"/>
  <c r="B287" i="8"/>
  <c r="C287" i="8"/>
  <c r="D287" i="8"/>
  <c r="E287" i="8"/>
  <c r="F287" i="8"/>
  <c r="G287" i="8"/>
  <c r="H287" i="8"/>
  <c r="I287" i="8"/>
  <c r="J287" i="8"/>
  <c r="L287" i="8"/>
  <c r="M287" i="8"/>
  <c r="N287" i="8"/>
  <c r="O287" i="8"/>
  <c r="P287" i="8"/>
  <c r="Q287" i="8"/>
  <c r="R287" i="8"/>
  <c r="S287" i="8"/>
  <c r="T287" i="8"/>
  <c r="V287" i="8"/>
  <c r="W287" i="8"/>
  <c r="X287" i="8"/>
  <c r="Y287" i="8"/>
  <c r="Z287" i="8"/>
  <c r="AA287" i="8"/>
  <c r="AC287" i="8"/>
  <c r="AD287" i="8"/>
  <c r="AE287" i="8"/>
  <c r="AF287" i="8"/>
  <c r="AG287" i="8"/>
  <c r="AH287" i="8"/>
  <c r="AI287" i="8"/>
  <c r="AJ287" i="8"/>
  <c r="AK287" i="8"/>
  <c r="AM287" i="8"/>
  <c r="AN287" i="8"/>
  <c r="AO287" i="8"/>
  <c r="AP287" i="8"/>
  <c r="AQ287" i="8"/>
  <c r="AR287" i="8"/>
  <c r="AT287" i="8"/>
  <c r="AU287" i="8"/>
  <c r="AV287" i="8"/>
  <c r="AW287" i="8"/>
  <c r="AX287" i="8"/>
  <c r="AY287" i="8"/>
  <c r="AZ287" i="8"/>
  <c r="BA287" i="8"/>
  <c r="BB287" i="8"/>
  <c r="BD287" i="8"/>
  <c r="A288" i="8"/>
  <c r="B288" i="8"/>
  <c r="C288" i="8"/>
  <c r="D288" i="8"/>
  <c r="E288" i="8"/>
  <c r="F288" i="8"/>
  <c r="G288" i="8"/>
  <c r="H288" i="8"/>
  <c r="I288" i="8"/>
  <c r="J288" i="8"/>
  <c r="L288" i="8"/>
  <c r="M288" i="8"/>
  <c r="N288" i="8"/>
  <c r="O288" i="8"/>
  <c r="P288" i="8"/>
  <c r="Q288" i="8"/>
  <c r="R288" i="8"/>
  <c r="S288" i="8"/>
  <c r="T288" i="8"/>
  <c r="V288" i="8"/>
  <c r="W288" i="8"/>
  <c r="X288" i="8"/>
  <c r="Y288" i="8"/>
  <c r="Z288" i="8"/>
  <c r="AA288" i="8"/>
  <c r="AC288" i="8"/>
  <c r="AD288" i="8"/>
  <c r="AE288" i="8"/>
  <c r="AF288" i="8"/>
  <c r="AG288" i="8"/>
  <c r="AH288" i="8"/>
  <c r="AI288" i="8"/>
  <c r="AJ288" i="8"/>
  <c r="AK288" i="8"/>
  <c r="AM288" i="8"/>
  <c r="AN288" i="8"/>
  <c r="AO288" i="8"/>
  <c r="AP288" i="8"/>
  <c r="AQ288" i="8"/>
  <c r="AR288" i="8"/>
  <c r="AT288" i="8"/>
  <c r="AU288" i="8"/>
  <c r="AV288" i="8"/>
  <c r="AW288" i="8"/>
  <c r="AX288" i="8"/>
  <c r="AY288" i="8"/>
  <c r="AZ288" i="8"/>
  <c r="BA288" i="8"/>
  <c r="BB288" i="8"/>
  <c r="BD288" i="8"/>
  <c r="A289" i="8"/>
  <c r="B289" i="8"/>
  <c r="C289" i="8"/>
  <c r="D289" i="8"/>
  <c r="E289" i="8"/>
  <c r="F289" i="8"/>
  <c r="G289" i="8"/>
  <c r="H289" i="8"/>
  <c r="I289" i="8"/>
  <c r="J289" i="8"/>
  <c r="L289" i="8"/>
  <c r="M289" i="8"/>
  <c r="N289" i="8"/>
  <c r="O289" i="8"/>
  <c r="P289" i="8"/>
  <c r="Q289" i="8"/>
  <c r="R289" i="8"/>
  <c r="S289" i="8"/>
  <c r="T289" i="8"/>
  <c r="V289" i="8"/>
  <c r="W289" i="8"/>
  <c r="X289" i="8"/>
  <c r="Y289" i="8"/>
  <c r="Z289" i="8"/>
  <c r="AA289" i="8"/>
  <c r="AC289" i="8"/>
  <c r="AD289" i="8"/>
  <c r="AE289" i="8"/>
  <c r="AF289" i="8"/>
  <c r="AG289" i="8"/>
  <c r="AH289" i="8"/>
  <c r="AI289" i="8"/>
  <c r="AJ289" i="8"/>
  <c r="AK289" i="8"/>
  <c r="AM289" i="8"/>
  <c r="AN289" i="8"/>
  <c r="AO289" i="8"/>
  <c r="AP289" i="8"/>
  <c r="AQ289" i="8"/>
  <c r="AR289" i="8"/>
  <c r="AT289" i="8"/>
  <c r="AU289" i="8"/>
  <c r="AV289" i="8"/>
  <c r="AW289" i="8"/>
  <c r="AX289" i="8"/>
  <c r="AY289" i="8"/>
  <c r="AZ289" i="8"/>
  <c r="BA289" i="8"/>
  <c r="BB289" i="8"/>
  <c r="BD289" i="8"/>
  <c r="A290" i="8"/>
  <c r="B290" i="8"/>
  <c r="C290" i="8"/>
  <c r="D290" i="8"/>
  <c r="E290" i="8"/>
  <c r="F290" i="8"/>
  <c r="G290" i="8"/>
  <c r="H290" i="8"/>
  <c r="I290" i="8"/>
  <c r="J290" i="8"/>
  <c r="L290" i="8"/>
  <c r="M290" i="8"/>
  <c r="N290" i="8"/>
  <c r="O290" i="8"/>
  <c r="P290" i="8"/>
  <c r="Q290" i="8"/>
  <c r="R290" i="8"/>
  <c r="S290" i="8"/>
  <c r="T290" i="8"/>
  <c r="V290" i="8"/>
  <c r="W290" i="8"/>
  <c r="X290" i="8"/>
  <c r="Y290" i="8"/>
  <c r="Z290" i="8"/>
  <c r="AA290" i="8"/>
  <c r="AC290" i="8"/>
  <c r="AD290" i="8"/>
  <c r="AE290" i="8"/>
  <c r="AF290" i="8"/>
  <c r="AG290" i="8"/>
  <c r="AH290" i="8"/>
  <c r="AI290" i="8"/>
  <c r="AJ290" i="8"/>
  <c r="AK290" i="8"/>
  <c r="AM290" i="8"/>
  <c r="AN290" i="8"/>
  <c r="AO290" i="8"/>
  <c r="AP290" i="8"/>
  <c r="AQ290" i="8"/>
  <c r="AR290" i="8"/>
  <c r="AT290" i="8"/>
  <c r="AU290" i="8"/>
  <c r="AV290" i="8"/>
  <c r="AW290" i="8"/>
  <c r="AX290" i="8"/>
  <c r="AY290" i="8"/>
  <c r="AZ290" i="8"/>
  <c r="BA290" i="8"/>
  <c r="BB290" i="8"/>
  <c r="BD290" i="8"/>
  <c r="A291" i="8"/>
  <c r="B291" i="8"/>
  <c r="C291" i="8"/>
  <c r="D291" i="8"/>
  <c r="E291" i="8"/>
  <c r="F291" i="8"/>
  <c r="G291" i="8"/>
  <c r="H291" i="8"/>
  <c r="I291" i="8"/>
  <c r="J291" i="8"/>
  <c r="L291" i="8"/>
  <c r="M291" i="8"/>
  <c r="N291" i="8"/>
  <c r="O291" i="8"/>
  <c r="P291" i="8"/>
  <c r="Q291" i="8"/>
  <c r="R291" i="8"/>
  <c r="S291" i="8"/>
  <c r="T291" i="8"/>
  <c r="V291" i="8"/>
  <c r="W291" i="8"/>
  <c r="X291" i="8"/>
  <c r="Y291" i="8"/>
  <c r="Z291" i="8"/>
  <c r="AA291" i="8"/>
  <c r="AC291" i="8"/>
  <c r="AD291" i="8"/>
  <c r="AE291" i="8"/>
  <c r="AF291" i="8"/>
  <c r="AG291" i="8"/>
  <c r="AH291" i="8"/>
  <c r="AI291" i="8"/>
  <c r="AJ291" i="8"/>
  <c r="AK291" i="8"/>
  <c r="AM291" i="8"/>
  <c r="AN291" i="8"/>
  <c r="AO291" i="8"/>
  <c r="AP291" i="8"/>
  <c r="AQ291" i="8"/>
  <c r="AR291" i="8"/>
  <c r="AT291" i="8"/>
  <c r="AU291" i="8"/>
  <c r="AV291" i="8"/>
  <c r="AW291" i="8"/>
  <c r="AX291" i="8"/>
  <c r="AY291" i="8"/>
  <c r="AZ291" i="8"/>
  <c r="BA291" i="8"/>
  <c r="BB291" i="8"/>
  <c r="BD291" i="8"/>
  <c r="A292" i="8"/>
  <c r="B292" i="8"/>
  <c r="C292" i="8"/>
  <c r="D292" i="8"/>
  <c r="E292" i="8"/>
  <c r="F292" i="8"/>
  <c r="G292" i="8"/>
  <c r="H292" i="8"/>
  <c r="I292" i="8"/>
  <c r="J292" i="8"/>
  <c r="L292" i="8"/>
  <c r="M292" i="8"/>
  <c r="N292" i="8"/>
  <c r="O292" i="8"/>
  <c r="P292" i="8"/>
  <c r="Q292" i="8"/>
  <c r="R292" i="8"/>
  <c r="S292" i="8"/>
  <c r="T292" i="8"/>
  <c r="V292" i="8"/>
  <c r="W292" i="8"/>
  <c r="X292" i="8"/>
  <c r="Y292" i="8"/>
  <c r="Z292" i="8"/>
  <c r="AA292" i="8"/>
  <c r="AC292" i="8"/>
  <c r="AD292" i="8"/>
  <c r="AE292" i="8"/>
  <c r="AF292" i="8"/>
  <c r="AG292" i="8"/>
  <c r="AH292" i="8"/>
  <c r="AI292" i="8"/>
  <c r="AJ292" i="8"/>
  <c r="AK292" i="8"/>
  <c r="AM292" i="8"/>
  <c r="AN292" i="8"/>
  <c r="AO292" i="8"/>
  <c r="AP292" i="8"/>
  <c r="AQ292" i="8"/>
  <c r="AR292" i="8"/>
  <c r="AT292" i="8"/>
  <c r="AU292" i="8"/>
  <c r="AV292" i="8"/>
  <c r="AW292" i="8"/>
  <c r="AX292" i="8"/>
  <c r="AY292" i="8"/>
  <c r="AZ292" i="8"/>
  <c r="BA292" i="8"/>
  <c r="BB292" i="8"/>
  <c r="BD292" i="8"/>
  <c r="A293" i="8"/>
  <c r="B293" i="8"/>
  <c r="C293" i="8"/>
  <c r="D293" i="8"/>
  <c r="E293" i="8"/>
  <c r="F293" i="8"/>
  <c r="G293" i="8"/>
  <c r="H293" i="8"/>
  <c r="I293" i="8"/>
  <c r="J293" i="8"/>
  <c r="L293" i="8"/>
  <c r="M293" i="8"/>
  <c r="N293" i="8"/>
  <c r="O293" i="8"/>
  <c r="P293" i="8"/>
  <c r="Q293" i="8"/>
  <c r="R293" i="8"/>
  <c r="S293" i="8"/>
  <c r="T293" i="8"/>
  <c r="V293" i="8"/>
  <c r="W293" i="8"/>
  <c r="X293" i="8"/>
  <c r="Y293" i="8"/>
  <c r="Z293" i="8"/>
  <c r="AA293" i="8"/>
  <c r="AC293" i="8"/>
  <c r="AD293" i="8"/>
  <c r="AE293" i="8"/>
  <c r="AF293" i="8"/>
  <c r="AG293" i="8"/>
  <c r="AH293" i="8"/>
  <c r="AI293" i="8"/>
  <c r="AJ293" i="8"/>
  <c r="AK293" i="8"/>
  <c r="AM293" i="8"/>
  <c r="AN293" i="8"/>
  <c r="AO293" i="8"/>
  <c r="AP293" i="8"/>
  <c r="AQ293" i="8"/>
  <c r="AR293" i="8"/>
  <c r="AT293" i="8"/>
  <c r="AU293" i="8"/>
  <c r="AV293" i="8"/>
  <c r="AW293" i="8"/>
  <c r="AX293" i="8"/>
  <c r="AY293" i="8"/>
  <c r="AZ293" i="8"/>
  <c r="BA293" i="8"/>
  <c r="BB293" i="8"/>
  <c r="BD293" i="8"/>
  <c r="A294" i="8"/>
  <c r="B294" i="8"/>
  <c r="C294" i="8"/>
  <c r="D294" i="8"/>
  <c r="E294" i="8"/>
  <c r="F294" i="8"/>
  <c r="G294" i="8"/>
  <c r="H294" i="8"/>
  <c r="I294" i="8"/>
  <c r="J294" i="8"/>
  <c r="L294" i="8"/>
  <c r="M294" i="8"/>
  <c r="N294" i="8"/>
  <c r="O294" i="8"/>
  <c r="P294" i="8"/>
  <c r="Q294" i="8"/>
  <c r="R294" i="8"/>
  <c r="S294" i="8"/>
  <c r="T294" i="8"/>
  <c r="V294" i="8"/>
  <c r="W294" i="8"/>
  <c r="X294" i="8"/>
  <c r="Y294" i="8"/>
  <c r="Z294" i="8"/>
  <c r="AA294" i="8"/>
  <c r="AC294" i="8"/>
  <c r="AD294" i="8"/>
  <c r="AE294" i="8"/>
  <c r="AF294" i="8"/>
  <c r="AG294" i="8"/>
  <c r="AH294" i="8"/>
  <c r="AI294" i="8"/>
  <c r="AJ294" i="8"/>
  <c r="AK294" i="8"/>
  <c r="AM294" i="8"/>
  <c r="AN294" i="8"/>
  <c r="AO294" i="8"/>
  <c r="AP294" i="8"/>
  <c r="AQ294" i="8"/>
  <c r="AR294" i="8"/>
  <c r="AT294" i="8"/>
  <c r="AU294" i="8"/>
  <c r="AV294" i="8"/>
  <c r="AW294" i="8"/>
  <c r="AX294" i="8"/>
  <c r="AY294" i="8"/>
  <c r="AZ294" i="8"/>
  <c r="BA294" i="8"/>
  <c r="BB294" i="8"/>
  <c r="BD294" i="8"/>
  <c r="A295" i="8"/>
  <c r="B295" i="8"/>
  <c r="C295" i="8"/>
  <c r="D295" i="8"/>
  <c r="E295" i="8"/>
  <c r="F295" i="8"/>
  <c r="G295" i="8"/>
  <c r="H295" i="8"/>
  <c r="I295" i="8"/>
  <c r="J295" i="8"/>
  <c r="L295" i="8"/>
  <c r="M295" i="8"/>
  <c r="N295" i="8"/>
  <c r="O295" i="8"/>
  <c r="P295" i="8"/>
  <c r="Q295" i="8"/>
  <c r="R295" i="8"/>
  <c r="S295" i="8"/>
  <c r="T295" i="8"/>
  <c r="V295" i="8"/>
  <c r="W295" i="8"/>
  <c r="X295" i="8"/>
  <c r="Y295" i="8"/>
  <c r="Z295" i="8"/>
  <c r="AA295" i="8"/>
  <c r="AC295" i="8"/>
  <c r="AD295" i="8"/>
  <c r="AE295" i="8"/>
  <c r="AF295" i="8"/>
  <c r="AG295" i="8"/>
  <c r="AH295" i="8"/>
  <c r="AI295" i="8"/>
  <c r="AJ295" i="8"/>
  <c r="AK295" i="8"/>
  <c r="AM295" i="8"/>
  <c r="AN295" i="8"/>
  <c r="AO295" i="8"/>
  <c r="AP295" i="8"/>
  <c r="AQ295" i="8"/>
  <c r="AR295" i="8"/>
  <c r="AT295" i="8"/>
  <c r="AU295" i="8"/>
  <c r="AV295" i="8"/>
  <c r="AW295" i="8"/>
  <c r="AX295" i="8"/>
  <c r="AY295" i="8"/>
  <c r="AZ295" i="8"/>
  <c r="BA295" i="8"/>
  <c r="BB295" i="8"/>
  <c r="BD295" i="8"/>
  <c r="A296" i="8"/>
  <c r="B296" i="8"/>
  <c r="C296" i="8"/>
  <c r="D296" i="8"/>
  <c r="E296" i="8"/>
  <c r="F296" i="8"/>
  <c r="G296" i="8"/>
  <c r="H296" i="8"/>
  <c r="I296" i="8"/>
  <c r="J296" i="8"/>
  <c r="L296" i="8"/>
  <c r="M296" i="8"/>
  <c r="N296" i="8"/>
  <c r="O296" i="8"/>
  <c r="P296" i="8"/>
  <c r="Q296" i="8"/>
  <c r="R296" i="8"/>
  <c r="S296" i="8"/>
  <c r="T296" i="8"/>
  <c r="V296" i="8"/>
  <c r="W296" i="8"/>
  <c r="X296" i="8"/>
  <c r="Y296" i="8"/>
  <c r="Z296" i="8"/>
  <c r="AA296" i="8"/>
  <c r="AC296" i="8"/>
  <c r="AD296" i="8"/>
  <c r="AE296" i="8"/>
  <c r="AF296" i="8"/>
  <c r="AG296" i="8"/>
  <c r="AH296" i="8"/>
  <c r="AI296" i="8"/>
  <c r="AJ296" i="8"/>
  <c r="AK296" i="8"/>
  <c r="AM296" i="8"/>
  <c r="AN296" i="8"/>
  <c r="AO296" i="8"/>
  <c r="AP296" i="8"/>
  <c r="AQ296" i="8"/>
  <c r="AR296" i="8"/>
  <c r="AT296" i="8"/>
  <c r="AU296" i="8"/>
  <c r="AV296" i="8"/>
  <c r="AW296" i="8"/>
  <c r="AX296" i="8"/>
  <c r="AY296" i="8"/>
  <c r="AZ296" i="8"/>
  <c r="BA296" i="8"/>
  <c r="BB296" i="8"/>
  <c r="BD296" i="8"/>
  <c r="A297" i="8"/>
  <c r="B297" i="8"/>
  <c r="C297" i="8"/>
  <c r="D297" i="8"/>
  <c r="E297" i="8"/>
  <c r="F297" i="8"/>
  <c r="G297" i="8"/>
  <c r="H297" i="8"/>
  <c r="I297" i="8"/>
  <c r="J297" i="8"/>
  <c r="L297" i="8"/>
  <c r="M297" i="8"/>
  <c r="N297" i="8"/>
  <c r="O297" i="8"/>
  <c r="P297" i="8"/>
  <c r="Q297" i="8"/>
  <c r="R297" i="8"/>
  <c r="S297" i="8"/>
  <c r="T297" i="8"/>
  <c r="V297" i="8"/>
  <c r="W297" i="8"/>
  <c r="X297" i="8"/>
  <c r="Y297" i="8"/>
  <c r="Z297" i="8"/>
  <c r="AA297" i="8"/>
  <c r="AC297" i="8"/>
  <c r="AD297" i="8"/>
  <c r="AE297" i="8"/>
  <c r="AF297" i="8"/>
  <c r="AG297" i="8"/>
  <c r="AH297" i="8"/>
  <c r="AI297" i="8"/>
  <c r="AJ297" i="8"/>
  <c r="AK297" i="8"/>
  <c r="AM297" i="8"/>
  <c r="AN297" i="8"/>
  <c r="AO297" i="8"/>
  <c r="AP297" i="8"/>
  <c r="AQ297" i="8"/>
  <c r="AR297" i="8"/>
  <c r="AT297" i="8"/>
  <c r="AU297" i="8"/>
  <c r="AV297" i="8"/>
  <c r="AW297" i="8"/>
  <c r="AX297" i="8"/>
  <c r="AY297" i="8"/>
  <c r="AZ297" i="8"/>
  <c r="BA297" i="8"/>
  <c r="BB297" i="8"/>
  <c r="BD297" i="8"/>
  <c r="A298" i="8"/>
  <c r="B298" i="8"/>
  <c r="C298" i="8"/>
  <c r="D298" i="8"/>
  <c r="E298" i="8"/>
  <c r="F298" i="8"/>
  <c r="G298" i="8"/>
  <c r="H298" i="8"/>
  <c r="I298" i="8"/>
  <c r="J298" i="8"/>
  <c r="L298" i="8"/>
  <c r="M298" i="8"/>
  <c r="N298" i="8"/>
  <c r="O298" i="8"/>
  <c r="P298" i="8"/>
  <c r="Q298" i="8"/>
  <c r="R298" i="8"/>
  <c r="S298" i="8"/>
  <c r="T298" i="8"/>
  <c r="V298" i="8"/>
  <c r="W298" i="8"/>
  <c r="X298" i="8"/>
  <c r="Y298" i="8"/>
  <c r="Z298" i="8"/>
  <c r="AA298" i="8"/>
  <c r="AC298" i="8"/>
  <c r="AD298" i="8"/>
  <c r="AE298" i="8"/>
  <c r="AF298" i="8"/>
  <c r="AG298" i="8"/>
  <c r="AH298" i="8"/>
  <c r="AI298" i="8"/>
  <c r="AJ298" i="8"/>
  <c r="AK298" i="8"/>
  <c r="AM298" i="8"/>
  <c r="AN298" i="8"/>
  <c r="AO298" i="8"/>
  <c r="AP298" i="8"/>
  <c r="AQ298" i="8"/>
  <c r="AR298" i="8"/>
  <c r="AT298" i="8"/>
  <c r="AU298" i="8"/>
  <c r="AV298" i="8"/>
  <c r="AW298" i="8"/>
  <c r="AX298" i="8"/>
  <c r="AY298" i="8"/>
  <c r="AZ298" i="8"/>
  <c r="BA298" i="8"/>
  <c r="BB298" i="8"/>
  <c r="BD298" i="8"/>
  <c r="A299" i="8"/>
  <c r="B299" i="8"/>
  <c r="C299" i="8"/>
  <c r="D299" i="8"/>
  <c r="E299" i="8"/>
  <c r="F299" i="8"/>
  <c r="G299" i="8"/>
  <c r="H299" i="8"/>
  <c r="I299" i="8"/>
  <c r="J299" i="8"/>
  <c r="L299" i="8"/>
  <c r="M299" i="8"/>
  <c r="N299" i="8"/>
  <c r="O299" i="8"/>
  <c r="P299" i="8"/>
  <c r="Q299" i="8"/>
  <c r="R299" i="8"/>
  <c r="S299" i="8"/>
  <c r="T299" i="8"/>
  <c r="V299" i="8"/>
  <c r="W299" i="8"/>
  <c r="X299" i="8"/>
  <c r="Y299" i="8"/>
  <c r="Z299" i="8"/>
  <c r="AA299" i="8"/>
  <c r="AC299" i="8"/>
  <c r="AD299" i="8"/>
  <c r="AE299" i="8"/>
  <c r="AF299" i="8"/>
  <c r="AG299" i="8"/>
  <c r="AH299" i="8"/>
  <c r="AI299" i="8"/>
  <c r="AJ299" i="8"/>
  <c r="AK299" i="8"/>
  <c r="AM299" i="8"/>
  <c r="AN299" i="8"/>
  <c r="AO299" i="8"/>
  <c r="AP299" i="8"/>
  <c r="AQ299" i="8"/>
  <c r="AR299" i="8"/>
  <c r="AT299" i="8"/>
  <c r="AU299" i="8"/>
  <c r="AV299" i="8"/>
  <c r="AW299" i="8"/>
  <c r="AX299" i="8"/>
  <c r="AY299" i="8"/>
  <c r="AZ299" i="8"/>
  <c r="BA299" i="8"/>
  <c r="BB299" i="8"/>
  <c r="BD299" i="8"/>
  <c r="A300" i="8"/>
  <c r="B300" i="8"/>
  <c r="C300" i="8"/>
  <c r="D300" i="8"/>
  <c r="E300" i="8"/>
  <c r="F300" i="8"/>
  <c r="G300" i="8"/>
  <c r="H300" i="8"/>
  <c r="I300" i="8"/>
  <c r="J300" i="8"/>
  <c r="L300" i="8"/>
  <c r="M300" i="8"/>
  <c r="N300" i="8"/>
  <c r="O300" i="8"/>
  <c r="P300" i="8"/>
  <c r="Q300" i="8"/>
  <c r="R300" i="8"/>
  <c r="S300" i="8"/>
  <c r="T300" i="8"/>
  <c r="V300" i="8"/>
  <c r="W300" i="8"/>
  <c r="X300" i="8"/>
  <c r="Y300" i="8"/>
  <c r="Z300" i="8"/>
  <c r="AA300" i="8"/>
  <c r="AC300" i="8"/>
  <c r="AD300" i="8"/>
  <c r="AE300" i="8"/>
  <c r="AF300" i="8"/>
  <c r="AG300" i="8"/>
  <c r="AH300" i="8"/>
  <c r="AI300" i="8"/>
  <c r="AJ300" i="8"/>
  <c r="AK300" i="8"/>
  <c r="AM300" i="8"/>
  <c r="AN300" i="8"/>
  <c r="AO300" i="8"/>
  <c r="AP300" i="8"/>
  <c r="AQ300" i="8"/>
  <c r="AR300" i="8"/>
  <c r="AT300" i="8"/>
  <c r="AU300" i="8"/>
  <c r="AV300" i="8"/>
  <c r="AW300" i="8"/>
  <c r="AX300" i="8"/>
  <c r="AY300" i="8"/>
  <c r="AZ300" i="8"/>
  <c r="BA300" i="8"/>
  <c r="BB300" i="8"/>
  <c r="BD300" i="8"/>
  <c r="A301" i="8"/>
  <c r="B301" i="8"/>
  <c r="C301" i="8"/>
  <c r="D301" i="8"/>
  <c r="E301" i="8"/>
  <c r="F301" i="8"/>
  <c r="G301" i="8"/>
  <c r="H301" i="8"/>
  <c r="I301" i="8"/>
  <c r="J301" i="8"/>
  <c r="L301" i="8"/>
  <c r="M301" i="8"/>
  <c r="N301" i="8"/>
  <c r="O301" i="8"/>
  <c r="P301" i="8"/>
  <c r="Q301" i="8"/>
  <c r="R301" i="8"/>
  <c r="S301" i="8"/>
  <c r="T301" i="8"/>
  <c r="V301" i="8"/>
  <c r="W301" i="8"/>
  <c r="X301" i="8"/>
  <c r="Y301" i="8"/>
  <c r="Z301" i="8"/>
  <c r="AA301" i="8"/>
  <c r="AC301" i="8"/>
  <c r="AD301" i="8"/>
  <c r="AE301" i="8"/>
  <c r="AF301" i="8"/>
  <c r="AG301" i="8"/>
  <c r="AH301" i="8"/>
  <c r="AI301" i="8"/>
  <c r="AJ301" i="8"/>
  <c r="AK301" i="8"/>
  <c r="AM301" i="8"/>
  <c r="AN301" i="8"/>
  <c r="AO301" i="8"/>
  <c r="AP301" i="8"/>
  <c r="AQ301" i="8"/>
  <c r="AR301" i="8"/>
  <c r="AT301" i="8"/>
  <c r="AU301" i="8"/>
  <c r="AV301" i="8"/>
  <c r="AW301" i="8"/>
  <c r="AX301" i="8"/>
  <c r="AY301" i="8"/>
  <c r="AZ301" i="8"/>
  <c r="BA301" i="8"/>
  <c r="BB301" i="8"/>
  <c r="BD301" i="8"/>
  <c r="A302" i="8"/>
  <c r="B302" i="8"/>
  <c r="C302" i="8"/>
  <c r="D302" i="8"/>
  <c r="E302" i="8"/>
  <c r="F302" i="8"/>
  <c r="G302" i="8"/>
  <c r="H302" i="8"/>
  <c r="I302" i="8"/>
  <c r="J302" i="8"/>
  <c r="L302" i="8"/>
  <c r="M302" i="8"/>
  <c r="N302" i="8"/>
  <c r="O302" i="8"/>
  <c r="P302" i="8"/>
  <c r="Q302" i="8"/>
  <c r="R302" i="8"/>
  <c r="S302" i="8"/>
  <c r="T302" i="8"/>
  <c r="V302" i="8"/>
  <c r="W302" i="8"/>
  <c r="X302" i="8"/>
  <c r="Y302" i="8"/>
  <c r="Z302" i="8"/>
  <c r="AA302" i="8"/>
  <c r="AC302" i="8"/>
  <c r="AD302" i="8"/>
  <c r="AE302" i="8"/>
  <c r="AF302" i="8"/>
  <c r="AG302" i="8"/>
  <c r="AH302" i="8"/>
  <c r="AI302" i="8"/>
  <c r="AJ302" i="8"/>
  <c r="AK302" i="8"/>
  <c r="AM302" i="8"/>
  <c r="AN302" i="8"/>
  <c r="AO302" i="8"/>
  <c r="AP302" i="8"/>
  <c r="AQ302" i="8"/>
  <c r="AR302" i="8"/>
  <c r="AT302" i="8"/>
  <c r="AU302" i="8"/>
  <c r="AV302" i="8"/>
  <c r="AW302" i="8"/>
  <c r="AX302" i="8"/>
  <c r="AY302" i="8"/>
  <c r="AZ302" i="8"/>
  <c r="BA302" i="8"/>
  <c r="BB302" i="8"/>
  <c r="BD302" i="8"/>
  <c r="A303" i="8"/>
  <c r="B303" i="8"/>
  <c r="C303" i="8"/>
  <c r="D303" i="8"/>
  <c r="E303" i="8"/>
  <c r="F303" i="8"/>
  <c r="G303" i="8"/>
  <c r="H303" i="8"/>
  <c r="I303" i="8"/>
  <c r="J303" i="8"/>
  <c r="L303" i="8"/>
  <c r="M303" i="8"/>
  <c r="N303" i="8"/>
  <c r="O303" i="8"/>
  <c r="P303" i="8"/>
  <c r="Q303" i="8"/>
  <c r="R303" i="8"/>
  <c r="S303" i="8"/>
  <c r="T303" i="8"/>
  <c r="V303" i="8"/>
  <c r="W303" i="8"/>
  <c r="X303" i="8"/>
  <c r="Y303" i="8"/>
  <c r="Z303" i="8"/>
  <c r="AA303" i="8"/>
  <c r="AC303" i="8"/>
  <c r="AD303" i="8"/>
  <c r="AE303" i="8"/>
  <c r="AF303" i="8"/>
  <c r="AG303" i="8"/>
  <c r="AH303" i="8"/>
  <c r="AI303" i="8"/>
  <c r="AJ303" i="8"/>
  <c r="AK303" i="8"/>
  <c r="AM303" i="8"/>
  <c r="AN303" i="8"/>
  <c r="AO303" i="8"/>
  <c r="AP303" i="8"/>
  <c r="AQ303" i="8"/>
  <c r="AR303" i="8"/>
  <c r="AT303" i="8"/>
  <c r="AU303" i="8"/>
  <c r="AV303" i="8"/>
  <c r="AW303" i="8"/>
  <c r="AX303" i="8"/>
  <c r="AY303" i="8"/>
  <c r="AZ303" i="8"/>
  <c r="BA303" i="8"/>
  <c r="BB303" i="8"/>
  <c r="BD303" i="8"/>
  <c r="A304" i="8"/>
  <c r="B304" i="8"/>
  <c r="C304" i="8"/>
  <c r="D304" i="8"/>
  <c r="E304" i="8"/>
  <c r="F304" i="8"/>
  <c r="G304" i="8"/>
  <c r="H304" i="8"/>
  <c r="I304" i="8"/>
  <c r="J304" i="8"/>
  <c r="L304" i="8"/>
  <c r="M304" i="8"/>
  <c r="N304" i="8"/>
  <c r="O304" i="8"/>
  <c r="P304" i="8"/>
  <c r="Q304" i="8"/>
  <c r="R304" i="8"/>
  <c r="S304" i="8"/>
  <c r="T304" i="8"/>
  <c r="V304" i="8"/>
  <c r="W304" i="8"/>
  <c r="X304" i="8"/>
  <c r="Y304" i="8"/>
  <c r="Z304" i="8"/>
  <c r="AA304" i="8"/>
  <c r="AC304" i="8"/>
  <c r="AD304" i="8"/>
  <c r="AE304" i="8"/>
  <c r="AF304" i="8"/>
  <c r="AG304" i="8"/>
  <c r="AH304" i="8"/>
  <c r="AI304" i="8"/>
  <c r="AJ304" i="8"/>
  <c r="AK304" i="8"/>
  <c r="AM304" i="8"/>
  <c r="AN304" i="8"/>
  <c r="AO304" i="8"/>
  <c r="AP304" i="8"/>
  <c r="AQ304" i="8"/>
  <c r="AR304" i="8"/>
  <c r="AT304" i="8"/>
  <c r="AU304" i="8"/>
  <c r="AV304" i="8"/>
  <c r="AW304" i="8"/>
  <c r="AX304" i="8"/>
  <c r="AY304" i="8"/>
  <c r="AZ304" i="8"/>
  <c r="BA304" i="8"/>
  <c r="BB304" i="8"/>
  <c r="BD304" i="8"/>
  <c r="A305" i="8"/>
  <c r="B305" i="8"/>
  <c r="C305" i="8"/>
  <c r="D305" i="8"/>
  <c r="E305" i="8"/>
  <c r="F305" i="8"/>
  <c r="G305" i="8"/>
  <c r="H305" i="8"/>
  <c r="I305" i="8"/>
  <c r="J305" i="8"/>
  <c r="L305" i="8"/>
  <c r="M305" i="8"/>
  <c r="N305" i="8"/>
  <c r="O305" i="8"/>
  <c r="P305" i="8"/>
  <c r="Q305" i="8"/>
  <c r="R305" i="8"/>
  <c r="S305" i="8"/>
  <c r="T305" i="8"/>
  <c r="V305" i="8"/>
  <c r="W305" i="8"/>
  <c r="X305" i="8"/>
  <c r="Y305" i="8"/>
  <c r="Z305" i="8"/>
  <c r="AA305" i="8"/>
  <c r="AC305" i="8"/>
  <c r="AD305" i="8"/>
  <c r="AE305" i="8"/>
  <c r="AF305" i="8"/>
  <c r="AG305" i="8"/>
  <c r="AH305" i="8"/>
  <c r="AI305" i="8"/>
  <c r="AJ305" i="8"/>
  <c r="AK305" i="8"/>
  <c r="AM305" i="8"/>
  <c r="AN305" i="8"/>
  <c r="AO305" i="8"/>
  <c r="AP305" i="8"/>
  <c r="AQ305" i="8"/>
  <c r="AR305" i="8"/>
  <c r="AT305" i="8"/>
  <c r="AU305" i="8"/>
  <c r="AV305" i="8"/>
  <c r="AW305" i="8"/>
  <c r="AX305" i="8"/>
  <c r="AY305" i="8"/>
  <c r="AZ305" i="8"/>
  <c r="BA305" i="8"/>
  <c r="BB305" i="8"/>
  <c r="BD305" i="8"/>
  <c r="A306" i="8"/>
  <c r="B306" i="8"/>
  <c r="C306" i="8"/>
  <c r="D306" i="8"/>
  <c r="E306" i="8"/>
  <c r="F306" i="8"/>
  <c r="G306" i="8"/>
  <c r="H306" i="8"/>
  <c r="I306" i="8"/>
  <c r="J306" i="8"/>
  <c r="L306" i="8"/>
  <c r="M306" i="8"/>
  <c r="N306" i="8"/>
  <c r="O306" i="8"/>
  <c r="P306" i="8"/>
  <c r="Q306" i="8"/>
  <c r="R306" i="8"/>
  <c r="S306" i="8"/>
  <c r="T306" i="8"/>
  <c r="V306" i="8"/>
  <c r="W306" i="8"/>
  <c r="X306" i="8"/>
  <c r="Y306" i="8"/>
  <c r="Z306" i="8"/>
  <c r="AA306" i="8"/>
  <c r="AC306" i="8"/>
  <c r="AD306" i="8"/>
  <c r="AE306" i="8"/>
  <c r="AF306" i="8"/>
  <c r="AG306" i="8"/>
  <c r="AH306" i="8"/>
  <c r="AI306" i="8"/>
  <c r="AJ306" i="8"/>
  <c r="AK306" i="8"/>
  <c r="AM306" i="8"/>
  <c r="AN306" i="8"/>
  <c r="AO306" i="8"/>
  <c r="AP306" i="8"/>
  <c r="AQ306" i="8"/>
  <c r="AR306" i="8"/>
  <c r="AT306" i="8"/>
  <c r="AU306" i="8"/>
  <c r="AV306" i="8"/>
  <c r="AW306" i="8"/>
  <c r="AX306" i="8"/>
  <c r="AY306" i="8"/>
  <c r="AZ306" i="8"/>
  <c r="BA306" i="8"/>
  <c r="BB306" i="8"/>
  <c r="BD306" i="8"/>
  <c r="A307" i="8"/>
  <c r="B307" i="8"/>
  <c r="C307" i="8"/>
  <c r="D307" i="8"/>
  <c r="E307" i="8"/>
  <c r="F307" i="8"/>
  <c r="G307" i="8"/>
  <c r="H307" i="8"/>
  <c r="I307" i="8"/>
  <c r="J307" i="8"/>
  <c r="L307" i="8"/>
  <c r="M307" i="8"/>
  <c r="N307" i="8"/>
  <c r="O307" i="8"/>
  <c r="P307" i="8"/>
  <c r="Q307" i="8"/>
  <c r="R307" i="8"/>
  <c r="S307" i="8"/>
  <c r="T307" i="8"/>
  <c r="V307" i="8"/>
  <c r="W307" i="8"/>
  <c r="X307" i="8"/>
  <c r="Y307" i="8"/>
  <c r="Z307" i="8"/>
  <c r="AA307" i="8"/>
  <c r="AC307" i="8"/>
  <c r="AD307" i="8"/>
  <c r="AE307" i="8"/>
  <c r="AF307" i="8"/>
  <c r="AG307" i="8"/>
  <c r="AH307" i="8"/>
  <c r="AI307" i="8"/>
  <c r="AJ307" i="8"/>
  <c r="AK307" i="8"/>
  <c r="AM307" i="8"/>
  <c r="AN307" i="8"/>
  <c r="AO307" i="8"/>
  <c r="AP307" i="8"/>
  <c r="AQ307" i="8"/>
  <c r="AR307" i="8"/>
  <c r="AT307" i="8"/>
  <c r="AU307" i="8"/>
  <c r="AV307" i="8"/>
  <c r="AW307" i="8"/>
  <c r="AX307" i="8"/>
  <c r="AY307" i="8"/>
  <c r="AZ307" i="8"/>
  <c r="BA307" i="8"/>
  <c r="BB307" i="8"/>
  <c r="BD307" i="8"/>
  <c r="A308" i="8"/>
  <c r="B308" i="8"/>
  <c r="C308" i="8"/>
  <c r="D308" i="8"/>
  <c r="E308" i="8"/>
  <c r="F308" i="8"/>
  <c r="G308" i="8"/>
  <c r="H308" i="8"/>
  <c r="I308" i="8"/>
  <c r="J308" i="8"/>
  <c r="L308" i="8"/>
  <c r="M308" i="8"/>
  <c r="N308" i="8"/>
  <c r="O308" i="8"/>
  <c r="P308" i="8"/>
  <c r="Q308" i="8"/>
  <c r="R308" i="8"/>
  <c r="S308" i="8"/>
  <c r="T308" i="8"/>
  <c r="V308" i="8"/>
  <c r="W308" i="8"/>
  <c r="X308" i="8"/>
  <c r="Y308" i="8"/>
  <c r="Z308" i="8"/>
  <c r="AA308" i="8"/>
  <c r="AC308" i="8"/>
  <c r="AD308" i="8"/>
  <c r="AE308" i="8"/>
  <c r="AF308" i="8"/>
  <c r="AG308" i="8"/>
  <c r="AH308" i="8"/>
  <c r="AI308" i="8"/>
  <c r="AJ308" i="8"/>
  <c r="AK308" i="8"/>
  <c r="AM308" i="8"/>
  <c r="AN308" i="8"/>
  <c r="AO308" i="8"/>
  <c r="AP308" i="8"/>
  <c r="AQ308" i="8"/>
  <c r="AR308" i="8"/>
  <c r="AT308" i="8"/>
  <c r="AU308" i="8"/>
  <c r="AV308" i="8"/>
  <c r="AW308" i="8"/>
  <c r="AX308" i="8"/>
  <c r="AY308" i="8"/>
  <c r="AZ308" i="8"/>
  <c r="BA308" i="8"/>
  <c r="BB308" i="8"/>
  <c r="BD308" i="8"/>
  <c r="A309" i="8"/>
  <c r="B309" i="8"/>
  <c r="C309" i="8"/>
  <c r="D309" i="8"/>
  <c r="E309" i="8"/>
  <c r="F309" i="8"/>
  <c r="G309" i="8"/>
  <c r="H309" i="8"/>
  <c r="I309" i="8"/>
  <c r="J309" i="8"/>
  <c r="L309" i="8"/>
  <c r="M309" i="8"/>
  <c r="N309" i="8"/>
  <c r="O309" i="8"/>
  <c r="P309" i="8"/>
  <c r="Q309" i="8"/>
  <c r="R309" i="8"/>
  <c r="S309" i="8"/>
  <c r="T309" i="8"/>
  <c r="V309" i="8"/>
  <c r="W309" i="8"/>
  <c r="X309" i="8"/>
  <c r="Y309" i="8"/>
  <c r="Z309" i="8"/>
  <c r="AA309" i="8"/>
  <c r="AC309" i="8"/>
  <c r="AD309" i="8"/>
  <c r="AE309" i="8"/>
  <c r="AF309" i="8"/>
  <c r="AG309" i="8"/>
  <c r="AH309" i="8"/>
  <c r="AI309" i="8"/>
  <c r="AJ309" i="8"/>
  <c r="AK309" i="8"/>
  <c r="AM309" i="8"/>
  <c r="AN309" i="8"/>
  <c r="AO309" i="8"/>
  <c r="AP309" i="8"/>
  <c r="AQ309" i="8"/>
  <c r="AR309" i="8"/>
  <c r="AT309" i="8"/>
  <c r="AU309" i="8"/>
  <c r="AV309" i="8"/>
  <c r="AW309" i="8"/>
  <c r="AX309" i="8"/>
  <c r="AY309" i="8"/>
  <c r="AZ309" i="8"/>
  <c r="BA309" i="8"/>
  <c r="BB309" i="8"/>
  <c r="BD309" i="8"/>
  <c r="A310" i="8"/>
  <c r="B310" i="8"/>
  <c r="C310" i="8"/>
  <c r="D310" i="8"/>
  <c r="E310" i="8"/>
  <c r="F310" i="8"/>
  <c r="G310" i="8"/>
  <c r="H310" i="8"/>
  <c r="I310" i="8"/>
  <c r="J310" i="8"/>
  <c r="L310" i="8"/>
  <c r="M310" i="8"/>
  <c r="N310" i="8"/>
  <c r="O310" i="8"/>
  <c r="P310" i="8"/>
  <c r="Q310" i="8"/>
  <c r="R310" i="8"/>
  <c r="S310" i="8"/>
  <c r="T310" i="8"/>
  <c r="V310" i="8"/>
  <c r="W310" i="8"/>
  <c r="X310" i="8"/>
  <c r="Y310" i="8"/>
  <c r="Z310" i="8"/>
  <c r="AA310" i="8"/>
  <c r="AC310" i="8"/>
  <c r="AD310" i="8"/>
  <c r="AE310" i="8"/>
  <c r="AF310" i="8"/>
  <c r="AG310" i="8"/>
  <c r="AH310" i="8"/>
  <c r="AI310" i="8"/>
  <c r="AJ310" i="8"/>
  <c r="AK310" i="8"/>
  <c r="AM310" i="8"/>
  <c r="AN310" i="8"/>
  <c r="AO310" i="8"/>
  <c r="AP310" i="8"/>
  <c r="AQ310" i="8"/>
  <c r="AR310" i="8"/>
  <c r="AT310" i="8"/>
  <c r="AU310" i="8"/>
  <c r="AV310" i="8"/>
  <c r="AW310" i="8"/>
  <c r="AX310" i="8"/>
  <c r="AY310" i="8"/>
  <c r="AZ310" i="8"/>
  <c r="BA310" i="8"/>
  <c r="BB310" i="8"/>
  <c r="BD310" i="8"/>
  <c r="A311" i="8"/>
  <c r="B311" i="8"/>
  <c r="C311" i="8"/>
  <c r="D311" i="8"/>
  <c r="E311" i="8"/>
  <c r="F311" i="8"/>
  <c r="G311" i="8"/>
  <c r="H311" i="8"/>
  <c r="I311" i="8"/>
  <c r="J311" i="8"/>
  <c r="L311" i="8"/>
  <c r="M311" i="8"/>
  <c r="N311" i="8"/>
  <c r="O311" i="8"/>
  <c r="P311" i="8"/>
  <c r="Q311" i="8"/>
  <c r="R311" i="8"/>
  <c r="S311" i="8"/>
  <c r="T311" i="8"/>
  <c r="V311" i="8"/>
  <c r="W311" i="8"/>
  <c r="X311" i="8"/>
  <c r="Y311" i="8"/>
  <c r="Z311" i="8"/>
  <c r="AA311" i="8"/>
  <c r="AC311" i="8"/>
  <c r="AD311" i="8"/>
  <c r="AE311" i="8"/>
  <c r="AF311" i="8"/>
  <c r="AG311" i="8"/>
  <c r="AH311" i="8"/>
  <c r="AI311" i="8"/>
  <c r="AJ311" i="8"/>
  <c r="AK311" i="8"/>
  <c r="AM311" i="8"/>
  <c r="AN311" i="8"/>
  <c r="AO311" i="8"/>
  <c r="AP311" i="8"/>
  <c r="AQ311" i="8"/>
  <c r="AR311" i="8"/>
  <c r="AT311" i="8"/>
  <c r="AU311" i="8"/>
  <c r="AV311" i="8"/>
  <c r="AW311" i="8"/>
  <c r="AX311" i="8"/>
  <c r="AY311" i="8"/>
  <c r="AZ311" i="8"/>
  <c r="BA311" i="8"/>
  <c r="BB311" i="8"/>
  <c r="BD311" i="8"/>
  <c r="A312" i="8"/>
  <c r="B312" i="8"/>
  <c r="C312" i="8"/>
  <c r="D312" i="8"/>
  <c r="E312" i="8"/>
  <c r="F312" i="8"/>
  <c r="G312" i="8"/>
  <c r="H312" i="8"/>
  <c r="I312" i="8"/>
  <c r="J312" i="8"/>
  <c r="L312" i="8"/>
  <c r="M312" i="8"/>
  <c r="N312" i="8"/>
  <c r="O312" i="8"/>
  <c r="P312" i="8"/>
  <c r="Q312" i="8"/>
  <c r="R312" i="8"/>
  <c r="S312" i="8"/>
  <c r="T312" i="8"/>
  <c r="V312" i="8"/>
  <c r="W312" i="8"/>
  <c r="X312" i="8"/>
  <c r="Y312" i="8"/>
  <c r="Z312" i="8"/>
  <c r="AA312" i="8"/>
  <c r="AC312" i="8"/>
  <c r="AD312" i="8"/>
  <c r="AE312" i="8"/>
  <c r="AF312" i="8"/>
  <c r="AG312" i="8"/>
  <c r="AH312" i="8"/>
  <c r="AI312" i="8"/>
  <c r="AJ312" i="8"/>
  <c r="AK312" i="8"/>
  <c r="AM312" i="8"/>
  <c r="AN312" i="8"/>
  <c r="AO312" i="8"/>
  <c r="AP312" i="8"/>
  <c r="AQ312" i="8"/>
  <c r="AR312" i="8"/>
  <c r="AT312" i="8"/>
  <c r="AU312" i="8"/>
  <c r="AV312" i="8"/>
  <c r="AW312" i="8"/>
  <c r="AX312" i="8"/>
  <c r="AY312" i="8"/>
  <c r="AZ312" i="8"/>
  <c r="BA312" i="8"/>
  <c r="BB312" i="8"/>
  <c r="BD312" i="8"/>
  <c r="A313" i="8"/>
  <c r="B313" i="8"/>
  <c r="C313" i="8"/>
  <c r="D313" i="8"/>
  <c r="E313" i="8"/>
  <c r="F313" i="8"/>
  <c r="G313" i="8"/>
  <c r="H313" i="8"/>
  <c r="I313" i="8"/>
  <c r="J313" i="8"/>
  <c r="L313" i="8"/>
  <c r="M313" i="8"/>
  <c r="N313" i="8"/>
  <c r="O313" i="8"/>
  <c r="P313" i="8"/>
  <c r="Q313" i="8"/>
  <c r="R313" i="8"/>
  <c r="S313" i="8"/>
  <c r="T313" i="8"/>
  <c r="V313" i="8"/>
  <c r="W313" i="8"/>
  <c r="X313" i="8"/>
  <c r="Y313" i="8"/>
  <c r="Z313" i="8"/>
  <c r="AA313" i="8"/>
  <c r="AC313" i="8"/>
  <c r="AD313" i="8"/>
  <c r="AE313" i="8"/>
  <c r="AF313" i="8"/>
  <c r="AG313" i="8"/>
  <c r="AH313" i="8"/>
  <c r="AI313" i="8"/>
  <c r="AJ313" i="8"/>
  <c r="AK313" i="8"/>
  <c r="AM313" i="8"/>
  <c r="AN313" i="8"/>
  <c r="AO313" i="8"/>
  <c r="AP313" i="8"/>
  <c r="AQ313" i="8"/>
  <c r="AR313" i="8"/>
  <c r="AT313" i="8"/>
  <c r="AU313" i="8"/>
  <c r="AV313" i="8"/>
  <c r="AW313" i="8"/>
  <c r="AX313" i="8"/>
  <c r="AY313" i="8"/>
  <c r="AZ313" i="8"/>
  <c r="BA313" i="8"/>
  <c r="BB313" i="8"/>
  <c r="BD313" i="8"/>
  <c r="A314" i="8"/>
  <c r="B314" i="8"/>
  <c r="C314" i="8"/>
  <c r="D314" i="8"/>
  <c r="E314" i="8"/>
  <c r="F314" i="8"/>
  <c r="G314" i="8"/>
  <c r="H314" i="8"/>
  <c r="I314" i="8"/>
  <c r="J314" i="8"/>
  <c r="L314" i="8"/>
  <c r="M314" i="8"/>
  <c r="N314" i="8"/>
  <c r="O314" i="8"/>
  <c r="P314" i="8"/>
  <c r="Q314" i="8"/>
  <c r="R314" i="8"/>
  <c r="S314" i="8"/>
  <c r="T314" i="8"/>
  <c r="V314" i="8"/>
  <c r="W314" i="8"/>
  <c r="X314" i="8"/>
  <c r="Y314" i="8"/>
  <c r="Z314" i="8"/>
  <c r="AA314" i="8"/>
  <c r="AC314" i="8"/>
  <c r="AD314" i="8"/>
  <c r="AE314" i="8"/>
  <c r="AF314" i="8"/>
  <c r="AG314" i="8"/>
  <c r="AH314" i="8"/>
  <c r="AI314" i="8"/>
  <c r="AJ314" i="8"/>
  <c r="AK314" i="8"/>
  <c r="AM314" i="8"/>
  <c r="AN314" i="8"/>
  <c r="AO314" i="8"/>
  <c r="AP314" i="8"/>
  <c r="AQ314" i="8"/>
  <c r="AR314" i="8"/>
  <c r="AT314" i="8"/>
  <c r="AU314" i="8"/>
  <c r="AV314" i="8"/>
  <c r="AW314" i="8"/>
  <c r="AX314" i="8"/>
  <c r="AY314" i="8"/>
  <c r="AZ314" i="8"/>
  <c r="BA314" i="8"/>
  <c r="BB314" i="8"/>
  <c r="BD314" i="8"/>
  <c r="A315" i="8"/>
  <c r="B315" i="8"/>
  <c r="C315" i="8"/>
  <c r="D315" i="8"/>
  <c r="E315" i="8"/>
  <c r="F315" i="8"/>
  <c r="G315" i="8"/>
  <c r="H315" i="8"/>
  <c r="I315" i="8"/>
  <c r="J315" i="8"/>
  <c r="L315" i="8"/>
  <c r="M315" i="8"/>
  <c r="N315" i="8"/>
  <c r="O315" i="8"/>
  <c r="P315" i="8"/>
  <c r="Q315" i="8"/>
  <c r="R315" i="8"/>
  <c r="S315" i="8"/>
  <c r="T315" i="8"/>
  <c r="V315" i="8"/>
  <c r="W315" i="8"/>
  <c r="X315" i="8"/>
  <c r="Y315" i="8"/>
  <c r="Z315" i="8"/>
  <c r="AA315" i="8"/>
  <c r="AC315" i="8"/>
  <c r="AD315" i="8"/>
  <c r="AE315" i="8"/>
  <c r="AF315" i="8"/>
  <c r="AG315" i="8"/>
  <c r="AH315" i="8"/>
  <c r="AI315" i="8"/>
  <c r="AJ315" i="8"/>
  <c r="AK315" i="8"/>
  <c r="AM315" i="8"/>
  <c r="AN315" i="8"/>
  <c r="AO315" i="8"/>
  <c r="AP315" i="8"/>
  <c r="AQ315" i="8"/>
  <c r="AR315" i="8"/>
  <c r="AT315" i="8"/>
  <c r="AU315" i="8"/>
  <c r="AV315" i="8"/>
  <c r="AW315" i="8"/>
  <c r="AX315" i="8"/>
  <c r="AY315" i="8"/>
  <c r="AZ315" i="8"/>
  <c r="BA315" i="8"/>
  <c r="BB315" i="8"/>
  <c r="BD315" i="8"/>
  <c r="A316" i="8"/>
  <c r="B316" i="8"/>
  <c r="C316" i="8"/>
  <c r="D316" i="8"/>
  <c r="E316" i="8"/>
  <c r="F316" i="8"/>
  <c r="G316" i="8"/>
  <c r="H316" i="8"/>
  <c r="I316" i="8"/>
  <c r="J316" i="8"/>
  <c r="L316" i="8"/>
  <c r="M316" i="8"/>
  <c r="N316" i="8"/>
  <c r="O316" i="8"/>
  <c r="P316" i="8"/>
  <c r="Q316" i="8"/>
  <c r="R316" i="8"/>
  <c r="S316" i="8"/>
  <c r="T316" i="8"/>
  <c r="V316" i="8"/>
  <c r="W316" i="8"/>
  <c r="X316" i="8"/>
  <c r="Y316" i="8"/>
  <c r="Z316" i="8"/>
  <c r="AA316" i="8"/>
  <c r="AC316" i="8"/>
  <c r="AD316" i="8"/>
  <c r="AE316" i="8"/>
  <c r="AF316" i="8"/>
  <c r="AG316" i="8"/>
  <c r="AH316" i="8"/>
  <c r="AI316" i="8"/>
  <c r="AJ316" i="8"/>
  <c r="AK316" i="8"/>
  <c r="AM316" i="8"/>
  <c r="AN316" i="8"/>
  <c r="AO316" i="8"/>
  <c r="AP316" i="8"/>
  <c r="AQ316" i="8"/>
  <c r="AR316" i="8"/>
  <c r="AT316" i="8"/>
  <c r="AU316" i="8"/>
  <c r="AV316" i="8"/>
  <c r="AW316" i="8"/>
  <c r="AX316" i="8"/>
  <c r="AY316" i="8"/>
  <c r="AZ316" i="8"/>
  <c r="BA316" i="8"/>
  <c r="BB316" i="8"/>
  <c r="BD316" i="8"/>
  <c r="A317" i="8"/>
  <c r="B317" i="8"/>
  <c r="C317" i="8"/>
  <c r="D317" i="8"/>
  <c r="E317" i="8"/>
  <c r="F317" i="8"/>
  <c r="G317" i="8"/>
  <c r="H317" i="8"/>
  <c r="I317" i="8"/>
  <c r="J317" i="8"/>
  <c r="L317" i="8"/>
  <c r="M317" i="8"/>
  <c r="N317" i="8"/>
  <c r="O317" i="8"/>
  <c r="P317" i="8"/>
  <c r="Q317" i="8"/>
  <c r="R317" i="8"/>
  <c r="S317" i="8"/>
  <c r="T317" i="8"/>
  <c r="V317" i="8"/>
  <c r="W317" i="8"/>
  <c r="X317" i="8"/>
  <c r="Y317" i="8"/>
  <c r="Z317" i="8"/>
  <c r="AA317" i="8"/>
  <c r="AC317" i="8"/>
  <c r="AD317" i="8"/>
  <c r="AE317" i="8"/>
  <c r="AF317" i="8"/>
  <c r="AG317" i="8"/>
  <c r="AH317" i="8"/>
  <c r="AI317" i="8"/>
  <c r="AJ317" i="8"/>
  <c r="AK317" i="8"/>
  <c r="AM317" i="8"/>
  <c r="AN317" i="8"/>
  <c r="AO317" i="8"/>
  <c r="AP317" i="8"/>
  <c r="AQ317" i="8"/>
  <c r="AR317" i="8"/>
  <c r="AT317" i="8"/>
  <c r="AU317" i="8"/>
  <c r="AV317" i="8"/>
  <c r="AW317" i="8"/>
  <c r="AX317" i="8"/>
  <c r="AY317" i="8"/>
  <c r="AZ317" i="8"/>
  <c r="BA317" i="8"/>
  <c r="BB317" i="8"/>
  <c r="BD317" i="8"/>
  <c r="A318" i="8"/>
  <c r="B318" i="8"/>
  <c r="C318" i="8"/>
  <c r="D318" i="8"/>
  <c r="E318" i="8"/>
  <c r="F318" i="8"/>
  <c r="G318" i="8"/>
  <c r="H318" i="8"/>
  <c r="I318" i="8"/>
  <c r="J318" i="8"/>
  <c r="L318" i="8"/>
  <c r="M318" i="8"/>
  <c r="N318" i="8"/>
  <c r="O318" i="8"/>
  <c r="P318" i="8"/>
  <c r="Q318" i="8"/>
  <c r="R318" i="8"/>
  <c r="S318" i="8"/>
  <c r="T318" i="8"/>
  <c r="V318" i="8"/>
  <c r="W318" i="8"/>
  <c r="X318" i="8"/>
  <c r="Y318" i="8"/>
  <c r="Z318" i="8"/>
  <c r="AA318" i="8"/>
  <c r="AC318" i="8"/>
  <c r="AD318" i="8"/>
  <c r="AE318" i="8"/>
  <c r="AF318" i="8"/>
  <c r="AG318" i="8"/>
  <c r="AH318" i="8"/>
  <c r="AI318" i="8"/>
  <c r="AJ318" i="8"/>
  <c r="AK318" i="8"/>
  <c r="AM318" i="8"/>
  <c r="AN318" i="8"/>
  <c r="AO318" i="8"/>
  <c r="AP318" i="8"/>
  <c r="AQ318" i="8"/>
  <c r="AR318" i="8"/>
  <c r="AT318" i="8"/>
  <c r="AU318" i="8"/>
  <c r="AV318" i="8"/>
  <c r="AW318" i="8"/>
  <c r="AX318" i="8"/>
  <c r="AY318" i="8"/>
  <c r="AZ318" i="8"/>
  <c r="BA318" i="8"/>
  <c r="BB318" i="8"/>
  <c r="BD318" i="8"/>
  <c r="A319" i="8"/>
  <c r="B319" i="8"/>
  <c r="C319" i="8"/>
  <c r="D319" i="8"/>
  <c r="E319" i="8"/>
  <c r="F319" i="8"/>
  <c r="G319" i="8"/>
  <c r="H319" i="8"/>
  <c r="I319" i="8"/>
  <c r="J319" i="8"/>
  <c r="L319" i="8"/>
  <c r="M319" i="8"/>
  <c r="N319" i="8"/>
  <c r="O319" i="8"/>
  <c r="P319" i="8"/>
  <c r="Q319" i="8"/>
  <c r="R319" i="8"/>
  <c r="S319" i="8"/>
  <c r="T319" i="8"/>
  <c r="V319" i="8"/>
  <c r="W319" i="8"/>
  <c r="X319" i="8"/>
  <c r="Y319" i="8"/>
  <c r="Z319" i="8"/>
  <c r="AA319" i="8"/>
  <c r="AC319" i="8"/>
  <c r="AD319" i="8"/>
  <c r="AE319" i="8"/>
  <c r="AF319" i="8"/>
  <c r="AG319" i="8"/>
  <c r="AH319" i="8"/>
  <c r="AI319" i="8"/>
  <c r="AJ319" i="8"/>
  <c r="AK319" i="8"/>
  <c r="AM319" i="8"/>
  <c r="AN319" i="8"/>
  <c r="AO319" i="8"/>
  <c r="AP319" i="8"/>
  <c r="AQ319" i="8"/>
  <c r="AR319" i="8"/>
  <c r="AT319" i="8"/>
  <c r="AU319" i="8"/>
  <c r="AV319" i="8"/>
  <c r="AW319" i="8"/>
  <c r="AX319" i="8"/>
  <c r="AY319" i="8"/>
  <c r="AZ319" i="8"/>
  <c r="BA319" i="8"/>
  <c r="BB319" i="8"/>
  <c r="BD319" i="8"/>
  <c r="A320" i="8"/>
  <c r="B320" i="8"/>
  <c r="C320" i="8"/>
  <c r="D320" i="8"/>
  <c r="E320" i="8"/>
  <c r="F320" i="8"/>
  <c r="G320" i="8"/>
  <c r="H320" i="8"/>
  <c r="I320" i="8"/>
  <c r="J320" i="8"/>
  <c r="L320" i="8"/>
  <c r="M320" i="8"/>
  <c r="N320" i="8"/>
  <c r="O320" i="8"/>
  <c r="P320" i="8"/>
  <c r="Q320" i="8"/>
  <c r="R320" i="8"/>
  <c r="S320" i="8"/>
  <c r="T320" i="8"/>
  <c r="V320" i="8"/>
  <c r="W320" i="8"/>
  <c r="X320" i="8"/>
  <c r="Y320" i="8"/>
  <c r="Z320" i="8"/>
  <c r="AA320" i="8"/>
  <c r="AC320" i="8"/>
  <c r="AD320" i="8"/>
  <c r="AE320" i="8"/>
  <c r="AF320" i="8"/>
  <c r="AG320" i="8"/>
  <c r="AH320" i="8"/>
  <c r="AI320" i="8"/>
  <c r="AJ320" i="8"/>
  <c r="AK320" i="8"/>
  <c r="AM320" i="8"/>
  <c r="AN320" i="8"/>
  <c r="AO320" i="8"/>
  <c r="AP320" i="8"/>
  <c r="AQ320" i="8"/>
  <c r="AR320" i="8"/>
  <c r="AT320" i="8"/>
  <c r="AU320" i="8"/>
  <c r="AV320" i="8"/>
  <c r="AW320" i="8"/>
  <c r="AX320" i="8"/>
  <c r="AY320" i="8"/>
  <c r="AZ320" i="8"/>
  <c r="BA320" i="8"/>
  <c r="BB320" i="8"/>
  <c r="BD320" i="8"/>
  <c r="A321" i="8"/>
  <c r="B321" i="8"/>
  <c r="C321" i="8"/>
  <c r="D321" i="8"/>
  <c r="E321" i="8"/>
  <c r="F321" i="8"/>
  <c r="G321" i="8"/>
  <c r="H321" i="8"/>
  <c r="I321" i="8"/>
  <c r="J321" i="8"/>
  <c r="L321" i="8"/>
  <c r="M321" i="8"/>
  <c r="N321" i="8"/>
  <c r="O321" i="8"/>
  <c r="P321" i="8"/>
  <c r="Q321" i="8"/>
  <c r="R321" i="8"/>
  <c r="S321" i="8"/>
  <c r="T321" i="8"/>
  <c r="V321" i="8"/>
  <c r="W321" i="8"/>
  <c r="X321" i="8"/>
  <c r="Y321" i="8"/>
  <c r="Z321" i="8"/>
  <c r="AA321" i="8"/>
  <c r="AC321" i="8"/>
  <c r="AD321" i="8"/>
  <c r="AE321" i="8"/>
  <c r="AF321" i="8"/>
  <c r="AG321" i="8"/>
  <c r="AH321" i="8"/>
  <c r="AI321" i="8"/>
  <c r="AJ321" i="8"/>
  <c r="AK321" i="8"/>
  <c r="AM321" i="8"/>
  <c r="AN321" i="8"/>
  <c r="AO321" i="8"/>
  <c r="AP321" i="8"/>
  <c r="AQ321" i="8"/>
  <c r="AR321" i="8"/>
  <c r="AT321" i="8"/>
  <c r="AU321" i="8"/>
  <c r="AV321" i="8"/>
  <c r="AW321" i="8"/>
  <c r="AX321" i="8"/>
  <c r="AY321" i="8"/>
  <c r="AZ321" i="8"/>
  <c r="BA321" i="8"/>
  <c r="BB321" i="8"/>
  <c r="BD321" i="8"/>
  <c r="A322" i="8"/>
  <c r="B322" i="8"/>
  <c r="C322" i="8"/>
  <c r="D322" i="8"/>
  <c r="E322" i="8"/>
  <c r="F322" i="8"/>
  <c r="G322" i="8"/>
  <c r="H322" i="8"/>
  <c r="I322" i="8"/>
  <c r="J322" i="8"/>
  <c r="L322" i="8"/>
  <c r="M322" i="8"/>
  <c r="N322" i="8"/>
  <c r="O322" i="8"/>
  <c r="P322" i="8"/>
  <c r="Q322" i="8"/>
  <c r="R322" i="8"/>
  <c r="S322" i="8"/>
  <c r="T322" i="8"/>
  <c r="V322" i="8"/>
  <c r="W322" i="8"/>
  <c r="X322" i="8"/>
  <c r="Y322" i="8"/>
  <c r="Z322" i="8"/>
  <c r="AA322" i="8"/>
  <c r="AC322" i="8"/>
  <c r="AD322" i="8"/>
  <c r="AE322" i="8"/>
  <c r="AF322" i="8"/>
  <c r="AG322" i="8"/>
  <c r="AH322" i="8"/>
  <c r="AI322" i="8"/>
  <c r="AJ322" i="8"/>
  <c r="AK322" i="8"/>
  <c r="AM322" i="8"/>
  <c r="AN322" i="8"/>
  <c r="AO322" i="8"/>
  <c r="AP322" i="8"/>
  <c r="AQ322" i="8"/>
  <c r="AR322" i="8"/>
  <c r="AT322" i="8"/>
  <c r="AU322" i="8"/>
  <c r="AV322" i="8"/>
  <c r="AW322" i="8"/>
  <c r="AX322" i="8"/>
  <c r="AY322" i="8"/>
  <c r="AZ322" i="8"/>
  <c r="BA322" i="8"/>
  <c r="BB322" i="8"/>
  <c r="BD322" i="8"/>
  <c r="A323" i="8"/>
  <c r="B323" i="8"/>
  <c r="C323" i="8"/>
  <c r="D323" i="8"/>
  <c r="E323" i="8"/>
  <c r="F323" i="8"/>
  <c r="G323" i="8"/>
  <c r="H323" i="8"/>
  <c r="I323" i="8"/>
  <c r="J323" i="8"/>
  <c r="L323" i="8"/>
  <c r="M323" i="8"/>
  <c r="N323" i="8"/>
  <c r="O323" i="8"/>
  <c r="P323" i="8"/>
  <c r="Q323" i="8"/>
  <c r="R323" i="8"/>
  <c r="S323" i="8"/>
  <c r="T323" i="8"/>
  <c r="V323" i="8"/>
  <c r="W323" i="8"/>
  <c r="X323" i="8"/>
  <c r="Y323" i="8"/>
  <c r="Z323" i="8"/>
  <c r="AA323" i="8"/>
  <c r="AC323" i="8"/>
  <c r="AD323" i="8"/>
  <c r="AE323" i="8"/>
  <c r="AF323" i="8"/>
  <c r="AG323" i="8"/>
  <c r="AH323" i="8"/>
  <c r="AI323" i="8"/>
  <c r="AJ323" i="8"/>
  <c r="AK323" i="8"/>
  <c r="AM323" i="8"/>
  <c r="AN323" i="8"/>
  <c r="AO323" i="8"/>
  <c r="AP323" i="8"/>
  <c r="AQ323" i="8"/>
  <c r="AR323" i="8"/>
  <c r="AT323" i="8"/>
  <c r="AU323" i="8"/>
  <c r="AV323" i="8"/>
  <c r="AW323" i="8"/>
  <c r="AX323" i="8"/>
  <c r="AY323" i="8"/>
  <c r="AZ323" i="8"/>
  <c r="BA323" i="8"/>
  <c r="BB323" i="8"/>
  <c r="BD323" i="8"/>
  <c r="A324" i="8"/>
  <c r="V324" i="8"/>
  <c r="AM324" i="8"/>
  <c r="B9" i="9"/>
  <c r="C9" i="9"/>
  <c r="D9" i="9"/>
  <c r="E9" i="9"/>
  <c r="G9" i="9"/>
  <c r="J9" i="9"/>
  <c r="K9" i="9"/>
  <c r="L9" i="9"/>
  <c r="M9" i="9"/>
  <c r="N9" i="9"/>
  <c r="P9" i="9"/>
  <c r="Q9" i="9"/>
  <c r="B10" i="9"/>
  <c r="C10" i="9"/>
  <c r="D10" i="9"/>
  <c r="E10" i="9"/>
  <c r="G10" i="9"/>
  <c r="J10" i="9"/>
  <c r="K10" i="9"/>
  <c r="L10" i="9"/>
  <c r="M10" i="9"/>
  <c r="N10" i="9"/>
  <c r="P10" i="9"/>
  <c r="Q10" i="9"/>
  <c r="B11" i="9"/>
  <c r="C11" i="9"/>
  <c r="D11" i="9"/>
  <c r="E11" i="9"/>
  <c r="G11" i="9"/>
  <c r="J11" i="9"/>
  <c r="K11" i="9"/>
  <c r="L11" i="9"/>
  <c r="M11" i="9"/>
  <c r="N11" i="9"/>
  <c r="P11" i="9"/>
  <c r="Q11" i="9"/>
  <c r="B12" i="9"/>
  <c r="C12" i="9"/>
  <c r="D12" i="9"/>
  <c r="E12" i="9"/>
  <c r="G12" i="9"/>
  <c r="J12" i="9"/>
  <c r="K12" i="9"/>
  <c r="L12" i="9"/>
  <c r="M12" i="9"/>
  <c r="N12" i="9"/>
  <c r="P12" i="9"/>
  <c r="Q12" i="9"/>
  <c r="B13" i="9"/>
  <c r="C13" i="9"/>
  <c r="D13" i="9"/>
  <c r="E13" i="9"/>
  <c r="G13" i="9"/>
  <c r="J13" i="9"/>
  <c r="K13" i="9"/>
  <c r="L13" i="9"/>
  <c r="M13" i="9"/>
  <c r="N13" i="9"/>
  <c r="P13" i="9"/>
  <c r="Q13" i="9"/>
  <c r="B14" i="9"/>
  <c r="C14" i="9"/>
  <c r="D14" i="9"/>
  <c r="E14" i="9"/>
  <c r="G14" i="9"/>
  <c r="J14" i="9"/>
  <c r="K14" i="9"/>
  <c r="L14" i="9"/>
  <c r="M14" i="9"/>
  <c r="N14" i="9"/>
  <c r="P14" i="9"/>
  <c r="Q14" i="9"/>
  <c r="B15" i="9"/>
  <c r="C15" i="9"/>
  <c r="D15" i="9"/>
  <c r="E15" i="9"/>
  <c r="G15" i="9"/>
  <c r="J15" i="9"/>
  <c r="K15" i="9"/>
  <c r="L15" i="9"/>
  <c r="M15" i="9"/>
  <c r="N15" i="9"/>
  <c r="P15" i="9"/>
  <c r="Q15" i="9"/>
  <c r="B16" i="9"/>
  <c r="C16" i="9"/>
  <c r="D16" i="9"/>
  <c r="E16" i="9"/>
  <c r="G16" i="9"/>
  <c r="J16" i="9"/>
  <c r="K16" i="9"/>
  <c r="L16" i="9"/>
  <c r="M16" i="9"/>
  <c r="N16" i="9"/>
  <c r="P16" i="9"/>
  <c r="Q16" i="9"/>
  <c r="B17" i="9"/>
  <c r="C17" i="9"/>
  <c r="D17" i="9"/>
  <c r="E17" i="9"/>
  <c r="G17" i="9"/>
  <c r="J17" i="9"/>
  <c r="K17" i="9"/>
  <c r="L17" i="9"/>
  <c r="M17" i="9"/>
  <c r="N17" i="9"/>
  <c r="P17" i="9"/>
  <c r="Q17" i="9"/>
  <c r="B18" i="9"/>
  <c r="C18" i="9"/>
  <c r="D18" i="9"/>
  <c r="E18" i="9"/>
  <c r="G18" i="9"/>
  <c r="J18" i="9"/>
  <c r="K18" i="9"/>
  <c r="L18" i="9"/>
  <c r="M18" i="9"/>
  <c r="N18" i="9"/>
  <c r="P18" i="9"/>
  <c r="Q18" i="9"/>
  <c r="B19" i="9"/>
  <c r="C19" i="9"/>
  <c r="D19" i="9"/>
  <c r="E19" i="9"/>
  <c r="G19" i="9"/>
  <c r="J19" i="9"/>
  <c r="K19" i="9"/>
  <c r="L19" i="9"/>
  <c r="M19" i="9"/>
  <c r="N19" i="9"/>
  <c r="P19" i="9"/>
  <c r="Q19" i="9"/>
  <c r="B20" i="9"/>
  <c r="C20" i="9"/>
  <c r="D20" i="9"/>
  <c r="E20" i="9"/>
  <c r="G20" i="9"/>
  <c r="J20" i="9"/>
  <c r="K20" i="9"/>
  <c r="L20" i="9"/>
  <c r="M20" i="9"/>
  <c r="N20" i="9"/>
  <c r="P20" i="9"/>
  <c r="Q20" i="9"/>
  <c r="B21" i="9"/>
  <c r="C21" i="9"/>
  <c r="D21" i="9"/>
  <c r="E21" i="9"/>
  <c r="G21" i="9"/>
  <c r="J21" i="9"/>
  <c r="K21" i="9"/>
  <c r="L21" i="9"/>
  <c r="M21" i="9"/>
  <c r="N21" i="9"/>
  <c r="P21" i="9"/>
  <c r="Q21" i="9"/>
  <c r="B22" i="9"/>
  <c r="C22" i="9"/>
  <c r="D22" i="9"/>
  <c r="E22" i="9"/>
  <c r="G22" i="9"/>
  <c r="J22" i="9"/>
  <c r="K22" i="9"/>
  <c r="L22" i="9"/>
  <c r="M22" i="9"/>
  <c r="N22" i="9"/>
  <c r="P22" i="9"/>
  <c r="Q22" i="9"/>
  <c r="B23" i="9"/>
  <c r="C23" i="9"/>
  <c r="D23" i="9"/>
  <c r="E23" i="9"/>
  <c r="G23" i="9"/>
  <c r="J23" i="9"/>
  <c r="K23" i="9"/>
  <c r="L23" i="9"/>
  <c r="M23" i="9"/>
  <c r="N23" i="9"/>
  <c r="P23" i="9"/>
  <c r="Q23" i="9"/>
  <c r="B24" i="9"/>
  <c r="C24" i="9"/>
  <c r="D24" i="9"/>
  <c r="E24" i="9"/>
  <c r="G24" i="9"/>
  <c r="J24" i="9"/>
  <c r="K24" i="9"/>
  <c r="L24" i="9"/>
  <c r="M24" i="9"/>
  <c r="N24" i="9"/>
  <c r="P24" i="9"/>
  <c r="Q24" i="9"/>
  <c r="B25" i="9"/>
  <c r="C25" i="9"/>
  <c r="D25" i="9"/>
  <c r="E25" i="9"/>
  <c r="G25" i="9"/>
  <c r="J25" i="9"/>
  <c r="K25" i="9"/>
  <c r="L25" i="9"/>
  <c r="M25" i="9"/>
  <c r="N25" i="9"/>
  <c r="P25" i="9"/>
  <c r="Q25" i="9"/>
  <c r="B26" i="9"/>
  <c r="C26" i="9"/>
  <c r="D26" i="9"/>
  <c r="E26" i="9"/>
  <c r="G26" i="9"/>
  <c r="J26" i="9"/>
  <c r="K26" i="9"/>
  <c r="L26" i="9"/>
  <c r="M26" i="9"/>
  <c r="N26" i="9"/>
  <c r="P26" i="9"/>
  <c r="Q26" i="9"/>
  <c r="B27" i="9"/>
  <c r="C27" i="9"/>
  <c r="D27" i="9"/>
  <c r="E27" i="9"/>
  <c r="G27" i="9"/>
  <c r="J27" i="9"/>
  <c r="K27" i="9"/>
  <c r="L27" i="9"/>
  <c r="M27" i="9"/>
  <c r="N27" i="9"/>
  <c r="P27" i="9"/>
  <c r="Q27" i="9"/>
  <c r="B28" i="9"/>
  <c r="C28" i="9"/>
  <c r="D28" i="9"/>
  <c r="E28" i="9"/>
  <c r="G28" i="9"/>
  <c r="J28" i="9"/>
  <c r="K28" i="9"/>
  <c r="L28" i="9"/>
  <c r="M28" i="9"/>
  <c r="N28" i="9"/>
  <c r="P28" i="9"/>
  <c r="Q28" i="9"/>
  <c r="B29" i="9"/>
  <c r="C29" i="9"/>
  <c r="D29" i="9"/>
  <c r="E29" i="9"/>
  <c r="G29" i="9"/>
  <c r="J29" i="9"/>
  <c r="K29" i="9"/>
  <c r="L29" i="9"/>
  <c r="M29" i="9"/>
  <c r="N29" i="9"/>
  <c r="P29" i="9"/>
  <c r="Q29" i="9"/>
  <c r="B30" i="9"/>
  <c r="C30" i="9"/>
  <c r="D30" i="9"/>
  <c r="E30" i="9"/>
  <c r="G30" i="9"/>
  <c r="J30" i="9"/>
  <c r="K30" i="9"/>
  <c r="L30" i="9"/>
  <c r="M30" i="9"/>
  <c r="N30" i="9"/>
  <c r="P30" i="9"/>
  <c r="Q30" i="9"/>
  <c r="B31" i="9"/>
  <c r="C31" i="9"/>
  <c r="D31" i="9"/>
  <c r="E31" i="9"/>
  <c r="G31" i="9"/>
  <c r="J31" i="9"/>
  <c r="K31" i="9"/>
  <c r="L31" i="9"/>
  <c r="M31" i="9"/>
  <c r="N31" i="9"/>
  <c r="P31" i="9"/>
  <c r="Q31" i="9"/>
  <c r="B32" i="9"/>
  <c r="C32" i="9"/>
  <c r="D32" i="9"/>
  <c r="E32" i="9"/>
  <c r="G32" i="9"/>
  <c r="J32" i="9"/>
  <c r="K32" i="9"/>
  <c r="L32" i="9"/>
  <c r="M32" i="9"/>
  <c r="N32" i="9"/>
  <c r="P32" i="9"/>
  <c r="Q32" i="9"/>
  <c r="B33" i="9"/>
  <c r="C33" i="9"/>
  <c r="D33" i="9"/>
  <c r="E33" i="9"/>
  <c r="G33" i="9"/>
  <c r="J33" i="9"/>
  <c r="K33" i="9"/>
  <c r="L33" i="9"/>
  <c r="M33" i="9"/>
  <c r="N33" i="9"/>
  <c r="P33" i="9"/>
  <c r="Q33" i="9"/>
  <c r="B34" i="9"/>
  <c r="C34" i="9"/>
  <c r="D34" i="9"/>
  <c r="E34" i="9"/>
  <c r="G34" i="9"/>
  <c r="J34" i="9"/>
  <c r="K34" i="9"/>
  <c r="L34" i="9"/>
  <c r="M34" i="9"/>
  <c r="N34" i="9"/>
  <c r="P34" i="9"/>
  <c r="Q34" i="9"/>
  <c r="B35" i="9"/>
  <c r="C35" i="9"/>
  <c r="D35" i="9"/>
  <c r="E35" i="9"/>
  <c r="G35" i="9"/>
  <c r="J35" i="9"/>
  <c r="K35" i="9"/>
  <c r="L35" i="9"/>
  <c r="M35" i="9"/>
  <c r="N35" i="9"/>
  <c r="P35" i="9"/>
  <c r="Q35" i="9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24" i="6"/>
  <c r="D24" i="6"/>
  <c r="E24" i="6"/>
  <c r="F24" i="6"/>
  <c r="G24" i="6"/>
  <c r="H24" i="6"/>
  <c r="C25" i="6"/>
  <c r="D25" i="6"/>
  <c r="E25" i="6"/>
  <c r="F25" i="6"/>
  <c r="G25" i="6"/>
  <c r="H25" i="6"/>
  <c r="B4" i="3"/>
  <c r="C4" i="3"/>
  <c r="D4" i="3"/>
  <c r="E4" i="3"/>
  <c r="F4" i="3"/>
  <c r="I5" i="3"/>
  <c r="C10" i="3"/>
  <c r="I11" i="3"/>
  <c r="J11" i="3"/>
  <c r="K11" i="3"/>
  <c r="L11" i="3"/>
  <c r="M11" i="3"/>
  <c r="N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I318" i="3"/>
  <c r="J318" i="3"/>
  <c r="K318" i="3"/>
  <c r="L318" i="3"/>
  <c r="M318" i="3"/>
  <c r="N318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I626" i="3"/>
  <c r="J626" i="3"/>
  <c r="K626" i="3"/>
  <c r="L626" i="3"/>
  <c r="M626" i="3"/>
  <c r="N626" i="3"/>
  <c r="H628" i="3"/>
  <c r="H629" i="3"/>
  <c r="H630" i="3"/>
  <c r="H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H746" i="3"/>
  <c r="I746" i="3"/>
  <c r="H747" i="3"/>
  <c r="I747" i="3"/>
  <c r="H748" i="3"/>
  <c r="I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H762" i="3"/>
  <c r="I762" i="3"/>
  <c r="H763" i="3"/>
  <c r="I763" i="3"/>
  <c r="H764" i="3"/>
  <c r="I764" i="3"/>
  <c r="H765" i="3"/>
  <c r="I765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H783" i="3"/>
  <c r="I783" i="3"/>
  <c r="H784" i="3"/>
  <c r="I784" i="3"/>
  <c r="H785" i="3"/>
  <c r="I785" i="3"/>
  <c r="H786" i="3"/>
  <c r="I786" i="3"/>
  <c r="H787" i="3"/>
  <c r="I787" i="3"/>
  <c r="H788" i="3"/>
  <c r="I788" i="3"/>
  <c r="H789" i="3"/>
  <c r="I789" i="3"/>
  <c r="H790" i="3"/>
  <c r="I790" i="3"/>
  <c r="H791" i="3"/>
  <c r="I791" i="3"/>
  <c r="H792" i="3"/>
  <c r="I792" i="3"/>
  <c r="H793" i="3"/>
  <c r="I793" i="3"/>
  <c r="H794" i="3"/>
  <c r="I794" i="3"/>
  <c r="H795" i="3"/>
  <c r="I795" i="3"/>
  <c r="H796" i="3"/>
  <c r="I796" i="3"/>
  <c r="H797" i="3"/>
  <c r="I797" i="3"/>
  <c r="H798" i="3"/>
  <c r="I798" i="3"/>
  <c r="H799" i="3"/>
  <c r="I799" i="3"/>
  <c r="H800" i="3"/>
  <c r="I800" i="3"/>
  <c r="H801" i="3"/>
  <c r="I801" i="3"/>
  <c r="H802" i="3"/>
  <c r="I802" i="3"/>
  <c r="H803" i="3"/>
  <c r="I803" i="3"/>
  <c r="H804" i="3"/>
  <c r="I804" i="3"/>
  <c r="H805" i="3"/>
  <c r="I805" i="3"/>
  <c r="H806" i="3"/>
  <c r="I806" i="3"/>
  <c r="H807" i="3"/>
  <c r="I807" i="3"/>
  <c r="H808" i="3"/>
  <c r="I808" i="3"/>
  <c r="H809" i="3"/>
  <c r="I809" i="3"/>
  <c r="H810" i="3"/>
  <c r="I810" i="3"/>
  <c r="H811" i="3"/>
  <c r="I811" i="3"/>
  <c r="H812" i="3"/>
  <c r="I812" i="3"/>
  <c r="H813" i="3"/>
  <c r="I813" i="3"/>
  <c r="H814" i="3"/>
  <c r="I814" i="3"/>
  <c r="H815" i="3"/>
  <c r="I815" i="3"/>
  <c r="H816" i="3"/>
  <c r="I816" i="3"/>
  <c r="H817" i="3"/>
  <c r="I817" i="3"/>
  <c r="H818" i="3"/>
  <c r="I818" i="3"/>
  <c r="H819" i="3"/>
  <c r="I819" i="3"/>
  <c r="H820" i="3"/>
  <c r="I820" i="3"/>
  <c r="H821" i="3"/>
  <c r="I821" i="3"/>
  <c r="H822" i="3"/>
  <c r="I822" i="3"/>
  <c r="H823" i="3"/>
  <c r="I823" i="3"/>
  <c r="H824" i="3"/>
  <c r="I824" i="3"/>
  <c r="H825" i="3"/>
  <c r="I825" i="3"/>
  <c r="H826" i="3"/>
  <c r="I826" i="3"/>
  <c r="H827" i="3"/>
  <c r="I827" i="3"/>
  <c r="H828" i="3"/>
  <c r="I828" i="3"/>
  <c r="H829" i="3"/>
  <c r="I829" i="3"/>
  <c r="H830" i="3"/>
  <c r="I830" i="3"/>
  <c r="H831" i="3"/>
  <c r="I831" i="3"/>
  <c r="H832" i="3"/>
  <c r="I832" i="3"/>
  <c r="H833" i="3"/>
  <c r="I833" i="3"/>
  <c r="H834" i="3"/>
  <c r="I834" i="3"/>
  <c r="H835" i="3"/>
  <c r="I835" i="3"/>
  <c r="H836" i="3"/>
  <c r="I836" i="3"/>
  <c r="H837" i="3"/>
  <c r="I837" i="3"/>
  <c r="H838" i="3"/>
  <c r="I838" i="3"/>
  <c r="H839" i="3"/>
  <c r="I839" i="3"/>
  <c r="H840" i="3"/>
  <c r="I840" i="3"/>
  <c r="H841" i="3"/>
  <c r="I841" i="3"/>
  <c r="H842" i="3"/>
  <c r="I842" i="3"/>
  <c r="H843" i="3"/>
  <c r="I843" i="3"/>
  <c r="H844" i="3"/>
  <c r="I844" i="3"/>
  <c r="H845" i="3"/>
  <c r="I845" i="3"/>
  <c r="H846" i="3"/>
  <c r="I846" i="3"/>
  <c r="H847" i="3"/>
  <c r="I847" i="3"/>
  <c r="H848" i="3"/>
  <c r="I848" i="3"/>
  <c r="H849" i="3"/>
  <c r="I849" i="3"/>
  <c r="H850" i="3"/>
  <c r="I850" i="3"/>
  <c r="H851" i="3"/>
  <c r="I851" i="3"/>
  <c r="H852" i="3"/>
  <c r="I852" i="3"/>
  <c r="H853" i="3"/>
  <c r="I853" i="3"/>
  <c r="H854" i="3"/>
  <c r="I854" i="3"/>
  <c r="H855" i="3"/>
  <c r="I855" i="3"/>
  <c r="H856" i="3"/>
  <c r="I856" i="3"/>
  <c r="H857" i="3"/>
  <c r="I857" i="3"/>
  <c r="H858" i="3"/>
  <c r="I858" i="3"/>
  <c r="H859" i="3"/>
  <c r="I859" i="3"/>
  <c r="H860" i="3"/>
  <c r="I860" i="3"/>
  <c r="H861" i="3"/>
  <c r="I861" i="3"/>
  <c r="H862" i="3"/>
  <c r="I862" i="3"/>
  <c r="H863" i="3"/>
  <c r="I863" i="3"/>
  <c r="H864" i="3"/>
  <c r="I864" i="3"/>
  <c r="H865" i="3"/>
  <c r="I865" i="3"/>
  <c r="H866" i="3"/>
  <c r="I866" i="3"/>
  <c r="H867" i="3"/>
  <c r="I867" i="3"/>
  <c r="H868" i="3"/>
  <c r="I868" i="3"/>
  <c r="H869" i="3"/>
  <c r="I869" i="3"/>
  <c r="H870" i="3"/>
  <c r="I870" i="3"/>
  <c r="H871" i="3"/>
  <c r="I871" i="3"/>
  <c r="H872" i="3"/>
  <c r="I872" i="3"/>
  <c r="H873" i="3"/>
  <c r="I873" i="3"/>
  <c r="H874" i="3"/>
  <c r="I874" i="3"/>
  <c r="H875" i="3"/>
  <c r="I875" i="3"/>
  <c r="H876" i="3"/>
  <c r="I876" i="3"/>
  <c r="H877" i="3"/>
  <c r="I877" i="3"/>
  <c r="H878" i="3"/>
  <c r="I878" i="3"/>
  <c r="H879" i="3"/>
  <c r="I879" i="3"/>
  <c r="H880" i="3"/>
  <c r="I880" i="3"/>
  <c r="H881" i="3"/>
  <c r="I881" i="3"/>
  <c r="H882" i="3"/>
  <c r="I882" i="3"/>
  <c r="H883" i="3"/>
  <c r="I883" i="3"/>
  <c r="H884" i="3"/>
  <c r="I884" i="3"/>
  <c r="H885" i="3"/>
  <c r="I885" i="3"/>
  <c r="H886" i="3"/>
  <c r="I886" i="3"/>
  <c r="H887" i="3"/>
  <c r="I887" i="3"/>
  <c r="H888" i="3"/>
  <c r="I888" i="3"/>
  <c r="H889" i="3"/>
  <c r="I889" i="3"/>
  <c r="H890" i="3"/>
  <c r="I890" i="3"/>
  <c r="H891" i="3"/>
  <c r="I891" i="3"/>
  <c r="H892" i="3"/>
  <c r="I892" i="3"/>
  <c r="H893" i="3"/>
  <c r="I893" i="3"/>
  <c r="H894" i="3"/>
  <c r="I894" i="3"/>
  <c r="H895" i="3"/>
  <c r="I895" i="3"/>
  <c r="H896" i="3"/>
  <c r="I896" i="3"/>
  <c r="H897" i="3"/>
  <c r="I897" i="3"/>
  <c r="H898" i="3"/>
  <c r="I898" i="3"/>
  <c r="H899" i="3"/>
  <c r="I899" i="3"/>
  <c r="H900" i="3"/>
  <c r="I900" i="3"/>
  <c r="H901" i="3"/>
  <c r="I901" i="3"/>
  <c r="H902" i="3"/>
  <c r="I902" i="3"/>
  <c r="H903" i="3"/>
  <c r="I903" i="3"/>
  <c r="H904" i="3"/>
  <c r="I904" i="3"/>
  <c r="H905" i="3"/>
  <c r="I905" i="3"/>
  <c r="H906" i="3"/>
  <c r="I906" i="3"/>
  <c r="H907" i="3"/>
  <c r="I907" i="3"/>
  <c r="H908" i="3"/>
  <c r="I908" i="3"/>
  <c r="H909" i="3"/>
  <c r="I909" i="3"/>
  <c r="H910" i="3"/>
  <c r="I910" i="3"/>
  <c r="H911" i="3"/>
  <c r="I911" i="3"/>
  <c r="H912" i="3"/>
  <c r="I912" i="3"/>
  <c r="H913" i="3"/>
  <c r="I913" i="3"/>
  <c r="H914" i="3"/>
  <c r="I914" i="3"/>
  <c r="H915" i="3"/>
  <c r="I915" i="3"/>
  <c r="H916" i="3"/>
  <c r="I916" i="3"/>
  <c r="H917" i="3"/>
  <c r="I917" i="3"/>
  <c r="H918" i="3"/>
  <c r="I918" i="3"/>
  <c r="H919" i="3"/>
  <c r="I919" i="3"/>
  <c r="H920" i="3"/>
  <c r="I920" i="3"/>
  <c r="H921" i="3"/>
  <c r="I921" i="3"/>
  <c r="H922" i="3"/>
  <c r="I922" i="3"/>
  <c r="H923" i="3"/>
  <c r="I923" i="3"/>
  <c r="H924" i="3"/>
  <c r="I924" i="3"/>
  <c r="H925" i="3"/>
  <c r="I925" i="3"/>
  <c r="H926" i="3"/>
  <c r="I926" i="3"/>
  <c r="H927" i="3"/>
  <c r="I927" i="3"/>
  <c r="H928" i="3"/>
  <c r="I928" i="3"/>
  <c r="H929" i="3"/>
  <c r="I929" i="3"/>
  <c r="H930" i="3"/>
  <c r="I930" i="3"/>
  <c r="H931" i="3"/>
  <c r="I931" i="3"/>
  <c r="H932" i="3"/>
  <c r="I932" i="3"/>
  <c r="H933" i="3"/>
  <c r="I933" i="3"/>
  <c r="H3" i="4"/>
  <c r="I3" i="4"/>
  <c r="J3" i="4"/>
  <c r="K3" i="4"/>
  <c r="L3" i="4"/>
  <c r="M3" i="4"/>
  <c r="P3" i="4"/>
  <c r="Q3" i="4"/>
  <c r="R3" i="4"/>
  <c r="S3" i="4"/>
  <c r="T3" i="4"/>
  <c r="U3" i="4"/>
  <c r="X3" i="4"/>
  <c r="Y3" i="4"/>
  <c r="Z3" i="4"/>
  <c r="AA3" i="4"/>
  <c r="AB3" i="4"/>
  <c r="AC3" i="4"/>
  <c r="AF3" i="4"/>
  <c r="AG3" i="4"/>
  <c r="AH3" i="4"/>
  <c r="AI3" i="4"/>
  <c r="AJ3" i="4"/>
  <c r="AK3" i="4"/>
  <c r="AN3" i="4"/>
  <c r="AO3" i="4"/>
  <c r="AP3" i="4"/>
  <c r="AQ3" i="4"/>
  <c r="AR3" i="4"/>
  <c r="AS3" i="4"/>
  <c r="H4" i="4"/>
  <c r="I4" i="4"/>
  <c r="J4" i="4"/>
  <c r="K4" i="4"/>
  <c r="L4" i="4"/>
  <c r="M4" i="4"/>
  <c r="P4" i="4"/>
  <c r="Q4" i="4"/>
  <c r="R4" i="4"/>
  <c r="S4" i="4"/>
  <c r="T4" i="4"/>
  <c r="U4" i="4"/>
  <c r="X4" i="4"/>
  <c r="Y4" i="4"/>
  <c r="Z4" i="4"/>
  <c r="AA4" i="4"/>
  <c r="AB4" i="4"/>
  <c r="AC4" i="4"/>
  <c r="AF4" i="4"/>
  <c r="AG4" i="4"/>
  <c r="AH4" i="4"/>
  <c r="AI4" i="4"/>
  <c r="AJ4" i="4"/>
  <c r="AK4" i="4"/>
  <c r="AN4" i="4"/>
  <c r="AO4" i="4"/>
  <c r="AP4" i="4"/>
  <c r="AQ4" i="4"/>
  <c r="AR4" i="4"/>
  <c r="AS4" i="4"/>
  <c r="A5" i="4"/>
  <c r="G5" i="4"/>
  <c r="H5" i="4"/>
  <c r="I5" i="4"/>
  <c r="O5" i="4"/>
  <c r="P5" i="4"/>
  <c r="Q5" i="4"/>
  <c r="W5" i="4"/>
  <c r="X5" i="4"/>
  <c r="Y5" i="4"/>
  <c r="AE5" i="4"/>
  <c r="AF5" i="4"/>
  <c r="AG5" i="4"/>
  <c r="AM5" i="4"/>
  <c r="AN5" i="4"/>
  <c r="AO5" i="4"/>
  <c r="A6" i="4"/>
  <c r="G6" i="4"/>
  <c r="H6" i="4"/>
  <c r="I6" i="4"/>
  <c r="O6" i="4"/>
  <c r="P6" i="4"/>
  <c r="Q6" i="4"/>
  <c r="W6" i="4"/>
  <c r="X6" i="4"/>
  <c r="Y6" i="4"/>
  <c r="AE6" i="4"/>
  <c r="AF6" i="4"/>
  <c r="AG6" i="4"/>
  <c r="AM6" i="4"/>
  <c r="AN6" i="4"/>
  <c r="AO6" i="4"/>
  <c r="A7" i="4"/>
  <c r="G7" i="4"/>
  <c r="H7" i="4"/>
  <c r="I7" i="4"/>
  <c r="O7" i="4"/>
  <c r="P7" i="4"/>
  <c r="Q7" i="4"/>
  <c r="W7" i="4"/>
  <c r="X7" i="4"/>
  <c r="Y7" i="4"/>
  <c r="AE7" i="4"/>
  <c r="AF7" i="4"/>
  <c r="AG7" i="4"/>
  <c r="AM7" i="4"/>
  <c r="AN7" i="4"/>
  <c r="AO7" i="4"/>
  <c r="A8" i="4"/>
  <c r="G8" i="4"/>
  <c r="H8" i="4"/>
  <c r="I8" i="4"/>
  <c r="O8" i="4"/>
  <c r="P8" i="4"/>
  <c r="Q8" i="4"/>
  <c r="W8" i="4"/>
  <c r="X8" i="4"/>
  <c r="Y8" i="4"/>
  <c r="AE8" i="4"/>
  <c r="AF8" i="4"/>
  <c r="AG8" i="4"/>
  <c r="AM8" i="4"/>
  <c r="AN8" i="4"/>
  <c r="AO8" i="4"/>
  <c r="A9" i="4"/>
  <c r="G9" i="4"/>
  <c r="H9" i="4"/>
  <c r="I9" i="4"/>
  <c r="O9" i="4"/>
  <c r="P9" i="4"/>
  <c r="Q9" i="4"/>
  <c r="W9" i="4"/>
  <c r="X9" i="4"/>
  <c r="Y9" i="4"/>
  <c r="AE9" i="4"/>
  <c r="AF9" i="4"/>
  <c r="AG9" i="4"/>
  <c r="AM9" i="4"/>
  <c r="AN9" i="4"/>
  <c r="AO9" i="4"/>
  <c r="A10" i="4"/>
  <c r="G10" i="4"/>
  <c r="H10" i="4"/>
  <c r="I10" i="4"/>
  <c r="O10" i="4"/>
  <c r="P10" i="4"/>
  <c r="Q10" i="4"/>
  <c r="W10" i="4"/>
  <c r="X10" i="4"/>
  <c r="Y10" i="4"/>
  <c r="AE10" i="4"/>
  <c r="AF10" i="4"/>
  <c r="AG10" i="4"/>
  <c r="AM10" i="4"/>
  <c r="AN10" i="4"/>
  <c r="AO10" i="4"/>
  <c r="A11" i="4"/>
  <c r="G11" i="4"/>
  <c r="H11" i="4"/>
  <c r="I11" i="4"/>
  <c r="O11" i="4"/>
  <c r="P11" i="4"/>
  <c r="Q11" i="4"/>
  <c r="W11" i="4"/>
  <c r="X11" i="4"/>
  <c r="Y11" i="4"/>
  <c r="AE11" i="4"/>
  <c r="AF11" i="4"/>
  <c r="AG11" i="4"/>
  <c r="AM11" i="4"/>
  <c r="AN11" i="4"/>
  <c r="AO11" i="4"/>
  <c r="A12" i="4"/>
  <c r="G12" i="4"/>
  <c r="H12" i="4"/>
  <c r="I12" i="4"/>
  <c r="O12" i="4"/>
  <c r="P12" i="4"/>
  <c r="Q12" i="4"/>
  <c r="W12" i="4"/>
  <c r="X12" i="4"/>
  <c r="Y12" i="4"/>
  <c r="AE12" i="4"/>
  <c r="AF12" i="4"/>
  <c r="AG12" i="4"/>
  <c r="AM12" i="4"/>
  <c r="AN12" i="4"/>
  <c r="AO12" i="4"/>
  <c r="A13" i="4"/>
  <c r="G13" i="4"/>
  <c r="H13" i="4"/>
  <c r="I13" i="4"/>
  <c r="O13" i="4"/>
  <c r="P13" i="4"/>
  <c r="Q13" i="4"/>
  <c r="W13" i="4"/>
  <c r="X13" i="4"/>
  <c r="Y13" i="4"/>
  <c r="AE13" i="4"/>
  <c r="AF13" i="4"/>
  <c r="AG13" i="4"/>
  <c r="AM13" i="4"/>
  <c r="AN13" i="4"/>
  <c r="AO13" i="4"/>
  <c r="A14" i="4"/>
  <c r="G14" i="4"/>
  <c r="H14" i="4"/>
  <c r="I14" i="4"/>
  <c r="O14" i="4"/>
  <c r="P14" i="4"/>
  <c r="Q14" i="4"/>
  <c r="W14" i="4"/>
  <c r="X14" i="4"/>
  <c r="Y14" i="4"/>
  <c r="AE14" i="4"/>
  <c r="AF14" i="4"/>
  <c r="AG14" i="4"/>
  <c r="AM14" i="4"/>
  <c r="AN14" i="4"/>
  <c r="AO14" i="4"/>
  <c r="A15" i="4"/>
  <c r="G15" i="4"/>
  <c r="H15" i="4"/>
  <c r="I15" i="4"/>
  <c r="O15" i="4"/>
  <c r="P15" i="4"/>
  <c r="Q15" i="4"/>
  <c r="W15" i="4"/>
  <c r="X15" i="4"/>
  <c r="Y15" i="4"/>
  <c r="AE15" i="4"/>
  <c r="AF15" i="4"/>
  <c r="AG15" i="4"/>
  <c r="AM15" i="4"/>
  <c r="AN15" i="4"/>
  <c r="AO15" i="4"/>
  <c r="A16" i="4"/>
  <c r="G16" i="4"/>
  <c r="H16" i="4"/>
  <c r="I16" i="4"/>
  <c r="O16" i="4"/>
  <c r="P16" i="4"/>
  <c r="Q16" i="4"/>
  <c r="W16" i="4"/>
  <c r="X16" i="4"/>
  <c r="Y16" i="4"/>
  <c r="AE16" i="4"/>
  <c r="AF16" i="4"/>
  <c r="AG16" i="4"/>
  <c r="AM16" i="4"/>
  <c r="AN16" i="4"/>
  <c r="AO16" i="4"/>
  <c r="A17" i="4"/>
  <c r="G17" i="4"/>
  <c r="H17" i="4"/>
  <c r="I17" i="4"/>
  <c r="O17" i="4"/>
  <c r="P17" i="4"/>
  <c r="Q17" i="4"/>
  <c r="W17" i="4"/>
  <c r="X17" i="4"/>
  <c r="Y17" i="4"/>
  <c r="AE17" i="4"/>
  <c r="AF17" i="4"/>
  <c r="AG17" i="4"/>
  <c r="AM17" i="4"/>
  <c r="AN17" i="4"/>
  <c r="AO17" i="4"/>
  <c r="A18" i="4"/>
  <c r="G18" i="4"/>
  <c r="H18" i="4"/>
  <c r="I18" i="4"/>
  <c r="O18" i="4"/>
  <c r="P18" i="4"/>
  <c r="Q18" i="4"/>
  <c r="W18" i="4"/>
  <c r="X18" i="4"/>
  <c r="Y18" i="4"/>
  <c r="AE18" i="4"/>
  <c r="AF18" i="4"/>
  <c r="AG18" i="4"/>
  <c r="AM18" i="4"/>
  <c r="AN18" i="4"/>
  <c r="AO18" i="4"/>
  <c r="A19" i="4"/>
  <c r="G19" i="4"/>
  <c r="H19" i="4"/>
  <c r="I19" i="4"/>
  <c r="O19" i="4"/>
  <c r="P19" i="4"/>
  <c r="Q19" i="4"/>
  <c r="W19" i="4"/>
  <c r="X19" i="4"/>
  <c r="Y19" i="4"/>
  <c r="AE19" i="4"/>
  <c r="AF19" i="4"/>
  <c r="AG19" i="4"/>
  <c r="AM19" i="4"/>
  <c r="AN19" i="4"/>
  <c r="AO19" i="4"/>
  <c r="A20" i="4"/>
  <c r="G20" i="4"/>
  <c r="H20" i="4"/>
  <c r="I20" i="4"/>
  <c r="O20" i="4"/>
  <c r="P20" i="4"/>
  <c r="Q20" i="4"/>
  <c r="W20" i="4"/>
  <c r="X20" i="4"/>
  <c r="Y20" i="4"/>
  <c r="AE20" i="4"/>
  <c r="AF20" i="4"/>
  <c r="AG20" i="4"/>
  <c r="AM20" i="4"/>
  <c r="AN20" i="4"/>
  <c r="AO20" i="4"/>
  <c r="A21" i="4"/>
  <c r="G21" i="4"/>
  <c r="H21" i="4"/>
  <c r="I21" i="4"/>
  <c r="O21" i="4"/>
  <c r="P21" i="4"/>
  <c r="Q21" i="4"/>
  <c r="W21" i="4"/>
  <c r="X21" i="4"/>
  <c r="Y21" i="4"/>
  <c r="AE21" i="4"/>
  <c r="AF21" i="4"/>
  <c r="AG21" i="4"/>
  <c r="AM21" i="4"/>
  <c r="AN21" i="4"/>
  <c r="AO21" i="4"/>
  <c r="A22" i="4"/>
  <c r="G22" i="4"/>
  <c r="H22" i="4"/>
  <c r="I22" i="4"/>
  <c r="O22" i="4"/>
  <c r="P22" i="4"/>
  <c r="Q22" i="4"/>
  <c r="W22" i="4"/>
  <c r="X22" i="4"/>
  <c r="Y22" i="4"/>
  <c r="AE22" i="4"/>
  <c r="AF22" i="4"/>
  <c r="AG22" i="4"/>
  <c r="AM22" i="4"/>
  <c r="AN22" i="4"/>
  <c r="AO22" i="4"/>
  <c r="A23" i="4"/>
  <c r="G23" i="4"/>
  <c r="H23" i="4"/>
  <c r="I23" i="4"/>
  <c r="O23" i="4"/>
  <c r="P23" i="4"/>
  <c r="Q23" i="4"/>
  <c r="W23" i="4"/>
  <c r="X23" i="4"/>
  <c r="Y23" i="4"/>
  <c r="AE23" i="4"/>
  <c r="AF23" i="4"/>
  <c r="AG23" i="4"/>
  <c r="AM23" i="4"/>
  <c r="AN23" i="4"/>
  <c r="AO23" i="4"/>
  <c r="A24" i="4"/>
  <c r="G24" i="4"/>
  <c r="H24" i="4"/>
  <c r="I24" i="4"/>
  <c r="O24" i="4"/>
  <c r="P24" i="4"/>
  <c r="Q24" i="4"/>
  <c r="W24" i="4"/>
  <c r="X24" i="4"/>
  <c r="Y24" i="4"/>
  <c r="AE24" i="4"/>
  <c r="AF24" i="4"/>
  <c r="AG24" i="4"/>
  <c r="AM24" i="4"/>
  <c r="AN24" i="4"/>
  <c r="AO24" i="4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18" i="12"/>
  <c r="C18" i="12"/>
  <c r="D18" i="12"/>
  <c r="E18" i="12"/>
  <c r="F18" i="12"/>
  <c r="B19" i="12"/>
  <c r="C19" i="12"/>
  <c r="D19" i="12"/>
  <c r="E19" i="12"/>
  <c r="F19" i="12"/>
  <c r="B20" i="12"/>
  <c r="C20" i="12"/>
  <c r="D20" i="12"/>
  <c r="E20" i="12"/>
  <c r="F20" i="12"/>
  <c r="B21" i="12"/>
  <c r="C21" i="12"/>
  <c r="D21" i="12"/>
  <c r="E21" i="12"/>
  <c r="F21" i="12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B29" i="12"/>
  <c r="C29" i="12"/>
  <c r="D29" i="12"/>
  <c r="E29" i="12"/>
  <c r="F29" i="12"/>
  <c r="B30" i="12"/>
  <c r="C30" i="12"/>
  <c r="D30" i="12"/>
  <c r="E30" i="12"/>
  <c r="F30" i="12"/>
  <c r="B31" i="12"/>
  <c r="C31" i="12"/>
  <c r="D31" i="12"/>
  <c r="E31" i="12"/>
  <c r="F31" i="12"/>
  <c r="B32" i="12"/>
  <c r="C32" i="12"/>
  <c r="D32" i="12"/>
  <c r="E32" i="12"/>
  <c r="F32" i="12"/>
  <c r="B33" i="12"/>
  <c r="C33" i="12"/>
  <c r="D33" i="12"/>
  <c r="E33" i="12"/>
  <c r="F33" i="12"/>
  <c r="B34" i="12"/>
  <c r="C34" i="12"/>
  <c r="D34" i="12"/>
  <c r="E34" i="12"/>
  <c r="F34" i="12"/>
  <c r="D4" i="5"/>
  <c r="E4" i="5"/>
  <c r="F4" i="5"/>
  <c r="G4" i="5"/>
  <c r="H4" i="5"/>
  <c r="C6" i="5"/>
  <c r="D6" i="5"/>
  <c r="E6" i="5"/>
  <c r="F6" i="5"/>
  <c r="G6" i="5"/>
  <c r="H6" i="5"/>
  <c r="C7" i="5"/>
  <c r="D7" i="5"/>
  <c r="C10" i="5"/>
  <c r="D10" i="5"/>
  <c r="E10" i="5"/>
  <c r="F10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B27" i="5"/>
  <c r="B28" i="5"/>
  <c r="C28" i="5"/>
  <c r="B29" i="5"/>
  <c r="C29" i="5"/>
  <c r="B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C334" i="5"/>
  <c r="D334" i="5"/>
  <c r="E334" i="5"/>
  <c r="F334" i="5"/>
  <c r="G334" i="5"/>
  <c r="H334" i="5"/>
  <c r="C335" i="5"/>
  <c r="D335" i="5"/>
  <c r="E335" i="5"/>
  <c r="F335" i="5"/>
  <c r="G335" i="5"/>
  <c r="H335" i="5"/>
  <c r="B336" i="5"/>
  <c r="B337" i="5"/>
  <c r="C337" i="5"/>
  <c r="D337" i="5"/>
  <c r="B338" i="5"/>
  <c r="C338" i="5"/>
  <c r="D338" i="5"/>
  <c r="B339" i="5"/>
  <c r="C339" i="5"/>
  <c r="D339" i="5"/>
  <c r="B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A3" i="13"/>
  <c r="B8" i="13"/>
  <c r="C8" i="13"/>
  <c r="D8" i="13"/>
  <c r="E8" i="13"/>
  <c r="G8" i="13"/>
  <c r="H8" i="13"/>
  <c r="I8" i="13"/>
  <c r="J8" i="13"/>
  <c r="A9" i="13"/>
  <c r="B9" i="13"/>
  <c r="C9" i="13"/>
  <c r="D9" i="13"/>
  <c r="E9" i="13"/>
  <c r="G9" i="13"/>
  <c r="H9" i="13"/>
  <c r="I9" i="13"/>
  <c r="J9" i="13"/>
  <c r="M9" i="13"/>
  <c r="N9" i="13"/>
  <c r="O9" i="13"/>
  <c r="A10" i="13"/>
  <c r="B10" i="13"/>
  <c r="C10" i="13"/>
  <c r="D10" i="13"/>
  <c r="E10" i="13"/>
  <c r="G10" i="13"/>
  <c r="H10" i="13"/>
  <c r="I10" i="13"/>
  <c r="J10" i="13"/>
  <c r="M10" i="13"/>
  <c r="N10" i="13"/>
  <c r="O10" i="13"/>
  <c r="A11" i="13"/>
  <c r="B11" i="13"/>
  <c r="C11" i="13"/>
  <c r="D11" i="13"/>
  <c r="E11" i="13"/>
  <c r="G11" i="13"/>
  <c r="H11" i="13"/>
  <c r="I11" i="13"/>
  <c r="J11" i="13"/>
  <c r="M11" i="13"/>
  <c r="N11" i="13"/>
  <c r="O11" i="13"/>
  <c r="A12" i="13"/>
  <c r="B12" i="13"/>
  <c r="C12" i="13"/>
  <c r="D12" i="13"/>
  <c r="E12" i="13"/>
  <c r="G12" i="13"/>
  <c r="H12" i="13"/>
  <c r="I12" i="13"/>
  <c r="J12" i="13"/>
  <c r="M12" i="13"/>
  <c r="N12" i="13"/>
  <c r="O12" i="13"/>
  <c r="A13" i="13"/>
  <c r="B13" i="13"/>
  <c r="C13" i="13"/>
  <c r="D13" i="13"/>
  <c r="E13" i="13"/>
  <c r="G13" i="13"/>
  <c r="H13" i="13"/>
  <c r="I13" i="13"/>
  <c r="J13" i="13"/>
  <c r="M13" i="13"/>
  <c r="N13" i="13"/>
  <c r="O13" i="13"/>
  <c r="A14" i="13"/>
  <c r="B14" i="13"/>
  <c r="C14" i="13"/>
  <c r="D14" i="13"/>
  <c r="E14" i="13"/>
  <c r="G14" i="13"/>
  <c r="H14" i="13"/>
  <c r="I14" i="13"/>
  <c r="J14" i="13"/>
  <c r="M14" i="13"/>
  <c r="N14" i="13"/>
  <c r="O14" i="13"/>
  <c r="A15" i="13"/>
  <c r="B15" i="13"/>
  <c r="C15" i="13"/>
  <c r="D15" i="13"/>
  <c r="E15" i="13"/>
  <c r="G15" i="13"/>
  <c r="H15" i="13"/>
  <c r="I15" i="13"/>
  <c r="J15" i="13"/>
  <c r="M15" i="13"/>
  <c r="N15" i="13"/>
  <c r="O15" i="13"/>
  <c r="A16" i="13"/>
  <c r="B16" i="13"/>
  <c r="C16" i="13"/>
  <c r="D16" i="13"/>
  <c r="E16" i="13"/>
  <c r="G16" i="13"/>
  <c r="H16" i="13"/>
  <c r="I16" i="13"/>
  <c r="J16" i="13"/>
  <c r="M16" i="13"/>
  <c r="N16" i="13"/>
  <c r="O16" i="13"/>
  <c r="A17" i="13"/>
  <c r="B17" i="13"/>
  <c r="C17" i="13"/>
  <c r="D17" i="13"/>
  <c r="E17" i="13"/>
  <c r="G17" i="13"/>
  <c r="H17" i="13"/>
  <c r="I17" i="13"/>
  <c r="J17" i="13"/>
  <c r="M17" i="13"/>
  <c r="N17" i="13"/>
  <c r="O17" i="13"/>
  <c r="A18" i="13"/>
  <c r="B18" i="13"/>
  <c r="C18" i="13"/>
  <c r="D18" i="13"/>
  <c r="E18" i="13"/>
  <c r="G18" i="13"/>
  <c r="H18" i="13"/>
  <c r="I18" i="13"/>
  <c r="J18" i="13"/>
  <c r="M18" i="13"/>
  <c r="N18" i="13"/>
  <c r="O18" i="13"/>
  <c r="A19" i="13"/>
  <c r="B19" i="13"/>
  <c r="C19" i="13"/>
  <c r="D19" i="13"/>
  <c r="E19" i="13"/>
  <c r="G19" i="13"/>
  <c r="H19" i="13"/>
  <c r="I19" i="13"/>
  <c r="J19" i="13"/>
  <c r="M19" i="13"/>
  <c r="N19" i="13"/>
  <c r="O19" i="13"/>
  <c r="A20" i="13"/>
  <c r="B20" i="13"/>
  <c r="C20" i="13"/>
  <c r="D20" i="13"/>
  <c r="E20" i="13"/>
  <c r="G20" i="13"/>
  <c r="H20" i="13"/>
  <c r="I20" i="13"/>
  <c r="J20" i="13"/>
  <c r="M20" i="13"/>
  <c r="N20" i="13"/>
  <c r="O20" i="13"/>
  <c r="A21" i="13"/>
  <c r="B21" i="13"/>
  <c r="C21" i="13"/>
  <c r="D21" i="13"/>
  <c r="E21" i="13"/>
  <c r="G21" i="13"/>
  <c r="H21" i="13"/>
  <c r="I21" i="13"/>
  <c r="J21" i="13"/>
  <c r="M21" i="13"/>
  <c r="N21" i="13"/>
  <c r="O21" i="13"/>
  <c r="A22" i="13"/>
  <c r="B22" i="13"/>
  <c r="C22" i="13"/>
  <c r="D22" i="13"/>
  <c r="E22" i="13"/>
  <c r="G22" i="13"/>
  <c r="H22" i="13"/>
  <c r="I22" i="13"/>
  <c r="J22" i="13"/>
  <c r="M22" i="13"/>
  <c r="N22" i="13"/>
  <c r="O22" i="13"/>
  <c r="A23" i="13"/>
  <c r="B23" i="13"/>
  <c r="C23" i="13"/>
  <c r="D23" i="13"/>
  <c r="E23" i="13"/>
  <c r="G23" i="13"/>
  <c r="H23" i="13"/>
  <c r="I23" i="13"/>
  <c r="J23" i="13"/>
  <c r="M23" i="13"/>
  <c r="N23" i="13"/>
  <c r="O23" i="13"/>
  <c r="A24" i="13"/>
  <c r="B24" i="13"/>
  <c r="C24" i="13"/>
  <c r="D24" i="13"/>
  <c r="E24" i="13"/>
  <c r="G24" i="13"/>
  <c r="H24" i="13"/>
  <c r="I24" i="13"/>
  <c r="J24" i="13"/>
  <c r="M24" i="13"/>
  <c r="N24" i="13"/>
  <c r="O24" i="13"/>
  <c r="A25" i="13"/>
  <c r="B25" i="13"/>
  <c r="C25" i="13"/>
  <c r="D25" i="13"/>
  <c r="E25" i="13"/>
  <c r="G25" i="13"/>
  <c r="H25" i="13"/>
  <c r="I25" i="13"/>
  <c r="J25" i="13"/>
  <c r="M25" i="13"/>
  <c r="N25" i="13"/>
  <c r="O25" i="13"/>
  <c r="A26" i="13"/>
  <c r="B26" i="13"/>
  <c r="C26" i="13"/>
  <c r="D26" i="13"/>
  <c r="E26" i="13"/>
  <c r="G26" i="13"/>
  <c r="H26" i="13"/>
  <c r="I26" i="13"/>
  <c r="J26" i="13"/>
  <c r="M26" i="13"/>
  <c r="N26" i="13"/>
  <c r="O26" i="13"/>
  <c r="A27" i="13"/>
  <c r="B27" i="13"/>
  <c r="C27" i="13"/>
  <c r="D27" i="13"/>
  <c r="E27" i="13"/>
  <c r="G27" i="13"/>
  <c r="H27" i="13"/>
  <c r="I27" i="13"/>
  <c r="J27" i="13"/>
  <c r="M27" i="13"/>
  <c r="N27" i="13"/>
  <c r="O27" i="13"/>
  <c r="A28" i="13"/>
  <c r="B28" i="13"/>
  <c r="C28" i="13"/>
  <c r="D28" i="13"/>
  <c r="E28" i="13"/>
  <c r="G28" i="13"/>
  <c r="H28" i="13"/>
  <c r="I28" i="13"/>
  <c r="J28" i="13"/>
  <c r="M28" i="13"/>
  <c r="N28" i="13"/>
  <c r="O28" i="13"/>
  <c r="A29" i="13"/>
  <c r="B29" i="13"/>
  <c r="C29" i="13"/>
  <c r="D29" i="13"/>
  <c r="E29" i="13"/>
  <c r="G29" i="13"/>
  <c r="H29" i="13"/>
  <c r="I29" i="13"/>
  <c r="J29" i="13"/>
  <c r="M29" i="13"/>
  <c r="N29" i="13"/>
  <c r="O29" i="13"/>
  <c r="A30" i="13"/>
  <c r="B30" i="13"/>
  <c r="C30" i="13"/>
  <c r="D30" i="13"/>
  <c r="E30" i="13"/>
  <c r="G30" i="13"/>
  <c r="H30" i="13"/>
  <c r="I30" i="13"/>
  <c r="J30" i="13"/>
  <c r="M30" i="13"/>
  <c r="N30" i="13"/>
  <c r="O30" i="13"/>
  <c r="A31" i="13"/>
  <c r="B31" i="13"/>
  <c r="C31" i="13"/>
  <c r="D31" i="13"/>
  <c r="E31" i="13"/>
  <c r="G31" i="13"/>
  <c r="H31" i="13"/>
  <c r="I31" i="13"/>
  <c r="J31" i="13"/>
  <c r="M31" i="13"/>
  <c r="N31" i="13"/>
  <c r="O31" i="13"/>
  <c r="A32" i="13"/>
  <c r="B32" i="13"/>
  <c r="C32" i="13"/>
  <c r="D32" i="13"/>
  <c r="E32" i="13"/>
  <c r="G32" i="13"/>
  <c r="H32" i="13"/>
  <c r="I32" i="13"/>
  <c r="J32" i="13"/>
  <c r="M32" i="13"/>
  <c r="N32" i="13"/>
  <c r="O32" i="13"/>
  <c r="A33" i="13"/>
  <c r="B33" i="13"/>
  <c r="C33" i="13"/>
  <c r="D33" i="13"/>
  <c r="E33" i="13"/>
  <c r="G33" i="13"/>
  <c r="H33" i="13"/>
  <c r="I33" i="13"/>
  <c r="J33" i="13"/>
  <c r="M33" i="13"/>
  <c r="N33" i="13"/>
  <c r="O33" i="13"/>
  <c r="A34" i="13"/>
  <c r="B34" i="13"/>
  <c r="C34" i="13"/>
  <c r="D34" i="13"/>
  <c r="E34" i="13"/>
  <c r="G34" i="13"/>
  <c r="H34" i="13"/>
  <c r="I34" i="13"/>
  <c r="J34" i="13"/>
  <c r="M34" i="13"/>
  <c r="N34" i="13"/>
  <c r="O34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55" i="13"/>
  <c r="H55" i="13"/>
  <c r="I55" i="13"/>
  <c r="G56" i="13"/>
  <c r="H56" i="13"/>
  <c r="I56" i="13"/>
  <c r="G57" i="13"/>
  <c r="H57" i="13"/>
  <c r="I57" i="13"/>
  <c r="G58" i="13"/>
  <c r="H58" i="13"/>
  <c r="I58" i="13"/>
  <c r="G59" i="13"/>
  <c r="H59" i="13"/>
  <c r="I59" i="13"/>
  <c r="G60" i="13"/>
  <c r="H60" i="13"/>
  <c r="I60" i="13"/>
  <c r="G61" i="13"/>
  <c r="H61" i="13"/>
  <c r="I61" i="13"/>
  <c r="G62" i="13"/>
  <c r="H62" i="13"/>
  <c r="I62" i="13"/>
  <c r="G63" i="13"/>
  <c r="H63" i="13"/>
  <c r="I63" i="13"/>
  <c r="G64" i="13"/>
  <c r="H64" i="13"/>
  <c r="I64" i="13"/>
  <c r="G65" i="13"/>
  <c r="H65" i="13"/>
  <c r="I65" i="13"/>
  <c r="G66" i="13"/>
  <c r="H66" i="13"/>
  <c r="I66" i="13"/>
  <c r="G67" i="13"/>
  <c r="H67" i="13"/>
  <c r="I67" i="13"/>
  <c r="G68" i="13"/>
  <c r="H68" i="13"/>
  <c r="I68" i="13"/>
  <c r="G69" i="13"/>
  <c r="H69" i="13"/>
  <c r="I69" i="13"/>
  <c r="G70" i="13"/>
  <c r="H70" i="13"/>
  <c r="I70" i="13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G119" i="13"/>
  <c r="H119" i="13"/>
  <c r="I119" i="13"/>
  <c r="G120" i="13"/>
  <c r="H120" i="13"/>
  <c r="I120" i="13"/>
  <c r="G121" i="13"/>
  <c r="H121" i="13"/>
  <c r="I121" i="13"/>
  <c r="G122" i="13"/>
  <c r="H122" i="13"/>
  <c r="I122" i="13"/>
  <c r="G123" i="13"/>
  <c r="H123" i="13"/>
  <c r="I123" i="13"/>
  <c r="G124" i="13"/>
  <c r="H124" i="13"/>
  <c r="I124" i="13"/>
  <c r="G125" i="13"/>
  <c r="H125" i="13"/>
  <c r="I125" i="13"/>
  <c r="G126" i="13"/>
  <c r="H126" i="13"/>
  <c r="I126" i="13"/>
  <c r="G127" i="13"/>
  <c r="H127" i="13"/>
  <c r="I127" i="13"/>
  <c r="G128" i="13"/>
  <c r="H128" i="13"/>
  <c r="I128" i="13"/>
  <c r="G129" i="13"/>
  <c r="H129" i="13"/>
  <c r="I129" i="13"/>
  <c r="G130" i="13"/>
  <c r="H130" i="13"/>
  <c r="I130" i="13"/>
  <c r="G131" i="13"/>
  <c r="H131" i="13"/>
  <c r="I131" i="13"/>
  <c r="G132" i="13"/>
  <c r="H132" i="13"/>
  <c r="I132" i="13"/>
  <c r="G133" i="13"/>
  <c r="H133" i="13"/>
  <c r="I133" i="13"/>
  <c r="G134" i="13"/>
  <c r="H134" i="13"/>
  <c r="I134" i="13"/>
  <c r="G135" i="13"/>
  <c r="H135" i="13"/>
  <c r="I135" i="13"/>
  <c r="G136" i="13"/>
  <c r="H136" i="13"/>
  <c r="I136" i="13"/>
  <c r="G137" i="13"/>
  <c r="H137" i="13"/>
  <c r="I137" i="13"/>
  <c r="G138" i="13"/>
  <c r="H138" i="13"/>
  <c r="I138" i="13"/>
  <c r="G139" i="13"/>
  <c r="H139" i="13"/>
  <c r="I139" i="13"/>
  <c r="G140" i="13"/>
  <c r="H140" i="13"/>
  <c r="I140" i="13"/>
  <c r="G141" i="13"/>
  <c r="H141" i="13"/>
  <c r="I141" i="13"/>
  <c r="G142" i="13"/>
  <c r="H142" i="13"/>
  <c r="I142" i="13"/>
  <c r="G143" i="13"/>
  <c r="H143" i="13"/>
  <c r="I143" i="13"/>
  <c r="G144" i="13"/>
  <c r="H144" i="13"/>
  <c r="I144" i="13"/>
  <c r="G145" i="13"/>
  <c r="H145" i="13"/>
  <c r="I145" i="13"/>
  <c r="G146" i="13"/>
  <c r="H146" i="13"/>
  <c r="I146" i="13"/>
  <c r="G147" i="13"/>
  <c r="H147" i="13"/>
  <c r="I147" i="13"/>
  <c r="G148" i="13"/>
  <c r="H148" i="13"/>
  <c r="I148" i="13"/>
  <c r="G149" i="13"/>
  <c r="H149" i="13"/>
  <c r="I149" i="13"/>
  <c r="G150" i="13"/>
  <c r="H150" i="13"/>
  <c r="I150" i="13"/>
  <c r="G151" i="13"/>
  <c r="H151" i="13"/>
  <c r="I151" i="13"/>
  <c r="G152" i="13"/>
  <c r="H152" i="13"/>
  <c r="I152" i="13"/>
  <c r="G153" i="13"/>
  <c r="H153" i="13"/>
  <c r="I153" i="13"/>
  <c r="G154" i="13"/>
  <c r="H154" i="13"/>
  <c r="I154" i="13"/>
  <c r="G155" i="13"/>
  <c r="H155" i="13"/>
  <c r="I155" i="13"/>
  <c r="G156" i="13"/>
  <c r="H156" i="13"/>
  <c r="I156" i="13"/>
  <c r="G157" i="13"/>
  <c r="H157" i="13"/>
  <c r="I157" i="13"/>
  <c r="G158" i="13"/>
  <c r="H158" i="13"/>
  <c r="I158" i="13"/>
  <c r="G159" i="13"/>
  <c r="H159" i="13"/>
  <c r="I159" i="13"/>
  <c r="G160" i="13"/>
  <c r="H160" i="13"/>
  <c r="I160" i="13"/>
  <c r="G161" i="13"/>
  <c r="H161" i="13"/>
  <c r="I161" i="13"/>
  <c r="G162" i="13"/>
  <c r="H162" i="13"/>
  <c r="I162" i="13"/>
  <c r="G163" i="13"/>
  <c r="H163" i="13"/>
  <c r="I163" i="13"/>
  <c r="G164" i="13"/>
  <c r="H164" i="13"/>
  <c r="I164" i="13"/>
  <c r="G165" i="13"/>
  <c r="H165" i="13"/>
  <c r="I165" i="13"/>
  <c r="G166" i="13"/>
  <c r="H166" i="13"/>
  <c r="I166" i="13"/>
  <c r="G167" i="13"/>
  <c r="H167" i="13"/>
  <c r="I167" i="13"/>
  <c r="G168" i="13"/>
  <c r="H168" i="13"/>
  <c r="I168" i="13"/>
  <c r="G169" i="13"/>
  <c r="H169" i="13"/>
  <c r="I169" i="13"/>
  <c r="G170" i="13"/>
  <c r="H170" i="13"/>
  <c r="I170" i="13"/>
  <c r="G171" i="13"/>
  <c r="H171" i="13"/>
  <c r="I171" i="13"/>
  <c r="G172" i="13"/>
  <c r="H172" i="13"/>
  <c r="I172" i="13"/>
  <c r="G173" i="13"/>
  <c r="H173" i="13"/>
  <c r="I173" i="13"/>
  <c r="G174" i="13"/>
  <c r="H174" i="13"/>
  <c r="I174" i="13"/>
  <c r="G175" i="13"/>
  <c r="H175" i="13"/>
  <c r="I175" i="13"/>
  <c r="G176" i="13"/>
  <c r="H176" i="13"/>
  <c r="I176" i="13"/>
  <c r="G177" i="13"/>
  <c r="H177" i="13"/>
  <c r="I177" i="13"/>
  <c r="G178" i="13"/>
  <c r="H178" i="13"/>
  <c r="I178" i="13"/>
  <c r="G179" i="13"/>
  <c r="H179" i="13"/>
  <c r="I179" i="13"/>
  <c r="G180" i="13"/>
  <c r="H180" i="13"/>
  <c r="I180" i="13"/>
  <c r="G181" i="13"/>
  <c r="H181" i="13"/>
  <c r="I181" i="13"/>
  <c r="G182" i="13"/>
  <c r="H182" i="13"/>
  <c r="I182" i="13"/>
  <c r="G183" i="13"/>
  <c r="H183" i="13"/>
  <c r="I183" i="13"/>
  <c r="G184" i="13"/>
  <c r="H184" i="13"/>
  <c r="I184" i="13"/>
  <c r="G185" i="13"/>
  <c r="H185" i="13"/>
  <c r="I185" i="13"/>
  <c r="G186" i="13"/>
  <c r="H186" i="13"/>
  <c r="I186" i="13"/>
  <c r="G187" i="13"/>
  <c r="H187" i="13"/>
  <c r="I187" i="13"/>
  <c r="G188" i="13"/>
  <c r="H188" i="13"/>
  <c r="I188" i="13"/>
  <c r="G189" i="13"/>
  <c r="H189" i="13"/>
  <c r="I189" i="13"/>
  <c r="G190" i="13"/>
  <c r="H190" i="13"/>
  <c r="I190" i="13"/>
  <c r="G191" i="13"/>
  <c r="H191" i="13"/>
  <c r="I191" i="13"/>
  <c r="G192" i="13"/>
  <c r="H192" i="13"/>
  <c r="I192" i="13"/>
  <c r="G193" i="13"/>
  <c r="H193" i="13"/>
  <c r="I193" i="13"/>
  <c r="G194" i="13"/>
  <c r="H194" i="13"/>
  <c r="I194" i="13"/>
  <c r="G195" i="13"/>
  <c r="H195" i="13"/>
  <c r="I195" i="13"/>
  <c r="G196" i="13"/>
  <c r="H196" i="13"/>
  <c r="I196" i="13"/>
  <c r="G197" i="13"/>
  <c r="H197" i="13"/>
  <c r="I197" i="13"/>
  <c r="G198" i="13"/>
  <c r="H198" i="13"/>
  <c r="I198" i="13"/>
  <c r="G199" i="13"/>
  <c r="H199" i="13"/>
  <c r="I199" i="13"/>
  <c r="G200" i="13"/>
  <c r="H200" i="13"/>
  <c r="I200" i="13"/>
  <c r="G201" i="13"/>
  <c r="H201" i="13"/>
  <c r="I201" i="13"/>
  <c r="G202" i="13"/>
  <c r="H202" i="13"/>
  <c r="I202" i="13"/>
  <c r="G203" i="13"/>
  <c r="H203" i="13"/>
  <c r="I203" i="13"/>
  <c r="G204" i="13"/>
  <c r="H204" i="13"/>
  <c r="I204" i="13"/>
  <c r="G205" i="13"/>
  <c r="H205" i="13"/>
  <c r="I205" i="13"/>
  <c r="G206" i="13"/>
  <c r="H206" i="13"/>
  <c r="I206" i="13"/>
  <c r="G207" i="13"/>
  <c r="H207" i="13"/>
  <c r="I207" i="13"/>
  <c r="G208" i="13"/>
  <c r="H208" i="13"/>
  <c r="I208" i="13"/>
  <c r="G209" i="13"/>
  <c r="H209" i="13"/>
  <c r="I209" i="13"/>
  <c r="G210" i="13"/>
  <c r="H210" i="13"/>
  <c r="I210" i="13"/>
  <c r="G211" i="13"/>
  <c r="H211" i="13"/>
  <c r="I211" i="13"/>
  <c r="G212" i="13"/>
  <c r="H212" i="13"/>
  <c r="I212" i="13"/>
  <c r="G213" i="13"/>
  <c r="H213" i="13"/>
  <c r="I213" i="13"/>
  <c r="G214" i="13"/>
  <c r="H214" i="13"/>
  <c r="I214" i="13"/>
  <c r="G215" i="13"/>
  <c r="H215" i="13"/>
  <c r="I215" i="13"/>
  <c r="G216" i="13"/>
  <c r="H216" i="13"/>
  <c r="I216" i="13"/>
  <c r="G217" i="13"/>
  <c r="H217" i="13"/>
  <c r="I217" i="13"/>
  <c r="G218" i="13"/>
  <c r="H218" i="13"/>
  <c r="I218" i="13"/>
  <c r="G219" i="13"/>
  <c r="H219" i="13"/>
  <c r="I219" i="13"/>
  <c r="G220" i="13"/>
  <c r="H220" i="13"/>
  <c r="I220" i="13"/>
  <c r="G221" i="13"/>
  <c r="H221" i="13"/>
  <c r="I221" i="13"/>
  <c r="G222" i="13"/>
  <c r="H222" i="13"/>
  <c r="I222" i="13"/>
  <c r="G223" i="13"/>
  <c r="H223" i="13"/>
  <c r="I223" i="13"/>
  <c r="G224" i="13"/>
  <c r="H224" i="13"/>
  <c r="I224" i="13"/>
  <c r="G225" i="13"/>
  <c r="H225" i="13"/>
  <c r="I225" i="13"/>
  <c r="G226" i="13"/>
  <c r="H226" i="13"/>
  <c r="I226" i="13"/>
  <c r="G227" i="13"/>
  <c r="H227" i="13"/>
  <c r="I227" i="13"/>
  <c r="G228" i="13"/>
  <c r="H228" i="13"/>
  <c r="I228" i="13"/>
  <c r="G229" i="13"/>
  <c r="H229" i="13"/>
  <c r="I229" i="13"/>
  <c r="G230" i="13"/>
  <c r="H230" i="13"/>
  <c r="I230" i="13"/>
  <c r="G231" i="13"/>
  <c r="H231" i="13"/>
  <c r="I231" i="13"/>
  <c r="G232" i="13"/>
  <c r="H232" i="13"/>
  <c r="I232" i="13"/>
  <c r="G233" i="13"/>
  <c r="H233" i="13"/>
  <c r="I233" i="13"/>
  <c r="G234" i="13"/>
  <c r="H234" i="13"/>
  <c r="I234" i="13"/>
  <c r="G235" i="13"/>
  <c r="H235" i="13"/>
  <c r="I235" i="13"/>
  <c r="G236" i="13"/>
  <c r="H236" i="13"/>
  <c r="I236" i="13"/>
  <c r="G237" i="13"/>
  <c r="H237" i="13"/>
  <c r="I237" i="13"/>
  <c r="G238" i="13"/>
  <c r="H238" i="13"/>
  <c r="I238" i="13"/>
  <c r="G239" i="13"/>
  <c r="H239" i="13"/>
  <c r="I239" i="13"/>
  <c r="G240" i="13"/>
  <c r="H240" i="13"/>
  <c r="I240" i="13"/>
  <c r="G241" i="13"/>
  <c r="H241" i="13"/>
  <c r="I241" i="13"/>
  <c r="G242" i="13"/>
  <c r="H242" i="13"/>
  <c r="I242" i="13"/>
  <c r="G243" i="13"/>
  <c r="H243" i="13"/>
  <c r="I243" i="13"/>
  <c r="G244" i="13"/>
  <c r="H244" i="13"/>
  <c r="I244" i="13"/>
  <c r="G245" i="13"/>
  <c r="H245" i="13"/>
  <c r="I245" i="13"/>
  <c r="G246" i="13"/>
  <c r="H246" i="13"/>
  <c r="I246" i="13"/>
  <c r="G247" i="13"/>
  <c r="H247" i="13"/>
  <c r="I247" i="13"/>
  <c r="G248" i="13"/>
  <c r="H248" i="13"/>
  <c r="I248" i="13"/>
  <c r="G249" i="13"/>
  <c r="H249" i="13"/>
  <c r="I249" i="13"/>
  <c r="G250" i="13"/>
  <c r="H250" i="13"/>
  <c r="I250" i="13"/>
  <c r="G251" i="13"/>
  <c r="H251" i="13"/>
  <c r="I251" i="13"/>
  <c r="G252" i="13"/>
  <c r="H252" i="13"/>
  <c r="I252" i="13"/>
  <c r="G253" i="13"/>
  <c r="H253" i="13"/>
  <c r="I253" i="13"/>
  <c r="G254" i="13"/>
  <c r="H254" i="13"/>
  <c r="I254" i="13"/>
  <c r="G255" i="13"/>
  <c r="H255" i="13"/>
  <c r="I255" i="13"/>
  <c r="G256" i="13"/>
  <c r="H256" i="13"/>
  <c r="I256" i="13"/>
  <c r="G257" i="13"/>
  <c r="H257" i="13"/>
  <c r="I257" i="13"/>
  <c r="G258" i="13"/>
  <c r="H258" i="13"/>
  <c r="I258" i="13"/>
  <c r="G259" i="13"/>
  <c r="H259" i="13"/>
  <c r="I259" i="13"/>
  <c r="G260" i="13"/>
  <c r="H260" i="13"/>
  <c r="I260" i="13"/>
  <c r="G261" i="13"/>
  <c r="H261" i="13"/>
  <c r="I261" i="13"/>
  <c r="G262" i="13"/>
  <c r="H262" i="13"/>
  <c r="I262" i="13"/>
  <c r="G263" i="13"/>
  <c r="H263" i="13"/>
  <c r="I263" i="13"/>
  <c r="G264" i="13"/>
  <c r="H264" i="13"/>
  <c r="I264" i="13"/>
  <c r="G265" i="13"/>
  <c r="H265" i="13"/>
  <c r="I265" i="13"/>
  <c r="G266" i="13"/>
  <c r="H266" i="13"/>
  <c r="I266" i="13"/>
  <c r="G267" i="13"/>
  <c r="H267" i="13"/>
  <c r="I267" i="13"/>
  <c r="G268" i="13"/>
  <c r="H268" i="13"/>
  <c r="I268" i="13"/>
  <c r="G269" i="13"/>
  <c r="H269" i="13"/>
  <c r="I269" i="13"/>
  <c r="G270" i="13"/>
  <c r="H270" i="13"/>
  <c r="I270" i="13"/>
  <c r="G271" i="13"/>
  <c r="H271" i="13"/>
  <c r="I271" i="13"/>
  <c r="G272" i="13"/>
  <c r="H272" i="13"/>
  <c r="I272" i="13"/>
  <c r="G273" i="13"/>
  <c r="H273" i="13"/>
  <c r="I273" i="13"/>
  <c r="G274" i="13"/>
  <c r="H274" i="13"/>
  <c r="I274" i="13"/>
  <c r="G275" i="13"/>
  <c r="H275" i="13"/>
  <c r="I275" i="13"/>
  <c r="G276" i="13"/>
  <c r="H276" i="13"/>
  <c r="I276" i="13"/>
  <c r="G277" i="13"/>
  <c r="H277" i="13"/>
  <c r="I277" i="13"/>
  <c r="G278" i="13"/>
  <c r="H278" i="13"/>
  <c r="I278" i="13"/>
  <c r="G279" i="13"/>
  <c r="H279" i="13"/>
  <c r="I279" i="13"/>
  <c r="G280" i="13"/>
  <c r="H280" i="13"/>
  <c r="I280" i="13"/>
  <c r="G281" i="13"/>
  <c r="H281" i="13"/>
  <c r="I281" i="13"/>
  <c r="G282" i="13"/>
  <c r="H282" i="13"/>
  <c r="I282" i="13"/>
  <c r="G283" i="13"/>
  <c r="H283" i="13"/>
  <c r="I283" i="13"/>
  <c r="G284" i="13"/>
  <c r="H284" i="13"/>
  <c r="I284" i="13"/>
  <c r="G285" i="13"/>
  <c r="H285" i="13"/>
  <c r="I285" i="13"/>
  <c r="G286" i="13"/>
  <c r="H286" i="13"/>
  <c r="I286" i="13"/>
  <c r="G287" i="13"/>
  <c r="H287" i="13"/>
  <c r="I287" i="13"/>
  <c r="G288" i="13"/>
  <c r="H288" i="13"/>
  <c r="I288" i="13"/>
  <c r="G289" i="13"/>
  <c r="H289" i="13"/>
  <c r="I289" i="13"/>
  <c r="G290" i="13"/>
  <c r="H290" i="13"/>
  <c r="I290" i="13"/>
  <c r="G291" i="13"/>
  <c r="H291" i="13"/>
  <c r="I291" i="13"/>
  <c r="G292" i="13"/>
  <c r="H292" i="13"/>
  <c r="I292" i="13"/>
  <c r="G293" i="13"/>
  <c r="H293" i="13"/>
  <c r="I293" i="13"/>
  <c r="G294" i="13"/>
  <c r="H294" i="13"/>
  <c r="I294" i="13"/>
  <c r="G295" i="13"/>
  <c r="H295" i="13"/>
  <c r="I295" i="13"/>
  <c r="G296" i="13"/>
  <c r="H296" i="13"/>
  <c r="I296" i="13"/>
  <c r="G297" i="13"/>
  <c r="H297" i="13"/>
  <c r="I297" i="13"/>
  <c r="G298" i="13"/>
  <c r="H298" i="13"/>
  <c r="I298" i="13"/>
  <c r="G299" i="13"/>
  <c r="H299" i="13"/>
  <c r="I299" i="13"/>
  <c r="G300" i="13"/>
  <c r="H300" i="13"/>
  <c r="I300" i="13"/>
  <c r="G301" i="13"/>
  <c r="H301" i="13"/>
  <c r="I301" i="13"/>
  <c r="G302" i="13"/>
  <c r="H302" i="13"/>
  <c r="I302" i="13"/>
  <c r="G303" i="13"/>
  <c r="H303" i="13"/>
  <c r="I303" i="13"/>
  <c r="G304" i="13"/>
  <c r="H304" i="13"/>
  <c r="I304" i="13"/>
  <c r="G305" i="13"/>
  <c r="H305" i="13"/>
  <c r="I305" i="13"/>
  <c r="G306" i="13"/>
  <c r="H306" i="13"/>
  <c r="I306" i="13"/>
  <c r="G307" i="13"/>
  <c r="H307" i="13"/>
  <c r="I307" i="13"/>
  <c r="G308" i="13"/>
  <c r="H308" i="13"/>
  <c r="I308" i="13"/>
  <c r="G309" i="13"/>
  <c r="H309" i="13"/>
  <c r="I309" i="13"/>
  <c r="G310" i="13"/>
  <c r="H310" i="13"/>
  <c r="I310" i="13"/>
  <c r="G311" i="13"/>
  <c r="H311" i="13"/>
  <c r="I311" i="13"/>
  <c r="G312" i="13"/>
  <c r="H312" i="13"/>
  <c r="I312" i="13"/>
  <c r="G313" i="13"/>
  <c r="H313" i="13"/>
  <c r="I313" i="13"/>
  <c r="G314" i="13"/>
  <c r="H314" i="13"/>
  <c r="I314" i="13"/>
  <c r="G315" i="13"/>
  <c r="H315" i="13"/>
  <c r="I315" i="13"/>
  <c r="G316" i="13"/>
  <c r="H316" i="13"/>
  <c r="I316" i="13"/>
  <c r="G317" i="13"/>
  <c r="H317" i="13"/>
  <c r="I317" i="13"/>
  <c r="G318" i="13"/>
  <c r="H318" i="13"/>
  <c r="I318" i="13"/>
  <c r="G319" i="13"/>
  <c r="H319" i="13"/>
  <c r="I319" i="13"/>
  <c r="G320" i="13"/>
  <c r="H320" i="13"/>
  <c r="I320" i="13"/>
  <c r="G321" i="13"/>
  <c r="H321" i="13"/>
  <c r="I321" i="13"/>
  <c r="G322" i="13"/>
  <c r="H322" i="13"/>
  <c r="I322" i="13"/>
  <c r="G323" i="13"/>
  <c r="H323" i="13"/>
  <c r="I323" i="13"/>
  <c r="G324" i="13"/>
  <c r="H324" i="13"/>
  <c r="I324" i="13"/>
  <c r="G325" i="13"/>
  <c r="H325" i="13"/>
  <c r="I325" i="13"/>
  <c r="G326" i="13"/>
  <c r="H326" i="13"/>
  <c r="I326" i="13"/>
  <c r="G327" i="13"/>
  <c r="H327" i="13"/>
  <c r="I327" i="13"/>
  <c r="G328" i="13"/>
  <c r="H328" i="13"/>
  <c r="I328" i="13"/>
  <c r="G329" i="13"/>
  <c r="H329" i="13"/>
  <c r="I329" i="13"/>
  <c r="G330" i="13"/>
  <c r="H330" i="13"/>
  <c r="I330" i="13"/>
  <c r="G331" i="13"/>
  <c r="H331" i="13"/>
  <c r="I331" i="13"/>
  <c r="G332" i="13"/>
  <c r="H332" i="13"/>
  <c r="I332" i="13"/>
  <c r="G333" i="13"/>
  <c r="H333" i="13"/>
  <c r="I333" i="13"/>
  <c r="G334" i="13"/>
  <c r="H334" i="13"/>
  <c r="I334" i="13"/>
  <c r="G335" i="13"/>
  <c r="H335" i="13"/>
  <c r="I335" i="13"/>
  <c r="G336" i="13"/>
  <c r="H336" i="13"/>
  <c r="I336" i="13"/>
  <c r="G337" i="13"/>
  <c r="H337" i="13"/>
  <c r="I337" i="13"/>
  <c r="G338" i="13"/>
  <c r="H338" i="13"/>
  <c r="I338" i="13"/>
  <c r="G339" i="13"/>
  <c r="H339" i="13"/>
  <c r="I339" i="13"/>
  <c r="G340" i="13"/>
  <c r="H340" i="13"/>
  <c r="I340" i="13"/>
  <c r="G341" i="13"/>
  <c r="H341" i="13"/>
  <c r="I341" i="13"/>
  <c r="G342" i="13"/>
  <c r="H342" i="13"/>
  <c r="I342" i="13"/>
  <c r="G343" i="13"/>
  <c r="H343" i="13"/>
  <c r="I343" i="13"/>
  <c r="G344" i="13"/>
  <c r="H344" i="13"/>
  <c r="I344" i="13"/>
  <c r="G345" i="13"/>
  <c r="H345" i="13"/>
  <c r="I345" i="13"/>
  <c r="G346" i="13"/>
  <c r="H346" i="13"/>
  <c r="I346" i="13"/>
  <c r="G347" i="13"/>
  <c r="H347" i="13"/>
  <c r="I347" i="13"/>
  <c r="G348" i="13"/>
  <c r="H348" i="13"/>
  <c r="I348" i="13"/>
  <c r="G349" i="13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96" i="10"/>
  <c r="B96" i="10"/>
  <c r="C96" i="10"/>
  <c r="A97" i="10"/>
  <c r="B97" i="10"/>
  <c r="C97" i="10"/>
  <c r="A98" i="10"/>
  <c r="B98" i="10"/>
  <c r="C98" i="10"/>
  <c r="A99" i="10"/>
  <c r="B99" i="10"/>
  <c r="C99" i="10"/>
  <c r="A100" i="10"/>
  <c r="B100" i="10"/>
  <c r="C100" i="10"/>
  <c r="A101" i="10"/>
  <c r="B101" i="10"/>
  <c r="C101" i="10"/>
  <c r="A102" i="10"/>
  <c r="B102" i="10"/>
  <c r="C102" i="10"/>
  <c r="A103" i="10"/>
  <c r="B103" i="10"/>
  <c r="C103" i="10"/>
  <c r="A104" i="10"/>
  <c r="B104" i="10"/>
  <c r="C104" i="10"/>
  <c r="A105" i="10"/>
  <c r="B105" i="10"/>
  <c r="C105" i="10"/>
  <c r="A106" i="10"/>
  <c r="B106" i="10"/>
  <c r="C106" i="10"/>
  <c r="A107" i="10"/>
  <c r="B107" i="10"/>
  <c r="C107" i="10"/>
  <c r="A108" i="10"/>
  <c r="B108" i="10"/>
  <c r="C108" i="10"/>
  <c r="A109" i="10"/>
  <c r="B109" i="10"/>
  <c r="C109" i="10"/>
  <c r="A110" i="10"/>
  <c r="B110" i="10"/>
  <c r="C110" i="10"/>
  <c r="A111" i="10"/>
  <c r="B111" i="10"/>
  <c r="C111" i="10"/>
  <c r="A112" i="10"/>
  <c r="B112" i="10"/>
  <c r="C112" i="10"/>
  <c r="A113" i="10"/>
  <c r="B113" i="10"/>
  <c r="C113" i="10"/>
  <c r="A114" i="10"/>
  <c r="B114" i="10"/>
  <c r="C114" i="10"/>
  <c r="A115" i="10"/>
  <c r="B115" i="10"/>
  <c r="C115" i="10"/>
  <c r="A116" i="10"/>
  <c r="B116" i="10"/>
  <c r="C116" i="10"/>
  <c r="A117" i="10"/>
  <c r="B117" i="10"/>
  <c r="C117" i="10"/>
  <c r="A118" i="10"/>
  <c r="B118" i="10"/>
  <c r="C118" i="10"/>
  <c r="A119" i="10"/>
  <c r="B119" i="10"/>
  <c r="C119" i="10"/>
  <c r="A120" i="10"/>
  <c r="B120" i="10"/>
  <c r="C120" i="10"/>
  <c r="A121" i="10"/>
  <c r="B121" i="10"/>
  <c r="C121" i="10"/>
  <c r="A122" i="10"/>
  <c r="B122" i="10"/>
  <c r="C122" i="10"/>
  <c r="A123" i="10"/>
  <c r="B123" i="10"/>
  <c r="C123" i="10"/>
  <c r="A124" i="10"/>
  <c r="B124" i="10"/>
  <c r="C124" i="10"/>
  <c r="A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B129" i="10"/>
  <c r="C129" i="10"/>
  <c r="A130" i="10"/>
  <c r="B130" i="10"/>
  <c r="C130" i="10"/>
  <c r="A131" i="10"/>
  <c r="B131" i="10"/>
  <c r="C131" i="10"/>
  <c r="A132" i="10"/>
  <c r="B132" i="10"/>
  <c r="C132" i="10"/>
  <c r="A133" i="10"/>
  <c r="B133" i="10"/>
  <c r="C133" i="10"/>
  <c r="A134" i="10"/>
  <c r="B134" i="10"/>
  <c r="C134" i="10"/>
  <c r="A135" i="10"/>
  <c r="B135" i="10"/>
  <c r="C135" i="10"/>
  <c r="A136" i="10"/>
  <c r="B136" i="10"/>
  <c r="C136" i="10"/>
  <c r="A137" i="10"/>
  <c r="B137" i="10"/>
  <c r="C137" i="10"/>
  <c r="A138" i="10"/>
  <c r="B138" i="10"/>
  <c r="C138" i="10"/>
  <c r="A139" i="10"/>
  <c r="B139" i="10"/>
  <c r="C139" i="10"/>
  <c r="A140" i="10"/>
  <c r="B140" i="10"/>
  <c r="C140" i="10"/>
  <c r="A141" i="10"/>
  <c r="B141" i="10"/>
  <c r="C141" i="10"/>
  <c r="A142" i="10"/>
  <c r="B142" i="10"/>
  <c r="C142" i="10"/>
  <c r="A143" i="10"/>
  <c r="B143" i="10"/>
  <c r="C143" i="10"/>
  <c r="A144" i="10"/>
  <c r="B144" i="10"/>
  <c r="C144" i="10"/>
  <c r="A145" i="10"/>
  <c r="B145" i="10"/>
  <c r="C145" i="10"/>
  <c r="A146" i="10"/>
  <c r="B146" i="10"/>
  <c r="C146" i="10"/>
  <c r="A147" i="10"/>
  <c r="B147" i="10"/>
  <c r="C147" i="10"/>
  <c r="A148" i="10"/>
  <c r="B148" i="10"/>
  <c r="C148" i="10"/>
  <c r="A149" i="10"/>
  <c r="B149" i="10"/>
  <c r="C149" i="10"/>
  <c r="A150" i="10"/>
  <c r="B150" i="10"/>
  <c r="C150" i="10"/>
  <c r="A151" i="10"/>
  <c r="B151" i="10"/>
  <c r="C151" i="10"/>
  <c r="A152" i="10"/>
  <c r="B152" i="10"/>
  <c r="C152" i="10"/>
  <c r="A153" i="10"/>
  <c r="B153" i="10"/>
  <c r="C153" i="10"/>
  <c r="A154" i="10"/>
  <c r="B154" i="10"/>
  <c r="C154" i="10"/>
  <c r="A155" i="10"/>
  <c r="B155" i="10"/>
  <c r="C155" i="10"/>
  <c r="A156" i="10"/>
  <c r="B156" i="10"/>
  <c r="C156" i="10"/>
  <c r="A157" i="10"/>
  <c r="B157" i="10"/>
  <c r="C157" i="10"/>
  <c r="A158" i="10"/>
  <c r="B158" i="10"/>
  <c r="C158" i="10"/>
  <c r="A159" i="10"/>
  <c r="B159" i="10"/>
  <c r="C159" i="10"/>
  <c r="A160" i="10"/>
  <c r="B160" i="10"/>
  <c r="C160" i="10"/>
  <c r="A161" i="10"/>
  <c r="B161" i="10"/>
  <c r="C161" i="10"/>
  <c r="A162" i="10"/>
  <c r="B162" i="10"/>
  <c r="C162" i="10"/>
  <c r="A163" i="10"/>
  <c r="B163" i="10"/>
  <c r="C163" i="10"/>
  <c r="A164" i="10"/>
  <c r="B164" i="10"/>
  <c r="C164" i="10"/>
  <c r="A165" i="10"/>
  <c r="B165" i="10"/>
  <c r="C165" i="10"/>
  <c r="A166" i="10"/>
  <c r="B166" i="10"/>
  <c r="C166" i="10"/>
  <c r="A167" i="10"/>
  <c r="B167" i="10"/>
  <c r="C167" i="10"/>
  <c r="A168" i="10"/>
  <c r="B168" i="10"/>
  <c r="C168" i="10"/>
  <c r="A169" i="10"/>
  <c r="B169" i="10"/>
  <c r="C169" i="10"/>
  <c r="A170" i="10"/>
  <c r="B170" i="10"/>
  <c r="C170" i="10"/>
  <c r="A171" i="10"/>
  <c r="B171" i="10"/>
  <c r="C171" i="10"/>
  <c r="A172" i="10"/>
  <c r="B172" i="10"/>
  <c r="C172" i="10"/>
  <c r="A173" i="10"/>
  <c r="B173" i="10"/>
  <c r="C173" i="10"/>
  <c r="A174" i="10"/>
  <c r="B174" i="10"/>
  <c r="C174" i="10"/>
  <c r="A175" i="10"/>
  <c r="B175" i="10"/>
  <c r="C175" i="10"/>
  <c r="A176" i="10"/>
  <c r="B176" i="10"/>
  <c r="C176" i="10"/>
  <c r="A177" i="10"/>
  <c r="B177" i="10"/>
  <c r="C177" i="10"/>
  <c r="A178" i="10"/>
  <c r="B178" i="10"/>
  <c r="C178" i="10"/>
  <c r="A179" i="10"/>
  <c r="B179" i="10"/>
  <c r="C179" i="10"/>
  <c r="A180" i="10"/>
  <c r="B180" i="10"/>
  <c r="C180" i="10"/>
  <c r="A181" i="10"/>
  <c r="B181" i="10"/>
  <c r="C181" i="10"/>
  <c r="A182" i="10"/>
  <c r="B182" i="10"/>
  <c r="C182" i="10"/>
  <c r="A183" i="10"/>
  <c r="B183" i="10"/>
  <c r="C183" i="10"/>
  <c r="A184" i="10"/>
  <c r="B184" i="10"/>
  <c r="C184" i="10"/>
  <c r="A185" i="10"/>
  <c r="B185" i="10"/>
  <c r="C185" i="10"/>
  <c r="A186" i="10"/>
  <c r="B186" i="10"/>
  <c r="C186" i="10"/>
  <c r="A187" i="10"/>
  <c r="B187" i="10"/>
  <c r="C187" i="10"/>
  <c r="A188" i="10"/>
  <c r="B188" i="10"/>
  <c r="C188" i="10"/>
  <c r="A189" i="10"/>
  <c r="B189" i="10"/>
  <c r="C189" i="10"/>
  <c r="A190" i="10"/>
  <c r="B190" i="10"/>
  <c r="C190" i="10"/>
  <c r="A191" i="10"/>
  <c r="B191" i="10"/>
  <c r="C191" i="10"/>
  <c r="A192" i="10"/>
  <c r="B192" i="10"/>
  <c r="C192" i="10"/>
  <c r="A193" i="10"/>
  <c r="B193" i="10"/>
  <c r="C193" i="10"/>
  <c r="A194" i="10"/>
  <c r="B194" i="10"/>
  <c r="C194" i="10"/>
  <c r="A195" i="10"/>
  <c r="B195" i="10"/>
  <c r="C195" i="10"/>
  <c r="A196" i="10"/>
  <c r="B196" i="10"/>
  <c r="C196" i="10"/>
  <c r="A197" i="10"/>
  <c r="B197" i="10"/>
  <c r="C197" i="10"/>
  <c r="A198" i="10"/>
  <c r="B198" i="10"/>
  <c r="C198" i="10"/>
  <c r="A199" i="10"/>
  <c r="B199" i="10"/>
  <c r="C199" i="10"/>
  <c r="A200" i="10"/>
  <c r="B200" i="10"/>
  <c r="C200" i="10"/>
  <c r="A201" i="10"/>
  <c r="B201" i="10"/>
  <c r="C201" i="10"/>
  <c r="A202" i="10"/>
  <c r="B202" i="10"/>
  <c r="C202" i="10"/>
  <c r="A203" i="10"/>
  <c r="B203" i="10"/>
  <c r="C203" i="10"/>
  <c r="A204" i="10"/>
  <c r="B204" i="10"/>
  <c r="C204" i="10"/>
  <c r="A205" i="10"/>
  <c r="B205" i="10"/>
  <c r="C205" i="10"/>
  <c r="A206" i="10"/>
  <c r="B206" i="10"/>
  <c r="C206" i="10"/>
  <c r="A207" i="10"/>
  <c r="B207" i="10"/>
  <c r="C207" i="10"/>
  <c r="A208" i="10"/>
  <c r="B208" i="10"/>
  <c r="C208" i="10"/>
  <c r="A209" i="10"/>
  <c r="B209" i="10"/>
  <c r="C209" i="10"/>
  <c r="A210" i="10"/>
  <c r="B210" i="10"/>
  <c r="C210" i="10"/>
  <c r="A211" i="10"/>
  <c r="B211" i="10"/>
  <c r="C211" i="10"/>
  <c r="A212" i="10"/>
  <c r="B212" i="10"/>
  <c r="C212" i="10"/>
  <c r="A213" i="10"/>
  <c r="B213" i="10"/>
  <c r="C213" i="10"/>
  <c r="A214" i="10"/>
  <c r="B214" i="10"/>
  <c r="C214" i="10"/>
  <c r="A215" i="10"/>
  <c r="B215" i="10"/>
  <c r="C215" i="10"/>
  <c r="A216" i="10"/>
  <c r="B216" i="10"/>
  <c r="C216" i="10"/>
  <c r="A217" i="10"/>
  <c r="B217" i="10"/>
  <c r="C217" i="10"/>
  <c r="A218" i="10"/>
  <c r="B218" i="10"/>
  <c r="C218" i="10"/>
  <c r="A219" i="10"/>
  <c r="B219" i="10"/>
  <c r="C219" i="10"/>
  <c r="A220" i="10"/>
  <c r="B220" i="10"/>
  <c r="C220" i="10"/>
  <c r="A221" i="10"/>
  <c r="B221" i="10"/>
  <c r="C221" i="10"/>
  <c r="A222" i="10"/>
  <c r="B222" i="10"/>
  <c r="C222" i="10"/>
  <c r="A223" i="10"/>
  <c r="B223" i="10"/>
  <c r="C223" i="10"/>
  <c r="A224" i="10"/>
  <c r="B224" i="10"/>
  <c r="C224" i="10"/>
  <c r="A225" i="10"/>
  <c r="B225" i="10"/>
  <c r="C225" i="10"/>
  <c r="A226" i="10"/>
  <c r="B226" i="10"/>
  <c r="C226" i="10"/>
  <c r="A227" i="10"/>
  <c r="B227" i="10"/>
  <c r="C227" i="10"/>
  <c r="A228" i="10"/>
  <c r="B228" i="10"/>
  <c r="C228" i="10"/>
  <c r="A229" i="10"/>
  <c r="B229" i="10"/>
  <c r="C229" i="10"/>
  <c r="A230" i="10"/>
  <c r="B230" i="10"/>
  <c r="C230" i="10"/>
  <c r="A231" i="10"/>
  <c r="B231" i="10"/>
  <c r="C231" i="10"/>
  <c r="A232" i="10"/>
  <c r="B232" i="10"/>
  <c r="C232" i="10"/>
  <c r="A233" i="10"/>
  <c r="B233" i="10"/>
  <c r="C233" i="10"/>
  <c r="A234" i="10"/>
  <c r="B234" i="10"/>
  <c r="C234" i="10"/>
  <c r="A235" i="10"/>
  <c r="B235" i="10"/>
  <c r="C235" i="10"/>
  <c r="A236" i="10"/>
  <c r="B236" i="10"/>
  <c r="C236" i="10"/>
  <c r="A237" i="10"/>
  <c r="B237" i="10"/>
  <c r="C237" i="10"/>
  <c r="A238" i="10"/>
  <c r="B238" i="10"/>
  <c r="C238" i="10"/>
  <c r="A239" i="10"/>
  <c r="B239" i="10"/>
  <c r="C239" i="10"/>
  <c r="A240" i="10"/>
  <c r="B240" i="10"/>
  <c r="C240" i="10"/>
  <c r="A241" i="10"/>
  <c r="B241" i="10"/>
  <c r="C241" i="10"/>
  <c r="A242" i="10"/>
  <c r="B242" i="10"/>
  <c r="C242" i="10"/>
  <c r="A243" i="10"/>
  <c r="B243" i="10"/>
  <c r="C243" i="10"/>
  <c r="A244" i="10"/>
  <c r="B244" i="10"/>
  <c r="C244" i="10"/>
  <c r="A245" i="10"/>
  <c r="B245" i="10"/>
  <c r="C245" i="10"/>
  <c r="A246" i="10"/>
  <c r="B246" i="10"/>
  <c r="C246" i="10"/>
  <c r="A247" i="10"/>
  <c r="B247" i="10"/>
  <c r="C247" i="10"/>
  <c r="A248" i="10"/>
  <c r="B248" i="10"/>
  <c r="C248" i="10"/>
  <c r="A249" i="10"/>
  <c r="B249" i="10"/>
  <c r="C249" i="10"/>
  <c r="A250" i="10"/>
  <c r="B250" i="10"/>
  <c r="C250" i="10"/>
  <c r="A251" i="10"/>
  <c r="B251" i="10"/>
  <c r="C251" i="10"/>
  <c r="A252" i="10"/>
  <c r="B252" i="10"/>
  <c r="C252" i="10"/>
  <c r="A253" i="10"/>
  <c r="B253" i="10"/>
  <c r="C253" i="10"/>
  <c r="A254" i="10"/>
  <c r="B254" i="10"/>
  <c r="C254" i="10"/>
  <c r="A255" i="10"/>
  <c r="B255" i="10"/>
  <c r="C255" i="10"/>
  <c r="A256" i="10"/>
  <c r="B256" i="10"/>
  <c r="C256" i="10"/>
  <c r="A257" i="10"/>
  <c r="B257" i="10"/>
  <c r="C257" i="10"/>
  <c r="A258" i="10"/>
  <c r="B258" i="10"/>
  <c r="C258" i="10"/>
  <c r="A259" i="10"/>
  <c r="B259" i="10"/>
  <c r="C259" i="10"/>
  <c r="A260" i="10"/>
  <c r="B260" i="10"/>
  <c r="C260" i="10"/>
  <c r="A261" i="10"/>
  <c r="B261" i="10"/>
  <c r="C261" i="10"/>
  <c r="A262" i="10"/>
  <c r="B262" i="10"/>
  <c r="C262" i="10"/>
  <c r="A263" i="10"/>
  <c r="B263" i="10"/>
  <c r="C263" i="10"/>
  <c r="A264" i="10"/>
  <c r="B264" i="10"/>
  <c r="C264" i="10"/>
  <c r="A265" i="10"/>
  <c r="B265" i="10"/>
  <c r="C265" i="10"/>
  <c r="A266" i="10"/>
  <c r="B266" i="10"/>
  <c r="C266" i="10"/>
  <c r="A267" i="10"/>
  <c r="B267" i="10"/>
  <c r="C267" i="10"/>
  <c r="A268" i="10"/>
  <c r="B268" i="10"/>
  <c r="C268" i="10"/>
  <c r="A269" i="10"/>
  <c r="B269" i="10"/>
  <c r="C269" i="10"/>
  <c r="A270" i="10"/>
  <c r="B270" i="10"/>
  <c r="C270" i="10"/>
  <c r="A271" i="10"/>
  <c r="B271" i="10"/>
  <c r="C271" i="10"/>
  <c r="A272" i="10"/>
  <c r="B272" i="10"/>
  <c r="C272" i="10"/>
  <c r="A273" i="10"/>
  <c r="B273" i="10"/>
  <c r="C273" i="10"/>
  <c r="A274" i="10"/>
  <c r="B274" i="10"/>
  <c r="C274" i="10"/>
  <c r="A275" i="10"/>
  <c r="B275" i="10"/>
  <c r="C275" i="10"/>
  <c r="A276" i="10"/>
  <c r="B276" i="10"/>
  <c r="C276" i="10"/>
  <c r="A277" i="10"/>
  <c r="B277" i="10"/>
  <c r="C277" i="10"/>
  <c r="A278" i="10"/>
  <c r="B278" i="10"/>
  <c r="C278" i="10"/>
  <c r="A279" i="10"/>
  <c r="B279" i="10"/>
  <c r="C279" i="10"/>
  <c r="A280" i="10"/>
  <c r="B280" i="10"/>
  <c r="C280" i="10"/>
  <c r="A281" i="10"/>
  <c r="B281" i="10"/>
  <c r="C281" i="10"/>
  <c r="A282" i="10"/>
  <c r="B282" i="10"/>
  <c r="C282" i="10"/>
  <c r="A283" i="10"/>
  <c r="B283" i="10"/>
  <c r="C283" i="10"/>
  <c r="A284" i="10"/>
  <c r="B284" i="10"/>
  <c r="C284" i="10"/>
  <c r="A285" i="10"/>
  <c r="B285" i="10"/>
  <c r="C285" i="10"/>
  <c r="A286" i="10"/>
  <c r="B286" i="10"/>
  <c r="C286" i="10"/>
  <c r="A287" i="10"/>
  <c r="B287" i="10"/>
  <c r="C287" i="10"/>
  <c r="A288" i="10"/>
  <c r="B288" i="10"/>
  <c r="C288" i="10"/>
  <c r="A289" i="10"/>
  <c r="B289" i="10"/>
  <c r="C289" i="10"/>
  <c r="A290" i="10"/>
  <c r="B290" i="10"/>
  <c r="C290" i="10"/>
  <c r="A291" i="10"/>
  <c r="B291" i="10"/>
  <c r="C291" i="10"/>
  <c r="A292" i="10"/>
  <c r="B292" i="10"/>
  <c r="C292" i="10"/>
  <c r="A293" i="10"/>
  <c r="B293" i="10"/>
  <c r="C293" i="10"/>
  <c r="A294" i="10"/>
  <c r="B294" i="10"/>
  <c r="C294" i="10"/>
  <c r="A295" i="10"/>
  <c r="B295" i="10"/>
  <c r="C295" i="10"/>
  <c r="A296" i="10"/>
  <c r="B296" i="10"/>
  <c r="C296" i="10"/>
  <c r="A297" i="10"/>
  <c r="B297" i="10"/>
  <c r="C297" i="10"/>
  <c r="A298" i="10"/>
  <c r="B298" i="10"/>
  <c r="C298" i="10"/>
  <c r="A299" i="10"/>
  <c r="B299" i="10"/>
  <c r="C299" i="10"/>
  <c r="A300" i="10"/>
  <c r="B300" i="10"/>
  <c r="C300" i="10"/>
  <c r="A301" i="10"/>
  <c r="B301" i="10"/>
  <c r="C301" i="10"/>
  <c r="A302" i="10"/>
  <c r="B302" i="10"/>
  <c r="C302" i="10"/>
  <c r="A303" i="10"/>
  <c r="B303" i="10"/>
  <c r="C303" i="10"/>
  <c r="A304" i="10"/>
  <c r="B304" i="10"/>
  <c r="C304" i="10"/>
  <c r="A305" i="10"/>
  <c r="B305" i="10"/>
  <c r="C305" i="10"/>
  <c r="A306" i="10"/>
  <c r="B306" i="10"/>
  <c r="C306" i="10"/>
  <c r="A307" i="10"/>
  <c r="B307" i="10"/>
  <c r="C307" i="10"/>
  <c r="A308" i="10"/>
  <c r="B308" i="10"/>
  <c r="C308" i="10"/>
  <c r="A309" i="10"/>
  <c r="B309" i="10"/>
  <c r="C309" i="10"/>
  <c r="A310" i="10"/>
  <c r="B310" i="10"/>
  <c r="C310" i="10"/>
  <c r="A311" i="10"/>
  <c r="B311" i="10"/>
  <c r="C311" i="10"/>
  <c r="A312" i="10"/>
  <c r="B312" i="10"/>
  <c r="C312" i="10"/>
  <c r="A313" i="10"/>
  <c r="B313" i="10"/>
  <c r="C313" i="10"/>
</calcChain>
</file>

<file path=xl/sharedStrings.xml><?xml version="1.0" encoding="utf-8"?>
<sst xmlns="http://schemas.openxmlformats.org/spreadsheetml/2006/main" count="437" uniqueCount="177">
  <si>
    <t>Curve Code</t>
  </si>
  <si>
    <t>Curve Type</t>
  </si>
  <si>
    <t>Book Type</t>
  </si>
  <si>
    <t>Number of Curves to Fetch:</t>
  </si>
  <si>
    <t>Curve Date</t>
  </si>
  <si>
    <t>First Month</t>
  </si>
  <si>
    <t>P</t>
  </si>
  <si>
    <t>PR</t>
  </si>
  <si>
    <t>R</t>
  </si>
  <si>
    <t>AA</t>
  </si>
  <si>
    <t>INT</t>
  </si>
  <si>
    <t>VO</t>
  </si>
  <si>
    <t>NG</t>
  </si>
  <si>
    <t>D</t>
  </si>
  <si>
    <t>I</t>
  </si>
  <si>
    <t>SHIPPING COST PER LOADED  MMBTU</t>
  </si>
  <si>
    <t>SUPPLY</t>
  </si>
  <si>
    <t>QATAR</t>
  </si>
  <si>
    <t>DEMAND</t>
  </si>
  <si>
    <t>ELBA</t>
  </si>
  <si>
    <t>ROUTE</t>
  </si>
  <si>
    <t>VESSEL</t>
  </si>
  <si>
    <t>HG</t>
  </si>
  <si>
    <t>EXMAR</t>
  </si>
  <si>
    <t>DESCRIPTION</t>
  </si>
  <si>
    <t>SHIP SPECIFICATIONS</t>
  </si>
  <si>
    <t>SHIP--------------------------&gt;</t>
  </si>
  <si>
    <t>LAKE CHARLES</t>
  </si>
  <si>
    <t>CABOT</t>
  </si>
  <si>
    <t>COVE POINT</t>
  </si>
  <si>
    <t>SPAIN</t>
  </si>
  <si>
    <t>SPECS</t>
  </si>
  <si>
    <t>UOM</t>
  </si>
  <si>
    <t>MMBTU</t>
  </si>
  <si>
    <t>IF-HEHUB</t>
  </si>
  <si>
    <t>NAUTICAL MILES</t>
  </si>
  <si>
    <t>LOADED MMBTU PER DAY</t>
  </si>
  <si>
    <t>MILES</t>
  </si>
  <si>
    <t>SUEZ</t>
  </si>
  <si>
    <t>BARCELONA</t>
  </si>
  <si>
    <t>ALGERIA</t>
  </si>
  <si>
    <t>VENEZUELA</t>
  </si>
  <si>
    <t>CAPACITY mmbtu</t>
  </si>
  <si>
    <t>SPEED mph</t>
  </si>
  <si>
    <t>MPH</t>
  </si>
  <si>
    <t>SPEED mpd</t>
  </si>
  <si>
    <t>MPD</t>
  </si>
  <si>
    <t>DAILY</t>
  </si>
  <si>
    <t>BOILOFF-PORTDAY</t>
  </si>
  <si>
    <t>LOADING</t>
  </si>
  <si>
    <t>DAYS</t>
  </si>
  <si>
    <t>UNLOADING</t>
  </si>
  <si>
    <t>SUEZ TRANSIT (RT)</t>
  </si>
  <si>
    <t>BUNKERS-LOADED</t>
  </si>
  <si>
    <t>BUNKERS-BALLAST</t>
  </si>
  <si>
    <t>BUNKERS-PORT</t>
  </si>
  <si>
    <t>BOILOFF AS FUEL</t>
  </si>
  <si>
    <t>YES/NO</t>
  </si>
  <si>
    <t>YES</t>
  </si>
  <si>
    <t>BOILOFF TO BUNKER</t>
  </si>
  <si>
    <t>TONNE/M3</t>
  </si>
  <si>
    <t>SHIP UTILIZATION</t>
  </si>
  <si>
    <t>RATE</t>
  </si>
  <si>
    <t>CPI ESCALATION</t>
  </si>
  <si>
    <t>FIXED CHARTER COST</t>
  </si>
  <si>
    <t>O&amp;M CHARTER COST</t>
  </si>
  <si>
    <t>BOILOFF-LADEN</t>
  </si>
  <si>
    <t>VARIABLE SHIPPING COSTS</t>
  </si>
  <si>
    <t>Tons/Day</t>
  </si>
  <si>
    <t>COSTS</t>
  </si>
  <si>
    <t>BUNKER FUEL COST PER CARGO</t>
  </si>
  <si>
    <t>ROUNDTRIP VOYAGE (DAYS)</t>
  </si>
  <si>
    <t>HSNF</t>
  </si>
  <si>
    <t>Port City</t>
  </si>
  <si>
    <t>PORT CHARGES BY SHIP</t>
  </si>
  <si>
    <t>PUERTO RICO</t>
  </si>
  <si>
    <t xml:space="preserve">  *** INCLUDES:</t>
  </si>
  <si>
    <t>-Import Fees .125%xunloaded</t>
  </si>
  <si>
    <t xml:space="preserve">-LC  .25%xFOB value </t>
  </si>
  <si>
    <t>input--------------&gt;</t>
  </si>
  <si>
    <t>LOADED</t>
  </si>
  <si>
    <t>BOILOFF</t>
  </si>
  <si>
    <t>SALE</t>
  </si>
  <si>
    <t>VOLUMES</t>
  </si>
  <si>
    <t>FUEL &amp;</t>
  </si>
  <si>
    <t>RETURN</t>
  </si>
  <si>
    <t>AVAILABLE</t>
  </si>
  <si>
    <t>FOR</t>
  </si>
  <si>
    <t>Start Date</t>
  </si>
  <si>
    <t>End Date</t>
  </si>
  <si>
    <t>Source</t>
  </si>
  <si>
    <t>Destination</t>
  </si>
  <si>
    <t>Ship</t>
  </si>
  <si>
    <t>Route</t>
  </si>
  <si>
    <t>DOLLARS</t>
  </si>
  <si>
    <t>REVENUE</t>
  </si>
  <si>
    <t>Gas Index</t>
  </si>
  <si>
    <t>Basis</t>
  </si>
  <si>
    <t>Marginal Cost</t>
  </si>
  <si>
    <t>Lake Charles</t>
  </si>
  <si>
    <t>SHIPPING</t>
  </si>
  <si>
    <t>TERMINAL</t>
  </si>
  <si>
    <t>CHARGE</t>
  </si>
  <si>
    <t>FOB</t>
  </si>
  <si>
    <t>COST</t>
  </si>
  <si>
    <t>Elba vs LC</t>
  </si>
  <si>
    <t>INCOME</t>
  </si>
  <si>
    <t>UNLOADED</t>
  </si>
  <si>
    <t>TOTAL</t>
  </si>
  <si>
    <t>LADEN VOYAGE (DAYS)</t>
  </si>
  <si>
    <t>Fuel and Return Gas (% of Unloaded)</t>
  </si>
  <si>
    <t>Fixed Capacity Charge</t>
  </si>
  <si>
    <t>PORT CAPACITY CHARGE AND PROCESSING FEES</t>
  </si>
  <si>
    <t>Escalating Capacity Charge</t>
  </si>
  <si>
    <t>Terminal Processing Fee</t>
  </si>
  <si>
    <t>Terminalling Fee</t>
  </si>
  <si>
    <t>Terminalling Fee Inflation</t>
  </si>
  <si>
    <t>PERCENT</t>
  </si>
  <si>
    <t>OF ELBA</t>
  </si>
  <si>
    <t>CAPACITY</t>
  </si>
  <si>
    <t>OPERATING</t>
  </si>
  <si>
    <t>ALGERIA SUPPLY TO ELBA WITH EXMAR</t>
  </si>
  <si>
    <t>OPEN</t>
  </si>
  <si>
    <t>Annual Capacity (mmbtu)</t>
  </si>
  <si>
    <t>VENEZUELA TO ELBA WITH EXMAR</t>
  </si>
  <si>
    <t>Netback Sharing %</t>
  </si>
  <si>
    <t>FOR SALE</t>
  </si>
  <si>
    <t>VOLUMES (MMBTU)</t>
  </si>
  <si>
    <t>FOR SPOT SALE</t>
  </si>
  <si>
    <t>INCOME SUMMARY</t>
  </si>
  <si>
    <t>NET</t>
  </si>
  <si>
    <t>Utilization Rate</t>
  </si>
  <si>
    <t>PORT NAME</t>
  </si>
  <si>
    <t>ALL IN TERMINAL COST PER UNLOADED MMBTU</t>
  </si>
  <si>
    <t>PV</t>
  </si>
  <si>
    <t>NOTIONAL FUTURE DOLLARS</t>
  </si>
  <si>
    <t>AA LIBOR</t>
  </si>
  <si>
    <t>Discount</t>
  </si>
  <si>
    <t>Percentage</t>
  </si>
  <si>
    <t>Annual</t>
  </si>
  <si>
    <t>Average</t>
  </si>
  <si>
    <t>Month</t>
  </si>
  <si>
    <t>Year</t>
  </si>
  <si>
    <t>Discount Rate Override--------&gt;</t>
  </si>
  <si>
    <t>MAX CAPACITY PER YEAR UNLOADED</t>
  </si>
  <si>
    <t>TOTAL OPEN CAPACITY BY SHIP</t>
  </si>
  <si>
    <t>(DAYS AVAILABLE PER YEAR)</t>
  </si>
  <si>
    <t>HenryHub</t>
  </si>
  <si>
    <t>Price</t>
  </si>
  <si>
    <t>DESCRIPTION2</t>
  </si>
  <si>
    <t>SHIP</t>
  </si>
  <si>
    <t>SOURCE</t>
  </si>
  <si>
    <t>DEST.</t>
  </si>
  <si>
    <t>ALGERIA SUPPLY TO ELBA VIA SUEZ WITH HEOGH GALLEON</t>
  </si>
  <si>
    <t>Elba Island Economics</t>
  </si>
  <si>
    <t>Based on 0% Basis Sharing with Supplier (marginal cost is Lake Charles)</t>
  </si>
  <si>
    <t>Enron LNG Summary</t>
  </si>
  <si>
    <t>Elba</t>
  </si>
  <si>
    <t>Revenue</t>
  </si>
  <si>
    <t>Based on existing Contracts w/ LNG sourcing assumptions</t>
  </si>
  <si>
    <t>Expense</t>
  </si>
  <si>
    <t>used capacity</t>
  </si>
  <si>
    <t>Total</t>
  </si>
  <si>
    <t>Net</t>
  </si>
  <si>
    <t>Margin</t>
  </si>
  <si>
    <t>Undiscounted</t>
  </si>
  <si>
    <t>Open</t>
  </si>
  <si>
    <t>Capacity</t>
  </si>
  <si>
    <t>Exmar</t>
  </si>
  <si>
    <t>days availability</t>
  </si>
  <si>
    <t>mmbtu's</t>
  </si>
  <si>
    <t>Fixed Cost</t>
  </si>
  <si>
    <t>Open Capacity</t>
  </si>
  <si>
    <t>of Open Capacity</t>
  </si>
  <si>
    <r>
      <t>M</t>
    </r>
    <r>
      <rPr>
        <vertAlign val="superscript"/>
        <sz val="11"/>
        <rFont val="Arial"/>
        <family val="2"/>
      </rPr>
      <t>3</t>
    </r>
  </si>
  <si>
    <r>
      <t>CAPACITY m</t>
    </r>
    <r>
      <rPr>
        <b/>
        <vertAlign val="superscript"/>
        <sz val="12"/>
        <rFont val="Arial"/>
        <family val="2"/>
      </rPr>
      <t>3</t>
    </r>
  </si>
  <si>
    <t>OTHER COSTS*** per loaded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</si>
</sst>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0"/>
    <numFmt numFmtId="166" formatCode="0.0%"/>
    <numFmt numFmtId="168" formatCode="mmmm\ d\,\ yyyy"/>
    <numFmt numFmtId="169" formatCode="#,##0.0_);[Red]\(#,##0.0\)"/>
    <numFmt numFmtId="170" formatCode="#,##0.000_);[Red]\(#,##0.000\)"/>
    <numFmt numFmtId="171" formatCode="#,##0.0000_);[Red]\(#,##0.0000\)"/>
    <numFmt numFmtId="179" formatCode="0.000%"/>
    <numFmt numFmtId="180" formatCode="#,##0.00000_);[Red]\(#,##0.00000\)"/>
    <numFmt numFmtId="183" formatCode="&quot;$&quot;#,##0.000_);[Red]\(&quot;$&quot;#,##0.000\)"/>
    <numFmt numFmtId="184" formatCode="&quot;$&quot;#,##0.0000_);[Red]\(&quot;$&quot;#,##0.0000\)"/>
    <numFmt numFmtId="185" formatCode="&quot;$&quot;#,##0.00000_);[Red]\(&quot;$&quot;#,##0.00000\)"/>
    <numFmt numFmtId="186" formatCode="&quot;$&quot;#,##0.000000_);[Red]\(&quot;$&quot;#,##0.000000\)"/>
    <numFmt numFmtId="187" formatCode="_(* #,##0_);_(* \(#,##0\);_(* &quot;-&quot;??_);_(@_)"/>
    <numFmt numFmtId="192" formatCode="_(&quot;$&quot;* #,##0.0000000_);_(&quot;$&quot;* \(#,##0.0000000\);_(&quot;$&quot;* &quot;-&quot;??_);_(@_)"/>
    <numFmt numFmtId="194" formatCode="_(* #,##0.0000_);_(* \(#,##0.0000\);_(* &quot;-&quot;??_);_(@_)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name val="Arial"/>
    </font>
    <font>
      <b/>
      <sz val="10"/>
      <color indexed="17"/>
      <name val="Arial Narrow"/>
      <family val="2"/>
    </font>
    <font>
      <sz val="10"/>
      <color indexed="17"/>
      <name val="Arial Narrow"/>
      <family val="2"/>
    </font>
    <font>
      <b/>
      <sz val="7"/>
      <name val="Arial"/>
      <family val="2"/>
    </font>
    <font>
      <b/>
      <sz val="26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8"/>
      <color indexed="53"/>
      <name val="Arial"/>
      <family val="2"/>
    </font>
    <font>
      <b/>
      <sz val="18"/>
      <color indexed="16"/>
      <name val="Arial"/>
      <family val="2"/>
    </font>
    <font>
      <b/>
      <sz val="7.5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i/>
      <sz val="10"/>
      <color indexed="17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vertAlign val="superscript"/>
      <sz val="11"/>
      <name val="Arial"/>
      <family val="2"/>
    </font>
    <font>
      <b/>
      <vertAlign val="superscript"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13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0" fillId="0" borderId="0" xfId="0" applyAlignment="1">
      <alignment horizontal="center"/>
    </xf>
    <xf numFmtId="17" fontId="2" fillId="2" borderId="0" xfId="0" applyNumberFormat="1" applyFont="1" applyFill="1"/>
    <xf numFmtId="165" fontId="0" fillId="0" borderId="0" xfId="0" applyNumberFormat="1"/>
    <xf numFmtId="164" fontId="2" fillId="3" borderId="1" xfId="0" applyNumberFormat="1" applyFont="1" applyFill="1" applyBorder="1"/>
    <xf numFmtId="0" fontId="4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/>
    <xf numFmtId="8" fontId="0" fillId="0" borderId="0" xfId="0" applyNumberFormat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169" fontId="6" fillId="0" borderId="13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13" xfId="0" applyNumberFormat="1" applyFont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7" fontId="2" fillId="0" borderId="16" xfId="0" applyNumberFormat="1" applyFont="1" applyBorder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6" fontId="6" fillId="0" borderId="0" xfId="0" applyNumberFormat="1" applyFont="1"/>
    <xf numFmtId="0" fontId="0" fillId="0" borderId="16" xfId="0" applyBorder="1"/>
    <xf numFmtId="0" fontId="0" fillId="7" borderId="2" xfId="0" applyFill="1" applyBorder="1"/>
    <xf numFmtId="17" fontId="2" fillId="7" borderId="3" xfId="0" applyNumberFormat="1" applyFont="1" applyFill="1" applyBorder="1" applyAlignment="1">
      <alignment horizontal="center"/>
    </xf>
    <xf numFmtId="6" fontId="6" fillId="7" borderId="3" xfId="0" applyNumberFormat="1" applyFont="1" applyFill="1" applyBorder="1" applyAlignment="1">
      <alignment horizontal="center"/>
    </xf>
    <xf numFmtId="6" fontId="6" fillId="7" borderId="3" xfId="0" applyNumberFormat="1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5" borderId="2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0" fontId="6" fillId="0" borderId="12" xfId="0" applyFont="1" applyBorder="1" applyAlignment="1">
      <alignment horizontal="center"/>
    </xf>
    <xf numFmtId="38" fontId="0" fillId="0" borderId="0" xfId="0" applyNumberFormat="1"/>
    <xf numFmtId="0" fontId="6" fillId="0" borderId="12" xfId="0" applyFont="1" applyBorder="1"/>
    <xf numFmtId="0" fontId="6" fillId="0" borderId="13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0" xfId="0" applyFont="1"/>
    <xf numFmtId="0" fontId="2" fillId="6" borderId="2" xfId="0" applyFont="1" applyFill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69" fontId="6" fillId="0" borderId="20" xfId="0" applyNumberFormat="1" applyFont="1" applyBorder="1" applyAlignment="1">
      <alignment horizontal="center"/>
    </xf>
    <xf numFmtId="179" fontId="6" fillId="0" borderId="20" xfId="4" applyNumberFormat="1" applyFont="1" applyBorder="1" applyAlignment="1">
      <alignment horizontal="center"/>
    </xf>
    <xf numFmtId="179" fontId="6" fillId="0" borderId="12" xfId="4" applyNumberFormat="1" applyFont="1" applyBorder="1" applyAlignment="1">
      <alignment horizontal="center"/>
    </xf>
    <xf numFmtId="179" fontId="6" fillId="0" borderId="13" xfId="4" applyNumberFormat="1" applyFont="1" applyBorder="1" applyAlignment="1">
      <alignment horizontal="center"/>
    </xf>
    <xf numFmtId="179" fontId="6" fillId="0" borderId="21" xfId="4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9" fontId="6" fillId="0" borderId="20" xfId="4" applyFont="1" applyBorder="1" applyAlignment="1">
      <alignment horizontal="center"/>
    </xf>
    <xf numFmtId="9" fontId="6" fillId="0" borderId="12" xfId="4" applyFont="1" applyBorder="1" applyAlignment="1">
      <alignment horizontal="center"/>
    </xf>
    <xf numFmtId="9" fontId="6" fillId="0" borderId="13" xfId="4" applyFont="1" applyBorder="1" applyAlignment="1">
      <alignment horizontal="center"/>
    </xf>
    <xf numFmtId="166" fontId="6" fillId="0" borderId="22" xfId="4" applyNumberFormat="1" applyFont="1" applyBorder="1" applyAlignment="1">
      <alignment horizontal="center"/>
    </xf>
    <xf numFmtId="166" fontId="6" fillId="0" borderId="23" xfId="4" applyNumberFormat="1" applyFont="1" applyBorder="1" applyAlignment="1">
      <alignment horizontal="center"/>
    </xf>
    <xf numFmtId="166" fontId="6" fillId="0" borderId="24" xfId="4" applyNumberFormat="1" applyFont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 applyAlignment="1">
      <alignment horizontal="center"/>
    </xf>
    <xf numFmtId="186" fontId="6" fillId="0" borderId="0" xfId="0" applyNumberFormat="1" applyFont="1"/>
    <xf numFmtId="0" fontId="0" fillId="0" borderId="26" xfId="0" applyBorder="1"/>
    <xf numFmtId="17" fontId="2" fillId="0" borderId="26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6" fillId="0" borderId="12" xfId="0" applyNumberFormat="1" applyFont="1" applyBorder="1" applyAlignment="1">
      <alignment horizontal="center"/>
    </xf>
    <xf numFmtId="169" fontId="2" fillId="0" borderId="20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0" fontId="2" fillId="5" borderId="4" xfId="0" applyFont="1" applyFill="1" applyBorder="1" applyAlignment="1">
      <alignment horizontal="centerContinuous"/>
    </xf>
    <xf numFmtId="0" fontId="10" fillId="8" borderId="5" xfId="0" applyFont="1" applyFill="1" applyBorder="1" applyAlignment="1">
      <alignment horizontal="center"/>
    </xf>
    <xf numFmtId="38" fontId="11" fillId="0" borderId="0" xfId="1" applyNumberFormat="1" applyFont="1" applyAlignment="1">
      <alignment horizontal="center"/>
    </xf>
    <xf numFmtId="38" fontId="11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/>
    <xf numFmtId="0" fontId="9" fillId="0" borderId="0" xfId="0" applyFont="1" applyFill="1" applyBorder="1"/>
    <xf numFmtId="0" fontId="8" fillId="0" borderId="0" xfId="0" quotePrefix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187" fontId="9" fillId="0" borderId="0" xfId="1" applyNumberFormat="1" applyFont="1" applyFill="1" applyBorder="1"/>
    <xf numFmtId="0" fontId="2" fillId="6" borderId="10" xfId="0" quotePrefix="1" applyFont="1" applyFill="1" applyBorder="1" applyAlignment="1">
      <alignment horizontal="left"/>
    </xf>
    <xf numFmtId="192" fontId="6" fillId="0" borderId="12" xfId="2" applyNumberFormat="1" applyFont="1" applyBorder="1" applyAlignment="1">
      <alignment horizontal="center"/>
    </xf>
    <xf numFmtId="194" fontId="6" fillId="0" borderId="12" xfId="1" applyNumberFormat="1" applyFont="1" applyBorder="1" applyAlignment="1">
      <alignment horizontal="center"/>
    </xf>
    <xf numFmtId="184" fontId="6" fillId="0" borderId="19" xfId="0" applyNumberFormat="1" applyFont="1" applyBorder="1" applyAlignment="1">
      <alignment horizontal="center"/>
    </xf>
    <xf numFmtId="184" fontId="6" fillId="0" borderId="8" xfId="0" applyNumberFormat="1" applyFont="1" applyBorder="1" applyAlignment="1">
      <alignment horizontal="center"/>
    </xf>
    <xf numFmtId="184" fontId="6" fillId="0" borderId="9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12" fillId="0" borderId="0" xfId="1" applyFont="1" applyFill="1" applyBorder="1"/>
    <xf numFmtId="38" fontId="0" fillId="0" borderId="28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2" xfId="0" applyNumberFormat="1" applyBorder="1"/>
    <xf numFmtId="38" fontId="0" fillId="0" borderId="13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0" fontId="0" fillId="5" borderId="3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2" xfId="0" applyNumberFormat="1" applyBorder="1"/>
    <xf numFmtId="6" fontId="0" fillId="0" borderId="13" xfId="0" applyNumberFormat="1" applyBorder="1"/>
    <xf numFmtId="6" fontId="0" fillId="0" borderId="17" xfId="0" applyNumberFormat="1" applyBorder="1"/>
    <xf numFmtId="6" fontId="0" fillId="0" borderId="18" xfId="0" applyNumberFormat="1" applyBorder="1"/>
    <xf numFmtId="0" fontId="2" fillId="5" borderId="16" xfId="0" applyFont="1" applyFill="1" applyBorder="1" applyAlignment="1">
      <alignment horizontal="center"/>
    </xf>
    <xf numFmtId="183" fontId="8" fillId="0" borderId="0" xfId="0" applyNumberFormat="1" applyFont="1" applyFill="1" applyBorder="1" applyAlignment="1">
      <alignment horizontal="center" wrapText="1"/>
    </xf>
    <xf numFmtId="183" fontId="9" fillId="0" borderId="0" xfId="1" applyNumberFormat="1" applyFont="1" applyFill="1" applyBorder="1"/>
    <xf numFmtId="183" fontId="12" fillId="0" borderId="0" xfId="0" applyNumberFormat="1" applyFont="1" applyFill="1" applyBorder="1"/>
    <xf numFmtId="0" fontId="2" fillId="4" borderId="25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10" fontId="8" fillId="0" borderId="0" xfId="0" quotePrefix="1" applyNumberFormat="1" applyFont="1" applyFill="1" applyBorder="1" applyAlignment="1">
      <alignment horizontal="left" wrapText="1"/>
    </xf>
    <xf numFmtId="10" fontId="9" fillId="0" borderId="0" xfId="1" applyNumberFormat="1" applyFont="1" applyFill="1" applyBorder="1"/>
    <xf numFmtId="10" fontId="12" fillId="0" borderId="0" xfId="0" applyNumberFormat="1" applyFont="1" applyFill="1" applyBorder="1"/>
    <xf numFmtId="38" fontId="13" fillId="0" borderId="0" xfId="0" applyNumberFormat="1" applyFont="1" applyAlignment="1">
      <alignment horizontal="center"/>
    </xf>
    <xf numFmtId="38" fontId="13" fillId="0" borderId="0" xfId="1" applyNumberFormat="1" applyFont="1" applyAlignment="1">
      <alignment horizontal="center"/>
    </xf>
    <xf numFmtId="38" fontId="14" fillId="0" borderId="0" xfId="0" applyNumberFormat="1" applyFont="1" applyAlignment="1">
      <alignment horizontal="center"/>
    </xf>
    <xf numFmtId="38" fontId="13" fillId="0" borderId="0" xfId="1" applyNumberFormat="1" applyFont="1" applyFill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2" fillId="5" borderId="28" xfId="0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9" xfId="0" applyFont="1" applyFill="1" applyBorder="1"/>
    <xf numFmtId="0" fontId="2" fillId="5" borderId="31" xfId="0" applyFont="1" applyFill="1" applyBorder="1" applyAlignment="1">
      <alignment horizontal="center"/>
    </xf>
    <xf numFmtId="0" fontId="2" fillId="5" borderId="31" xfId="0" applyFont="1" applyFill="1" applyBorder="1"/>
    <xf numFmtId="0" fontId="2" fillId="5" borderId="32" xfId="0" applyFont="1" applyFill="1" applyBorder="1"/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/>
    <xf numFmtId="0" fontId="2" fillId="9" borderId="34" xfId="0" applyFont="1" applyFill="1" applyBorder="1"/>
    <xf numFmtId="0" fontId="15" fillId="10" borderId="3" xfId="0" applyFont="1" applyFill="1" applyBorder="1" applyAlignment="1">
      <alignment horizontal="center"/>
    </xf>
    <xf numFmtId="0" fontId="15" fillId="10" borderId="3" xfId="0" applyFont="1" applyFill="1" applyBorder="1"/>
    <xf numFmtId="0" fontId="15" fillId="10" borderId="4" xfId="0" applyFont="1" applyFill="1" applyBorder="1"/>
    <xf numFmtId="0" fontId="2" fillId="5" borderId="30" xfId="0" applyFont="1" applyFill="1" applyBorder="1"/>
    <xf numFmtId="0" fontId="2" fillId="5" borderId="26" xfId="0" applyFont="1" applyFill="1" applyBorder="1"/>
    <xf numFmtId="0" fontId="2" fillId="9" borderId="16" xfId="0" applyFont="1" applyFill="1" applyBorder="1"/>
    <xf numFmtId="0" fontId="2" fillId="4" borderId="5" xfId="0" applyFont="1" applyFill="1" applyBorder="1"/>
    <xf numFmtId="0" fontId="2" fillId="10" borderId="5" xfId="0" applyFont="1" applyFill="1" applyBorder="1"/>
    <xf numFmtId="0" fontId="0" fillId="11" borderId="16" xfId="0" applyFill="1" applyBorder="1"/>
    <xf numFmtId="17" fontId="0" fillId="11" borderId="16" xfId="0" applyNumberFormat="1" applyFill="1" applyBorder="1"/>
    <xf numFmtId="17" fontId="0" fillId="11" borderId="26" xfId="0" applyNumberFormat="1" applyFill="1" applyBorder="1"/>
    <xf numFmtId="0" fontId="16" fillId="0" borderId="0" xfId="0" applyFont="1"/>
    <xf numFmtId="17" fontId="7" fillId="10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7" fontId="0" fillId="10" borderId="16" xfId="0" applyNumberFormat="1" applyFill="1" applyBorder="1"/>
    <xf numFmtId="17" fontId="4" fillId="10" borderId="16" xfId="0" applyNumberFormat="1" applyFont="1" applyFill="1" applyBorder="1" applyAlignment="1">
      <alignment horizontal="right"/>
    </xf>
    <xf numFmtId="17" fontId="4" fillId="10" borderId="26" xfId="0" applyNumberFormat="1" applyFont="1" applyFill="1" applyBorder="1" applyAlignment="1">
      <alignment horizontal="right"/>
    </xf>
    <xf numFmtId="0" fontId="2" fillId="0" borderId="1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38" fontId="0" fillId="0" borderId="27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31" xfId="0" applyNumberFormat="1" applyBorder="1" applyAlignment="1">
      <alignment horizontal="center"/>
    </xf>
    <xf numFmtId="17" fontId="0" fillId="0" borderId="29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17" fontId="0" fillId="0" borderId="34" xfId="0" applyNumberFormat="1" applyBorder="1" applyAlignment="1">
      <alignment horizontal="center"/>
    </xf>
    <xf numFmtId="43" fontId="6" fillId="0" borderId="12" xfId="1" applyFont="1" applyBorder="1" applyAlignment="1">
      <alignment horizontal="center"/>
    </xf>
    <xf numFmtId="180" fontId="6" fillId="0" borderId="12" xfId="0" applyNumberFormat="1" applyFont="1" applyBorder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17" fillId="5" borderId="31" xfId="0" applyFont="1" applyFill="1" applyBorder="1" applyAlignment="1">
      <alignment horizontal="centerContinuous"/>
    </xf>
    <xf numFmtId="0" fontId="17" fillId="5" borderId="32" xfId="0" applyFont="1" applyFill="1" applyBorder="1" applyAlignment="1">
      <alignment horizontal="centerContinuous"/>
    </xf>
    <xf numFmtId="0" fontId="0" fillId="12" borderId="16" xfId="0" applyFill="1" applyBorder="1"/>
    <xf numFmtId="0" fontId="0" fillId="12" borderId="26" xfId="0" applyFill="1" applyBorder="1"/>
    <xf numFmtId="0" fontId="17" fillId="5" borderId="3" xfId="0" applyFont="1" applyFill="1" applyBorder="1" applyAlignment="1">
      <alignment horizontal="centerContinuous"/>
    </xf>
    <xf numFmtId="0" fontId="17" fillId="5" borderId="4" xfId="0" applyFont="1" applyFill="1" applyBorder="1" applyAlignment="1">
      <alignment horizontal="centerContinuous"/>
    </xf>
    <xf numFmtId="6" fontId="0" fillId="0" borderId="27" xfId="0" applyNumberFormat="1" applyBorder="1" applyAlignment="1">
      <alignment horizontal="center"/>
    </xf>
    <xf numFmtId="6" fontId="0" fillId="0" borderId="28" xfId="0" applyNumberFormat="1" applyBorder="1" applyAlignment="1">
      <alignment horizontal="center"/>
    </xf>
    <xf numFmtId="6" fontId="0" fillId="0" borderId="33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25" xfId="0" applyNumberFormat="1" applyBorder="1" applyAlignment="1">
      <alignment horizontal="center"/>
    </xf>
    <xf numFmtId="6" fontId="0" fillId="0" borderId="31" xfId="0" applyNumberFormat="1" applyBorder="1" applyAlignment="1">
      <alignment horizontal="center"/>
    </xf>
    <xf numFmtId="17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38" fontId="0" fillId="5" borderId="26" xfId="0" applyNumberFormat="1" applyFill="1" applyBorder="1" applyAlignment="1">
      <alignment horizontal="center"/>
    </xf>
    <xf numFmtId="38" fontId="0" fillId="4" borderId="30" xfId="0" applyNumberFormat="1" applyFill="1" applyBorder="1" applyAlignment="1">
      <alignment horizontal="center"/>
    </xf>
    <xf numFmtId="38" fontId="0" fillId="4" borderId="16" xfId="0" applyNumberFormat="1" applyFill="1" applyBorder="1" applyAlignment="1">
      <alignment horizontal="center"/>
    </xf>
    <xf numFmtId="38" fontId="0" fillId="4" borderId="26" xfId="0" applyNumberFormat="1" applyFill="1" applyBorder="1" applyAlignment="1">
      <alignment horizontal="center"/>
    </xf>
    <xf numFmtId="38" fontId="0" fillId="5" borderId="30" xfId="0" applyNumberForma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16" xfId="0" applyFill="1" applyBorder="1"/>
    <xf numFmtId="38" fontId="2" fillId="5" borderId="5" xfId="0" applyNumberFormat="1" applyFont="1" applyFill="1" applyBorder="1" applyAlignment="1">
      <alignment horizontal="center"/>
    </xf>
    <xf numFmtId="10" fontId="2" fillId="5" borderId="26" xfId="4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10" fontId="2" fillId="4" borderId="26" xfId="4" applyNumberFormat="1" applyFont="1" applyFill="1" applyBorder="1" applyAlignment="1">
      <alignment horizontal="center"/>
    </xf>
    <xf numFmtId="38" fontId="2" fillId="13" borderId="3" xfId="0" applyNumberFormat="1" applyFont="1" applyFill="1" applyBorder="1" applyAlignment="1">
      <alignment horizontal="center"/>
    </xf>
    <xf numFmtId="10" fontId="2" fillId="13" borderId="31" xfId="4" applyNumberFormat="1" applyFont="1" applyFill="1" applyBorder="1" applyAlignment="1">
      <alignment horizontal="center"/>
    </xf>
    <xf numFmtId="6" fontId="2" fillId="5" borderId="26" xfId="0" applyNumberFormat="1" applyFont="1" applyFill="1" applyBorder="1" applyAlignment="1">
      <alignment horizontal="center"/>
    </xf>
    <xf numFmtId="6" fontId="0" fillId="5" borderId="16" xfId="0" applyNumberFormat="1" applyFill="1" applyBorder="1" applyAlignment="1">
      <alignment horizontal="center"/>
    </xf>
    <xf numFmtId="6" fontId="0" fillId="5" borderId="26" xfId="0" applyNumberFormat="1" applyFill="1" applyBorder="1" applyAlignment="1">
      <alignment horizontal="center"/>
    </xf>
    <xf numFmtId="8" fontId="2" fillId="5" borderId="26" xfId="4" applyNumberFormat="1" applyFont="1" applyFill="1" applyBorder="1" applyAlignment="1">
      <alignment horizontal="center"/>
    </xf>
    <xf numFmtId="6" fontId="0" fillId="5" borderId="30" xfId="0" applyNumberFormat="1" applyFill="1" applyBorder="1" applyAlignment="1">
      <alignment horizontal="center"/>
    </xf>
    <xf numFmtId="6" fontId="2" fillId="14" borderId="26" xfId="0" applyNumberFormat="1" applyFont="1" applyFill="1" applyBorder="1" applyAlignment="1">
      <alignment horizontal="center"/>
    </xf>
    <xf numFmtId="8" fontId="2" fillId="14" borderId="26" xfId="4" applyNumberFormat="1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6" fontId="0" fillId="14" borderId="30" xfId="0" applyNumberFormat="1" applyFill="1" applyBorder="1" applyAlignment="1">
      <alignment horizontal="center"/>
    </xf>
    <xf numFmtId="6" fontId="0" fillId="14" borderId="16" xfId="0" applyNumberFormat="1" applyFill="1" applyBorder="1" applyAlignment="1">
      <alignment horizontal="center"/>
    </xf>
    <xf numFmtId="6" fontId="0" fillId="14" borderId="26" xfId="0" applyNumberFormat="1" applyFill="1" applyBorder="1" applyAlignment="1">
      <alignment horizontal="center"/>
    </xf>
    <xf numFmtId="6" fontId="2" fillId="0" borderId="31" xfId="0" applyNumberFormat="1" applyFont="1" applyFill="1" applyBorder="1" applyAlignment="1">
      <alignment horizontal="center"/>
    </xf>
    <xf numFmtId="8" fontId="2" fillId="0" borderId="31" xfId="4" applyNumberFormat="1" applyFont="1" applyFill="1" applyBorder="1" applyAlignment="1">
      <alignment horizontal="center"/>
    </xf>
    <xf numFmtId="0" fontId="0" fillId="12" borderId="27" xfId="0" applyFill="1" applyBorder="1"/>
    <xf numFmtId="0" fontId="0" fillId="12" borderId="33" xfId="0" applyFill="1" applyBorder="1"/>
    <xf numFmtId="0" fontId="0" fillId="12" borderId="25" xfId="0" applyFill="1" applyBorder="1"/>
    <xf numFmtId="0" fontId="2" fillId="12" borderId="33" xfId="0" applyFont="1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5" borderId="3" xfId="0" applyFont="1" applyFill="1" applyBorder="1" applyAlignment="1">
      <alignment horizontal="centerContinuous"/>
    </xf>
    <xf numFmtId="6" fontId="2" fillId="5" borderId="32" xfId="0" applyNumberFormat="1" applyFont="1" applyFill="1" applyBorder="1" applyAlignment="1">
      <alignment horizontal="center"/>
    </xf>
    <xf numFmtId="8" fontId="2" fillId="5" borderId="32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1" xfId="0" applyFont="1" applyBorder="1"/>
    <xf numFmtId="0" fontId="6" fillId="0" borderId="23" xfId="0" applyFont="1" applyBorder="1"/>
    <xf numFmtId="0" fontId="2" fillId="5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/>
    <xf numFmtId="0" fontId="0" fillId="0" borderId="15" xfId="0" applyBorder="1"/>
    <xf numFmtId="38" fontId="0" fillId="0" borderId="35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1" xfId="0" applyNumberFormat="1" applyBorder="1"/>
    <xf numFmtId="38" fontId="0" fillId="0" borderId="23" xfId="0" applyNumberFormat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6" fontId="0" fillId="0" borderId="35" xfId="0" applyNumberFormat="1" applyBorder="1" applyAlignment="1">
      <alignment horizontal="center"/>
    </xf>
    <xf numFmtId="6" fontId="0" fillId="0" borderId="21" xfId="0" applyNumberFormat="1" applyBorder="1" applyAlignment="1">
      <alignment horizontal="center"/>
    </xf>
    <xf numFmtId="6" fontId="0" fillId="0" borderId="21" xfId="0" applyNumberFormat="1" applyBorder="1"/>
    <xf numFmtId="6" fontId="0" fillId="0" borderId="23" xfId="0" applyNumberFormat="1" applyBorder="1"/>
    <xf numFmtId="0" fontId="19" fillId="5" borderId="3" xfId="0" applyFont="1" applyFill="1" applyBorder="1" applyAlignment="1">
      <alignment horizontal="centerContinuous"/>
    </xf>
    <xf numFmtId="0" fontId="19" fillId="5" borderId="4" xfId="0" applyFont="1" applyFill="1" applyBorder="1" applyAlignment="1">
      <alignment horizontal="centerContinuous"/>
    </xf>
    <xf numFmtId="184" fontId="2" fillId="0" borderId="31" xfId="4" applyNumberFormat="1" applyFont="1" applyFill="1" applyBorder="1" applyAlignment="1">
      <alignment horizontal="center"/>
    </xf>
    <xf numFmtId="38" fontId="13" fillId="0" borderId="28" xfId="0" applyNumberFormat="1" applyFont="1" applyBorder="1" applyAlignment="1">
      <alignment horizontal="center"/>
    </xf>
    <xf numFmtId="183" fontId="13" fillId="0" borderId="28" xfId="1" applyNumberFormat="1" applyFont="1" applyBorder="1" applyAlignment="1">
      <alignment horizontal="center"/>
    </xf>
    <xf numFmtId="10" fontId="13" fillId="0" borderId="28" xfId="0" applyNumberFormat="1" applyFont="1" applyBorder="1" applyAlignment="1">
      <alignment horizontal="center"/>
    </xf>
    <xf numFmtId="38" fontId="13" fillId="0" borderId="29" xfId="0" applyNumberFormat="1" applyFont="1" applyBorder="1" applyAlignment="1">
      <alignment horizontal="center"/>
    </xf>
    <xf numFmtId="179" fontId="13" fillId="0" borderId="0" xfId="0" applyNumberFormat="1" applyFont="1" applyBorder="1" applyAlignment="1">
      <alignment horizontal="center"/>
    </xf>
    <xf numFmtId="184" fontId="13" fillId="0" borderId="0" xfId="1" applyNumberFormat="1" applyFont="1" applyFill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13" fillId="0" borderId="34" xfId="0" applyNumberFormat="1" applyFont="1" applyBorder="1" applyAlignment="1">
      <alignment horizontal="center"/>
    </xf>
    <xf numFmtId="183" fontId="13" fillId="0" borderId="0" xfId="1" applyNumberFormat="1" applyFont="1" applyFill="1" applyBorder="1" applyAlignment="1">
      <alignment horizontal="center"/>
    </xf>
    <xf numFmtId="38" fontId="9" fillId="0" borderId="31" xfId="0" applyNumberFormat="1" applyFont="1" applyBorder="1" applyAlignment="1">
      <alignment horizontal="center"/>
    </xf>
    <xf numFmtId="183" fontId="9" fillId="0" borderId="31" xfId="1" applyNumberFormat="1" applyFont="1" applyBorder="1" applyAlignment="1">
      <alignment horizontal="center"/>
    </xf>
    <xf numFmtId="10" fontId="9" fillId="0" borderId="31" xfId="0" applyNumberFormat="1" applyFont="1" applyBorder="1" applyAlignment="1">
      <alignment horizontal="center"/>
    </xf>
    <xf numFmtId="38" fontId="9" fillId="0" borderId="3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16" xfId="0" applyFont="1" applyBorder="1"/>
    <xf numFmtId="0" fontId="9" fillId="0" borderId="26" xfId="0" applyFont="1" applyBorder="1"/>
    <xf numFmtId="183" fontId="0" fillId="0" borderId="28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83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8" fillId="0" borderId="34" xfId="0" quotePrefix="1" applyFont="1" applyFill="1" applyBorder="1" applyAlignment="1">
      <alignment horizontal="left" wrapText="1"/>
    </xf>
    <xf numFmtId="187" fontId="9" fillId="0" borderId="34" xfId="1" applyNumberFormat="1" applyFont="1" applyFill="1" applyBorder="1"/>
    <xf numFmtId="0" fontId="12" fillId="0" borderId="34" xfId="0" applyFont="1" applyFill="1" applyBorder="1"/>
    <xf numFmtId="183" fontId="0" fillId="0" borderId="0" xfId="0" applyNumberFormat="1" applyBorder="1"/>
    <xf numFmtId="10" fontId="0" fillId="0" borderId="0" xfId="0" applyNumberFormat="1" applyBorder="1"/>
    <xf numFmtId="17" fontId="0" fillId="0" borderId="30" xfId="0" applyNumberFormat="1" applyBorder="1"/>
    <xf numFmtId="17" fontId="0" fillId="0" borderId="16" xfId="0" applyNumberFormat="1" applyBorder="1"/>
    <xf numFmtId="17" fontId="0" fillId="0" borderId="26" xfId="0" applyNumberFormat="1" applyBorder="1"/>
    <xf numFmtId="0" fontId="9" fillId="4" borderId="5" xfId="0" applyFont="1" applyFill="1" applyBorder="1" applyAlignment="1">
      <alignment horizontal="left"/>
    </xf>
    <xf numFmtId="183" fontId="11" fillId="4" borderId="3" xfId="1" applyNumberFormat="1" applyFont="1" applyFill="1" applyBorder="1" applyAlignment="1">
      <alignment horizontal="center"/>
    </xf>
    <xf numFmtId="10" fontId="11" fillId="4" borderId="3" xfId="0" applyNumberFormat="1" applyFont="1" applyFill="1" applyBorder="1" applyAlignment="1">
      <alignment horizontal="center"/>
    </xf>
    <xf numFmtId="38" fontId="11" fillId="4" borderId="3" xfId="0" applyNumberFormat="1" applyFont="1" applyFill="1" applyBorder="1" applyAlignment="1">
      <alignment horizontal="center"/>
    </xf>
    <xf numFmtId="38" fontId="11" fillId="4" borderId="4" xfId="0" applyNumberFormat="1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38" fontId="13" fillId="0" borderId="25" xfId="0" applyNumberFormat="1" applyFont="1" applyBorder="1" applyAlignment="1">
      <alignment horizontal="center"/>
    </xf>
    <xf numFmtId="17" fontId="0" fillId="15" borderId="26" xfId="0" applyNumberFormat="1" applyFill="1" applyBorder="1"/>
    <xf numFmtId="38" fontId="13" fillId="15" borderId="3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left"/>
    </xf>
    <xf numFmtId="10" fontId="10" fillId="4" borderId="3" xfId="4" applyNumberFormat="1" applyFont="1" applyFill="1" applyBorder="1" applyAlignment="1">
      <alignment horizontal="center"/>
    </xf>
    <xf numFmtId="0" fontId="18" fillId="5" borderId="31" xfId="0" applyFont="1" applyFill="1" applyBorder="1" applyAlignment="1">
      <alignment horizontal="centerContinuous"/>
    </xf>
    <xf numFmtId="38" fontId="2" fillId="5" borderId="4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0" fillId="5" borderId="27" xfId="0" applyFont="1" applyFill="1" applyBorder="1" applyAlignment="1">
      <alignment horizontal="centerContinuous"/>
    </xf>
    <xf numFmtId="0" fontId="0" fillId="10" borderId="30" xfId="0" applyFill="1" applyBorder="1"/>
    <xf numFmtId="0" fontId="0" fillId="10" borderId="16" xfId="0" applyFill="1" applyBorder="1"/>
    <xf numFmtId="0" fontId="2" fillId="10" borderId="16" xfId="0" applyFont="1" applyFill="1" applyBorder="1"/>
    <xf numFmtId="0" fontId="0" fillId="10" borderId="26" xfId="0" applyFill="1" applyBorder="1"/>
    <xf numFmtId="0" fontId="2" fillId="10" borderId="33" xfId="0" applyFont="1" applyFill="1" applyBorder="1"/>
    <xf numFmtId="0" fontId="0" fillId="10" borderId="33" xfId="0" applyFill="1" applyBorder="1"/>
    <xf numFmtId="0" fontId="0" fillId="10" borderId="25" xfId="0" applyFill="1" applyBorder="1"/>
    <xf numFmtId="0" fontId="19" fillId="5" borderId="28" xfId="0" applyFont="1" applyFill="1" applyBorder="1" applyAlignment="1">
      <alignment horizontal="centerContinuous"/>
    </xf>
    <xf numFmtId="6" fontId="2" fillId="0" borderId="26" xfId="0" applyNumberFormat="1" applyFont="1" applyFill="1" applyBorder="1" applyAlignment="1">
      <alignment horizontal="center"/>
    </xf>
    <xf numFmtId="8" fontId="2" fillId="0" borderId="26" xfId="4" applyNumberFormat="1" applyFont="1" applyFill="1" applyBorder="1" applyAlignment="1">
      <alignment horizontal="center"/>
    </xf>
    <xf numFmtId="0" fontId="0" fillId="0" borderId="0" xfId="0" applyFill="1"/>
    <xf numFmtId="6" fontId="0" fillId="0" borderId="30" xfId="4" applyNumberFormat="1" applyFont="1" applyFill="1" applyBorder="1" applyAlignment="1">
      <alignment horizontal="center"/>
    </xf>
    <xf numFmtId="6" fontId="0" fillId="0" borderId="16" xfId="4" applyNumberFormat="1" applyFont="1" applyFill="1" applyBorder="1" applyAlignment="1">
      <alignment horizontal="center"/>
    </xf>
    <xf numFmtId="6" fontId="0" fillId="0" borderId="26" xfId="4" applyNumberFormat="1" applyFont="1" applyFill="1" applyBorder="1" applyAlignment="1">
      <alignment horizontal="center"/>
    </xf>
    <xf numFmtId="6" fontId="2" fillId="4" borderId="5" xfId="0" applyNumberFormat="1" applyFont="1" applyFill="1" applyBorder="1" applyAlignment="1">
      <alignment horizontal="center"/>
    </xf>
    <xf numFmtId="8" fontId="2" fillId="4" borderId="26" xfId="4" applyNumberFormat="1" applyFont="1" applyFill="1" applyBorder="1" applyAlignment="1">
      <alignment horizontal="center"/>
    </xf>
    <xf numFmtId="6" fontId="4" fillId="4" borderId="30" xfId="0" applyNumberFormat="1" applyFont="1" applyFill="1" applyBorder="1" applyAlignment="1">
      <alignment horizontal="center"/>
    </xf>
    <xf numFmtId="6" fontId="4" fillId="4" borderId="16" xfId="0" applyNumberFormat="1" applyFont="1" applyFill="1" applyBorder="1" applyAlignment="1">
      <alignment horizontal="center"/>
    </xf>
    <xf numFmtId="6" fontId="4" fillId="4" borderId="26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38" fontId="2" fillId="5" borderId="29" xfId="0" applyNumberFormat="1" applyFont="1" applyFill="1" applyBorder="1" applyAlignment="1">
      <alignment horizontal="center"/>
    </xf>
    <xf numFmtId="38" fontId="2" fillId="13" borderId="29" xfId="0" applyNumberFormat="1" applyFont="1" applyFill="1" applyBorder="1" applyAlignment="1">
      <alignment horizontal="center"/>
    </xf>
    <xf numFmtId="0" fontId="2" fillId="13" borderId="30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38" fontId="0" fillId="13" borderId="16" xfId="0" applyNumberFormat="1" applyFill="1" applyBorder="1" applyAlignment="1">
      <alignment horizontal="center"/>
    </xf>
    <xf numFmtId="38" fontId="0" fillId="13" borderId="26" xfId="0" applyNumberFormat="1" applyFill="1" applyBorder="1" applyAlignment="1">
      <alignment horizontal="center"/>
    </xf>
    <xf numFmtId="9" fontId="0" fillId="0" borderId="34" xfId="4" applyFont="1" applyBorder="1" applyAlignment="1">
      <alignment horizontal="center"/>
    </xf>
    <xf numFmtId="38" fontId="0" fillId="0" borderId="29" xfId="0" applyNumberFormat="1" applyBorder="1" applyAlignment="1">
      <alignment horizontal="center"/>
    </xf>
    <xf numFmtId="0" fontId="0" fillId="0" borderId="30" xfId="0" applyBorder="1"/>
    <xf numFmtId="38" fontId="2" fillId="16" borderId="5" xfId="0" applyNumberFormat="1" applyFont="1" applyFill="1" applyBorder="1" applyAlignment="1">
      <alignment horizontal="center"/>
    </xf>
    <xf numFmtId="38" fontId="0" fillId="16" borderId="30" xfId="0" applyNumberFormat="1" applyFill="1" applyBorder="1" applyAlignment="1">
      <alignment horizontal="center"/>
    </xf>
    <xf numFmtId="0" fontId="0" fillId="4" borderId="30" xfId="0" applyFill="1" applyBorder="1"/>
    <xf numFmtId="38" fontId="0" fillId="4" borderId="28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0" fontId="0" fillId="4" borderId="26" xfId="0" applyFill="1" applyBorder="1"/>
    <xf numFmtId="38" fontId="0" fillId="4" borderId="31" xfId="0" applyNumberFormat="1" applyFill="1" applyBorder="1" applyAlignment="1">
      <alignment horizontal="center"/>
    </xf>
    <xf numFmtId="0" fontId="0" fillId="5" borderId="5" xfId="0" applyFill="1" applyBorder="1"/>
    <xf numFmtId="38" fontId="2" fillId="5" borderId="2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6" fontId="0" fillId="4" borderId="30" xfId="0" applyNumberFormat="1" applyFill="1" applyBorder="1" applyAlignment="1">
      <alignment horizontal="center"/>
    </xf>
    <xf numFmtId="6" fontId="0" fillId="4" borderId="16" xfId="0" applyNumberFormat="1" applyFill="1" applyBorder="1" applyAlignment="1">
      <alignment horizontal="center"/>
    </xf>
    <xf numFmtId="6" fontId="0" fillId="4" borderId="26" xfId="0" applyNumberFormat="1" applyFill="1" applyBorder="1" applyAlignment="1">
      <alignment horizontal="center"/>
    </xf>
    <xf numFmtId="38" fontId="0" fillId="13" borderId="0" xfId="0" applyNumberFormat="1" applyFill="1" applyBorder="1" applyAlignment="1">
      <alignment horizontal="center"/>
    </xf>
    <xf numFmtId="38" fontId="0" fillId="13" borderId="28" xfId="0" applyNumberFormat="1" applyFill="1" applyBorder="1" applyAlignment="1">
      <alignment horizontal="center"/>
    </xf>
    <xf numFmtId="38" fontId="0" fillId="13" borderId="31" xfId="0" applyNumberForma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6" fontId="2" fillId="5" borderId="3" xfId="0" applyNumberFormat="1" applyFont="1" applyFill="1" applyBorder="1" applyAlignment="1">
      <alignment horizontal="center"/>
    </xf>
    <xf numFmtId="6" fontId="2" fillId="16" borderId="5" xfId="0" applyNumberFormat="1" applyFont="1" applyFill="1" applyBorder="1" applyAlignment="1">
      <alignment horizontal="center"/>
    </xf>
    <xf numFmtId="6" fontId="2" fillId="5" borderId="4" xfId="0" applyNumberFormat="1" applyFont="1" applyFill="1" applyBorder="1" applyAlignment="1">
      <alignment horizontal="center"/>
    </xf>
    <xf numFmtId="6" fontId="0" fillId="16" borderId="30" xfId="0" applyNumberFormat="1" applyFill="1" applyBorder="1" applyAlignment="1">
      <alignment horizontal="center"/>
    </xf>
    <xf numFmtId="6" fontId="0" fillId="16" borderId="16" xfId="0" applyNumberFormat="1" applyFill="1" applyBorder="1" applyAlignment="1">
      <alignment horizontal="center"/>
    </xf>
    <xf numFmtId="6" fontId="0" fillId="16" borderId="26" xfId="0" applyNumberFormat="1" applyFill="1" applyBorder="1" applyAlignment="1">
      <alignment horizontal="center"/>
    </xf>
    <xf numFmtId="6" fontId="0" fillId="0" borderId="0" xfId="0" applyNumberFormat="1"/>
    <xf numFmtId="0" fontId="0" fillId="5" borderId="30" xfId="0" applyFill="1" applyBorder="1"/>
    <xf numFmtId="0" fontId="0" fillId="5" borderId="16" xfId="0" applyFill="1" applyBorder="1"/>
    <xf numFmtId="0" fontId="0" fillId="5" borderId="26" xfId="0" applyFill="1" applyBorder="1"/>
    <xf numFmtId="6" fontId="0" fillId="10" borderId="29" xfId="0" applyNumberFormat="1" applyFill="1" applyBorder="1" applyAlignment="1">
      <alignment horizontal="center"/>
    </xf>
    <xf numFmtId="6" fontId="0" fillId="10" borderId="34" xfId="0" applyNumberFormat="1" applyFill="1" applyBorder="1" applyAlignment="1">
      <alignment horizontal="center"/>
    </xf>
    <xf numFmtId="6" fontId="0" fillId="10" borderId="32" xfId="0" applyNumberFormat="1" applyFill="1" applyBorder="1" applyAlignment="1">
      <alignment horizontal="center"/>
    </xf>
    <xf numFmtId="6" fontId="0" fillId="13" borderId="30" xfId="0" applyNumberFormat="1" applyFill="1" applyBorder="1" applyAlignment="1">
      <alignment horizontal="center"/>
    </xf>
    <xf numFmtId="6" fontId="0" fillId="13" borderId="16" xfId="0" applyNumberFormat="1" applyFill="1" applyBorder="1" applyAlignment="1">
      <alignment horizontal="center"/>
    </xf>
    <xf numFmtId="6" fontId="0" fillId="13" borderId="26" xfId="0" applyNumberFormat="1" applyFill="1" applyBorder="1" applyAlignment="1">
      <alignment horizontal="center"/>
    </xf>
    <xf numFmtId="183" fontId="0" fillId="0" borderId="31" xfId="0" applyNumberFormat="1" applyBorder="1"/>
    <xf numFmtId="185" fontId="0" fillId="0" borderId="0" xfId="0" applyNumberFormat="1"/>
    <xf numFmtId="8" fontId="2" fillId="0" borderId="0" xfId="0" applyNumberFormat="1" applyFont="1" applyBorder="1" applyAlignment="1">
      <alignment horizontal="center"/>
    </xf>
    <xf numFmtId="186" fontId="2" fillId="0" borderId="0" xfId="0" applyNumberFormat="1" applyFont="1" applyBorder="1" applyAlignment="1">
      <alignment horizontal="center"/>
    </xf>
    <xf numFmtId="8" fontId="17" fillId="5" borderId="3" xfId="0" applyNumberFormat="1" applyFont="1" applyFill="1" applyBorder="1" applyAlignment="1">
      <alignment horizontal="centerContinuous"/>
    </xf>
    <xf numFmtId="183" fontId="13" fillId="0" borderId="0" xfId="4" applyNumberFormat="1" applyFont="1" applyBorder="1" applyAlignment="1">
      <alignment horizontal="center"/>
    </xf>
    <xf numFmtId="184" fontId="10" fillId="4" borderId="3" xfId="2" applyNumberFormat="1" applyFont="1" applyFill="1" applyBorder="1" applyAlignment="1">
      <alignment horizontal="center"/>
    </xf>
    <xf numFmtId="184" fontId="13" fillId="0" borderId="28" xfId="0" applyNumberFormat="1" applyFont="1" applyBorder="1" applyAlignment="1">
      <alignment horizontal="center"/>
    </xf>
    <xf numFmtId="184" fontId="13" fillId="0" borderId="0" xfId="0" applyNumberFormat="1" applyFont="1" applyBorder="1" applyAlignment="1">
      <alignment horizontal="center"/>
    </xf>
    <xf numFmtId="184" fontId="13" fillId="0" borderId="0" xfId="4" applyNumberFormat="1" applyFont="1" applyBorder="1" applyAlignment="1">
      <alignment horizontal="center"/>
    </xf>
    <xf numFmtId="8" fontId="6" fillId="0" borderId="0" xfId="0" applyNumberFormat="1" applyFont="1" applyAlignment="1">
      <alignment horizontal="center"/>
    </xf>
    <xf numFmtId="6" fontId="0" fillId="5" borderId="33" xfId="0" applyNumberFormat="1" applyFill="1" applyBorder="1" applyAlignment="1">
      <alignment horizontal="center"/>
    </xf>
    <xf numFmtId="6" fontId="0" fillId="5" borderId="25" xfId="0" applyNumberFormat="1" applyFill="1" applyBorder="1" applyAlignment="1">
      <alignment horizontal="center"/>
    </xf>
    <xf numFmtId="6" fontId="4" fillId="4" borderId="29" xfId="0" applyNumberFormat="1" applyFont="1" applyFill="1" applyBorder="1" applyAlignment="1">
      <alignment horizontal="center"/>
    </xf>
    <xf numFmtId="6" fontId="4" fillId="4" borderId="34" xfId="0" applyNumberFormat="1" applyFont="1" applyFill="1" applyBorder="1" applyAlignment="1">
      <alignment horizontal="center"/>
    </xf>
    <xf numFmtId="6" fontId="4" fillId="4" borderId="32" xfId="0" applyNumberFormat="1" applyFont="1" applyFill="1" applyBorder="1" applyAlignment="1">
      <alignment horizontal="center"/>
    </xf>
    <xf numFmtId="6" fontId="0" fillId="0" borderId="34" xfId="0" applyNumberFormat="1" applyBorder="1" applyAlignment="1">
      <alignment horizontal="center"/>
    </xf>
    <xf numFmtId="6" fontId="0" fillId="0" borderId="32" xfId="0" applyNumberFormat="1" applyBorder="1" applyAlignment="1">
      <alignment horizontal="center"/>
    </xf>
    <xf numFmtId="6" fontId="0" fillId="0" borderId="29" xfId="0" applyNumberForma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0" fontId="0" fillId="0" borderId="0" xfId="4" applyNumberFormat="1" applyFont="1"/>
    <xf numFmtId="0" fontId="2" fillId="6" borderId="3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10" fontId="0" fillId="0" borderId="0" xfId="0" applyNumberFormat="1" applyAlignment="1">
      <alignment horizontal="center"/>
    </xf>
    <xf numFmtId="0" fontId="2" fillId="0" borderId="31" xfId="0" applyFont="1" applyBorder="1"/>
    <xf numFmtId="17" fontId="0" fillId="0" borderId="0" xfId="0" applyNumberFormat="1" applyAlignment="1">
      <alignment horizontal="center"/>
    </xf>
    <xf numFmtId="10" fontId="2" fillId="10" borderId="5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38" fontId="0" fillId="16" borderId="27" xfId="0" applyNumberFormat="1" applyFill="1" applyBorder="1" applyAlignment="1">
      <alignment horizontal="center"/>
    </xf>
    <xf numFmtId="38" fontId="0" fillId="16" borderId="33" xfId="0" applyNumberFormat="1" applyFill="1" applyBorder="1" applyAlignment="1">
      <alignment horizontal="center"/>
    </xf>
    <xf numFmtId="38" fontId="0" fillId="16" borderId="25" xfId="0" applyNumberFormat="1" applyFill="1" applyBorder="1" applyAlignment="1">
      <alignment horizontal="center"/>
    </xf>
    <xf numFmtId="0" fontId="0" fillId="0" borderId="0" xfId="0" applyNumberFormat="1"/>
    <xf numFmtId="0" fontId="0" fillId="0" borderId="27" xfId="0" applyBorder="1"/>
    <xf numFmtId="0" fontId="0" fillId="0" borderId="25" xfId="0" applyBorder="1"/>
    <xf numFmtId="17" fontId="0" fillId="0" borderId="30" xfId="0" applyNumberFormat="1" applyBorder="1" applyAlignment="1">
      <alignment horizontal="center"/>
    </xf>
    <xf numFmtId="17" fontId="0" fillId="0" borderId="26" xfId="0" applyNumberFormat="1" applyBorder="1" applyAlignment="1">
      <alignment horizontal="center"/>
    </xf>
    <xf numFmtId="184" fontId="13" fillId="0" borderId="25" xfId="0" applyNumberFormat="1" applyFont="1" applyBorder="1" applyAlignment="1">
      <alignment horizontal="center"/>
    </xf>
    <xf numFmtId="0" fontId="2" fillId="5" borderId="27" xfId="0" applyFont="1" applyFill="1" applyBorder="1" applyAlignment="1">
      <alignment horizontal="centerContinuous"/>
    </xf>
    <xf numFmtId="0" fontId="2" fillId="5" borderId="28" xfId="0" applyFont="1" applyFill="1" applyBorder="1" applyAlignment="1">
      <alignment horizontal="centerContinuous"/>
    </xf>
    <xf numFmtId="0" fontId="2" fillId="5" borderId="29" xfId="0" applyFont="1" applyFill="1" applyBorder="1" applyAlignment="1">
      <alignment horizontal="centerContinuous"/>
    </xf>
    <xf numFmtId="171" fontId="0" fillId="0" borderId="8" xfId="0" applyNumberFormat="1" applyBorder="1" applyAlignment="1">
      <alignment horizontal="center"/>
    </xf>
    <xf numFmtId="40" fontId="0" fillId="0" borderId="12" xfId="0" applyNumberFormat="1" applyBorder="1" applyAlignment="1">
      <alignment horizontal="center"/>
    </xf>
    <xf numFmtId="38" fontId="0" fillId="0" borderId="0" xfId="0" quotePrefix="1" applyNumberFormat="1" applyBorder="1" applyAlignment="1">
      <alignment horizontal="center"/>
    </xf>
    <xf numFmtId="38" fontId="0" fillId="0" borderId="34" xfId="0" applyNumberFormat="1" applyBorder="1" applyAlignment="1">
      <alignment horizontal="center"/>
    </xf>
    <xf numFmtId="0" fontId="0" fillId="0" borderId="33" xfId="0" applyBorder="1"/>
    <xf numFmtId="0" fontId="0" fillId="13" borderId="27" xfId="0" applyFill="1" applyBorder="1"/>
    <xf numFmtId="0" fontId="2" fillId="13" borderId="29" xfId="0" applyFont="1" applyFill="1" applyBorder="1" applyAlignment="1">
      <alignment horizontal="center"/>
    </xf>
    <xf numFmtId="0" fontId="0" fillId="13" borderId="33" xfId="0" applyFill="1" applyBorder="1"/>
    <xf numFmtId="0" fontId="2" fillId="13" borderId="0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38" fontId="2" fillId="13" borderId="31" xfId="0" applyNumberFormat="1" applyFont="1" applyFill="1" applyBorder="1" applyAlignment="1">
      <alignment horizontal="center"/>
    </xf>
    <xf numFmtId="38" fontId="2" fillId="13" borderId="32" xfId="0" applyNumberFormat="1" applyFont="1" applyFill="1" applyBorder="1" applyAlignment="1">
      <alignment horizontal="center"/>
    </xf>
    <xf numFmtId="38" fontId="0" fillId="4" borderId="29" xfId="0" applyNumberFormat="1" applyFill="1" applyBorder="1" applyAlignment="1">
      <alignment horizontal="center"/>
    </xf>
    <xf numFmtId="38" fontId="0" fillId="4" borderId="34" xfId="0" applyNumberFormat="1" applyFill="1" applyBorder="1" applyAlignment="1">
      <alignment horizontal="center"/>
    </xf>
    <xf numFmtId="38" fontId="0" fillId="4" borderId="32" xfId="0" applyNumberFormat="1" applyFill="1" applyBorder="1" applyAlignment="1">
      <alignment horizontal="center"/>
    </xf>
    <xf numFmtId="38" fontId="0" fillId="0" borderId="32" xfId="0" applyNumberFormat="1" applyBorder="1" applyAlignment="1">
      <alignment horizontal="center"/>
    </xf>
    <xf numFmtId="38" fontId="0" fillId="0" borderId="34" xfId="0" quotePrefix="1" applyNumberFormat="1" applyBorder="1" applyAlignment="1">
      <alignment horizontal="center"/>
    </xf>
    <xf numFmtId="0" fontId="2" fillId="5" borderId="32" xfId="0" applyFont="1" applyFill="1" applyBorder="1" applyAlignment="1">
      <alignment horizontal="centerContinuous"/>
    </xf>
    <xf numFmtId="0" fontId="21" fillId="5" borderId="31" xfId="0" applyFont="1" applyFill="1" applyBorder="1" applyAlignment="1">
      <alignment horizontal="centerContinuous"/>
    </xf>
    <xf numFmtId="0" fontId="2" fillId="5" borderId="31" xfId="0" applyFont="1" applyFill="1" applyBorder="1" applyAlignment="1">
      <alignment horizontal="centerContinuous"/>
    </xf>
    <xf numFmtId="0" fontId="2" fillId="13" borderId="25" xfId="0" applyFont="1" applyFill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26" xfId="0" applyNumberFormat="1" applyBorder="1" applyAlignment="1">
      <alignment horizontal="center"/>
    </xf>
    <xf numFmtId="0" fontId="21" fillId="5" borderId="25" xfId="0" applyFont="1" applyFill="1" applyBorder="1" applyAlignment="1">
      <alignment horizontal="centerContinuous"/>
    </xf>
    <xf numFmtId="10" fontId="2" fillId="0" borderId="0" xfId="0" applyNumberFormat="1" applyFont="1" applyFill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8" fontId="0" fillId="0" borderId="30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8" fontId="0" fillId="0" borderId="26" xfId="0" applyNumberFormat="1" applyBorder="1" applyAlignment="1">
      <alignment horizontal="center"/>
    </xf>
    <xf numFmtId="6" fontId="22" fillId="0" borderId="26" xfId="0" applyNumberFormat="1" applyFont="1" applyFill="1" applyBorder="1" applyAlignment="1">
      <alignment horizontal="center"/>
    </xf>
    <xf numFmtId="8" fontId="22" fillId="0" borderId="26" xfId="4" applyNumberFormat="1" applyFont="1" applyFill="1" applyBorder="1" applyAlignment="1">
      <alignment horizontal="center"/>
    </xf>
    <xf numFmtId="6" fontId="4" fillId="0" borderId="30" xfId="4" applyNumberFormat="1" applyFont="1" applyFill="1" applyBorder="1" applyAlignment="1">
      <alignment horizontal="center"/>
    </xf>
    <xf numFmtId="6" fontId="4" fillId="0" borderId="16" xfId="4" applyNumberFormat="1" applyFont="1" applyFill="1" applyBorder="1" applyAlignment="1">
      <alignment horizontal="center"/>
    </xf>
    <xf numFmtId="184" fontId="2" fillId="14" borderId="26" xfId="4" applyNumberFormat="1" applyFont="1" applyFill="1" applyBorder="1" applyAlignment="1">
      <alignment horizontal="center"/>
    </xf>
    <xf numFmtId="17" fontId="0" fillId="0" borderId="28" xfId="0" applyNumberFormat="1" applyBorder="1"/>
    <xf numFmtId="17" fontId="0" fillId="0" borderId="0" xfId="0" applyNumberFormat="1" applyBorder="1"/>
    <xf numFmtId="17" fontId="2" fillId="13" borderId="28" xfId="0" applyNumberFormat="1" applyFont="1" applyFill="1" applyBorder="1" applyAlignment="1">
      <alignment horizontal="center"/>
    </xf>
    <xf numFmtId="17" fontId="2" fillId="13" borderId="0" xfId="0" applyNumberFormat="1" applyFont="1" applyFill="1" applyBorder="1" applyAlignment="1">
      <alignment horizontal="center"/>
    </xf>
    <xf numFmtId="0" fontId="2" fillId="13" borderId="30" xfId="0" applyFont="1" applyFill="1" applyBorder="1"/>
    <xf numFmtId="0" fontId="2" fillId="13" borderId="16" xfId="0" applyFont="1" applyFill="1" applyBorder="1"/>
    <xf numFmtId="0" fontId="2" fillId="13" borderId="26" xfId="0" applyFont="1" applyFill="1" applyBorder="1"/>
    <xf numFmtId="6" fontId="17" fillId="5" borderId="3" xfId="0" applyNumberFormat="1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14" fontId="2" fillId="0" borderId="0" xfId="0" applyNumberFormat="1" applyFont="1"/>
    <xf numFmtId="6" fontId="2" fillId="0" borderId="2" xfId="0" applyNumberFormat="1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5" fillId="0" borderId="0" xfId="0" applyFont="1"/>
    <xf numFmtId="168" fontId="26" fillId="0" borderId="0" xfId="0" applyNumberFormat="1" applyFont="1"/>
    <xf numFmtId="6" fontId="2" fillId="4" borderId="16" xfId="0" applyNumberFormat="1" applyFont="1" applyFill="1" applyBorder="1" applyAlignment="1">
      <alignment horizontal="center"/>
    </xf>
    <xf numFmtId="6" fontId="2" fillId="4" borderId="26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Continuous"/>
    </xf>
    <xf numFmtId="0" fontId="27" fillId="0" borderId="4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80" fontId="0" fillId="0" borderId="12" xfId="0" applyNumberFormat="1" applyBorder="1" applyAlignment="1">
      <alignment horizontal="center"/>
    </xf>
    <xf numFmtId="180" fontId="6" fillId="0" borderId="8" xfId="0" applyNumberFormat="1" applyFont="1" applyBorder="1" applyAlignment="1">
      <alignment horizontal="center"/>
    </xf>
    <xf numFmtId="40" fontId="0" fillId="0" borderId="8" xfId="0" applyNumberForma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BTUProposal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19050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9D526D2-16FA-8D95-8103-F06FEEA4E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6"/>
  <sheetViews>
    <sheetView showGridLines="0" zoomScale="75" workbookViewId="0">
      <selection activeCell="D27" sqref="D27"/>
    </sheetView>
  </sheetViews>
  <sheetFormatPr defaultRowHeight="12.75" x14ac:dyDescent="0.2"/>
  <cols>
    <col min="1" max="1" width="18.42578125" customWidth="1"/>
    <col min="2" max="2" width="24.42578125" customWidth="1"/>
    <col min="3" max="3" width="25.85546875" bestFit="1" customWidth="1"/>
    <col min="4" max="4" width="23.28515625" customWidth="1"/>
    <col min="5" max="5" width="30.85546875" customWidth="1"/>
    <col min="6" max="6" width="24.42578125" customWidth="1"/>
    <col min="7" max="7" width="28.85546875" customWidth="1"/>
    <col min="8" max="8" width="18.42578125" bestFit="1" customWidth="1"/>
    <col min="9" max="9" width="26.42578125" bestFit="1" customWidth="1"/>
    <col min="10" max="22" width="7.28515625" customWidth="1"/>
  </cols>
  <sheetData>
    <row r="1" spans="1:14" ht="33.75" x14ac:dyDescent="0.5">
      <c r="A1" s="181" t="s">
        <v>15</v>
      </c>
    </row>
    <row r="4" spans="1:14" x14ac:dyDescent="0.2">
      <c r="A4" s="173" t="s">
        <v>16</v>
      </c>
      <c r="B4" s="161" t="s">
        <v>17</v>
      </c>
      <c r="C4" s="161" t="s">
        <v>17</v>
      </c>
      <c r="D4" s="161" t="s">
        <v>41</v>
      </c>
      <c r="E4" s="161" t="s">
        <v>41</v>
      </c>
      <c r="F4" s="161" t="s">
        <v>40</v>
      </c>
      <c r="G4" s="161" t="s">
        <v>40</v>
      </c>
      <c r="H4" s="161" t="s">
        <v>40</v>
      </c>
      <c r="I4" s="161" t="s">
        <v>40</v>
      </c>
      <c r="J4" s="162"/>
      <c r="K4" s="162"/>
      <c r="L4" s="162"/>
      <c r="M4" s="162"/>
      <c r="N4" s="163"/>
    </row>
    <row r="5" spans="1:14" x14ac:dyDescent="0.2">
      <c r="A5" s="174" t="s">
        <v>18</v>
      </c>
      <c r="B5" s="164" t="s">
        <v>19</v>
      </c>
      <c r="C5" s="164" t="s">
        <v>27</v>
      </c>
      <c r="D5" s="164" t="s">
        <v>19</v>
      </c>
      <c r="E5" s="164" t="s">
        <v>27</v>
      </c>
      <c r="F5" s="164" t="s">
        <v>19</v>
      </c>
      <c r="G5" s="164" t="s">
        <v>27</v>
      </c>
      <c r="H5" s="164" t="s">
        <v>19</v>
      </c>
      <c r="I5" s="164" t="s">
        <v>27</v>
      </c>
      <c r="J5" s="165"/>
      <c r="K5" s="165"/>
      <c r="L5" s="165"/>
      <c r="M5" s="165"/>
      <c r="N5" s="166"/>
    </row>
    <row r="6" spans="1:14" x14ac:dyDescent="0.2">
      <c r="A6" s="175" t="s">
        <v>20</v>
      </c>
      <c r="B6" s="167" t="s">
        <v>38</v>
      </c>
      <c r="C6" s="167" t="s">
        <v>38</v>
      </c>
      <c r="D6" s="167"/>
      <c r="E6" s="167"/>
      <c r="F6" s="167"/>
      <c r="G6" s="167"/>
      <c r="H6" s="167"/>
      <c r="I6" s="167"/>
      <c r="J6" s="168"/>
      <c r="K6" s="168"/>
      <c r="L6" s="168"/>
      <c r="M6" s="168"/>
      <c r="N6" s="169"/>
    </row>
    <row r="7" spans="1:14" x14ac:dyDescent="0.2">
      <c r="A7" s="176" t="s">
        <v>21</v>
      </c>
      <c r="B7" s="35" t="s">
        <v>22</v>
      </c>
      <c r="C7" s="35" t="s">
        <v>22</v>
      </c>
      <c r="D7" s="35" t="s">
        <v>23</v>
      </c>
      <c r="E7" s="35" t="s">
        <v>23</v>
      </c>
      <c r="F7" s="35" t="s">
        <v>23</v>
      </c>
      <c r="G7" s="35" t="s">
        <v>23</v>
      </c>
      <c r="H7" s="35" t="s">
        <v>22</v>
      </c>
      <c r="I7" s="35" t="s">
        <v>22</v>
      </c>
      <c r="J7" s="12"/>
      <c r="K7" s="12"/>
      <c r="L7" s="12"/>
      <c r="M7" s="12"/>
      <c r="N7" s="13"/>
    </row>
    <row r="8" spans="1:14" x14ac:dyDescent="0.2">
      <c r="A8" s="177" t="s">
        <v>24</v>
      </c>
      <c r="B8" s="170" t="str">
        <f t="shared" ref="B8:G8" si="0">+CONCATENATE(B4,B5,B6)</f>
        <v>QATARELBASUEZ</v>
      </c>
      <c r="C8" s="170" t="str">
        <f t="shared" si="0"/>
        <v>QATARLAKE CHARLESSUEZ</v>
      </c>
      <c r="D8" s="170" t="str">
        <f t="shared" si="0"/>
        <v>VENEZUELAELBA</v>
      </c>
      <c r="E8" s="170" t="str">
        <f t="shared" si="0"/>
        <v>VENEZUELALAKE CHARLES</v>
      </c>
      <c r="F8" s="170" t="str">
        <f t="shared" si="0"/>
        <v>ALGERIAELBA</v>
      </c>
      <c r="G8" s="170" t="str">
        <f t="shared" si="0"/>
        <v>ALGERIALAKE CHARLES</v>
      </c>
      <c r="H8" s="170" t="str">
        <f>+CONCATENATE(H4,H5,H6)</f>
        <v>ALGERIAELBA</v>
      </c>
      <c r="I8" s="170" t="str">
        <f>+CONCATENATE(I4,I5,I6)</f>
        <v>ALGERIALAKE CHARLES</v>
      </c>
      <c r="J8" s="171"/>
      <c r="K8" s="171"/>
      <c r="L8" s="171"/>
      <c r="M8" s="171"/>
      <c r="N8" s="172"/>
    </row>
    <row r="9" spans="1:14" x14ac:dyDescent="0.2">
      <c r="A9" s="177" t="s">
        <v>149</v>
      </c>
      <c r="B9" s="170" t="str">
        <f t="shared" ref="B9:G9" si="1">+CONCATENATE(B4,B5,B6,B7)</f>
        <v>QATARELBASUEZHG</v>
      </c>
      <c r="C9" s="170" t="str">
        <f t="shared" si="1"/>
        <v>QATARLAKE CHARLESSUEZHG</v>
      </c>
      <c r="D9" s="170" t="str">
        <f t="shared" si="1"/>
        <v>VENEZUELAELBAEXMAR</v>
      </c>
      <c r="E9" s="170" t="str">
        <f t="shared" si="1"/>
        <v>VENEZUELALAKE CHARLESEXMAR</v>
      </c>
      <c r="F9" s="170" t="str">
        <f t="shared" si="1"/>
        <v>ALGERIAELBAEXMAR</v>
      </c>
      <c r="G9" s="170" t="str">
        <f t="shared" si="1"/>
        <v>ALGERIALAKE CHARLESEXMAR</v>
      </c>
      <c r="H9" s="170" t="str">
        <f>+CONCATENATE(H4,H5,H6,H7)</f>
        <v>ALGERIAELBAHG</v>
      </c>
      <c r="I9" s="170" t="str">
        <f>+CONCATENATE(I4,I5,I6,I7)</f>
        <v>ALGERIALAKE CHARLESHG</v>
      </c>
      <c r="J9" s="171"/>
      <c r="K9" s="171"/>
      <c r="L9" s="171"/>
      <c r="M9" s="171"/>
      <c r="N9" s="172"/>
    </row>
    <row r="10" spans="1:14" x14ac:dyDescent="0.2">
      <c r="A10" s="179">
        <f>+SHIPS!B26</f>
        <v>36708</v>
      </c>
      <c r="B10" s="10">
        <f>(+VLOOKUP($A10,FIXED_CHARTER_COST,HLOOKUP(B$7,FIXED_CHARTER_COST,2,0)+1,0)+VLOOKUP($A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0" s="10">
        <f>(+VLOOKUP($A10,FIXED_CHARTER_COST,HLOOKUP(C$7,FIXED_CHARTER_COST,2,0)+1,0)+VLOOKUP($A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0" s="10">
        <f>(+VLOOKUP($A10,FIXED_CHARTER_COST,HLOOKUP(D$7,FIXED_CHARTER_COST,2,0)+1,0)+VLOOKUP($A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0" s="10">
        <f>(+VLOOKUP($A10,FIXED_CHARTER_COST,HLOOKUP(E$7,FIXED_CHARTER_COST,2,0)+1,0)+VLOOKUP($A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0" s="10">
        <f>(+VLOOKUP($A10,FIXED_CHARTER_COST,HLOOKUP(F$7,FIXED_CHARTER_COST,2,0)+1,0)+VLOOKUP($A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0" s="10">
        <f>(+VLOOKUP($A10,FIXED_CHARTER_COST,HLOOKUP(G$7,FIXED_CHARTER_COST,2,0)+1,0)+VLOOKUP($A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0" s="10">
        <f>(+VLOOKUP($A10,FIXED_CHARTER_COST,HLOOKUP(H$7,FIXED_CHARTER_COST,2,0)+1,0)+VLOOKUP($A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0" s="10">
        <f>(+VLOOKUP($A10,FIXED_CHARTER_COST,HLOOKUP(I$7,FIXED_CHARTER_COST,2,0)+1,0)+VLOOKUP($A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1" spans="1:14" x14ac:dyDescent="0.2">
      <c r="A11" s="179">
        <f>+SHIPS!B27</f>
        <v>36739</v>
      </c>
      <c r="B11" s="10">
        <f>(+VLOOKUP($A11,FIXED_CHARTER_COST,HLOOKUP(B$7,FIXED_CHARTER_COST,2,0)+1,0)+VLOOKUP($A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1" s="10">
        <f>(+VLOOKUP($A11,FIXED_CHARTER_COST,HLOOKUP(C$7,FIXED_CHARTER_COST,2,0)+1,0)+VLOOKUP($A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1" s="10">
        <f>(+VLOOKUP($A11,FIXED_CHARTER_COST,HLOOKUP(D$7,FIXED_CHARTER_COST,2,0)+1,0)+VLOOKUP($A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1" s="10">
        <f>(+VLOOKUP($A11,FIXED_CHARTER_COST,HLOOKUP(E$7,FIXED_CHARTER_COST,2,0)+1,0)+VLOOKUP($A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1" s="10">
        <f>(+VLOOKUP($A11,FIXED_CHARTER_COST,HLOOKUP(F$7,FIXED_CHARTER_COST,2,0)+1,0)+VLOOKUP($A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1" s="10">
        <f>(+VLOOKUP($A11,FIXED_CHARTER_COST,HLOOKUP(G$7,FIXED_CHARTER_COST,2,0)+1,0)+VLOOKUP($A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1" s="10">
        <f>(+VLOOKUP($A11,FIXED_CHARTER_COST,HLOOKUP(H$7,FIXED_CHARTER_COST,2,0)+1,0)+VLOOKUP($A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1" s="10">
        <f>(+VLOOKUP($A11,FIXED_CHARTER_COST,HLOOKUP(I$7,FIXED_CHARTER_COST,2,0)+1,0)+VLOOKUP($A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2" spans="1:14" x14ac:dyDescent="0.2">
      <c r="A12" s="179">
        <f>+SHIPS!B28</f>
        <v>36770</v>
      </c>
      <c r="B12" s="10">
        <f>(+VLOOKUP($A12,FIXED_CHARTER_COST,HLOOKUP(B$7,FIXED_CHARTER_COST,2,0)+1,0)+VLOOKUP($A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2" s="10">
        <f>(+VLOOKUP($A12,FIXED_CHARTER_COST,HLOOKUP(C$7,FIXED_CHARTER_COST,2,0)+1,0)+VLOOKUP($A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2" s="10">
        <f>(+VLOOKUP($A12,FIXED_CHARTER_COST,HLOOKUP(D$7,FIXED_CHARTER_COST,2,0)+1,0)+VLOOKUP($A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2" s="10">
        <f>(+VLOOKUP($A12,FIXED_CHARTER_COST,HLOOKUP(E$7,FIXED_CHARTER_COST,2,0)+1,0)+VLOOKUP($A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2" s="10">
        <f>(+VLOOKUP($A12,FIXED_CHARTER_COST,HLOOKUP(F$7,FIXED_CHARTER_COST,2,0)+1,0)+VLOOKUP($A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2" s="10">
        <f>(+VLOOKUP($A12,FIXED_CHARTER_COST,HLOOKUP(G$7,FIXED_CHARTER_COST,2,0)+1,0)+VLOOKUP($A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2" s="10">
        <f>(+VLOOKUP($A12,FIXED_CHARTER_COST,HLOOKUP(H$7,FIXED_CHARTER_COST,2,0)+1,0)+VLOOKUP($A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2" s="10">
        <f>(+VLOOKUP($A12,FIXED_CHARTER_COST,HLOOKUP(I$7,FIXED_CHARTER_COST,2,0)+1,0)+VLOOKUP($A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3" spans="1:14" x14ac:dyDescent="0.2">
      <c r="A13" s="179">
        <f>+SHIPS!B29</f>
        <v>36800</v>
      </c>
      <c r="B13" s="10">
        <f>(+VLOOKUP($A13,FIXED_CHARTER_COST,HLOOKUP(B$7,FIXED_CHARTER_COST,2,0)+1,0)+VLOOKUP($A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3" s="10">
        <f>(+VLOOKUP($A13,FIXED_CHARTER_COST,HLOOKUP(C$7,FIXED_CHARTER_COST,2,0)+1,0)+VLOOKUP($A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3" s="10">
        <f>(+VLOOKUP($A13,FIXED_CHARTER_COST,HLOOKUP(D$7,FIXED_CHARTER_COST,2,0)+1,0)+VLOOKUP($A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3" s="10">
        <f>(+VLOOKUP($A13,FIXED_CHARTER_COST,HLOOKUP(E$7,FIXED_CHARTER_COST,2,0)+1,0)+VLOOKUP($A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3" s="10">
        <f>(+VLOOKUP($A13,FIXED_CHARTER_COST,HLOOKUP(F$7,FIXED_CHARTER_COST,2,0)+1,0)+VLOOKUP($A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3" s="10">
        <f>(+VLOOKUP($A13,FIXED_CHARTER_COST,HLOOKUP(G$7,FIXED_CHARTER_COST,2,0)+1,0)+VLOOKUP($A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3" s="10">
        <f>(+VLOOKUP($A13,FIXED_CHARTER_COST,HLOOKUP(H$7,FIXED_CHARTER_COST,2,0)+1,0)+VLOOKUP($A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3" s="10">
        <f>(+VLOOKUP($A13,FIXED_CHARTER_COST,HLOOKUP(I$7,FIXED_CHARTER_COST,2,0)+1,0)+VLOOKUP($A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4" spans="1:14" x14ac:dyDescent="0.2">
      <c r="A14" s="179">
        <f>+SHIPS!B30</f>
        <v>36831</v>
      </c>
      <c r="B14" s="10">
        <f>(+VLOOKUP($A14,FIXED_CHARTER_COST,HLOOKUP(B$7,FIXED_CHARTER_COST,2,0)+1,0)+VLOOKUP($A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4" s="10">
        <f>(+VLOOKUP($A14,FIXED_CHARTER_COST,HLOOKUP(C$7,FIXED_CHARTER_COST,2,0)+1,0)+VLOOKUP($A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4" s="10">
        <f>(+VLOOKUP($A14,FIXED_CHARTER_COST,HLOOKUP(D$7,FIXED_CHARTER_COST,2,0)+1,0)+VLOOKUP($A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4" s="10">
        <f>(+VLOOKUP($A14,FIXED_CHARTER_COST,HLOOKUP(E$7,FIXED_CHARTER_COST,2,0)+1,0)+VLOOKUP($A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4" s="10">
        <f>(+VLOOKUP($A14,FIXED_CHARTER_COST,HLOOKUP(F$7,FIXED_CHARTER_COST,2,0)+1,0)+VLOOKUP($A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4" s="10">
        <f>(+VLOOKUP($A14,FIXED_CHARTER_COST,HLOOKUP(G$7,FIXED_CHARTER_COST,2,0)+1,0)+VLOOKUP($A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4" s="10">
        <f>(+VLOOKUP($A14,FIXED_CHARTER_COST,HLOOKUP(H$7,FIXED_CHARTER_COST,2,0)+1,0)+VLOOKUP($A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4" s="10">
        <f>(+VLOOKUP($A14,FIXED_CHARTER_COST,HLOOKUP(I$7,FIXED_CHARTER_COST,2,0)+1,0)+VLOOKUP($A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5" spans="1:14" x14ac:dyDescent="0.2">
      <c r="A15" s="179">
        <f>+SHIPS!B31</f>
        <v>36861</v>
      </c>
      <c r="B15" s="10">
        <f>(+VLOOKUP($A15,FIXED_CHARTER_COST,HLOOKUP(B$7,FIXED_CHARTER_COST,2,0)+1,0)+VLOOKUP($A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5" s="10">
        <f>(+VLOOKUP($A15,FIXED_CHARTER_COST,HLOOKUP(C$7,FIXED_CHARTER_COST,2,0)+1,0)+VLOOKUP($A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5" s="10">
        <f>(+VLOOKUP($A15,FIXED_CHARTER_COST,HLOOKUP(D$7,FIXED_CHARTER_COST,2,0)+1,0)+VLOOKUP($A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5" s="10">
        <f>(+VLOOKUP($A15,FIXED_CHARTER_COST,HLOOKUP(E$7,FIXED_CHARTER_COST,2,0)+1,0)+VLOOKUP($A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5" s="10">
        <f>(+VLOOKUP($A15,FIXED_CHARTER_COST,HLOOKUP(F$7,FIXED_CHARTER_COST,2,0)+1,0)+VLOOKUP($A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5" s="10">
        <f>(+VLOOKUP($A15,FIXED_CHARTER_COST,HLOOKUP(G$7,FIXED_CHARTER_COST,2,0)+1,0)+VLOOKUP($A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5" s="10">
        <f>(+VLOOKUP($A15,FIXED_CHARTER_COST,HLOOKUP(H$7,FIXED_CHARTER_COST,2,0)+1,0)+VLOOKUP($A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5" s="10">
        <f>(+VLOOKUP($A15,FIXED_CHARTER_COST,HLOOKUP(I$7,FIXED_CHARTER_COST,2,0)+1,0)+VLOOKUP($A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6" spans="1:14" x14ac:dyDescent="0.2">
      <c r="A16" s="180">
        <f>+SHIPS!B32</f>
        <v>36892</v>
      </c>
      <c r="B16" s="10">
        <f>(+VLOOKUP($A16,FIXED_CHARTER_COST,HLOOKUP(B$7,FIXED_CHARTER_COST,2,0)+1,0)+VLOOKUP($A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6" s="10">
        <f>(+VLOOKUP($A16,FIXED_CHARTER_COST,HLOOKUP(C$7,FIXED_CHARTER_COST,2,0)+1,0)+VLOOKUP($A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6" s="10">
        <f>(+VLOOKUP($A16,FIXED_CHARTER_COST,HLOOKUP(D$7,FIXED_CHARTER_COST,2,0)+1,0)+VLOOKUP($A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6" s="10">
        <f>(+VLOOKUP($A16,FIXED_CHARTER_COST,HLOOKUP(E$7,FIXED_CHARTER_COST,2,0)+1,0)+VLOOKUP($A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6" s="10">
        <f>(+VLOOKUP($A16,FIXED_CHARTER_COST,HLOOKUP(F$7,FIXED_CHARTER_COST,2,0)+1,0)+VLOOKUP($A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6" s="10">
        <f>(+VLOOKUP($A16,FIXED_CHARTER_COST,HLOOKUP(G$7,FIXED_CHARTER_COST,2,0)+1,0)+VLOOKUP($A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6" s="10">
        <f>(+VLOOKUP($A16,FIXED_CHARTER_COST,HLOOKUP(H$7,FIXED_CHARTER_COST,2,0)+1,0)+VLOOKUP($A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6" s="10">
        <f>(+VLOOKUP($A16,FIXED_CHARTER_COST,HLOOKUP(I$7,FIXED_CHARTER_COST,2,0)+1,0)+VLOOKUP($A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7" spans="1:9" x14ac:dyDescent="0.2">
      <c r="A17" s="179">
        <f>+SHIPS!B33</f>
        <v>36923</v>
      </c>
      <c r="B17" s="10">
        <f>(+VLOOKUP($A17,FIXED_CHARTER_COST,HLOOKUP(B$7,FIXED_CHARTER_COST,2,0)+1,0)+VLOOKUP($A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7" s="10">
        <f>(+VLOOKUP($A17,FIXED_CHARTER_COST,HLOOKUP(C$7,FIXED_CHARTER_COST,2,0)+1,0)+VLOOKUP($A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7" s="10">
        <f>(+VLOOKUP($A17,FIXED_CHARTER_COST,HLOOKUP(D$7,FIXED_CHARTER_COST,2,0)+1,0)+VLOOKUP($A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7" s="10">
        <f>(+VLOOKUP($A17,FIXED_CHARTER_COST,HLOOKUP(E$7,FIXED_CHARTER_COST,2,0)+1,0)+VLOOKUP($A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7" s="10">
        <f>(+VLOOKUP($A17,FIXED_CHARTER_COST,HLOOKUP(F$7,FIXED_CHARTER_COST,2,0)+1,0)+VLOOKUP($A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7" s="10">
        <f>(+VLOOKUP($A17,FIXED_CHARTER_COST,HLOOKUP(G$7,FIXED_CHARTER_COST,2,0)+1,0)+VLOOKUP($A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7" s="10">
        <f>(+VLOOKUP($A17,FIXED_CHARTER_COST,HLOOKUP(H$7,FIXED_CHARTER_COST,2,0)+1,0)+VLOOKUP($A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7" s="10">
        <f>(+VLOOKUP($A17,FIXED_CHARTER_COST,HLOOKUP(I$7,FIXED_CHARTER_COST,2,0)+1,0)+VLOOKUP($A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8" spans="1:9" x14ac:dyDescent="0.2">
      <c r="A18" s="179">
        <f>+SHIPS!B34</f>
        <v>36951</v>
      </c>
      <c r="B18" s="10">
        <f>(+VLOOKUP($A18,FIXED_CHARTER_COST,HLOOKUP(B$7,FIXED_CHARTER_COST,2,0)+1,0)+VLOOKUP($A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1.1803803501590973</v>
      </c>
      <c r="C18" s="10">
        <f>(+VLOOKUP($A18,FIXED_CHARTER_COST,HLOOKUP(C$7,FIXED_CHARTER_COST,2,0)+1,0)+VLOOKUP($A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1.2820409949104798</v>
      </c>
      <c r="D18" s="10">
        <f>(+VLOOKUP($A18,FIXED_CHARTER_COST,HLOOKUP(D$7,FIXED_CHARTER_COST,2,0)+1,0)+VLOOKUP($A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8" s="10">
        <f>(+VLOOKUP($A18,FIXED_CHARTER_COST,HLOOKUP(E$7,FIXED_CHARTER_COST,2,0)+1,0)+VLOOKUP($A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8" s="10">
        <f>(+VLOOKUP($A18,FIXED_CHARTER_COST,HLOOKUP(F$7,FIXED_CHARTER_COST,2,0)+1,0)+VLOOKUP($A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8" s="10">
        <f>(+VLOOKUP($A18,FIXED_CHARTER_COST,HLOOKUP(G$7,FIXED_CHARTER_COST,2,0)+1,0)+VLOOKUP($A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8" s="10">
        <f>(+VLOOKUP($A18,FIXED_CHARTER_COST,HLOOKUP(H$7,FIXED_CHARTER_COST,2,0)+1,0)+VLOOKUP($A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0.51940637913143839</v>
      </c>
      <c r="I18" s="10">
        <f>(+VLOOKUP($A18,FIXED_CHARTER_COST,HLOOKUP(I$7,FIXED_CHARTER_COST,2,0)+1,0)+VLOOKUP($A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0.62106702388282087</v>
      </c>
    </row>
    <row r="19" spans="1:9" x14ac:dyDescent="0.2">
      <c r="A19" s="179">
        <f>+SHIPS!B35</f>
        <v>36982</v>
      </c>
      <c r="B19" s="10">
        <f>(+VLOOKUP($A19,FIXED_CHARTER_COST,HLOOKUP(B$7,FIXED_CHARTER_COST,2,0)+1,0)+VLOOKUP($A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1.1810676277563119</v>
      </c>
      <c r="C19" s="10">
        <f>(+VLOOKUP($A19,FIXED_CHARTER_COST,HLOOKUP(C$7,FIXED_CHARTER_COST,2,0)+1,0)+VLOOKUP($A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1.282799863924071</v>
      </c>
      <c r="D19" s="10">
        <f>(+VLOOKUP($A19,FIXED_CHARTER_COST,HLOOKUP(D$7,FIXED_CHARTER_COST,2,0)+1,0)+VLOOKUP($A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9" s="10">
        <f>(+VLOOKUP($A19,FIXED_CHARTER_COST,HLOOKUP(E$7,FIXED_CHARTER_COST,2,0)+1,0)+VLOOKUP($A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9" s="10">
        <f>(+VLOOKUP($A19,FIXED_CHARTER_COST,HLOOKUP(F$7,FIXED_CHARTER_COST,2,0)+1,0)+VLOOKUP($A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9" s="10">
        <f>(+VLOOKUP($A19,FIXED_CHARTER_COST,HLOOKUP(G$7,FIXED_CHARTER_COST,2,0)+1,0)+VLOOKUP($A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9" s="10">
        <f>(+VLOOKUP($A19,FIXED_CHARTER_COST,HLOOKUP(H$7,FIXED_CHARTER_COST,2,0)+1,0)+VLOOKUP($A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0.51972138136349511</v>
      </c>
      <c r="I19" s="10">
        <f>(+VLOOKUP($A19,FIXED_CHARTER_COST,HLOOKUP(I$7,FIXED_CHARTER_COST,2,0)+1,0)+VLOOKUP($A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0.62145361753125405</v>
      </c>
    </row>
    <row r="20" spans="1:9" x14ac:dyDescent="0.2">
      <c r="A20" s="179">
        <f>+SHIPS!B36</f>
        <v>37012</v>
      </c>
      <c r="B20" s="10">
        <f>(+VLOOKUP($A20,FIXED_CHARTER_COST,HLOOKUP(B$7,FIXED_CHARTER_COST,2,0)+1,0)+VLOOKUP($A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1.1817563371818538</v>
      </c>
      <c r="C20" s="10">
        <f>(+VLOOKUP($A20,FIXED_CHARTER_COST,HLOOKUP(C$7,FIXED_CHARTER_COST,2,0)+1,0)+VLOOKUP($A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1.2835603139147735</v>
      </c>
      <c r="D20" s="10">
        <f>(+VLOOKUP($A20,FIXED_CHARTER_COST,HLOOKUP(D$7,FIXED_CHARTER_COST,2,0)+1,0)+VLOOKUP($A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0" s="10">
        <f>(+VLOOKUP($A20,FIXED_CHARTER_COST,HLOOKUP(E$7,FIXED_CHARTER_COST,2,0)+1,0)+VLOOKUP($A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0" s="10">
        <f>(+VLOOKUP($A20,FIXED_CHARTER_COST,HLOOKUP(F$7,FIXED_CHARTER_COST,2,0)+1,0)+VLOOKUP($A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0" s="10">
        <f>(+VLOOKUP($A20,FIXED_CHARTER_COST,HLOOKUP(G$7,FIXED_CHARTER_COST,2,0)+1,0)+VLOOKUP($A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0" s="10">
        <f>(+VLOOKUP($A20,FIXED_CHARTER_COST,HLOOKUP(H$7,FIXED_CHARTER_COST,2,0)+1,0)+VLOOKUP($A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0.52003703985020178</v>
      </c>
      <c r="I20" s="10">
        <f>(+VLOOKUP($A20,FIXED_CHARTER_COST,HLOOKUP(I$7,FIXED_CHARTER_COST,2,0)+1,0)+VLOOKUP($A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0.62184101658312141</v>
      </c>
    </row>
    <row r="21" spans="1:9" x14ac:dyDescent="0.2">
      <c r="A21" s="179">
        <f>+SHIPS!B37</f>
        <v>37043</v>
      </c>
      <c r="B21" s="10">
        <f>(+VLOOKUP($A21,FIXED_CHARTER_COST,HLOOKUP(B$7,FIXED_CHARTER_COST,2,0)+1,0)+VLOOKUP($A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1.182446481418699</v>
      </c>
      <c r="C21" s="10">
        <f>(+VLOOKUP($A21,FIXED_CHARTER_COST,HLOOKUP(C$7,FIXED_CHARTER_COST,2,0)+1,0)+VLOOKUP($A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1.2843223481762902</v>
      </c>
      <c r="D21" s="10">
        <f>(+VLOOKUP($A21,FIXED_CHARTER_COST,HLOOKUP(D$7,FIXED_CHARTER_COST,2,0)+1,0)+VLOOKUP($A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1" s="10">
        <f>(+VLOOKUP($A21,FIXED_CHARTER_COST,HLOOKUP(E$7,FIXED_CHARTER_COST,2,0)+1,0)+VLOOKUP($A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1" s="10">
        <f>(+VLOOKUP($A21,FIXED_CHARTER_COST,HLOOKUP(F$7,FIXED_CHARTER_COST,2,0)+1,0)+VLOOKUP($A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1" s="10">
        <f>(+VLOOKUP($A21,FIXED_CHARTER_COST,HLOOKUP(G$7,FIXED_CHARTER_COST,2,0)+1,0)+VLOOKUP($A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1" s="10">
        <f>(+VLOOKUP($A21,FIXED_CHARTER_COST,HLOOKUP(H$7,FIXED_CHARTER_COST,2,0)+1,0)+VLOOKUP($A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0.52035335595875587</v>
      </c>
      <c r="I21" s="10">
        <f>(+VLOOKUP($A21,FIXED_CHARTER_COST,HLOOKUP(I$7,FIXED_CHARTER_COST,2,0)+1,0)+VLOOKUP($A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0.62222922271634684</v>
      </c>
    </row>
    <row r="22" spans="1:9" x14ac:dyDescent="0.2">
      <c r="A22" s="179">
        <f>+SHIPS!B38</f>
        <v>37073</v>
      </c>
      <c r="B22" s="10">
        <f>(+VLOOKUP($A22,FIXED_CHARTER_COST,HLOOKUP(B$7,FIXED_CHARTER_COST,2,0)+1,0)+VLOOKUP($A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1.1831380634560378</v>
      </c>
      <c r="C22" s="10">
        <f>(+VLOOKUP($A22,FIXED_CHARTER_COST,HLOOKUP(C$7,FIXED_CHARTER_COST,2,0)+1,0)+VLOOKUP($A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1.2850859700091848</v>
      </c>
      <c r="D22" s="10">
        <f>(+VLOOKUP($A22,FIXED_CHARTER_COST,HLOOKUP(D$7,FIXED_CHARTER_COST,2,0)+1,0)+VLOOKUP($A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2" s="10">
        <f>(+VLOOKUP($A22,FIXED_CHARTER_COST,HLOOKUP(E$7,FIXED_CHARTER_COST,2,0)+1,0)+VLOOKUP($A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2" s="10">
        <f>(+VLOOKUP($A22,FIXED_CHARTER_COST,HLOOKUP(F$7,FIXED_CHARTER_COST,2,0)+1,0)+VLOOKUP($A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2" s="10">
        <f>(+VLOOKUP($A22,FIXED_CHARTER_COST,HLOOKUP(G$7,FIXED_CHARTER_COST,2,0)+1,0)+VLOOKUP($A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2" s="10">
        <f>(+VLOOKUP($A22,FIXED_CHARTER_COST,HLOOKUP(H$7,FIXED_CHARTER_COST,2,0)+1,0)+VLOOKUP($A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0.5206703310592028</v>
      </c>
      <c r="I22" s="10">
        <f>(+VLOOKUP($A22,FIXED_CHARTER_COST,HLOOKUP(I$7,FIXED_CHARTER_COST,2,0)+1,0)+VLOOKUP($A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0.62261823761234991</v>
      </c>
    </row>
    <row r="23" spans="1:9" x14ac:dyDescent="0.2">
      <c r="A23" s="179">
        <f>+SHIPS!B39</f>
        <v>37104</v>
      </c>
      <c r="B23" s="10">
        <f>(+VLOOKUP($A23,FIXED_CHARTER_COST,HLOOKUP(B$7,FIXED_CHARTER_COST,2,0)+1,0)+VLOOKUP($A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1.1838310862892876</v>
      </c>
      <c r="C23" s="10">
        <f>(+VLOOKUP($A23,FIXED_CHARTER_COST,HLOOKUP(C$7,FIXED_CHARTER_COST,2,0)+1,0)+VLOOKUP($A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1.2858511827208983</v>
      </c>
      <c r="D23" s="10">
        <f>(+VLOOKUP($A23,FIXED_CHARTER_COST,HLOOKUP(D$7,FIXED_CHARTER_COST,2,0)+1,0)+VLOOKUP($A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3" s="10">
        <f>(+VLOOKUP($A23,FIXED_CHARTER_COST,HLOOKUP(E$7,FIXED_CHARTER_COST,2,0)+1,0)+VLOOKUP($A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3" s="10">
        <f>(+VLOOKUP($A23,FIXED_CHARTER_COST,HLOOKUP(F$7,FIXED_CHARTER_COST,2,0)+1,0)+VLOOKUP($A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3" s="10">
        <f>(+VLOOKUP($A23,FIXED_CHARTER_COST,HLOOKUP(G$7,FIXED_CHARTER_COST,2,0)+1,0)+VLOOKUP($A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3" s="10">
        <f>(+VLOOKUP($A23,FIXED_CHARTER_COST,HLOOKUP(H$7,FIXED_CHARTER_COST,2,0)+1,0)+VLOOKUP($A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0.52098796652444235</v>
      </c>
      <c r="I23" s="10">
        <f>(+VLOOKUP($A23,FIXED_CHARTER_COST,HLOOKUP(I$7,FIXED_CHARTER_COST,2,0)+1,0)+VLOOKUP($A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0.62300806295605293</v>
      </c>
    </row>
    <row r="24" spans="1:9" x14ac:dyDescent="0.2">
      <c r="A24" s="179">
        <f>+SHIPS!B40</f>
        <v>37135</v>
      </c>
      <c r="B24" s="10">
        <f>(+VLOOKUP($A24,FIXED_CHARTER_COST,HLOOKUP(B$7,FIXED_CHARTER_COST,2,0)+1,0)+VLOOKUP($A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1.1845255529201066</v>
      </c>
      <c r="C24" s="10">
        <f>(+VLOOKUP($A24,FIXED_CHARTER_COST,HLOOKUP(C$7,FIXED_CHARTER_COST,2,0)+1,0)+VLOOKUP($A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1.2866179896257608</v>
      </c>
      <c r="D24" s="10">
        <f>(+VLOOKUP($A24,FIXED_CHARTER_COST,HLOOKUP(D$7,FIXED_CHARTER_COST,2,0)+1,0)+VLOOKUP($A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4" s="10">
        <f>(+VLOOKUP($A24,FIXED_CHARTER_COST,HLOOKUP(E$7,FIXED_CHARTER_COST,2,0)+1,0)+VLOOKUP($A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4" s="10">
        <f>(+VLOOKUP($A24,FIXED_CHARTER_COST,HLOOKUP(F$7,FIXED_CHARTER_COST,2,0)+1,0)+VLOOKUP($A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4" s="10">
        <f>(+VLOOKUP($A24,FIXED_CHARTER_COST,HLOOKUP(G$7,FIXED_CHARTER_COST,2,0)+1,0)+VLOOKUP($A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4" s="10">
        <f>(+VLOOKUP($A24,FIXED_CHARTER_COST,HLOOKUP(H$7,FIXED_CHARTER_COST,2,0)+1,0)+VLOOKUP($A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0.52130626373023436</v>
      </c>
      <c r="I24" s="10">
        <f>(+VLOOKUP($A24,FIXED_CHARTER_COST,HLOOKUP(I$7,FIXED_CHARTER_COST,2,0)+1,0)+VLOOKUP($A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0.62339870043588863</v>
      </c>
    </row>
    <row r="25" spans="1:9" x14ac:dyDescent="0.2">
      <c r="A25" s="179">
        <f>+SHIPS!B41</f>
        <v>37165</v>
      </c>
      <c r="B25" s="10">
        <f>(+VLOOKUP($A25,FIXED_CHARTER_COST,HLOOKUP(B$7,FIXED_CHARTER_COST,2,0)+1,0)+VLOOKUP($A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1.1852214663564067</v>
      </c>
      <c r="C25" s="10">
        <f>(+VLOOKUP($A25,FIXED_CHARTER_COST,HLOOKUP(C$7,FIXED_CHARTER_COST,2,0)+1,0)+VLOOKUP($A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1.287386394045009</v>
      </c>
      <c r="D25" s="10">
        <f>(+VLOOKUP($A25,FIXED_CHARTER_COST,HLOOKUP(D$7,FIXED_CHARTER_COST,2,0)+1,0)+VLOOKUP($A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5" s="10">
        <f>(+VLOOKUP($A25,FIXED_CHARTER_COST,HLOOKUP(E$7,FIXED_CHARTER_COST,2,0)+1,0)+VLOOKUP($A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5" s="10">
        <f>(+VLOOKUP($A25,FIXED_CHARTER_COST,HLOOKUP(F$7,FIXED_CHARTER_COST,2,0)+1,0)+VLOOKUP($A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5" s="10">
        <f>(+VLOOKUP($A25,FIXED_CHARTER_COST,HLOOKUP(G$7,FIXED_CHARTER_COST,2,0)+1,0)+VLOOKUP($A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5" s="10">
        <f>(+VLOOKUP($A25,FIXED_CHARTER_COST,HLOOKUP(H$7,FIXED_CHARTER_COST,2,0)+1,0)+VLOOKUP($A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0.52162522405520517</v>
      </c>
      <c r="I25" s="10">
        <f>(+VLOOKUP($A25,FIXED_CHARTER_COST,HLOOKUP(I$7,FIXED_CHARTER_COST,2,0)+1,0)+VLOOKUP($A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0.62379015174380736</v>
      </c>
    </row>
    <row r="26" spans="1:9" x14ac:dyDescent="0.2">
      <c r="A26" s="179">
        <f>+SHIPS!B42</f>
        <v>37196</v>
      </c>
      <c r="B26" s="10">
        <f>(+VLOOKUP($A26,FIXED_CHARTER_COST,HLOOKUP(B$7,FIXED_CHARTER_COST,2,0)+1,0)+VLOOKUP($A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1.1859188296123655</v>
      </c>
      <c r="C26" s="10">
        <f>(+VLOOKUP($A26,FIXED_CHARTER_COST,HLOOKUP(C$7,FIXED_CHARTER_COST,2,0)+1,0)+VLOOKUP($A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1.2881563993067966</v>
      </c>
      <c r="D26" s="10">
        <f>(+VLOOKUP($A26,FIXED_CHARTER_COST,HLOOKUP(D$7,FIXED_CHARTER_COST,2,0)+1,0)+VLOOKUP($A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6" s="10">
        <f>(+VLOOKUP($A26,FIXED_CHARTER_COST,HLOOKUP(E$7,FIXED_CHARTER_COST,2,0)+1,0)+VLOOKUP($A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6" s="10">
        <f>(+VLOOKUP($A26,FIXED_CHARTER_COST,HLOOKUP(F$7,FIXED_CHARTER_COST,2,0)+1,0)+VLOOKUP($A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6" s="10">
        <f>(+VLOOKUP($A26,FIXED_CHARTER_COST,HLOOKUP(G$7,FIXED_CHARTER_COST,2,0)+1,0)+VLOOKUP($A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6" s="10">
        <f>(+VLOOKUP($A26,FIXED_CHARTER_COST,HLOOKUP(H$7,FIXED_CHARTER_COST,2,0)+1,0)+VLOOKUP($A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0.52194484888085302</v>
      </c>
      <c r="I26" s="10">
        <f>(+VLOOKUP($A26,FIXED_CHARTER_COST,HLOOKUP(I$7,FIXED_CHARTER_COST,2,0)+1,0)+VLOOKUP($A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0.62418241857528423</v>
      </c>
    </row>
    <row r="27" spans="1:9" x14ac:dyDescent="0.2">
      <c r="A27" s="179">
        <f>+SHIPS!B43</f>
        <v>37226</v>
      </c>
      <c r="B27" s="10">
        <f>(+VLOOKUP($A27,FIXED_CHARTER_COST,HLOOKUP(B$7,FIXED_CHARTER_COST,2,0)+1,0)+VLOOKUP($A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1.186617645708441</v>
      </c>
      <c r="C27" s="10">
        <f>(+VLOOKUP($A27,FIXED_CHARTER_COST,HLOOKUP(C$7,FIXED_CHARTER_COST,2,0)+1,0)+VLOOKUP($A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1.2889280087462132</v>
      </c>
      <c r="D27" s="10">
        <f>(+VLOOKUP($A27,FIXED_CHARTER_COST,HLOOKUP(D$7,FIXED_CHARTER_COST,2,0)+1,0)+VLOOKUP($A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7" s="10">
        <f>(+VLOOKUP($A27,FIXED_CHARTER_COST,HLOOKUP(E$7,FIXED_CHARTER_COST,2,0)+1,0)+VLOOKUP($A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7" s="10">
        <f>(+VLOOKUP($A27,FIXED_CHARTER_COST,HLOOKUP(F$7,FIXED_CHARTER_COST,2,0)+1,0)+VLOOKUP($A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7" s="10">
        <f>(+VLOOKUP($A27,FIXED_CHARTER_COST,HLOOKUP(G$7,FIXED_CHARTER_COST,2,0)+1,0)+VLOOKUP($A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7" s="10">
        <f>(+VLOOKUP($A27,FIXED_CHARTER_COST,HLOOKUP(H$7,FIXED_CHARTER_COST,2,0)+1,0)+VLOOKUP($A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0.52226513959155429</v>
      </c>
      <c r="I27" s="10">
        <f>(+VLOOKUP($A27,FIXED_CHARTER_COST,HLOOKUP(I$7,FIXED_CHARTER_COST,2,0)+1,0)+VLOOKUP($A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0.62457550262932671</v>
      </c>
    </row>
    <row r="28" spans="1:9" x14ac:dyDescent="0.2">
      <c r="A28" s="180">
        <f>+SHIPS!B44</f>
        <v>37257</v>
      </c>
      <c r="B28" s="10">
        <f>(+VLOOKUP($A28,FIXED_CHARTER_COST,HLOOKUP(B$7,FIXED_CHARTER_COST,2,0)+1,0)+VLOOKUP($A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1.1873179176713835</v>
      </c>
      <c r="C28" s="10">
        <f>(+VLOOKUP($A28,FIXED_CHARTER_COST,HLOOKUP(C$7,FIXED_CHARTER_COST,2,0)+1,0)+VLOOKUP($A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1.2897012257052956</v>
      </c>
      <c r="D28" s="10">
        <f>(+VLOOKUP($A28,FIXED_CHARTER_COST,HLOOKUP(D$7,FIXED_CHARTER_COST,2,0)+1,0)+VLOOKUP($A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8" s="10">
        <f>(+VLOOKUP($A28,FIXED_CHARTER_COST,HLOOKUP(E$7,FIXED_CHARTER_COST,2,0)+1,0)+VLOOKUP($A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8" s="10">
        <f>(+VLOOKUP($A28,FIXED_CHARTER_COST,HLOOKUP(F$7,FIXED_CHARTER_COST,2,0)+1,0)+VLOOKUP($A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8" s="10">
        <f>(+VLOOKUP($A28,FIXED_CHARTER_COST,HLOOKUP(G$7,FIXED_CHARTER_COST,2,0)+1,0)+VLOOKUP($A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8" s="10">
        <f>(+VLOOKUP($A28,FIXED_CHARTER_COST,HLOOKUP(H$7,FIXED_CHARTER_COST,2,0)+1,0)+VLOOKUP($A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0.52258609757456953</v>
      </c>
      <c r="I28" s="10">
        <f>(+VLOOKUP($A28,FIXED_CHARTER_COST,HLOOKUP(I$7,FIXED_CHARTER_COST,2,0)+1,0)+VLOOKUP($A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0.6249694056084818</v>
      </c>
    </row>
    <row r="29" spans="1:9" x14ac:dyDescent="0.2">
      <c r="A29" s="179">
        <f>+SHIPS!B45</f>
        <v>37288</v>
      </c>
      <c r="B29" s="10">
        <f>(+VLOOKUP($A29,FIXED_CHARTER_COST,HLOOKUP(B$7,FIXED_CHARTER_COST,2,0)+1,0)+VLOOKUP($A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1.1880196485342485</v>
      </c>
      <c r="C29" s="10">
        <f>(+VLOOKUP($A29,FIXED_CHARTER_COST,HLOOKUP(C$7,FIXED_CHARTER_COST,2,0)+1,0)+VLOOKUP($A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1.2904760535330426</v>
      </c>
      <c r="D29" s="10">
        <f>(+VLOOKUP($A29,FIXED_CHARTER_COST,HLOOKUP(D$7,FIXED_CHARTER_COST,2,0)+1,0)+VLOOKUP($A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9" s="10">
        <f>(+VLOOKUP($A29,FIXED_CHARTER_COST,HLOOKUP(E$7,FIXED_CHARTER_COST,2,0)+1,0)+VLOOKUP($A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9" s="10">
        <f>(+VLOOKUP($A29,FIXED_CHARTER_COST,HLOOKUP(F$7,FIXED_CHARTER_COST,2,0)+1,0)+VLOOKUP($A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9" s="10">
        <f>(+VLOOKUP($A29,FIXED_CHARTER_COST,HLOOKUP(G$7,FIXED_CHARTER_COST,2,0)+1,0)+VLOOKUP($A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9" s="10">
        <f>(+VLOOKUP($A29,FIXED_CHARTER_COST,HLOOKUP(H$7,FIXED_CHARTER_COST,2,0)+1,0)+VLOOKUP($A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0.52290772422004939</v>
      </c>
      <c r="I29" s="10">
        <f>(+VLOOKUP($A29,FIXED_CHARTER_COST,HLOOKUP(I$7,FIXED_CHARTER_COST,2,0)+1,0)+VLOOKUP($A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0.62536412921884343</v>
      </c>
    </row>
    <row r="30" spans="1:9" x14ac:dyDescent="0.2">
      <c r="A30" s="179">
        <f>+SHIPS!B46</f>
        <v>37316</v>
      </c>
      <c r="B30" s="10">
        <f>(+VLOOKUP($A30,FIXED_CHARTER_COST,HLOOKUP(B$7,FIXED_CHARTER_COST,2,0)+1,0)+VLOOKUP($A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1.1887228413364113</v>
      </c>
      <c r="C30" s="10">
        <f>(+VLOOKUP($A30,FIXED_CHARTER_COST,HLOOKUP(C$7,FIXED_CHARTER_COST,2,0)+1,0)+VLOOKUP($A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1.2912524955854303</v>
      </c>
      <c r="D30" s="10">
        <f>(+VLOOKUP($A30,FIXED_CHARTER_COST,HLOOKUP(D$7,FIXED_CHARTER_COST,2,0)+1,0)+VLOOKUP($A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0" s="10">
        <f>(+VLOOKUP($A30,FIXED_CHARTER_COST,HLOOKUP(E$7,FIXED_CHARTER_COST,2,0)+1,0)+VLOOKUP($A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0" s="10">
        <f>(+VLOOKUP($A30,FIXED_CHARTER_COST,HLOOKUP(F$7,FIXED_CHARTER_COST,2,0)+1,0)+VLOOKUP($A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0" s="10">
        <f>(+VLOOKUP($A30,FIXED_CHARTER_COST,HLOOKUP(G$7,FIXED_CHARTER_COST,2,0)+1,0)+VLOOKUP($A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0" s="10">
        <f>(+VLOOKUP($A30,FIXED_CHARTER_COST,HLOOKUP(H$7,FIXED_CHARTER_COST,2,0)+1,0)+VLOOKUP($A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0.52323002092104065</v>
      </c>
      <c r="I30" s="10">
        <f>(+VLOOKUP($A30,FIXED_CHARTER_COST,HLOOKUP(I$7,FIXED_CHARTER_COST,2,0)+1,0)+VLOOKUP($A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0.62575967517005993</v>
      </c>
    </row>
    <row r="31" spans="1:9" x14ac:dyDescent="0.2">
      <c r="A31" s="179">
        <f>+SHIPS!B47</f>
        <v>37347</v>
      </c>
      <c r="B31" s="10">
        <f>(+VLOOKUP($A31,FIXED_CHARTER_COST,HLOOKUP(B$7,FIXED_CHARTER_COST,2,0)+1,0)+VLOOKUP($A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1.1894274991235785</v>
      </c>
      <c r="C31" s="10">
        <f>(+VLOOKUP($A31,FIXED_CHARTER_COST,HLOOKUP(C$7,FIXED_CHARTER_COST,2,0)+1,0)+VLOOKUP($A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1.2920305552254276</v>
      </c>
      <c r="D31" s="10">
        <f>(+VLOOKUP($A31,FIXED_CHARTER_COST,HLOOKUP(D$7,FIXED_CHARTER_COST,2,0)+1,0)+VLOOKUP($A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1" s="10">
        <f>(+VLOOKUP($A31,FIXED_CHARTER_COST,HLOOKUP(E$7,FIXED_CHARTER_COST,2,0)+1,0)+VLOOKUP($A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1" s="10">
        <f>(+VLOOKUP($A31,FIXED_CHARTER_COST,HLOOKUP(F$7,FIXED_CHARTER_COST,2,0)+1,0)+VLOOKUP($A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1" s="10">
        <f>(+VLOOKUP($A31,FIXED_CHARTER_COST,HLOOKUP(G$7,FIXED_CHARTER_COST,2,0)+1,0)+VLOOKUP($A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1" s="10">
        <f>(+VLOOKUP($A31,FIXED_CHARTER_COST,HLOOKUP(H$7,FIXED_CHARTER_COST,2,0)+1,0)+VLOOKUP($A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0.52355298907349235</v>
      </c>
      <c r="I31" s="10">
        <f>(+VLOOKUP($A31,FIXED_CHARTER_COST,HLOOKUP(I$7,FIXED_CHARTER_COST,2,0)+1,0)+VLOOKUP($A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0.62615604517534151</v>
      </c>
    </row>
    <row r="32" spans="1:9" x14ac:dyDescent="0.2">
      <c r="A32" s="179">
        <f>+SHIPS!B48</f>
        <v>37377</v>
      </c>
      <c r="B32" s="10">
        <f>(+VLOOKUP($A32,FIXED_CHARTER_COST,HLOOKUP(B$7,FIXED_CHARTER_COST,2,0)+1,0)+VLOOKUP($A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1.1901336249478023</v>
      </c>
      <c r="C32" s="10">
        <f>(+VLOOKUP($A32,FIXED_CHARTER_COST,HLOOKUP(C$7,FIXED_CHARTER_COST,2,0)+1,0)+VLOOKUP($A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1.2928102358230082</v>
      </c>
      <c r="D32" s="10">
        <f>(+VLOOKUP($A32,FIXED_CHARTER_COST,HLOOKUP(D$7,FIXED_CHARTER_COST,2,0)+1,0)+VLOOKUP($A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2" s="10">
        <f>(+VLOOKUP($A32,FIXED_CHARTER_COST,HLOOKUP(E$7,FIXED_CHARTER_COST,2,0)+1,0)+VLOOKUP($A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2" s="10">
        <f>(+VLOOKUP($A32,FIXED_CHARTER_COST,HLOOKUP(F$7,FIXED_CHARTER_COST,2,0)+1,0)+VLOOKUP($A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2" s="10">
        <f>(+VLOOKUP($A32,FIXED_CHARTER_COST,HLOOKUP(G$7,FIXED_CHARTER_COST,2,0)+1,0)+VLOOKUP($A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2" s="10">
        <f>(+VLOOKUP($A32,FIXED_CHARTER_COST,HLOOKUP(H$7,FIXED_CHARTER_COST,2,0)+1,0)+VLOOKUP($A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0.52387663007626162</v>
      </c>
      <c r="I32" s="10">
        <f>(+VLOOKUP($A32,FIXED_CHARTER_COST,HLOOKUP(I$7,FIXED_CHARTER_COST,2,0)+1,0)+VLOOKUP($A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0.62655324095146747</v>
      </c>
    </row>
    <row r="33" spans="1:9" x14ac:dyDescent="0.2">
      <c r="A33" s="179">
        <f>+SHIPS!B49</f>
        <v>37408</v>
      </c>
      <c r="B33" s="10">
        <f>(+VLOOKUP($A33,FIXED_CHARTER_COST,HLOOKUP(B$7,FIXED_CHARTER_COST,2,0)+1,0)+VLOOKUP($A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1.1908412218674933</v>
      </c>
      <c r="C33" s="10">
        <f>(+VLOOKUP($A33,FIXED_CHARTER_COST,HLOOKUP(C$7,FIXED_CHARTER_COST,2,0)+1,0)+VLOOKUP($A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1.2935915407551668</v>
      </c>
      <c r="D33" s="10">
        <f>(+VLOOKUP($A33,FIXED_CHARTER_COST,HLOOKUP(D$7,FIXED_CHARTER_COST,2,0)+1,0)+VLOOKUP($A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3" s="10">
        <f>(+VLOOKUP($A33,FIXED_CHARTER_COST,HLOOKUP(E$7,FIXED_CHARTER_COST,2,0)+1,0)+VLOOKUP($A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3" s="10">
        <f>(+VLOOKUP($A33,FIXED_CHARTER_COST,HLOOKUP(F$7,FIXED_CHARTER_COST,2,0)+1,0)+VLOOKUP($A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3" s="10">
        <f>(+VLOOKUP($A33,FIXED_CHARTER_COST,HLOOKUP(G$7,FIXED_CHARTER_COST,2,0)+1,0)+VLOOKUP($A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3" s="10">
        <f>(+VLOOKUP($A33,FIXED_CHARTER_COST,HLOOKUP(H$7,FIXED_CHARTER_COST,2,0)+1,0)+VLOOKUP($A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0.52420094533111994</v>
      </c>
      <c r="I33" s="10">
        <f>(+VLOOKUP($A33,FIXED_CHARTER_COST,HLOOKUP(I$7,FIXED_CHARTER_COST,2,0)+1,0)+VLOOKUP($A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0.62695126421879366</v>
      </c>
    </row>
    <row r="34" spans="1:9" x14ac:dyDescent="0.2">
      <c r="A34" s="179">
        <f>+SHIPS!B50</f>
        <v>37438</v>
      </c>
      <c r="B34" s="10">
        <f>(+VLOOKUP($A34,FIXED_CHARTER_COST,HLOOKUP(B$7,FIXED_CHARTER_COST,2,0)+1,0)+VLOOKUP($A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1.1915502929474338</v>
      </c>
      <c r="C34" s="10">
        <f>(+VLOOKUP($A34,FIXED_CHARTER_COST,HLOOKUP(C$7,FIXED_CHARTER_COST,2,0)+1,0)+VLOOKUP($A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1.2943744734059346</v>
      </c>
      <c r="D34" s="10">
        <f>(+VLOOKUP($A34,FIXED_CHARTER_COST,HLOOKUP(D$7,FIXED_CHARTER_COST,2,0)+1,0)+VLOOKUP($A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4" s="10">
        <f>(+VLOOKUP($A34,FIXED_CHARTER_COST,HLOOKUP(E$7,FIXED_CHARTER_COST,2,0)+1,0)+VLOOKUP($A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4" s="10">
        <f>(+VLOOKUP($A34,FIXED_CHARTER_COST,HLOOKUP(F$7,FIXED_CHARTER_COST,2,0)+1,0)+VLOOKUP($A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4" s="10">
        <f>(+VLOOKUP($A34,FIXED_CHARTER_COST,HLOOKUP(G$7,FIXED_CHARTER_COST,2,0)+1,0)+VLOOKUP($A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4" s="10">
        <f>(+VLOOKUP($A34,FIXED_CHARTER_COST,HLOOKUP(H$7,FIXED_CHARTER_COST,2,0)+1,0)+VLOOKUP($A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0.52452593624275923</v>
      </c>
      <c r="I34" s="10">
        <f>(+VLOOKUP($A34,FIXED_CHARTER_COST,HLOOKUP(I$7,FIXED_CHARTER_COST,2,0)+1,0)+VLOOKUP($A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0.62735011670126006</v>
      </c>
    </row>
    <row r="35" spans="1:9" x14ac:dyDescent="0.2">
      <c r="A35" s="179">
        <f>+SHIPS!B51</f>
        <v>37469</v>
      </c>
      <c r="B35" s="10">
        <f>(+VLOOKUP($A35,FIXED_CHARTER_COST,HLOOKUP(B$7,FIXED_CHARTER_COST,2,0)+1,0)+VLOOKUP($A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1.1922608412587905</v>
      </c>
      <c r="C35" s="10">
        <f>(+VLOOKUP($A35,FIXED_CHARTER_COST,HLOOKUP(C$7,FIXED_CHARTER_COST,2,0)+1,0)+VLOOKUP($A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1.295159037166391</v>
      </c>
      <c r="D35" s="10">
        <f>(+VLOOKUP($A35,FIXED_CHARTER_COST,HLOOKUP(D$7,FIXED_CHARTER_COST,2,0)+1,0)+VLOOKUP($A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5" s="10">
        <f>(+VLOOKUP($A35,FIXED_CHARTER_COST,HLOOKUP(E$7,FIXED_CHARTER_COST,2,0)+1,0)+VLOOKUP($A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5" s="10">
        <f>(+VLOOKUP($A35,FIXED_CHARTER_COST,HLOOKUP(F$7,FIXED_CHARTER_COST,2,0)+1,0)+VLOOKUP($A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5" s="10">
        <f>(+VLOOKUP($A35,FIXED_CHARTER_COST,HLOOKUP(G$7,FIXED_CHARTER_COST,2,0)+1,0)+VLOOKUP($A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5" s="10">
        <f>(+VLOOKUP($A35,FIXED_CHARTER_COST,HLOOKUP(H$7,FIXED_CHARTER_COST,2,0)+1,0)+VLOOKUP($A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0.52485160421879784</v>
      </c>
      <c r="I35" s="10">
        <f>(+VLOOKUP($A35,FIXED_CHARTER_COST,HLOOKUP(I$7,FIXED_CHARTER_COST,2,0)+1,0)+VLOOKUP($A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0.62774980012639836</v>
      </c>
    </row>
    <row r="36" spans="1:9" x14ac:dyDescent="0.2">
      <c r="A36" s="179">
        <f>+SHIPS!B52</f>
        <v>37500</v>
      </c>
      <c r="B36" s="10">
        <f>(+VLOOKUP($A36,FIXED_CHARTER_COST,HLOOKUP(B$7,FIXED_CHARTER_COST,2,0)+1,0)+VLOOKUP($A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1.1929728698791295</v>
      </c>
      <c r="C36" s="10">
        <f>(+VLOOKUP($A36,FIXED_CHARTER_COST,HLOOKUP(C$7,FIXED_CHARTER_COST,2,0)+1,0)+VLOOKUP($A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1.2959452354346819</v>
      </c>
      <c r="D36" s="10">
        <f>(+VLOOKUP($A36,FIXED_CHARTER_COST,HLOOKUP(D$7,FIXED_CHARTER_COST,2,0)+1,0)+VLOOKUP($A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6" s="10">
        <f>(+VLOOKUP($A36,FIXED_CHARTER_COST,HLOOKUP(E$7,FIXED_CHARTER_COST,2,0)+1,0)+VLOOKUP($A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6" s="10">
        <f>(+VLOOKUP($A36,FIXED_CHARTER_COST,HLOOKUP(F$7,FIXED_CHARTER_COST,2,0)+1,0)+VLOOKUP($A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6" s="10">
        <f>(+VLOOKUP($A36,FIXED_CHARTER_COST,HLOOKUP(G$7,FIXED_CHARTER_COST,2,0)+1,0)+VLOOKUP($A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6" s="10">
        <f>(+VLOOKUP($A36,FIXED_CHARTER_COST,HLOOKUP(H$7,FIXED_CHARTER_COST,2,0)+1,0)+VLOOKUP($A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0.52517795066978656</v>
      </c>
      <c r="I36" s="10">
        <f>(+VLOOKUP($A36,FIXED_CHARTER_COST,HLOOKUP(I$7,FIXED_CHARTER_COST,2,0)+1,0)+VLOOKUP($A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0.62815031622533901</v>
      </c>
    </row>
    <row r="37" spans="1:9" x14ac:dyDescent="0.2">
      <c r="A37" s="179">
        <f>+SHIPS!B53</f>
        <v>37530</v>
      </c>
      <c r="B37" s="10">
        <f>(+VLOOKUP($A37,FIXED_CHARTER_COST,HLOOKUP(B$7,FIXED_CHARTER_COST,2,0)+1,0)+VLOOKUP($A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1.1936863818924273</v>
      </c>
      <c r="C37" s="10">
        <f>(+VLOOKUP($A37,FIXED_CHARTER_COST,HLOOKUP(C$7,FIXED_CHARTER_COST,2,0)+1,0)+VLOOKUP($A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1.2967330716160317</v>
      </c>
      <c r="D37" s="10">
        <f>(+VLOOKUP($A37,FIXED_CHARTER_COST,HLOOKUP(D$7,FIXED_CHARTER_COST,2,0)+1,0)+VLOOKUP($A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7" s="10">
        <f>(+VLOOKUP($A37,FIXED_CHARTER_COST,HLOOKUP(E$7,FIXED_CHARTER_COST,2,0)+1,0)+VLOOKUP($A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7" s="10">
        <f>(+VLOOKUP($A37,FIXED_CHARTER_COST,HLOOKUP(F$7,FIXED_CHARTER_COST,2,0)+1,0)+VLOOKUP($A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7" s="10">
        <f>(+VLOOKUP($A37,FIXED_CHARTER_COST,HLOOKUP(G$7,FIXED_CHARTER_COST,2,0)+1,0)+VLOOKUP($A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7" s="10">
        <f>(+VLOOKUP($A37,FIXED_CHARTER_COST,HLOOKUP(H$7,FIXED_CHARTER_COST,2,0)+1,0)+VLOOKUP($A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0.52550497700921472</v>
      </c>
      <c r="I37" s="10">
        <f>(+VLOOKUP($A37,FIXED_CHARTER_COST,HLOOKUP(I$7,FIXED_CHARTER_COST,2,0)+1,0)+VLOOKUP($A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0.62855166673281904</v>
      </c>
    </row>
    <row r="38" spans="1:9" x14ac:dyDescent="0.2">
      <c r="A38" s="179">
        <f>+SHIPS!B54</f>
        <v>37561</v>
      </c>
      <c r="B38" s="10">
        <f>(+VLOOKUP($A38,FIXED_CHARTER_COST,HLOOKUP(B$7,FIXED_CHARTER_COST,2,0)+1,0)+VLOOKUP($A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1.1944013803890863</v>
      </c>
      <c r="C38" s="10">
        <f>(+VLOOKUP($A38,FIXED_CHARTER_COST,HLOOKUP(C$7,FIXED_CHARTER_COST,2,0)+1,0)+VLOOKUP($A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1.2975225491227593</v>
      </c>
      <c r="D38" s="10">
        <f>(+VLOOKUP($A38,FIXED_CHARTER_COST,HLOOKUP(D$7,FIXED_CHARTER_COST,2,0)+1,0)+VLOOKUP($A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8" s="10">
        <f>(+VLOOKUP($A38,FIXED_CHARTER_COST,HLOOKUP(E$7,FIXED_CHARTER_COST,2,0)+1,0)+VLOOKUP($A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8" s="10">
        <f>(+VLOOKUP($A38,FIXED_CHARTER_COST,HLOOKUP(F$7,FIXED_CHARTER_COST,2,0)+1,0)+VLOOKUP($A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8" s="10">
        <f>(+VLOOKUP($A38,FIXED_CHARTER_COST,HLOOKUP(G$7,FIXED_CHARTER_COST,2,0)+1,0)+VLOOKUP($A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8" s="10">
        <f>(+VLOOKUP($A38,FIXED_CHARTER_COST,HLOOKUP(H$7,FIXED_CHARTER_COST,2,0)+1,0)+VLOOKUP($A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0.52583268465351674</v>
      </c>
      <c r="I38" s="10">
        <f>(+VLOOKUP($A38,FIXED_CHARTER_COST,HLOOKUP(I$7,FIXED_CHARTER_COST,2,0)+1,0)+VLOOKUP($A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0.62895385338718968</v>
      </c>
    </row>
    <row r="39" spans="1:9" x14ac:dyDescent="0.2">
      <c r="A39" s="179">
        <f>+SHIPS!B55</f>
        <v>37591</v>
      </c>
      <c r="B39" s="10">
        <f>(+VLOOKUP($A39,FIXED_CHARTER_COST,HLOOKUP(B$7,FIXED_CHARTER_COST,2,0)+1,0)+VLOOKUP($A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1.1951178684659467</v>
      </c>
      <c r="C39" s="10">
        <f>(+VLOOKUP($A39,FIXED_CHARTER_COST,HLOOKUP(C$7,FIXED_CHARTER_COST,2,0)+1,0)+VLOOKUP($A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1.2983136713742927</v>
      </c>
      <c r="D39" s="10">
        <f>(+VLOOKUP($A39,FIXED_CHARTER_COST,HLOOKUP(D$7,FIXED_CHARTER_COST,2,0)+1,0)+VLOOKUP($A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9" s="10">
        <f>(+VLOOKUP($A39,FIXED_CHARTER_COST,HLOOKUP(E$7,FIXED_CHARTER_COST,2,0)+1,0)+VLOOKUP($A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9" s="10">
        <f>(+VLOOKUP($A39,FIXED_CHARTER_COST,HLOOKUP(F$7,FIXED_CHARTER_COST,2,0)+1,0)+VLOOKUP($A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9" s="10">
        <f>(+VLOOKUP($A39,FIXED_CHARTER_COST,HLOOKUP(G$7,FIXED_CHARTER_COST,2,0)+1,0)+VLOOKUP($A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9" s="10">
        <f>(+VLOOKUP($A39,FIXED_CHARTER_COST,HLOOKUP(H$7,FIXED_CHARTER_COST,2,0)+1,0)+VLOOKUP($A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0.52616107502207776</v>
      </c>
      <c r="I39" s="10">
        <f>(+VLOOKUP($A39,FIXED_CHARTER_COST,HLOOKUP(I$7,FIXED_CHARTER_COST,2,0)+1,0)+VLOOKUP($A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0.62935687793042361</v>
      </c>
    </row>
    <row r="40" spans="1:9" x14ac:dyDescent="0.2">
      <c r="A40" s="180">
        <f>+SHIPS!B56</f>
        <v>37622</v>
      </c>
      <c r="B40" s="10">
        <f>(+VLOOKUP($A40,FIXED_CHARTER_COST,HLOOKUP(B$7,FIXED_CHARTER_COST,2,0)+1,0)+VLOOKUP($A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1.3486821411164722</v>
      </c>
      <c r="C40" s="10">
        <f>(+VLOOKUP($A40,FIXED_CHARTER_COST,HLOOKUP(C$7,FIXED_CHARTER_COST,2,0)+1,0)+VLOOKUP($A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1.4678742224259145</v>
      </c>
      <c r="D40" s="10">
        <f>(+VLOOKUP($A40,FIXED_CHARTER_COST,HLOOKUP(D$7,FIXED_CHARTER_COST,2,0)+1,0)+VLOOKUP($A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0.3245525347106723</v>
      </c>
      <c r="E40" s="10">
        <f>(+VLOOKUP($A40,FIXED_CHARTER_COST,HLOOKUP(E$7,FIXED_CHARTER_COST,2,0)+1,0)+VLOOKUP($A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0.35430058739057418</v>
      </c>
      <c r="F40" s="10">
        <f>(+VLOOKUP($A40,FIXED_CHARTER_COST,HLOOKUP(F$7,FIXED_CHARTER_COST,2,0)+1,0)+VLOOKUP($A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0.59578839124417549</v>
      </c>
      <c r="G40" s="10">
        <f>(+VLOOKUP($A40,FIXED_CHARTER_COST,HLOOKUP(G$7,FIXED_CHARTER_COST,2,0)+1,0)+VLOOKUP($A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0.72381740911942793</v>
      </c>
      <c r="H40" s="10">
        <f>(+VLOOKUP($A40,FIXED_CHARTER_COST,HLOOKUP(H$7,FIXED_CHARTER_COST,2,0)+1,0)+VLOOKUP($A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0.59654469998690196</v>
      </c>
      <c r="I40" s="10">
        <f>(+VLOOKUP($A40,FIXED_CHARTER_COST,HLOOKUP(I$7,FIXED_CHARTER_COST,2,0)+1,0)+VLOOKUP($A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0.71573678129634422</v>
      </c>
    </row>
    <row r="41" spans="1:9" x14ac:dyDescent="0.2">
      <c r="A41" s="179">
        <f>+SHIPS!B57</f>
        <v>37653</v>
      </c>
      <c r="B41" s="10">
        <f>(+VLOOKUP($A41,FIXED_CHARTER_COST,HLOOKUP(B$7,FIXED_CHARTER_COST,2,0)+1,0)+VLOOKUP($A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1.3494016176700767</v>
      </c>
      <c r="C41" s="10">
        <f>(+VLOOKUP($A41,FIXED_CHARTER_COST,HLOOKUP(C$7,FIXED_CHARTER_COST,2,0)+1,0)+VLOOKUP($A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1.4686686444538528</v>
      </c>
      <c r="D41" s="10">
        <f>(+VLOOKUP($A41,FIXED_CHARTER_COST,HLOOKUP(D$7,FIXED_CHARTER_COST,2,0)+1,0)+VLOOKUP($A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0.32463642784993957</v>
      </c>
      <c r="E41" s="10">
        <f>(+VLOOKUP($A41,FIXED_CHARTER_COST,HLOOKUP(E$7,FIXED_CHARTER_COST,2,0)+1,0)+VLOOKUP($A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0.35439147162478041</v>
      </c>
      <c r="F41" s="10">
        <f>(+VLOOKUP($A41,FIXED_CHARTER_COST,HLOOKUP(F$7,FIXED_CHARTER_COST,2,0)+1,0)+VLOOKUP($A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0.59593520423789326</v>
      </c>
      <c r="G41" s="10">
        <f>(+VLOOKUP($A41,FIXED_CHARTER_COST,HLOOKUP(G$7,FIXED_CHARTER_COST,2,0)+1,0)+VLOOKUP($A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0.72399917758784049</v>
      </c>
      <c r="H41" s="10">
        <f>(+VLOOKUP($A41,FIXED_CHARTER_COST,HLOOKUP(H$7,FIXED_CHARTER_COST,2,0)+1,0)+VLOOKUP($A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0.59687446007397071</v>
      </c>
      <c r="I41" s="10">
        <f>(+VLOOKUP($A41,FIXED_CHARTER_COST,HLOOKUP(I$7,FIXED_CHARTER_COST,2,0)+1,0)+VLOOKUP($A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0.71614148685774681</v>
      </c>
    </row>
    <row r="42" spans="1:9" x14ac:dyDescent="0.2">
      <c r="A42" s="179">
        <f>+SHIPS!B58</f>
        <v>37681</v>
      </c>
      <c r="B42" s="10">
        <f>(+VLOOKUP($A42,FIXED_CHARTER_COST,HLOOKUP(B$7,FIXED_CHARTER_COST,2,0)+1,0)+VLOOKUP($A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1.350122593133168</v>
      </c>
      <c r="C42" s="10">
        <f>(+VLOOKUP($A42,FIXED_CHARTER_COST,HLOOKUP(C$7,FIXED_CHARTER_COST,2,0)+1,0)+VLOOKUP($A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1.4694647215276826</v>
      </c>
      <c r="D42" s="10">
        <f>(+VLOOKUP($A42,FIXED_CHARTER_COST,HLOOKUP(D$7,FIXED_CHARTER_COST,2,0)+1,0)+VLOOKUP($A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0.32472049576658035</v>
      </c>
      <c r="E42" s="10">
        <f>(+VLOOKUP($A42,FIXED_CHARTER_COST,HLOOKUP(E$7,FIXED_CHARTER_COST,2,0)+1,0)+VLOOKUP($A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0.35448254520114125</v>
      </c>
      <c r="F42" s="10">
        <f>(+VLOOKUP($A42,FIXED_CHARTER_COST,HLOOKUP(F$7,FIXED_CHARTER_COST,2,0)+1,0)+VLOOKUP($A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0.59608232309201459</v>
      </c>
      <c r="G42" s="10">
        <f>(+VLOOKUP($A42,FIXED_CHARTER_COST,HLOOKUP(G$7,FIXED_CHARTER_COST,2,0)+1,0)+VLOOKUP($A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0.72418132474056207</v>
      </c>
      <c r="H42" s="10">
        <f>(+VLOOKUP($A42,FIXED_CHARTER_COST,HLOOKUP(H$7,FIXED_CHARTER_COST,2,0)+1,0)+VLOOKUP($A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0.59720490716122077</v>
      </c>
      <c r="I42" s="10">
        <f>(+VLOOKUP($A42,FIXED_CHARTER_COST,HLOOKUP(I$7,FIXED_CHARTER_COST,2,0)+1,0)+VLOOKUP($A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0.71654703555573562</v>
      </c>
    </row>
    <row r="43" spans="1:9" x14ac:dyDescent="0.2">
      <c r="A43" s="179">
        <f>+SHIPS!B59</f>
        <v>37712</v>
      </c>
      <c r="B43" s="10">
        <f>(+VLOOKUP($A43,FIXED_CHARTER_COST,HLOOKUP(B$7,FIXED_CHARTER_COST,2,0)+1,0)+VLOOKUP($A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1.3508450706284738</v>
      </c>
      <c r="C43" s="10">
        <f>(+VLOOKUP($A43,FIXED_CHARTER_COST,HLOOKUP(C$7,FIXED_CHARTER_COST,2,0)+1,0)+VLOOKUP($A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1.4702624570954164</v>
      </c>
      <c r="D43" s="10">
        <f>(+VLOOKUP($A43,FIXED_CHARTER_COST,HLOOKUP(D$7,FIXED_CHARTER_COST,2,0)+1,0)+VLOOKUP($A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0.32480473882471411</v>
      </c>
      <c r="E43" s="10">
        <f>(+VLOOKUP($A43,FIXED_CHARTER_COST,HLOOKUP(E$7,FIXED_CHARTER_COST,2,0)+1,0)+VLOOKUP($A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0.3545738085141194</v>
      </c>
      <c r="F43" s="10">
        <f>(+VLOOKUP($A43,FIXED_CHARTER_COST,HLOOKUP(F$7,FIXED_CHARTER_COST,2,0)+1,0)+VLOOKUP($A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0.59622974844374865</v>
      </c>
      <c r="G43" s="10">
        <f>(+VLOOKUP($A43,FIXED_CHARTER_COST,HLOOKUP(G$7,FIXED_CHARTER_COST,2,0)+1,0)+VLOOKUP($A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0.72436385136651849</v>
      </c>
      <c r="H43" s="10">
        <f>(+VLOOKUP($A43,FIXED_CHARTER_COST,HLOOKUP(H$7,FIXED_CHARTER_COST,2,0)+1,0)+VLOOKUP($A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0.59753604267990268</v>
      </c>
      <c r="I43" s="10">
        <f>(+VLOOKUP($A43,FIXED_CHARTER_COST,HLOOKUP(I$7,FIXED_CHARTER_COST,2,0)+1,0)+VLOOKUP($A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0.71695342914684523</v>
      </c>
    </row>
    <row r="44" spans="1:9" x14ac:dyDescent="0.2">
      <c r="A44" s="179">
        <f>+SHIPS!B60</f>
        <v>37742</v>
      </c>
      <c r="B44" s="10">
        <f>(+VLOOKUP($A44,FIXED_CHARTER_COST,HLOOKUP(B$7,FIXED_CHARTER_COST,2,0)+1,0)+VLOOKUP($A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1.3515690532852283</v>
      </c>
      <c r="C44" s="10">
        <f>(+VLOOKUP($A44,FIXED_CHARTER_COST,HLOOKUP(C$7,FIXED_CHARTER_COST,2,0)+1,0)+VLOOKUP($A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1.4710618546122494</v>
      </c>
      <c r="D44" s="10">
        <f>(+VLOOKUP($A44,FIXED_CHARTER_COST,HLOOKUP(D$7,FIXED_CHARTER_COST,2,0)+1,0)+VLOOKUP($A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0.32488915738921897</v>
      </c>
      <c r="E44" s="10">
        <f>(+VLOOKUP($A44,FIXED_CHARTER_COST,HLOOKUP(E$7,FIXED_CHARTER_COST,2,0)+1,0)+VLOOKUP($A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0.35466526195899967</v>
      </c>
      <c r="F44" s="10">
        <f>(+VLOOKUP($A44,FIXED_CHARTER_COST,HLOOKUP(F$7,FIXED_CHARTER_COST,2,0)+1,0)+VLOOKUP($A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0.59637748093163212</v>
      </c>
      <c r="G44" s="10">
        <f>(+VLOOKUP($A44,FIXED_CHARTER_COST,HLOOKUP(G$7,FIXED_CHARTER_COST,2,0)+1,0)+VLOOKUP($A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0.72454675825627901</v>
      </c>
      <c r="H44" s="10">
        <f>(+VLOOKUP($A44,FIXED_CHARTER_COST,HLOOKUP(H$7,FIXED_CHARTER_COST,2,0)+1,0)+VLOOKUP($A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0.59786786806424852</v>
      </c>
      <c r="I44" s="10">
        <f>(+VLOOKUP($A44,FIXED_CHARTER_COST,HLOOKUP(I$7,FIXED_CHARTER_COST,2,0)+1,0)+VLOOKUP($A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0.71736066939126963</v>
      </c>
    </row>
    <row r="45" spans="1:9" x14ac:dyDescent="0.2">
      <c r="A45" s="179">
        <f>+SHIPS!B61</f>
        <v>37773</v>
      </c>
      <c r="B45" s="10">
        <f>(+VLOOKUP($A45,FIXED_CHARTER_COST,HLOOKUP(B$7,FIXED_CHARTER_COST,2,0)+1,0)+VLOOKUP($A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1.3522945442391845</v>
      </c>
      <c r="C45" s="10">
        <f>(+VLOOKUP($A45,FIXED_CHARTER_COST,HLOOKUP(C$7,FIXED_CHARTER_COST,2,0)+1,0)+VLOOKUP($A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1.471862917540576</v>
      </c>
      <c r="D45" s="10">
        <f>(+VLOOKUP($A45,FIXED_CHARTER_COST,HLOOKUP(D$7,FIXED_CHARTER_COST,2,0)+1,0)+VLOOKUP($A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0.32497375182573318</v>
      </c>
      <c r="E45" s="10">
        <f>(+VLOOKUP($A45,FIXED_CHARTER_COST,HLOOKUP(E$7,FIXED_CHARTER_COST,2,0)+1,0)+VLOOKUP($A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0.35475690593189019</v>
      </c>
      <c r="F45" s="10">
        <f>(+VLOOKUP($A45,FIXED_CHARTER_COST,HLOOKUP(F$7,FIXED_CHARTER_COST,2,0)+1,0)+VLOOKUP($A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0.59652552119553204</v>
      </c>
      <c r="G45" s="10">
        <f>(+VLOOKUP($A45,FIXED_CHARTER_COST,HLOOKUP(G$7,FIXED_CHARTER_COST,2,0)+1,0)+VLOOKUP($A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0.72473004620205994</v>
      </c>
      <c r="H45" s="10">
        <f>(+VLOOKUP($A45,FIXED_CHARTER_COST,HLOOKUP(H$7,FIXED_CHARTER_COST,2,0)+1,0)+VLOOKUP($A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0.59820038475147841</v>
      </c>
      <c r="I45" s="10">
        <f>(+VLOOKUP($A45,FIXED_CHARTER_COST,HLOOKUP(I$7,FIXED_CHARTER_COST,2,0)+1,0)+VLOOKUP($A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0.71776875805286988</v>
      </c>
    </row>
    <row r="46" spans="1:9" x14ac:dyDescent="0.2">
      <c r="A46" s="179">
        <f>+SHIPS!B62</f>
        <v>37803</v>
      </c>
      <c r="B46" s="10">
        <f>(+VLOOKUP($A46,FIXED_CHARTER_COST,HLOOKUP(B$7,FIXED_CHARTER_COST,2,0)+1,0)+VLOOKUP($A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1.3530215466326281</v>
      </c>
      <c r="C46" s="10">
        <f>(+VLOOKUP($A46,FIXED_CHARTER_COST,HLOOKUP(C$7,FIXED_CHARTER_COST,2,0)+1,0)+VLOOKUP($A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1.4726656493500034</v>
      </c>
      <c r="D46" s="10">
        <f>(+VLOOKUP($A46,FIXED_CHARTER_COST,HLOOKUP(D$7,FIXED_CHARTER_COST,2,0)+1,0)+VLOOKUP($A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0.32505852250065687</v>
      </c>
      <c r="E46" s="10">
        <f>(+VLOOKUP($A46,FIXED_CHARTER_COST,HLOOKUP(E$7,FIXED_CHARTER_COST,2,0)+1,0)+VLOOKUP($A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0.35484874082972412</v>
      </c>
      <c r="F46" s="10">
        <f>(+VLOOKUP($A46,FIXED_CHARTER_COST,HLOOKUP(F$7,FIXED_CHARTER_COST,2,0)+1,0)+VLOOKUP($A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0.5966738698766485</v>
      </c>
      <c r="G46" s="10">
        <f>(+VLOOKUP($A46,FIXED_CHARTER_COST,HLOOKUP(G$7,FIXED_CHARTER_COST,2,0)+1,0)+VLOOKUP($A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0.72491371599772791</v>
      </c>
      <c r="H46" s="10">
        <f>(+VLOOKUP($A46,FIXED_CHARTER_COST,HLOOKUP(H$7,FIXED_CHARTER_COST,2,0)+1,0)+VLOOKUP($A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0.59853359418180663</v>
      </c>
      <c r="I46" s="10">
        <f>(+VLOOKUP($A46,FIXED_CHARTER_COST,HLOOKUP(I$7,FIXED_CHARTER_COST,2,0)+1,0)+VLOOKUP($A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0.71817769689918187</v>
      </c>
    </row>
    <row r="47" spans="1:9" x14ac:dyDescent="0.2">
      <c r="A47" s="179">
        <f>+SHIPS!B63</f>
        <v>37834</v>
      </c>
      <c r="B47" s="10">
        <f>(+VLOOKUP($A47,FIXED_CHARTER_COST,HLOOKUP(B$7,FIXED_CHARTER_COST,2,0)+1,0)+VLOOKUP($A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1.3537500636143911</v>
      </c>
      <c r="C47" s="10">
        <f>(+VLOOKUP($A47,FIXED_CHARTER_COST,HLOOKUP(C$7,FIXED_CHARTER_COST,2,0)+1,0)+VLOOKUP($A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1.4734700535173666</v>
      </c>
      <c r="D47" s="10">
        <f>(+VLOOKUP($A47,FIXED_CHARTER_COST,HLOOKUP(D$7,FIXED_CHARTER_COST,2,0)+1,0)+VLOOKUP($A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0.32514346978115327</v>
      </c>
      <c r="E47" s="10">
        <f>(+VLOOKUP($A47,FIXED_CHARTER_COST,HLOOKUP(E$7,FIXED_CHARTER_COST,2,0)+1,0)+VLOOKUP($A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0.35494076705026195</v>
      </c>
      <c r="F47" s="10">
        <f>(+VLOOKUP($A47,FIXED_CHARTER_COST,HLOOKUP(F$7,FIXED_CHARTER_COST,2,0)+1,0)+VLOOKUP($A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0.5968225276175172</v>
      </c>
      <c r="G47" s="10">
        <f>(+VLOOKUP($A47,FIXED_CHARTER_COST,HLOOKUP(G$7,FIXED_CHARTER_COST,2,0)+1,0)+VLOOKUP($A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0.72509776843880347</v>
      </c>
      <c r="H47" s="10">
        <f>(+VLOOKUP($A47,FIXED_CHARTER_COST,HLOOKUP(H$7,FIXED_CHARTER_COST,2,0)+1,0)+VLOOKUP($A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0.59886749779844817</v>
      </c>
      <c r="I47" s="10">
        <f>(+VLOOKUP($A47,FIXED_CHARTER_COST,HLOOKUP(I$7,FIXED_CHARTER_COST,2,0)+1,0)+VLOOKUP($A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0.71858748770142367</v>
      </c>
    </row>
    <row r="48" spans="1:9" x14ac:dyDescent="0.2">
      <c r="A48" s="179">
        <f>+SHIPS!B64</f>
        <v>37865</v>
      </c>
      <c r="B48" s="10">
        <f>(+VLOOKUP($A48,FIXED_CHARTER_COST,HLOOKUP(B$7,FIXED_CHARTER_COST,2,0)+1,0)+VLOOKUP($A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1.3544800983398664</v>
      </c>
      <c r="C48" s="10">
        <f>(+VLOOKUP($A48,FIXED_CHARTER_COST,HLOOKUP(C$7,FIXED_CHARTER_COST,2,0)+1,0)+VLOOKUP($A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1.4742761335267456</v>
      </c>
      <c r="D48" s="10">
        <f>(+VLOOKUP($A48,FIXED_CHARTER_COST,HLOOKUP(D$7,FIXED_CHARTER_COST,2,0)+1,0)+VLOOKUP($A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0.32522859403515075</v>
      </c>
      <c r="E48" s="10">
        <f>(+VLOOKUP($A48,FIXED_CHARTER_COST,HLOOKUP(E$7,FIXED_CHARTER_COST,2,0)+1,0)+VLOOKUP($A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0.35503298499209252</v>
      </c>
      <c r="F48" s="10">
        <f>(+VLOOKUP($A48,FIXED_CHARTER_COST,HLOOKUP(F$7,FIXED_CHARTER_COST,2,0)+1,0)+VLOOKUP($A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0.59697149506201275</v>
      </c>
      <c r="G48" s="10">
        <f>(+VLOOKUP($A48,FIXED_CHARTER_COST,HLOOKUP(G$7,FIXED_CHARTER_COST,2,0)+1,0)+VLOOKUP($A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0.7252822043224646</v>
      </c>
      <c r="H48" s="10">
        <f>(+VLOOKUP($A48,FIXED_CHARTER_COST,HLOOKUP(H$7,FIXED_CHARTER_COST,2,0)+1,0)+VLOOKUP($A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0.59920209704762428</v>
      </c>
      <c r="I48" s="10">
        <f>(+VLOOKUP($A48,FIXED_CHARTER_COST,HLOOKUP(I$7,FIXED_CHARTER_COST,2,0)+1,0)+VLOOKUP($A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0.71899813223450348</v>
      </c>
    </row>
    <row r="49" spans="1:9" x14ac:dyDescent="0.2">
      <c r="A49" s="179">
        <f>+SHIPS!B65</f>
        <v>37895</v>
      </c>
      <c r="B49" s="10">
        <f>(+VLOOKUP($A49,FIXED_CHARTER_COST,HLOOKUP(B$7,FIXED_CHARTER_COST,2,0)+1,0)+VLOOKUP($A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1.3552116539710197</v>
      </c>
      <c r="C49" s="10">
        <f>(+VLOOKUP($A49,FIXED_CHARTER_COST,HLOOKUP(C$7,FIXED_CHARTER_COST,2,0)+1,0)+VLOOKUP($A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1.4750838928694774</v>
      </c>
      <c r="D49" s="10">
        <f>(+VLOOKUP($A49,FIXED_CHARTER_COST,HLOOKUP(D$7,FIXED_CHARTER_COST,2,0)+1,0)+VLOOKUP($A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0.325313895631344</v>
      </c>
      <c r="E49" s="10">
        <f>(+VLOOKUP($A49,FIXED_CHARTER_COST,HLOOKUP(E$7,FIXED_CHARTER_COST,2,0)+1,0)+VLOOKUP($A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0.3551253950546352</v>
      </c>
      <c r="F49" s="10">
        <f>(+VLOOKUP($A49,FIXED_CHARTER_COST,HLOOKUP(F$7,FIXED_CHARTER_COST,2,0)+1,0)+VLOOKUP($A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0.59712077285535103</v>
      </c>
      <c r="G49" s="10">
        <f>(+VLOOKUP($A49,FIXED_CHARTER_COST,HLOOKUP(G$7,FIXED_CHARTER_COST,2,0)+1,0)+VLOOKUP($A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0.72546702444755007</v>
      </c>
      <c r="H49" s="10">
        <f>(+VLOOKUP($A49,FIXED_CHARTER_COST,HLOOKUP(H$7,FIXED_CHARTER_COST,2,0)+1,0)+VLOOKUP($A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0.59953739337856948</v>
      </c>
      <c r="I49" s="10">
        <f>(+VLOOKUP($A49,FIXED_CHARTER_COST,HLOOKUP(I$7,FIXED_CHARTER_COST,2,0)+1,0)+VLOOKUP($A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0.71940963227702714</v>
      </c>
    </row>
    <row r="50" spans="1:9" x14ac:dyDescent="0.2">
      <c r="A50" s="179">
        <f>+SHIPS!B66</f>
        <v>37926</v>
      </c>
      <c r="B50" s="10">
        <f>(+VLOOKUP($A50,FIXED_CHARTER_COST,HLOOKUP(B$7,FIXED_CHARTER_COST,2,0)+1,0)+VLOOKUP($A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1.3559447336764043</v>
      </c>
      <c r="C50" s="10">
        <f>(+VLOOKUP($A50,FIXED_CHARTER_COST,HLOOKUP(C$7,FIXED_CHARTER_COST,2,0)+1,0)+VLOOKUP($A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1.4758933350441732</v>
      </c>
      <c r="D50" s="10">
        <f>(+VLOOKUP($A50,FIXED_CHARTER_COST,HLOOKUP(D$7,FIXED_CHARTER_COST,2,0)+1,0)+VLOOKUP($A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0.32539937493919602</v>
      </c>
      <c r="E50" s="10">
        <f>(+VLOOKUP($A50,FIXED_CHARTER_COST,HLOOKUP(E$7,FIXED_CHARTER_COST,2,0)+1,0)+VLOOKUP($A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0.35521799763814149</v>
      </c>
      <c r="F50" s="10">
        <f>(+VLOOKUP($A50,FIXED_CHARTER_COST,HLOOKUP(F$7,FIXED_CHARTER_COST,2,0)+1,0)+VLOOKUP($A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0.59727036164409197</v>
      </c>
      <c r="G50" s="10">
        <f>(+VLOOKUP($A50,FIXED_CHARTER_COST,HLOOKUP(G$7,FIXED_CHARTER_COST,2,0)+1,0)+VLOOKUP($A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0.72565222961456266</v>
      </c>
      <c r="H50" s="10">
        <f>(+VLOOKUP($A50,FIXED_CHARTER_COST,HLOOKUP(H$7,FIXED_CHARTER_COST,2,0)+1,0)+VLOOKUP($A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0.59987338824353753</v>
      </c>
      <c r="I50" s="10">
        <f>(+VLOOKUP($A50,FIXED_CHARTER_COST,HLOOKUP(I$7,FIXED_CHARTER_COST,2,0)+1,0)+VLOOKUP($A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0.71982198961130617</v>
      </c>
    </row>
    <row r="51" spans="1:9" x14ac:dyDescent="0.2">
      <c r="A51" s="179">
        <f>+SHIPS!B67</f>
        <v>37956</v>
      </c>
      <c r="B51" s="10">
        <f>(+VLOOKUP($A51,FIXED_CHARTER_COST,HLOOKUP(B$7,FIXED_CHARTER_COST,2,0)+1,0)+VLOOKUP($A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1.3566793406311755</v>
      </c>
      <c r="C51" s="10">
        <f>(+VLOOKUP($A51,FIXED_CHARTER_COST,HLOOKUP(C$7,FIXED_CHARTER_COST,2,0)+1,0)+VLOOKUP($A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1.4767044635567326</v>
      </c>
      <c r="D51" s="10">
        <f>(+VLOOKUP($A51,FIXED_CHARTER_COST,HLOOKUP(D$7,FIXED_CHARTER_COST,2,0)+1,0)+VLOOKUP($A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0.32548503232893938</v>
      </c>
      <c r="E51" s="10">
        <f>(+VLOOKUP($A51,FIXED_CHARTER_COST,HLOOKUP(E$7,FIXED_CHARTER_COST,2,0)+1,0)+VLOOKUP($A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0.3553107931436969</v>
      </c>
      <c r="F51" s="10">
        <f>(+VLOOKUP($A51,FIXED_CHARTER_COST,HLOOKUP(F$7,FIXED_CHARTER_COST,2,0)+1,0)+VLOOKUP($A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0.59742026207614296</v>
      </c>
      <c r="G51" s="10">
        <f>(+VLOOKUP($A51,FIXED_CHARTER_COST,HLOOKUP(G$7,FIXED_CHARTER_COST,2,0)+1,0)+VLOOKUP($A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0.72583782062567337</v>
      </c>
      <c r="H51" s="10">
        <f>(+VLOOKUP($A51,FIXED_CHARTER_COST,HLOOKUP(H$7,FIXED_CHARTER_COST,2,0)+1,0)+VLOOKUP($A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0.60021008309780766</v>
      </c>
      <c r="I51" s="10">
        <f>(+VLOOKUP($A51,FIXED_CHARTER_COST,HLOOKUP(I$7,FIXED_CHARTER_COST,2,0)+1,0)+VLOOKUP($A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0.72023520602336488</v>
      </c>
    </row>
    <row r="52" spans="1:9" x14ac:dyDescent="0.2">
      <c r="A52" s="180">
        <f>+SHIPS!B68</f>
        <v>37987</v>
      </c>
      <c r="B52" s="10">
        <f>(+VLOOKUP($A52,FIXED_CHARTER_COST,HLOOKUP(B$7,FIXED_CHARTER_COST,2,0)+1,0)+VLOOKUP($A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1.3574154780171024</v>
      </c>
      <c r="C52" s="10">
        <f>(+VLOOKUP($A52,FIXED_CHARTER_COST,HLOOKUP(C$7,FIXED_CHARTER_COST,2,0)+1,0)+VLOOKUP($A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1.4775172819203604</v>
      </c>
      <c r="D52" s="10">
        <f>(+VLOOKUP($A52,FIXED_CHARTER_COST,HLOOKUP(D$7,FIXED_CHARTER_COST,2,0)+1,0)+VLOOKUP($A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0.32557086817157804</v>
      </c>
      <c r="E52" s="10">
        <f>(+VLOOKUP($A52,FIXED_CHARTER_COST,HLOOKUP(E$7,FIXED_CHARTER_COST,2,0)+1,0)+VLOOKUP($A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0.35540378197322214</v>
      </c>
      <c r="F52" s="10">
        <f>(+VLOOKUP($A52,FIXED_CHARTER_COST,HLOOKUP(F$7,FIXED_CHARTER_COST,2,0)+1,0)+VLOOKUP($A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0.59757047480076053</v>
      </c>
      <c r="G52" s="10">
        <f>(+VLOOKUP($A52,FIXED_CHARTER_COST,HLOOKUP(G$7,FIXED_CHARTER_COST,2,0)+1,0)+VLOOKUP($A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0.72602379828472385</v>
      </c>
      <c r="H52" s="10">
        <f>(+VLOOKUP($A52,FIXED_CHARTER_COST,HLOOKUP(H$7,FIXED_CHARTER_COST,2,0)+1,0)+VLOOKUP($A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0.60054747939969078</v>
      </c>
      <c r="I52" s="10">
        <f>(+VLOOKUP($A52,FIXED_CHARTER_COST,HLOOKUP(I$7,FIXED_CHARTER_COST,2,0)+1,0)+VLOOKUP($A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0.72064928330294875</v>
      </c>
    </row>
    <row r="53" spans="1:9" x14ac:dyDescent="0.2">
      <c r="A53" s="179">
        <f>+SHIPS!B69</f>
        <v>38018</v>
      </c>
      <c r="B53" s="10">
        <f>(+VLOOKUP($A53,FIXED_CHARTER_COST,HLOOKUP(B$7,FIXED_CHARTER_COST,2,0)+1,0)+VLOOKUP($A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1.3581531490225831</v>
      </c>
      <c r="C53" s="10">
        <f>(+VLOOKUP($A53,FIXED_CHARTER_COST,HLOOKUP(C$7,FIXED_CHARTER_COST,2,0)+1,0)+VLOOKUP($A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1.4783317936555787</v>
      </c>
      <c r="D53" s="10">
        <f>(+VLOOKUP($A53,FIXED_CHARTER_COST,HLOOKUP(D$7,FIXED_CHARTER_COST,2,0)+1,0)+VLOOKUP($A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0.32565688283888888</v>
      </c>
      <c r="E53" s="10">
        <f>(+VLOOKUP($A53,FIXED_CHARTER_COST,HLOOKUP(E$7,FIXED_CHARTER_COST,2,0)+1,0)+VLOOKUP($A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0.35549696452947549</v>
      </c>
      <c r="F53" s="10">
        <f>(+VLOOKUP($A53,FIXED_CHARTER_COST,HLOOKUP(F$7,FIXED_CHARTER_COST,2,0)+1,0)+VLOOKUP($A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0.59772100046855459</v>
      </c>
      <c r="G53" s="10">
        <f>(+VLOOKUP($A53,FIXED_CHARTER_COST,HLOOKUP(G$7,FIXED_CHARTER_COST,2,0)+1,0)+VLOOKUP($A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0.72621016339723066</v>
      </c>
      <c r="H53" s="10">
        <f>(+VLOOKUP($A53,FIXED_CHARTER_COST,HLOOKUP(H$7,FIXED_CHARTER_COST,2,0)+1,0)+VLOOKUP($A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0.60088557861053615</v>
      </c>
      <c r="I53" s="10">
        <f>(+VLOOKUP($A53,FIXED_CHARTER_COST,HLOOKUP(I$7,FIXED_CHARTER_COST,2,0)+1,0)+VLOOKUP($A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0.7210642232435317</v>
      </c>
    </row>
    <row r="54" spans="1:9" x14ac:dyDescent="0.2">
      <c r="A54" s="179">
        <f>+SHIPS!B70</f>
        <v>38047</v>
      </c>
      <c r="B54" s="10">
        <f>(+VLOOKUP($A54,FIXED_CHARTER_COST,HLOOKUP(B$7,FIXED_CHARTER_COST,2,0)+1,0)+VLOOKUP($A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1.3588923568426587</v>
      </c>
      <c r="C54" s="10">
        <f>(+VLOOKUP($A54,FIXED_CHARTER_COST,HLOOKUP(C$7,FIXED_CHARTER_COST,2,0)+1,0)+VLOOKUP($A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1.4791480022902455</v>
      </c>
      <c r="D54" s="10">
        <f>(+VLOOKUP($A54,FIXED_CHARTER_COST,HLOOKUP(D$7,FIXED_CHARTER_COST,2,0)+1,0)+VLOOKUP($A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0.32574307670342328</v>
      </c>
      <c r="E54" s="10">
        <f>(+VLOOKUP($A54,FIXED_CHARTER_COST,HLOOKUP(E$7,FIXED_CHARTER_COST,2,0)+1,0)+VLOOKUP($A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0.35559034121605443</v>
      </c>
      <c r="F54" s="10">
        <f>(+VLOOKUP($A54,FIXED_CHARTER_COST,HLOOKUP(F$7,FIXED_CHARTER_COST,2,0)+1,0)+VLOOKUP($A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0.59787183973148972</v>
      </c>
      <c r="G54" s="10">
        <f>(+VLOOKUP($A54,FIXED_CHARTER_COST,HLOOKUP(G$7,FIXED_CHARTER_COST,2,0)+1,0)+VLOOKUP($A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0.72639691677038842</v>
      </c>
      <c r="H54" s="10">
        <f>(+VLOOKUP($A54,FIXED_CHARTER_COST,HLOOKUP(H$7,FIXED_CHARTER_COST,2,0)+1,0)+VLOOKUP($A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0.60122438219473751</v>
      </c>
      <c r="I54" s="10">
        <f>(+VLOOKUP($A54,FIXED_CHARTER_COST,HLOOKUP(I$7,FIXED_CHARTER_COST,2,0)+1,0)+VLOOKUP($A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0.72148002764232422</v>
      </c>
    </row>
    <row r="55" spans="1:9" x14ac:dyDescent="0.2">
      <c r="A55" s="179">
        <f>+SHIPS!B71</f>
        <v>38078</v>
      </c>
      <c r="B55" s="10">
        <f>(+VLOOKUP($A55,FIXED_CHARTER_COST,HLOOKUP(B$7,FIXED_CHARTER_COST,2,0)+1,0)+VLOOKUP($A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1.3596331046790262</v>
      </c>
      <c r="C55" s="10">
        <f>(+VLOOKUP($A55,FIXED_CHARTER_COST,HLOOKUP(C$7,FIXED_CHARTER_COST,2,0)+1,0)+VLOOKUP($A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1.479965911359568</v>
      </c>
      <c r="D55" s="10">
        <f>(+VLOOKUP($A55,FIXED_CHARTER_COST,HLOOKUP(D$7,FIXED_CHARTER_COST,2,0)+1,0)+VLOOKUP($A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0.32582945013850884</v>
      </c>
      <c r="E55" s="10">
        <f>(+VLOOKUP($A55,FIXED_CHARTER_COST,HLOOKUP(E$7,FIXED_CHARTER_COST,2,0)+1,0)+VLOOKUP($A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0.35568391243739711</v>
      </c>
      <c r="F55" s="10">
        <f>(+VLOOKUP($A55,FIXED_CHARTER_COST,HLOOKUP(F$7,FIXED_CHARTER_COST,2,0)+1,0)+VLOOKUP($A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0.59802299324288943</v>
      </c>
      <c r="G55" s="10">
        <f>(+VLOOKUP($A55,FIXED_CHARTER_COST,HLOOKUP(G$7,FIXED_CHARTER_COST,2,0)+1,0)+VLOOKUP($A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0.72658405921307379</v>
      </c>
      <c r="H55" s="10">
        <f>(+VLOOKUP($A55,FIXED_CHARTER_COST,HLOOKUP(H$7,FIXED_CHARTER_COST,2,0)+1,0)+VLOOKUP($A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0.60156389161973922</v>
      </c>
      <c r="I55" s="10">
        <f>(+VLOOKUP($A55,FIXED_CHARTER_COST,HLOOKUP(I$7,FIXED_CHARTER_COST,2,0)+1,0)+VLOOKUP($A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0.72189669830028091</v>
      </c>
    </row>
    <row r="56" spans="1:9" x14ac:dyDescent="0.2">
      <c r="A56" s="179">
        <f>+SHIPS!B72</f>
        <v>38108</v>
      </c>
      <c r="B56" s="10">
        <f>(+VLOOKUP($A56,FIXED_CHARTER_COST,HLOOKUP(B$7,FIXED_CHARTER_COST,2,0)+1,0)+VLOOKUP($A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1.3603753957400528</v>
      </c>
      <c r="C56" s="10">
        <f>(+VLOOKUP($A56,FIXED_CHARTER_COST,HLOOKUP(C$7,FIXED_CHARTER_COST,2,0)+1,0)+VLOOKUP($A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1.4807855244061179</v>
      </c>
      <c r="D56" s="10">
        <f>(+VLOOKUP($A56,FIXED_CHARTER_COST,HLOOKUP(D$7,FIXED_CHARTER_COST,2,0)+1,0)+VLOOKUP($A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0.32591600351825079</v>
      </c>
      <c r="E56" s="10">
        <f>(+VLOOKUP($A56,FIXED_CHARTER_COST,HLOOKUP(E$7,FIXED_CHARTER_COST,2,0)+1,0)+VLOOKUP($A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0.35577767859878412</v>
      </c>
      <c r="F56" s="10">
        <f>(+VLOOKUP($A56,FIXED_CHARTER_COST,HLOOKUP(F$7,FIXED_CHARTER_COST,2,0)+1,0)+VLOOKUP($A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0.59817446165743782</v>
      </c>
      <c r="G56" s="10">
        <f>(+VLOOKUP($A56,FIXED_CHARTER_COST,HLOOKUP(G$7,FIXED_CHARTER_COST,2,0)+1,0)+VLOOKUP($A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0.72677159153584792</v>
      </c>
      <c r="H56" s="10">
        <f>(+VLOOKUP($A56,FIXED_CHARTER_COST,HLOOKUP(H$7,FIXED_CHARTER_COST,2,0)+1,0)+VLOOKUP($A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0.60190410835604302</v>
      </c>
      <c r="I56" s="10">
        <f>(+VLOOKUP($A56,FIXED_CHARTER_COST,HLOOKUP(I$7,FIXED_CHARTER_COST,2,0)+1,0)+VLOOKUP($A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0.72231423702210829</v>
      </c>
    </row>
    <row r="57" spans="1:9" x14ac:dyDescent="0.2">
      <c r="A57" s="179">
        <f>+SHIPS!B73</f>
        <v>38139</v>
      </c>
      <c r="B57" s="10">
        <f>(+VLOOKUP($A57,FIXED_CHARTER_COST,HLOOKUP(B$7,FIXED_CHARTER_COST,2,0)+1,0)+VLOOKUP($A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1.3611192332407898</v>
      </c>
      <c r="C57" s="10">
        <f>(+VLOOKUP($A57,FIXED_CHARTER_COST,HLOOKUP(C$7,FIXED_CHARTER_COST,2,0)+1,0)+VLOOKUP($A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1.4816068449798483</v>
      </c>
      <c r="D57" s="10">
        <f>(+VLOOKUP($A57,FIXED_CHARTER_COST,HLOOKUP(D$7,FIXED_CHARTER_COST,2,0)+1,0)+VLOOKUP($A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0.32600273721753381</v>
      </c>
      <c r="E57" s="10">
        <f>(+VLOOKUP($A57,FIXED_CHARTER_COST,HLOOKUP(E$7,FIXED_CHARTER_COST,2,0)+1,0)+VLOOKUP($A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0.35587164010634081</v>
      </c>
      <c r="F57" s="10">
        <f>(+VLOOKUP($A57,FIXED_CHARTER_COST,HLOOKUP(F$7,FIXED_CHARTER_COST,2,0)+1,0)+VLOOKUP($A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0.5983262456311832</v>
      </c>
      <c r="G57" s="10">
        <f>(+VLOOKUP($A57,FIXED_CHARTER_COST,HLOOKUP(G$7,FIXED_CHARTER_COST,2,0)+1,0)+VLOOKUP($A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0.72695951455096131</v>
      </c>
      <c r="H57" s="10">
        <f>(+VLOOKUP($A57,FIXED_CHARTER_COST,HLOOKUP(H$7,FIXED_CHARTER_COST,2,0)+1,0)+VLOOKUP($A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0.60224503387721418</v>
      </c>
      <c r="I57" s="10">
        <f>(+VLOOKUP($A57,FIXED_CHARTER_COST,HLOOKUP(I$7,FIXED_CHARTER_COST,2,0)+1,0)+VLOOKUP($A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0.72273264561627293</v>
      </c>
    </row>
    <row r="58" spans="1:9" x14ac:dyDescent="0.2">
      <c r="A58" s="179">
        <f>+SHIPS!B74</f>
        <v>38169</v>
      </c>
      <c r="B58" s="10">
        <f>(+VLOOKUP($A58,FIXED_CHARTER_COST,HLOOKUP(B$7,FIXED_CHARTER_COST,2,0)+1,0)+VLOOKUP($A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1.3618646204029867</v>
      </c>
      <c r="C58" s="10">
        <f>(+VLOOKUP($A58,FIXED_CHARTER_COST,HLOOKUP(C$7,FIXED_CHARTER_COST,2,0)+1,0)+VLOOKUP($A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1.4824298766381074</v>
      </c>
      <c r="D58" s="10">
        <f>(+VLOOKUP($A58,FIXED_CHARTER_COST,HLOOKUP(D$7,FIXED_CHARTER_COST,2,0)+1,0)+VLOOKUP($A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0.32608965161202375</v>
      </c>
      <c r="E58" s="10">
        <f>(+VLOOKUP($A58,FIXED_CHARTER_COST,HLOOKUP(E$7,FIXED_CHARTER_COST,2,0)+1,0)+VLOOKUP($A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0.35596579736703821</v>
      </c>
      <c r="F58" s="10">
        <f>(+VLOOKUP($A58,FIXED_CHARTER_COST,HLOOKUP(F$7,FIXED_CHARTER_COST,2,0)+1,0)+VLOOKUP($A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0.59847834582154047</v>
      </c>
      <c r="G58" s="10">
        <f>(+VLOOKUP($A58,FIXED_CHARTER_COST,HLOOKUP(G$7,FIXED_CHARTER_COST,2,0)+1,0)+VLOOKUP($A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0.72714782907235609</v>
      </c>
      <c r="H58" s="10">
        <f>(+VLOOKUP($A58,FIXED_CHARTER_COST,HLOOKUP(H$7,FIXED_CHARTER_COST,2,0)+1,0)+VLOOKUP($A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0.60258666965988772</v>
      </c>
      <c r="I58" s="10">
        <f>(+VLOOKUP($A58,FIXED_CHARTER_COST,HLOOKUP(I$7,FIXED_CHARTER_COST,2,0)+1,0)+VLOOKUP($A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0.72315192589500865</v>
      </c>
    </row>
    <row r="59" spans="1:9" x14ac:dyDescent="0.2">
      <c r="A59" s="179">
        <f>+SHIPS!B75</f>
        <v>38200</v>
      </c>
      <c r="B59" s="10">
        <f>(+VLOOKUP($A59,FIXED_CHARTER_COST,HLOOKUP(B$7,FIXED_CHARTER_COST,2,0)+1,0)+VLOOKUP($A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1.3626115604551048</v>
      </c>
      <c r="C59" s="10">
        <f>(+VLOOKUP($A59,FIXED_CHARTER_COST,HLOOKUP(C$7,FIXED_CHARTER_COST,2,0)+1,0)+VLOOKUP($A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1.4832546229456545</v>
      </c>
      <c r="D59" s="10">
        <f>(+VLOOKUP($A59,FIXED_CHARTER_COST,HLOOKUP(D$7,FIXED_CHARTER_COST,2,0)+1,0)+VLOOKUP($A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0.32617674707816879</v>
      </c>
      <c r="E59" s="10">
        <f>(+VLOOKUP($A59,FIXED_CHARTER_COST,HLOOKUP(E$7,FIXED_CHARTER_COST,2,0)+1,0)+VLOOKUP($A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0.35606015078869541</v>
      </c>
      <c r="F59" s="10">
        <f>(+VLOOKUP($A59,FIXED_CHARTER_COST,HLOOKUP(F$7,FIXED_CHARTER_COST,2,0)+1,0)+VLOOKUP($A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0.59863076288729444</v>
      </c>
      <c r="G59" s="10">
        <f>(+VLOOKUP($A59,FIXED_CHARTER_COST,HLOOKUP(G$7,FIXED_CHARTER_COST,2,0)+1,0)+VLOOKUP($A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0.72733653591567038</v>
      </c>
      <c r="H59" s="10">
        <f>(+VLOOKUP($A59,FIXED_CHARTER_COST,HLOOKUP(H$7,FIXED_CHARTER_COST,2,0)+1,0)+VLOOKUP($A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0.60292901718377523</v>
      </c>
      <c r="I59" s="10">
        <f>(+VLOOKUP($A59,FIXED_CHARTER_COST,HLOOKUP(I$7,FIXED_CHARTER_COST,2,0)+1,0)+VLOOKUP($A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0.72357207967432502</v>
      </c>
    </row>
    <row r="60" spans="1:9" x14ac:dyDescent="0.2">
      <c r="A60" s="179">
        <f>+SHIPS!B76</f>
        <v>38231</v>
      </c>
      <c r="B60" s="10">
        <f>(+VLOOKUP($A60,FIXED_CHARTER_COST,HLOOKUP(B$7,FIXED_CHARTER_COST,2,0)+1,0)+VLOOKUP($A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1.3633600566323314</v>
      </c>
      <c r="C60" s="10">
        <f>(+VLOOKUP($A60,FIXED_CHARTER_COST,HLOOKUP(C$7,FIXED_CHARTER_COST,2,0)+1,0)+VLOOKUP($A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1.4840810874746759</v>
      </c>
      <c r="D60" s="10">
        <f>(+VLOOKUP($A60,FIXED_CHARTER_COST,HLOOKUP(D$7,FIXED_CHARTER_COST,2,0)+1,0)+VLOOKUP($A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0.3262640239932017</v>
      </c>
      <c r="E60" s="10">
        <f>(+VLOOKUP($A60,FIXED_CHARTER_COST,HLOOKUP(E$7,FIXED_CHARTER_COST,2,0)+1,0)+VLOOKUP($A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0.35615470077998107</v>
      </c>
      <c r="F60" s="10">
        <f>(+VLOOKUP($A60,FIXED_CHARTER_COST,HLOOKUP(F$7,FIXED_CHARTER_COST,2,0)+1,0)+VLOOKUP($A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0.59878349748860193</v>
      </c>
      <c r="G60" s="10">
        <f>(+VLOOKUP($A60,FIXED_CHARTER_COST,HLOOKUP(G$7,FIXED_CHARTER_COST,2,0)+1,0)+VLOOKUP($A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0.72752563589824171</v>
      </c>
      <c r="H60" s="10">
        <f>(+VLOOKUP($A60,FIXED_CHARTER_COST,HLOOKUP(H$7,FIXED_CHARTER_COST,2,0)+1,0)+VLOOKUP($A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0.60327207793167081</v>
      </c>
      <c r="I60" s="10">
        <f>(+VLOOKUP($A60,FIXED_CHARTER_COST,HLOOKUP(I$7,FIXED_CHARTER_COST,2,0)+1,0)+VLOOKUP($A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0.72399310877401513</v>
      </c>
    </row>
    <row r="61" spans="1:9" x14ac:dyDescent="0.2">
      <c r="A61" s="179">
        <f>+SHIPS!B77</f>
        <v>38261</v>
      </c>
      <c r="B61" s="10">
        <f>(+VLOOKUP($A61,FIXED_CHARTER_COST,HLOOKUP(B$7,FIXED_CHARTER_COST,2,0)+1,0)+VLOOKUP($A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1.3641101121765939</v>
      </c>
      <c r="C61" s="10">
        <f>(+VLOOKUP($A61,FIXED_CHARTER_COST,HLOOKUP(C$7,FIXED_CHARTER_COST,2,0)+1,0)+VLOOKUP($A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1.4849092738047991</v>
      </c>
      <c r="D61" s="10">
        <f>(+VLOOKUP($A61,FIXED_CHARTER_COST,HLOOKUP(D$7,FIXED_CHARTER_COST,2,0)+1,0)+VLOOKUP($A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0.32635148273514092</v>
      </c>
      <c r="E61" s="10">
        <f>(+VLOOKUP($A61,FIXED_CHARTER_COST,HLOOKUP(E$7,FIXED_CHARTER_COST,2,0)+1,0)+VLOOKUP($A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0.35624944775041517</v>
      </c>
      <c r="F61" s="10">
        <f>(+VLOOKUP($A61,FIXED_CHARTER_COST,HLOOKUP(F$7,FIXED_CHARTER_COST,2,0)+1,0)+VLOOKUP($A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0.59893655028699555</v>
      </c>
      <c r="G61" s="10">
        <f>(+VLOOKUP($A61,FIXED_CHARTER_COST,HLOOKUP(G$7,FIXED_CHARTER_COST,2,0)+1,0)+VLOOKUP($A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0.72771512983911002</v>
      </c>
      <c r="H61" s="10">
        <f>(+VLOOKUP($A61,FIXED_CHARTER_COST,HLOOKUP(H$7,FIXED_CHARTER_COST,2,0)+1,0)+VLOOKUP($A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0.60361585338945778</v>
      </c>
      <c r="I61" s="10">
        <f>(+VLOOKUP($A61,FIXED_CHARTER_COST,HLOOKUP(I$7,FIXED_CHARTER_COST,2,0)+1,0)+VLOOKUP($A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0.72441501501766281</v>
      </c>
    </row>
    <row r="62" spans="1:9" x14ac:dyDescent="0.2">
      <c r="A62" s="179">
        <f>+SHIPS!B78</f>
        <v>38292</v>
      </c>
      <c r="B62" s="10">
        <f>(+VLOOKUP($A62,FIXED_CHARTER_COST,HLOOKUP(B$7,FIXED_CHARTER_COST,2,0)+1,0)+VLOOKUP($A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1.3648617303365738</v>
      </c>
      <c r="C62" s="10">
        <f>(+VLOOKUP($A62,FIXED_CHARTER_COST,HLOOKUP(C$7,FIXED_CHARTER_COST,2,0)+1,0)+VLOOKUP($A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1.4857391855231101</v>
      </c>
      <c r="D62" s="10">
        <f>(+VLOOKUP($A62,FIXED_CHARTER_COST,HLOOKUP(D$7,FIXED_CHARTER_COST,2,0)+1,0)+VLOOKUP($A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0.32643912368279254</v>
      </c>
      <c r="E62" s="10">
        <f>(+VLOOKUP($A62,FIXED_CHARTER_COST,HLOOKUP(E$7,FIXED_CHARTER_COST,2,0)+1,0)+VLOOKUP($A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0.35634439211037111</v>
      </c>
      <c r="F62" s="10">
        <f>(+VLOOKUP($A62,FIXED_CHARTER_COST,HLOOKUP(F$7,FIXED_CHARTER_COST,2,0)+1,0)+VLOOKUP($A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0.59908992194538591</v>
      </c>
      <c r="G62" s="10">
        <f>(+VLOOKUP($A62,FIXED_CHARTER_COST,HLOOKUP(G$7,FIXED_CHARTER_COST,2,0)+1,0)+VLOOKUP($A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0.72790501855902179</v>
      </c>
      <c r="H62" s="10">
        <f>(+VLOOKUP($A62,FIXED_CHARTER_COST,HLOOKUP(H$7,FIXED_CHARTER_COST,2,0)+1,0)+VLOOKUP($A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0.60396034504611518</v>
      </c>
      <c r="I62" s="10">
        <f>(+VLOOKUP($A62,FIXED_CHARTER_COST,HLOOKUP(I$7,FIXED_CHARTER_COST,2,0)+1,0)+VLOOKUP($A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0.72483780023265143</v>
      </c>
    </row>
    <row r="63" spans="1:9" x14ac:dyDescent="0.2">
      <c r="A63" s="179">
        <f>+SHIPS!B79</f>
        <v>38322</v>
      </c>
      <c r="B63" s="10">
        <f>(+VLOOKUP($A63,FIXED_CHARTER_COST,HLOOKUP(B$7,FIXED_CHARTER_COST,2,0)+1,0)+VLOOKUP($A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1.3656149143677201</v>
      </c>
      <c r="C63" s="10">
        <f>(+VLOOKUP($A63,FIXED_CHARTER_COST,HLOOKUP(C$7,FIXED_CHARTER_COST,2,0)+1,0)+VLOOKUP($A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1.4865708262241675</v>
      </c>
      <c r="D63" s="10">
        <f>(+VLOOKUP($A63,FIXED_CHARTER_COST,HLOOKUP(D$7,FIXED_CHARTER_COST,2,0)+1,0)+VLOOKUP($A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0.32652694721575171</v>
      </c>
      <c r="E63" s="10">
        <f>(+VLOOKUP($A63,FIXED_CHARTER_COST,HLOOKUP(E$7,FIXED_CHARTER_COST,2,0)+1,0)+VLOOKUP($A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0.35643953427107683</v>
      </c>
      <c r="F63" s="10">
        <f>(+VLOOKUP($A63,FIXED_CHARTER_COST,HLOOKUP(F$7,FIXED_CHARTER_COST,2,0)+1,0)+VLOOKUP($A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0.59924361312806451</v>
      </c>
      <c r="G63" s="10">
        <f>(+VLOOKUP($A63,FIXED_CHARTER_COST,HLOOKUP(G$7,FIXED_CHARTER_COST,2,0)+1,0)+VLOOKUP($A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0.72809530288043334</v>
      </c>
      <c r="H63" s="10">
        <f>(+VLOOKUP($A63,FIXED_CHARTER_COST,HLOOKUP(H$7,FIXED_CHARTER_COST,2,0)+1,0)+VLOOKUP($A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0.60430555439372391</v>
      </c>
      <c r="I63" s="10">
        <f>(+VLOOKUP($A63,FIXED_CHARTER_COST,HLOOKUP(I$7,FIXED_CHARTER_COST,2,0)+1,0)+VLOOKUP($A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0.72526146625017118</v>
      </c>
    </row>
    <row r="64" spans="1:9" x14ac:dyDescent="0.2">
      <c r="A64" s="180">
        <f>+SHIPS!B80</f>
        <v>38353</v>
      </c>
      <c r="B64" s="10">
        <f>(+VLOOKUP($A64,FIXED_CHARTER_COST,HLOOKUP(B$7,FIXED_CHARTER_COST,2,0)+1,0)+VLOOKUP($A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1.3663696675322647</v>
      </c>
      <c r="C64" s="10">
        <f>(+VLOOKUP($A64,FIXED_CHARTER_COST,HLOOKUP(C$7,FIXED_CHARTER_COST,2,0)+1,0)+VLOOKUP($A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1.4874041995100187</v>
      </c>
      <c r="D64" s="10">
        <f>(+VLOOKUP($A64,FIXED_CHARTER_COST,HLOOKUP(D$7,FIXED_CHARTER_COST,2,0)+1,0)+VLOOKUP($A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0.32661495371440458</v>
      </c>
      <c r="E64" s="10">
        <f>(+VLOOKUP($A64,FIXED_CHARTER_COST,HLOOKUP(E$7,FIXED_CHARTER_COST,2,0)+1,0)+VLOOKUP($A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0.35653487464461747</v>
      </c>
      <c r="F64" s="10">
        <f>(+VLOOKUP($A64,FIXED_CHARTER_COST,HLOOKUP(F$7,FIXED_CHARTER_COST,2,0)+1,0)+VLOOKUP($A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0.59939762450070699</v>
      </c>
      <c r="G64" s="10">
        <f>(+VLOOKUP($A64,FIXED_CHARTER_COST,HLOOKUP(G$7,FIXED_CHARTER_COST,2,0)+1,0)+VLOOKUP($A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0.72828598362751462</v>
      </c>
      <c r="H64" s="10">
        <f>(+VLOOKUP($A64,FIXED_CHARTER_COST,HLOOKUP(H$7,FIXED_CHARTER_COST,2,0)+1,0)+VLOOKUP($A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0.6046514829274735</v>
      </c>
      <c r="I64" s="10">
        <f>(+VLOOKUP($A64,FIXED_CHARTER_COST,HLOOKUP(I$7,FIXED_CHARTER_COST,2,0)+1,0)+VLOOKUP($A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0.72568601490522755</v>
      </c>
    </row>
    <row r="65" spans="1:9" x14ac:dyDescent="0.2">
      <c r="A65" s="179">
        <f>+SHIPS!B81</f>
        <v>38384</v>
      </c>
      <c r="B65" s="10">
        <f>(+VLOOKUP($A65,FIXED_CHARTER_COST,HLOOKUP(B$7,FIXED_CHARTER_COST,2,0)+1,0)+VLOOKUP($A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1.3671259930992357</v>
      </c>
      <c r="C65" s="10">
        <f>(+VLOOKUP($A65,FIXED_CHARTER_COST,HLOOKUP(C$7,FIXED_CHARTER_COST,2,0)+1,0)+VLOOKUP($A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1.4882393089902159</v>
      </c>
      <c r="D65" s="10">
        <f>(+VLOOKUP($A65,FIXED_CHARTER_COST,HLOOKUP(D$7,FIXED_CHARTER_COST,2,0)+1,0)+VLOOKUP($A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0.32670314355992963</v>
      </c>
      <c r="E65" s="10">
        <f>(+VLOOKUP($A65,FIXED_CHARTER_COST,HLOOKUP(E$7,FIXED_CHARTER_COST,2,0)+1,0)+VLOOKUP($A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0.35663041364393627</v>
      </c>
      <c r="F65" s="10">
        <f>(+VLOOKUP($A65,FIXED_CHARTER_COST,HLOOKUP(F$7,FIXED_CHARTER_COST,2,0)+1,0)+VLOOKUP($A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0.59955195673037587</v>
      </c>
      <c r="G65" s="10">
        <f>(+VLOOKUP($A65,FIXED_CHARTER_COST,HLOOKUP(G$7,FIXED_CHARTER_COST,2,0)+1,0)+VLOOKUP($A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0.72847706162615222</v>
      </c>
      <c r="H65" s="10">
        <f>(+VLOOKUP($A65,FIXED_CHARTER_COST,HLOOKUP(H$7,FIXED_CHARTER_COST,2,0)+1,0)+VLOOKUP($A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0.60499813214566844</v>
      </c>
      <c r="I65" s="10">
        <f>(+VLOOKUP($A65,FIXED_CHARTER_COST,HLOOKUP(I$7,FIXED_CHARTER_COST,2,0)+1,0)+VLOOKUP($A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0.72611144803664862</v>
      </c>
    </row>
    <row r="66" spans="1:9" x14ac:dyDescent="0.2">
      <c r="A66" s="179">
        <f>+SHIPS!B82</f>
        <v>38412</v>
      </c>
      <c r="B66" s="10">
        <f>(+VLOOKUP($A66,FIXED_CHARTER_COST,HLOOKUP(B$7,FIXED_CHARTER_COST,2,0)+1,0)+VLOOKUP($A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1.3678838943444709</v>
      </c>
      <c r="C66" s="10">
        <f>(+VLOOKUP($A66,FIXED_CHARTER_COST,HLOOKUP(C$7,FIXED_CHARTER_COST,2,0)+1,0)+VLOOKUP($A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1.4890761582818299</v>
      </c>
      <c r="D66" s="10">
        <f>(+VLOOKUP($A66,FIXED_CHARTER_COST,HLOOKUP(D$7,FIXED_CHARTER_COST,2,0)+1,0)+VLOOKUP($A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0.32679151713429955</v>
      </c>
      <c r="E66" s="10">
        <f>(+VLOOKUP($A66,FIXED_CHARTER_COST,HLOOKUP(E$7,FIXED_CHARTER_COST,2,0)+1,0)+VLOOKUP($A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0.356726151682837</v>
      </c>
      <c r="F66" s="10">
        <f>(+VLOOKUP($A66,FIXED_CHARTER_COST,HLOOKUP(F$7,FIXED_CHARTER_COST,2,0)+1,0)+VLOOKUP($A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0.59970661048552321</v>
      </c>
      <c r="G66" s="10">
        <f>(+VLOOKUP($A66,FIXED_CHARTER_COST,HLOOKUP(G$7,FIXED_CHARTER_COST,2,0)+1,0)+VLOOKUP($A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0.72866853770395368</v>
      </c>
      <c r="H66" s="10">
        <f>(+VLOOKUP($A66,FIXED_CHARTER_COST,HLOOKUP(H$7,FIXED_CHARTER_COST,2,0)+1,0)+VLOOKUP($A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0.60534550354973471</v>
      </c>
      <c r="I66" s="10">
        <f>(+VLOOKUP($A66,FIXED_CHARTER_COST,HLOOKUP(I$7,FIXED_CHARTER_COST,2,0)+1,0)+VLOOKUP($A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0.72653776748709353</v>
      </c>
    </row>
    <row r="67" spans="1:9" x14ac:dyDescent="0.2">
      <c r="A67" s="179">
        <f>+SHIPS!B83</f>
        <v>38443</v>
      </c>
      <c r="B67" s="10">
        <f>(+VLOOKUP($A67,FIXED_CHARTER_COST,HLOOKUP(B$7,FIXED_CHARTER_COST,2,0)+1,0)+VLOOKUP($A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1.3686433745506337</v>
      </c>
      <c r="C67" s="10">
        <f>(+VLOOKUP($A67,FIXED_CHARTER_COST,HLOOKUP(C$7,FIXED_CHARTER_COST,2,0)+1,0)+VLOOKUP($A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1.4899147510094679</v>
      </c>
      <c r="D67" s="10">
        <f>(+VLOOKUP($A67,FIXED_CHARTER_COST,HLOOKUP(D$7,FIXED_CHARTER_COST,2,0)+1,0)+VLOOKUP($A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0.3268800748202827</v>
      </c>
      <c r="E67" s="10">
        <f>(+VLOOKUP($A67,FIXED_CHARTER_COST,HLOOKUP(E$7,FIXED_CHARTER_COST,2,0)+1,0)+VLOOKUP($A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0.35682208917598551</v>
      </c>
      <c r="F67" s="10">
        <f>(+VLOOKUP($A67,FIXED_CHARTER_COST,HLOOKUP(F$7,FIXED_CHARTER_COST,2,0)+1,0)+VLOOKUP($A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0.59986158643599374</v>
      </c>
      <c r="G67" s="10">
        <f>(+VLOOKUP($A67,FIXED_CHARTER_COST,HLOOKUP(G$7,FIXED_CHARTER_COST,2,0)+1,0)+VLOOKUP($A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0.72886041269025059</v>
      </c>
      <c r="H67" s="10">
        <f>(+VLOOKUP($A67,FIXED_CHARTER_COST,HLOOKUP(H$7,FIXED_CHARTER_COST,2,0)+1,0)+VLOOKUP($A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0.60569359864422601</v>
      </c>
      <c r="I67" s="10">
        <f>(+VLOOKUP($A67,FIXED_CHARTER_COST,HLOOKUP(I$7,FIXED_CHARTER_COST,2,0)+1,0)+VLOOKUP($A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0.72696497510306013</v>
      </c>
    </row>
    <row r="68" spans="1:9" x14ac:dyDescent="0.2">
      <c r="A68" s="179">
        <f>+SHIPS!B84</f>
        <v>38473</v>
      </c>
      <c r="B68" s="10">
        <f>(+VLOOKUP($A68,FIXED_CHARTER_COST,HLOOKUP(B$7,FIXED_CHARTER_COST,2,0)+1,0)+VLOOKUP($A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1.369404437007226</v>
      </c>
      <c r="C68" s="10">
        <f>(+VLOOKUP($A68,FIXED_CHARTER_COST,HLOOKUP(C$7,FIXED_CHARTER_COST,2,0)+1,0)+VLOOKUP($A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1.4907550908052885</v>
      </c>
      <c r="D68" s="10">
        <f>(+VLOOKUP($A68,FIXED_CHARTER_COST,HLOOKUP(D$7,FIXED_CHARTER_COST,2,0)+1,0)+VLOOKUP($A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0.32696881700144498</v>
      </c>
      <c r="E68" s="10">
        <f>(+VLOOKUP($A68,FIXED_CHARTER_COST,HLOOKUP(E$7,FIXED_CHARTER_COST,2,0)+1,0)+VLOOKUP($A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0.35691822653891131</v>
      </c>
      <c r="F68" s="10">
        <f>(+VLOOKUP($A68,FIXED_CHARTER_COST,HLOOKUP(F$7,FIXED_CHARTER_COST,2,0)+1,0)+VLOOKUP($A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0.60001688525302777</v>
      </c>
      <c r="G68" s="10">
        <f>(+VLOOKUP($A68,FIXED_CHARTER_COST,HLOOKUP(G$7,FIXED_CHARTER_COST,2,0)+1,0)+VLOOKUP($A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0.72905268741610219</v>
      </c>
      <c r="H68" s="10">
        <f>(+VLOOKUP($A68,FIXED_CHARTER_COST,HLOOKUP(H$7,FIXED_CHARTER_COST,2,0)+1,0)+VLOOKUP($A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0.60604241893683086</v>
      </c>
      <c r="I68" s="10">
        <f>(+VLOOKUP($A68,FIXED_CHARTER_COST,HLOOKUP(I$7,FIXED_CHARTER_COST,2,0)+1,0)+VLOOKUP($A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0.72739307273489329</v>
      </c>
    </row>
    <row r="69" spans="1:9" x14ac:dyDescent="0.2">
      <c r="A69" s="179">
        <f>+SHIPS!B85</f>
        <v>38504</v>
      </c>
      <c r="B69" s="10">
        <f>(+VLOOKUP($A69,FIXED_CHARTER_COST,HLOOKUP(B$7,FIXED_CHARTER_COST,2,0)+1,0)+VLOOKUP($A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1.3701670850106029</v>
      </c>
      <c r="C69" s="10">
        <f>(+VLOOKUP($A69,FIXED_CHARTER_COST,HLOOKUP(C$7,FIXED_CHARTER_COST,2,0)+1,0)+VLOOKUP($A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1.4915971813090174</v>
      </c>
      <c r="D69" s="10">
        <f>(+VLOOKUP($A69,FIXED_CHARTER_COST,HLOOKUP(D$7,FIXED_CHARTER_COST,2,0)+1,0)+VLOOKUP($A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0.32705774406215138</v>
      </c>
      <c r="E69" s="10">
        <f>(+VLOOKUP($A69,FIXED_CHARTER_COST,HLOOKUP(E$7,FIXED_CHARTER_COST,2,0)+1,0)+VLOOKUP($A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0.35701456418800986</v>
      </c>
      <c r="F69" s="10">
        <f>(+VLOOKUP($A69,FIXED_CHARTER_COST,HLOOKUP(F$7,FIXED_CHARTER_COST,2,0)+1,0)+VLOOKUP($A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0.60017250760926388</v>
      </c>
      <c r="G69" s="10">
        <f>(+VLOOKUP($A69,FIXED_CHARTER_COST,HLOOKUP(G$7,FIXED_CHARTER_COST,2,0)+1,0)+VLOOKUP($A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0.72924536271429929</v>
      </c>
      <c r="H69" s="10">
        <f>(+VLOOKUP($A69,FIXED_CHARTER_COST,HLOOKUP(H$7,FIXED_CHARTER_COST,2,0)+1,0)+VLOOKUP($A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0.60639196593837852</v>
      </c>
      <c r="I69" s="10">
        <f>(+VLOOKUP($A69,FIXED_CHARTER_COST,HLOOKUP(I$7,FIXED_CHARTER_COST,2,0)+1,0)+VLOOKUP($A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0.7278220622367928</v>
      </c>
    </row>
    <row r="70" spans="1:9" x14ac:dyDescent="0.2">
      <c r="A70" s="179">
        <f>+SHIPS!B86</f>
        <v>38534</v>
      </c>
      <c r="B70" s="10">
        <f>(+VLOOKUP($A70,FIXED_CHARTER_COST,HLOOKUP(B$7,FIXED_CHARTER_COST,2,0)+1,0)+VLOOKUP($A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1.3709313218639869</v>
      </c>
      <c r="C70" s="10">
        <f>(+VLOOKUP($A70,FIXED_CHARTER_COST,HLOOKUP(C$7,FIXED_CHARTER_COST,2,0)+1,0)+VLOOKUP($A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1.4924410261679621</v>
      </c>
      <c r="D70" s="10">
        <f>(+VLOOKUP($A70,FIXED_CHARTER_COST,HLOOKUP(D$7,FIXED_CHARTER_COST,2,0)+1,0)+VLOOKUP($A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0.32714685638756758</v>
      </c>
      <c r="E70" s="10">
        <f>(+VLOOKUP($A70,FIXED_CHARTER_COST,HLOOKUP(E$7,FIXED_CHARTER_COST,2,0)+1,0)+VLOOKUP($A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0.35711110254054407</v>
      </c>
      <c r="F70" s="10">
        <f>(+VLOOKUP($A70,FIXED_CHARTER_COST,HLOOKUP(F$7,FIXED_CHARTER_COST,2,0)+1,0)+VLOOKUP($A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0.60032845417874225</v>
      </c>
      <c r="G70" s="10">
        <f>(+VLOOKUP($A70,FIXED_CHARTER_COST,HLOOKUP(G$7,FIXED_CHARTER_COST,2,0)+1,0)+VLOOKUP($A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0.72943843941936781</v>
      </c>
      <c r="H70" s="10">
        <f>(+VLOOKUP($A70,FIXED_CHARTER_COST,HLOOKUP(H$7,FIXED_CHARTER_COST,2,0)+1,0)+VLOOKUP($A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0.60674224116284625</v>
      </c>
      <c r="I70" s="10">
        <f>(+VLOOKUP($A70,FIXED_CHARTER_COST,HLOOKUP(I$7,FIXED_CHARTER_COST,2,0)+1,0)+VLOOKUP($A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0.72825194546682126</v>
      </c>
    </row>
    <row r="71" spans="1:9" x14ac:dyDescent="0.2">
      <c r="A71" s="179">
        <f>+SHIPS!B87</f>
        <v>38565</v>
      </c>
      <c r="B71" s="10">
        <f>(+VLOOKUP($A71,FIXED_CHARTER_COST,HLOOKUP(B$7,FIXED_CHARTER_COST,2,0)+1,0)+VLOOKUP($A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1.371697150877482</v>
      </c>
      <c r="C71" s="10">
        <f>(+VLOOKUP($A71,FIXED_CHARTER_COST,HLOOKUP(C$7,FIXED_CHARTER_COST,2,0)+1,0)+VLOOKUP($A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1.4932866290370297</v>
      </c>
      <c r="D71" s="10">
        <f>(+VLOOKUP($A71,FIXED_CHARTER_COST,HLOOKUP(D$7,FIXED_CHARTER_COST,2,0)+1,0)+VLOOKUP($A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0.32723615436366177</v>
      </c>
      <c r="E71" s="10">
        <f>(+VLOOKUP($A71,FIXED_CHARTER_COST,HLOOKUP(E$7,FIXED_CHARTER_COST,2,0)+1,0)+VLOOKUP($A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0.35720784201464612</v>
      </c>
      <c r="F71" s="10">
        <f>(+VLOOKUP($A71,FIXED_CHARTER_COST,HLOOKUP(F$7,FIXED_CHARTER_COST,2,0)+1,0)+VLOOKUP($A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0.60048472563690702</v>
      </c>
      <c r="G71" s="10">
        <f>(+VLOOKUP($A71,FIXED_CHARTER_COST,HLOOKUP(G$7,FIXED_CHARTER_COST,2,0)+1,0)+VLOOKUP($A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0.7296319183675718</v>
      </c>
      <c r="H71" s="10">
        <f>(+VLOOKUP($A71,FIXED_CHARTER_COST,HLOOKUP(H$7,FIXED_CHARTER_COST,2,0)+1,0)+VLOOKUP($A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0.60709324612736482</v>
      </c>
      <c r="I71" s="10">
        <f>(+VLOOKUP($A71,FIXED_CHARTER_COST,HLOOKUP(I$7,FIXED_CHARTER_COST,2,0)+1,0)+VLOOKUP($A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0.72868272428691239</v>
      </c>
    </row>
    <row r="72" spans="1:9" x14ac:dyDescent="0.2">
      <c r="A72" s="179">
        <f>+SHIPS!B88</f>
        <v>38596</v>
      </c>
      <c r="B72" s="10">
        <f>(+VLOOKUP($A72,FIXED_CHARTER_COST,HLOOKUP(B$7,FIXED_CHARTER_COST,2,0)+1,0)+VLOOKUP($A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1.3724645753680889</v>
      </c>
      <c r="C72" s="10">
        <f>(+VLOOKUP($A72,FIXED_CHARTER_COST,HLOOKUP(C$7,FIXED_CHARTER_COST,2,0)+1,0)+VLOOKUP($A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1.494133993578741</v>
      </c>
      <c r="D72" s="10">
        <f>(+VLOOKUP($A72,FIXED_CHARTER_COST,HLOOKUP(D$7,FIXED_CHARTER_COST,2,0)+1,0)+VLOOKUP($A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0.32732563837720607</v>
      </c>
      <c r="E72" s="10">
        <f>(+VLOOKUP($A72,FIXED_CHARTER_COST,HLOOKUP(E$7,FIXED_CHARTER_COST,2,0)+1,0)+VLOOKUP($A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0.35730478302931906</v>
      </c>
      <c r="F72" s="10">
        <f>(+VLOOKUP($A72,FIXED_CHARTER_COST,HLOOKUP(F$7,FIXED_CHARTER_COST,2,0)+1,0)+VLOOKUP($A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0.60064132266060954</v>
      </c>
      <c r="G72" s="10">
        <f>(+VLOOKUP($A72,FIXED_CHARTER_COST,HLOOKUP(G$7,FIXED_CHARTER_COST,2,0)+1,0)+VLOOKUP($A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0.7298258003969178</v>
      </c>
      <c r="H72" s="10">
        <f>(+VLOOKUP($A72,FIXED_CHARTER_COST,HLOOKUP(H$7,FIXED_CHARTER_COST,2,0)+1,0)+VLOOKUP($A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0.60744498235222621</v>
      </c>
      <c r="I72" s="10">
        <f>(+VLOOKUP($A72,FIXED_CHARTER_COST,HLOOKUP(I$7,FIXED_CHARTER_COST,2,0)+1,0)+VLOOKUP($A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0.72911440056287857</v>
      </c>
    </row>
    <row r="73" spans="1:9" x14ac:dyDescent="0.2">
      <c r="A73" s="179">
        <f>+SHIPS!B89</f>
        <v>38626</v>
      </c>
      <c r="B73" s="10">
        <f>(+VLOOKUP($A73,FIXED_CHARTER_COST,HLOOKUP(B$7,FIXED_CHARTER_COST,2,0)+1,0)+VLOOKUP($A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1.3732335986597175</v>
      </c>
      <c r="C73" s="10">
        <f>(+VLOOKUP($A73,FIXED_CHARTER_COST,HLOOKUP(C$7,FIXED_CHARTER_COST,2,0)+1,0)+VLOOKUP($A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1.4949831234632478</v>
      </c>
      <c r="D73" s="10">
        <f>(+VLOOKUP($A73,FIXED_CHARTER_COST,HLOOKUP(D$7,FIXED_CHARTER_COST,2,0)+1,0)+VLOOKUP($A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0.32741530881577863</v>
      </c>
      <c r="E73" s="10">
        <f>(+VLOOKUP($A73,FIXED_CHARTER_COST,HLOOKUP(E$7,FIXED_CHARTER_COST,2,0)+1,0)+VLOOKUP($A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0.35740192600443937</v>
      </c>
      <c r="F73" s="10">
        <f>(+VLOOKUP($A73,FIXED_CHARTER_COST,HLOOKUP(F$7,FIXED_CHARTER_COST,2,0)+1,0)+VLOOKUP($A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0.6007982459281116</v>
      </c>
      <c r="G73" s="10">
        <f>(+VLOOKUP($A73,FIXED_CHARTER_COST,HLOOKUP(G$7,FIXED_CHARTER_COST,2,0)+1,0)+VLOOKUP($A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0.73002008634715843</v>
      </c>
      <c r="H73" s="10">
        <f>(+VLOOKUP($A73,FIXED_CHARTER_COST,HLOOKUP(H$7,FIXED_CHARTER_COST,2,0)+1,0)+VLOOKUP($A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0.60779745136088936</v>
      </c>
      <c r="I73" s="10">
        <f>(+VLOOKUP($A73,FIXED_CHARTER_COST,HLOOKUP(I$7,FIXED_CHARTER_COST,2,0)+1,0)+VLOOKUP($A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0.72954697616441977</v>
      </c>
    </row>
    <row r="74" spans="1:9" x14ac:dyDescent="0.2">
      <c r="A74" s="179">
        <f>+SHIPS!B90</f>
        <v>38657</v>
      </c>
      <c r="B74" s="10">
        <f>(+VLOOKUP($A74,FIXED_CHARTER_COST,HLOOKUP(B$7,FIXED_CHARTER_COST,2,0)+1,0)+VLOOKUP($A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1.3740042240832038</v>
      </c>
      <c r="C74" s="10">
        <f>(+VLOOKUP($A74,FIXED_CHARTER_COST,HLOOKUP(C$7,FIXED_CHARTER_COST,2,0)+1,0)+VLOOKUP($A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1.4958340223683473</v>
      </c>
      <c r="D74" s="10">
        <f>(+VLOOKUP($A74,FIXED_CHARTER_COST,HLOOKUP(D$7,FIXED_CHARTER_COST,2,0)+1,0)+VLOOKUP($A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0.32750516606776486</v>
      </c>
      <c r="E74" s="10">
        <f>(+VLOOKUP($A74,FIXED_CHARTER_COST,HLOOKUP(E$7,FIXED_CHARTER_COST,2,0)+1,0)+VLOOKUP($A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0.35749927136075782</v>
      </c>
      <c r="F74" s="10">
        <f>(+VLOOKUP($A74,FIXED_CHARTER_COST,HLOOKUP(F$7,FIXED_CHARTER_COST,2,0)+1,0)+VLOOKUP($A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0.6009554961190875</v>
      </c>
      <c r="G74" s="10">
        <f>(+VLOOKUP($A74,FIXED_CHARTER_COST,HLOOKUP(G$7,FIXED_CHARTER_COST,2,0)+1,0)+VLOOKUP($A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0.73021477705979521</v>
      </c>
      <c r="H74" s="10">
        <f>(+VLOOKUP($A74,FIXED_CHARTER_COST,HLOOKUP(H$7,FIXED_CHARTER_COST,2,0)+1,0)+VLOOKUP($A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0.60815065467998719</v>
      </c>
      <c r="I74" s="10">
        <f>(+VLOOKUP($A74,FIXED_CHARTER_COST,HLOOKUP(I$7,FIXED_CHARTER_COST,2,0)+1,0)+VLOOKUP($A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0.72998045296513081</v>
      </c>
    </row>
    <row r="75" spans="1:9" x14ac:dyDescent="0.2">
      <c r="A75" s="179">
        <f>+SHIPS!B91</f>
        <v>38687</v>
      </c>
      <c r="B75" s="10">
        <f>(+VLOOKUP($A75,FIXED_CHARTER_COST,HLOOKUP(B$7,FIXED_CHARTER_COST,2,0)+1,0)+VLOOKUP($A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1.3747764549763224</v>
      </c>
      <c r="C75" s="10">
        <f>(+VLOOKUP($A75,FIXED_CHARTER_COST,HLOOKUP(C$7,FIXED_CHARTER_COST,2,0)+1,0)+VLOOKUP($A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1.4966866939794989</v>
      </c>
      <c r="D75" s="10">
        <f>(+VLOOKUP($A75,FIXED_CHARTER_COST,HLOOKUP(D$7,FIXED_CHARTER_COST,2,0)+1,0)+VLOOKUP($A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0.32759521052235946</v>
      </c>
      <c r="E75" s="10">
        <f>(+VLOOKUP($A75,FIXED_CHARTER_COST,HLOOKUP(E$7,FIXED_CHARTER_COST,2,0)+1,0)+VLOOKUP($A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0.35759681951990191</v>
      </c>
      <c r="F75" s="10">
        <f>(+VLOOKUP($A75,FIXED_CHARTER_COST,HLOOKUP(F$7,FIXED_CHARTER_COST,2,0)+1,0)+VLOOKUP($A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0.60111307391462798</v>
      </c>
      <c r="G75" s="10">
        <f>(+VLOOKUP($A75,FIXED_CHARTER_COST,HLOOKUP(G$7,FIXED_CHARTER_COST,2,0)+1,0)+VLOOKUP($A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0.7304098733780835</v>
      </c>
      <c r="H75" s="10">
        <f>(+VLOOKUP($A75,FIXED_CHARTER_COST,HLOOKUP(H$7,FIXED_CHARTER_COST,2,0)+1,0)+VLOOKUP($A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0.60850459383933331</v>
      </c>
      <c r="I75" s="10">
        <f>(+VLOOKUP($A75,FIXED_CHARTER_COST,HLOOKUP(I$7,FIXED_CHARTER_COST,2,0)+1,0)+VLOOKUP($A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0.73041483284250996</v>
      </c>
    </row>
    <row r="76" spans="1:9" x14ac:dyDescent="0.2">
      <c r="A76" s="180">
        <f>+SHIPS!B92</f>
        <v>38718</v>
      </c>
      <c r="B76" s="10">
        <f>(+VLOOKUP($A76,FIXED_CHARTER_COST,HLOOKUP(B$7,FIXED_CHARTER_COST,2,0)+1,0)+VLOOKUP($A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1.3755502946838016</v>
      </c>
      <c r="C76" s="10">
        <f>(+VLOOKUP($A76,FIXED_CHARTER_COST,HLOOKUP(C$7,FIXED_CHARTER_COST,2,0)+1,0)+VLOOKUP($A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1.4975411419898406</v>
      </c>
      <c r="D76" s="10">
        <f>(+VLOOKUP($A76,FIXED_CHARTER_COST,HLOOKUP(D$7,FIXED_CHARTER_COST,2,0)+1,0)+VLOOKUP($A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0.32768544256956772</v>
      </c>
      <c r="E76" s="10">
        <f>(+VLOOKUP($A76,FIXED_CHARTER_COST,HLOOKUP(E$7,FIXED_CHARTER_COST,2,0)+1,0)+VLOOKUP($A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0.35769457090437756</v>
      </c>
      <c r="F76" s="10">
        <f>(+VLOOKUP($A76,FIXED_CHARTER_COST,HLOOKUP(F$7,FIXED_CHARTER_COST,2,0)+1,0)+VLOOKUP($A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0.60127097999724255</v>
      </c>
      <c r="G76" s="10">
        <f>(+VLOOKUP($A76,FIXED_CHARTER_COST,HLOOKUP(G$7,FIXED_CHARTER_COST,2,0)+1,0)+VLOOKUP($A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0.7306053761470348</v>
      </c>
      <c r="H76" s="10">
        <f>(+VLOOKUP($A76,FIXED_CHARTER_COST,HLOOKUP(H$7,FIXED_CHARTER_COST,2,0)+1,0)+VLOOKUP($A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0.60885927037192789</v>
      </c>
      <c r="I76" s="10">
        <f>(+VLOOKUP($A76,FIXED_CHARTER_COST,HLOOKUP(I$7,FIXED_CHARTER_COST,2,0)+1,0)+VLOOKUP($A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0.73085011767796704</v>
      </c>
    </row>
    <row r="77" spans="1:9" x14ac:dyDescent="0.2">
      <c r="A77" s="179">
        <f>+SHIPS!B93</f>
        <v>38749</v>
      </c>
      <c r="B77" s="10">
        <f>(+VLOOKUP($A77,FIXED_CHARTER_COST,HLOOKUP(B$7,FIXED_CHARTER_COST,2,0)+1,0)+VLOOKUP($A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1.3763257465573382</v>
      </c>
      <c r="C77" s="10">
        <f>(+VLOOKUP($A77,FIXED_CHARTER_COST,HLOOKUP(C$7,FIXED_CHARTER_COST,2,0)+1,0)+VLOOKUP($A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1.4983973701002038</v>
      </c>
      <c r="D77" s="10">
        <f>(+VLOOKUP($A77,FIXED_CHARTER_COST,HLOOKUP(D$7,FIXED_CHARTER_COST,2,0)+1,0)+VLOOKUP($A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0.32777586260020775</v>
      </c>
      <c r="E77" s="10">
        <f>(+VLOOKUP($A77,FIXED_CHARTER_COST,HLOOKUP(E$7,FIXED_CHARTER_COST,2,0)+1,0)+VLOOKUP($A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0.35779252593757088</v>
      </c>
      <c r="F77" s="10">
        <f>(+VLOOKUP($A77,FIXED_CHARTER_COST,HLOOKUP(F$7,FIXED_CHARTER_COST,2,0)+1,0)+VLOOKUP($A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0.60142921505086255</v>
      </c>
      <c r="G77" s="10">
        <f>(+VLOOKUP($A77,FIXED_CHARTER_COST,HLOOKUP(G$7,FIXED_CHARTER_COST,2,0)+1,0)+VLOOKUP($A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0.73080128621342144</v>
      </c>
      <c r="H77" s="10">
        <f>(+VLOOKUP($A77,FIXED_CHARTER_COST,HLOOKUP(H$7,FIXED_CHARTER_COST,2,0)+1,0)+VLOOKUP($A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0.60921468581396543</v>
      </c>
      <c r="I77" s="10">
        <f>(+VLOOKUP($A77,FIXED_CHARTER_COST,HLOOKUP(I$7,FIXED_CHARTER_COST,2,0)+1,0)+VLOOKUP($A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0.73128630935683137</v>
      </c>
    </row>
    <row r="78" spans="1:9" x14ac:dyDescent="0.2">
      <c r="A78" s="179">
        <f>+SHIPS!B94</f>
        <v>38777</v>
      </c>
      <c r="B78" s="10">
        <f>(+VLOOKUP($A78,FIXED_CHARTER_COST,HLOOKUP(B$7,FIXED_CHARTER_COST,2,0)+1,0)+VLOOKUP($A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1.3771028139556112</v>
      </c>
      <c r="C78" s="10">
        <f>(+VLOOKUP($A78,FIXED_CHARTER_COST,HLOOKUP(C$7,FIXED_CHARTER_COST,2,0)+1,0)+VLOOKUP($A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1.4992553820191306</v>
      </c>
      <c r="D78" s="10">
        <f>(+VLOOKUP($A78,FIXED_CHARTER_COST,HLOOKUP(D$7,FIXED_CHARTER_COST,2,0)+1,0)+VLOOKUP($A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0.32786647100591154</v>
      </c>
      <c r="E78" s="10">
        <f>(+VLOOKUP($A78,FIXED_CHARTER_COST,HLOOKUP(E$7,FIXED_CHARTER_COST,2,0)+1,0)+VLOOKUP($A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0.35789068504375005</v>
      </c>
      <c r="F78" s="10">
        <f>(+VLOOKUP($A78,FIXED_CHARTER_COST,HLOOKUP(F$7,FIXED_CHARTER_COST,2,0)+1,0)+VLOOKUP($A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0.6015877797608441</v>
      </c>
      <c r="G78" s="10">
        <f>(+VLOOKUP($A78,FIXED_CHARTER_COST,HLOOKUP(G$7,FIXED_CHARTER_COST,2,0)+1,0)+VLOOKUP($A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0.73099760442577966</v>
      </c>
      <c r="H78" s="10">
        <f>(+VLOOKUP($A78,FIXED_CHARTER_COST,HLOOKUP(H$7,FIXED_CHARTER_COST,2,0)+1,0)+VLOOKUP($A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0.60957084170484055</v>
      </c>
      <c r="I78" s="10">
        <f>(+VLOOKUP($A78,FIXED_CHARTER_COST,HLOOKUP(I$7,FIXED_CHARTER_COST,2,0)+1,0)+VLOOKUP($A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0.73172340976835992</v>
      </c>
    </row>
    <row r="79" spans="1:9" x14ac:dyDescent="0.2">
      <c r="A79" s="179">
        <f>+SHIPS!B95</f>
        <v>38808</v>
      </c>
      <c r="B79" s="10">
        <f>(+VLOOKUP($A79,FIXED_CHARTER_COST,HLOOKUP(B$7,FIXED_CHARTER_COST,2,0)+1,0)+VLOOKUP($A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1.3778815002442972</v>
      </c>
      <c r="C79" s="10">
        <f>(+VLOOKUP($A79,FIXED_CHARTER_COST,HLOOKUP(C$7,FIXED_CHARTER_COST,2,0)+1,0)+VLOOKUP($A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1.5001151814628881</v>
      </c>
      <c r="D79" s="10">
        <f>(+VLOOKUP($A79,FIXED_CHARTER_COST,HLOOKUP(D$7,FIXED_CHARTER_COST,2,0)+1,0)+VLOOKUP($A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0.32795726817912724</v>
      </c>
      <c r="E79" s="10">
        <f>(+VLOOKUP($A79,FIXED_CHARTER_COST,HLOOKUP(E$7,FIXED_CHARTER_COST,2,0)+1,0)+VLOOKUP($A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0.35798904864806708</v>
      </c>
      <c r="F79" s="10">
        <f>(+VLOOKUP($A79,FIXED_CHARTER_COST,HLOOKUP(F$7,FIXED_CHARTER_COST,2,0)+1,0)+VLOOKUP($A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0.60174667481397159</v>
      </c>
      <c r="G79" s="10">
        <f>(+VLOOKUP($A79,FIXED_CHARTER_COST,HLOOKUP(G$7,FIXED_CHARTER_COST,2,0)+1,0)+VLOOKUP($A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0.73119433163441372</v>
      </c>
      <c r="H79" s="10">
        <f>(+VLOOKUP($A79,FIXED_CHARTER_COST,HLOOKUP(H$7,FIXED_CHARTER_COST,2,0)+1,0)+VLOOKUP($A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0.60992773958715507</v>
      </c>
      <c r="I79" s="10">
        <f>(+VLOOKUP($A79,FIXED_CHARTER_COST,HLOOKUP(I$7,FIXED_CHARTER_COST,2,0)+1,0)+VLOOKUP($A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0.73216142080574576</v>
      </c>
    </row>
    <row r="80" spans="1:9" x14ac:dyDescent="0.2">
      <c r="A80" s="179">
        <f>+SHIPS!B96</f>
        <v>38838</v>
      </c>
      <c r="B80" s="10">
        <f>(+VLOOKUP($A80,FIXED_CHARTER_COST,HLOOKUP(B$7,FIXED_CHARTER_COST,2,0)+1,0)+VLOOKUP($A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1.3786618087960847</v>
      </c>
      <c r="C80" s="10">
        <f>(+VLOOKUP($A80,FIXED_CHARTER_COST,HLOOKUP(C$7,FIXED_CHARTER_COST,2,0)+1,0)+VLOOKUP($A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1.5009767721554865</v>
      </c>
      <c r="D80" s="10">
        <f>(+VLOOKUP($A80,FIXED_CHARTER_COST,HLOOKUP(D$7,FIXED_CHARTER_COST,2,0)+1,0)+VLOOKUP($A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0.32804825451312047</v>
      </c>
      <c r="E80" s="10">
        <f>(+VLOOKUP($A80,FIXED_CHARTER_COST,HLOOKUP(E$7,FIXED_CHARTER_COST,2,0)+1,0)+VLOOKUP($A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0.35808761717655974</v>
      </c>
      <c r="F80" s="10">
        <f>(+VLOOKUP($A80,FIXED_CHARTER_COST,HLOOKUP(F$7,FIXED_CHARTER_COST,2,0)+1,0)+VLOOKUP($A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0.60190590089845986</v>
      </c>
      <c r="G80" s="10">
        <f>(+VLOOKUP($A80,FIXED_CHARTER_COST,HLOOKUP(G$7,FIXED_CHARTER_COST,2,0)+1,0)+VLOOKUP($A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0.73139146869139904</v>
      </c>
      <c r="H80" s="10">
        <f>(+VLOOKUP($A80,FIXED_CHARTER_COST,HLOOKUP(H$7,FIXED_CHARTER_COST,2,0)+1,0)+VLOOKUP($A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0.61028538100672436</v>
      </c>
      <c r="I80" s="10">
        <f>(+VLOOKUP($A80,FIXED_CHARTER_COST,HLOOKUP(I$7,FIXED_CHARTER_COST,2,0)+1,0)+VLOOKUP($A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0.7326003443661262</v>
      </c>
    </row>
    <row r="81" spans="1:9" x14ac:dyDescent="0.2">
      <c r="A81" s="179">
        <f>+SHIPS!B97</f>
        <v>38869</v>
      </c>
      <c r="B81" s="10">
        <f>(+VLOOKUP($A81,FIXED_CHARTER_COST,HLOOKUP(B$7,FIXED_CHARTER_COST,2,0)+1,0)+VLOOKUP($A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1.3794437429906885</v>
      </c>
      <c r="C81" s="10">
        <f>(+VLOOKUP($A81,FIXED_CHARTER_COST,HLOOKUP(C$7,FIXED_CHARTER_COST,2,0)+1,0)+VLOOKUP($A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1.5018401578286948</v>
      </c>
      <c r="D81" s="10">
        <f>(+VLOOKUP($A81,FIXED_CHARTER_COST,HLOOKUP(D$7,FIXED_CHARTER_COST,2,0)+1,0)+VLOOKUP($A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0.32813943040197618</v>
      </c>
      <c r="E81" s="10">
        <f>(+VLOOKUP($A81,FIXED_CHARTER_COST,HLOOKUP(E$7,FIXED_CHARTER_COST,2,0)+1,0)+VLOOKUP($A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0.35818639105615341</v>
      </c>
      <c r="F81" s="10">
        <f>(+VLOOKUP($A81,FIXED_CHARTER_COST,HLOOKUP(F$7,FIXED_CHARTER_COST,2,0)+1,0)+VLOOKUP($A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0.60206545870395733</v>
      </c>
      <c r="G81" s="10">
        <f>(+VLOOKUP($A81,FIXED_CHARTER_COST,HLOOKUP(G$7,FIXED_CHARTER_COST,2,0)+1,0)+VLOOKUP($A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0.73158901645058638</v>
      </c>
      <c r="H81" s="10">
        <f>(+VLOOKUP($A81,FIXED_CHARTER_COST,HLOOKUP(H$7,FIXED_CHARTER_COST,2,0)+1,0)+VLOOKUP($A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0.61064376751258442</v>
      </c>
      <c r="I81" s="10">
        <f>(+VLOOKUP($A81,FIXED_CHARTER_COST,HLOOKUP(I$7,FIXED_CHARTER_COST,2,0)+1,0)+VLOOKUP($A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0.73304018235059087</v>
      </c>
    </row>
    <row r="82" spans="1:9" x14ac:dyDescent="0.2">
      <c r="A82" s="179">
        <f>+SHIPS!B98</f>
        <v>38899</v>
      </c>
      <c r="B82" s="10">
        <f>(+VLOOKUP($A82,FIXED_CHARTER_COST,HLOOKUP(B$7,FIXED_CHARTER_COST,2,0)+1,0)+VLOOKUP($A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1.3802273062148642</v>
      </c>
      <c r="C82" s="10">
        <f>(+VLOOKUP($A82,FIXED_CHARTER_COST,HLOOKUP(C$7,FIXED_CHARTER_COST,2,0)+1,0)+VLOOKUP($A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1.5027053422220555</v>
      </c>
      <c r="D82" s="10">
        <f>(+VLOOKUP($A82,FIXED_CHARTER_COST,HLOOKUP(D$7,FIXED_CHARTER_COST,2,0)+1,0)+VLOOKUP($A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0.32823079624060036</v>
      </c>
      <c r="E82" s="10">
        <f>(+VLOOKUP($A82,FIXED_CHARTER_COST,HLOOKUP(E$7,FIXED_CHARTER_COST,2,0)+1,0)+VLOOKUP($A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0.35828537071466288</v>
      </c>
      <c r="F82" s="10">
        <f>(+VLOOKUP($A82,FIXED_CHARTER_COST,HLOOKUP(F$7,FIXED_CHARTER_COST,2,0)+1,0)+VLOOKUP($A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0.60222534892154955</v>
      </c>
      <c r="G82" s="10">
        <f>(+VLOOKUP($A82,FIXED_CHARTER_COST,HLOOKUP(G$7,FIXED_CHARTER_COST,2,0)+1,0)+VLOOKUP($A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0.73178697576760543</v>
      </c>
      <c r="H82" s="10">
        <f>(+VLOOKUP($A82,FIXED_CHARTER_COST,HLOOKUP(H$7,FIXED_CHARTER_COST,2,0)+1,0)+VLOOKUP($A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0.61100290065699825</v>
      </c>
      <c r="I82" s="10">
        <f>(+VLOOKUP($A82,FIXED_CHARTER_COST,HLOOKUP(I$7,FIXED_CHARTER_COST,2,0)+1,0)+VLOOKUP($A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0.73348093666418979</v>
      </c>
    </row>
    <row r="83" spans="1:9" x14ac:dyDescent="0.2">
      <c r="A83" s="179">
        <f>+SHIPS!B99</f>
        <v>38930</v>
      </c>
      <c r="B83" s="10">
        <f>(+VLOOKUP($A83,FIXED_CHARTER_COST,HLOOKUP(B$7,FIXED_CHARTER_COST,2,0)+1,0)+VLOOKUP($A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1.3810125018624237</v>
      </c>
      <c r="C83" s="10">
        <f>(+VLOOKUP($A83,FIXED_CHARTER_COST,HLOOKUP(C$7,FIXED_CHARTER_COST,2,0)+1,0)+VLOOKUP($A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1.5035723290829026</v>
      </c>
      <c r="D83" s="10">
        <f>(+VLOOKUP($A83,FIXED_CHARTER_COST,HLOOKUP(D$7,FIXED_CHARTER_COST,2,0)+1,0)+VLOOKUP($A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0.32832235242472163</v>
      </c>
      <c r="E83" s="10">
        <f>(+VLOOKUP($A83,FIXED_CHARTER_COST,HLOOKUP(E$7,FIXED_CHARTER_COST,2,0)+1,0)+VLOOKUP($A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0.35838455658079432</v>
      </c>
      <c r="F83" s="10">
        <f>(+VLOOKUP($A83,FIXED_CHARTER_COST,HLOOKUP(F$7,FIXED_CHARTER_COST,2,0)+1,0)+VLOOKUP($A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0.60238557224376188</v>
      </c>
      <c r="G83" s="10">
        <f>(+VLOOKUP($A83,FIXED_CHARTER_COST,HLOOKUP(G$7,FIXED_CHARTER_COST,2,0)+1,0)+VLOOKUP($A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0.73198534749986821</v>
      </c>
      <c r="H83" s="10">
        <f>(+VLOOKUP($A83,FIXED_CHARTER_COST,HLOOKUP(H$7,FIXED_CHARTER_COST,2,0)+1,0)+VLOOKUP($A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0.61136278199546301</v>
      </c>
      <c r="I83" s="10">
        <f>(+VLOOKUP($A83,FIXED_CHARTER_COST,HLOOKUP(I$7,FIXED_CHARTER_COST,2,0)+1,0)+VLOOKUP($A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0.73392260921594199</v>
      </c>
    </row>
    <row r="84" spans="1:9" x14ac:dyDescent="0.2">
      <c r="A84" s="179">
        <f>+SHIPS!B100</f>
        <v>38961</v>
      </c>
      <c r="B84" s="10">
        <f>(+VLOOKUP($A84,FIXED_CHARTER_COST,HLOOKUP(B$7,FIXED_CHARTER_COST,2,0)+1,0)+VLOOKUP($A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1.3817993333342489</v>
      </c>
      <c r="C84" s="10">
        <f>(+VLOOKUP($A84,FIXED_CHARTER_COST,HLOOKUP(C$7,FIXED_CHARTER_COST,2,0)+1,0)+VLOOKUP($A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1.5044411221663763</v>
      </c>
      <c r="D84" s="10">
        <f>(+VLOOKUP($A84,FIXED_CHARTER_COST,HLOOKUP(D$7,FIXED_CHARTER_COST,2,0)+1,0)+VLOOKUP($A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0.32841409935089316</v>
      </c>
      <c r="E84" s="10">
        <f>(+VLOOKUP($A84,FIXED_CHARTER_COST,HLOOKUP(E$7,FIXED_CHARTER_COST,2,0)+1,0)+VLOOKUP($A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0.35848394908414677</v>
      </c>
      <c r="F84" s="10">
        <f>(+VLOOKUP($A84,FIXED_CHARTER_COST,HLOOKUP(F$7,FIXED_CHARTER_COST,2,0)+1,0)+VLOOKUP($A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0.60254612936456209</v>
      </c>
      <c r="G84" s="10">
        <f>(+VLOOKUP($A84,FIXED_CHARTER_COST,HLOOKUP(G$7,FIXED_CHARTER_COST,2,0)+1,0)+VLOOKUP($A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0.73218413250657322</v>
      </c>
      <c r="H84" s="10">
        <f>(+VLOOKUP($A84,FIXED_CHARTER_COST,HLOOKUP(H$7,FIXED_CHARTER_COST,2,0)+1,0)+VLOOKUP($A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0.61172341308671629</v>
      </c>
      <c r="I84" s="10">
        <f>(+VLOOKUP($A84,FIXED_CHARTER_COST,HLOOKUP(I$7,FIXED_CHARTER_COST,2,0)+1,0)+VLOOKUP($A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0.73436520191884369</v>
      </c>
    </row>
    <row r="85" spans="1:9" x14ac:dyDescent="0.2">
      <c r="A85" s="179">
        <f>+SHIPS!B101</f>
        <v>38991</v>
      </c>
      <c r="B85" s="10">
        <f>(+VLOOKUP($A85,FIXED_CHARTER_COST,HLOOKUP(B$7,FIXED_CHARTER_COST,2,0)+1,0)+VLOOKUP($A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1.3825878040383071</v>
      </c>
      <c r="C85" s="10">
        <f>(+VLOOKUP($A85,FIXED_CHARTER_COST,HLOOKUP(C$7,FIXED_CHARTER_COST,2,0)+1,0)+VLOOKUP($A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1.5053117252354407</v>
      </c>
      <c r="D85" s="10">
        <f>(+VLOOKUP($A85,FIXED_CHARTER_COST,HLOOKUP(D$7,FIXED_CHARTER_COST,2,0)+1,0)+VLOOKUP($A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0.32850603741649426</v>
      </c>
      <c r="E85" s="10">
        <f>(+VLOOKUP($A85,FIXED_CHARTER_COST,HLOOKUP(E$7,FIXED_CHARTER_COST,2,0)+1,0)+VLOOKUP($A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0.35858354865521463</v>
      </c>
      <c r="F85" s="10">
        <f>(+VLOOKUP($A85,FIXED_CHARTER_COST,HLOOKUP(F$7,FIXED_CHARTER_COST,2,0)+1,0)+VLOOKUP($A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0.60270702097936391</v>
      </c>
      <c r="G85" s="10">
        <f>(+VLOOKUP($A85,FIXED_CHARTER_COST,HLOOKUP(G$7,FIXED_CHARTER_COST,2,0)+1,0)+VLOOKUP($A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0.73238333164870895</v>
      </c>
      <c r="H85" s="10">
        <f>(+VLOOKUP($A85,FIXED_CHARTER_COST,HLOOKUP(H$7,FIXED_CHARTER_COST,2,0)+1,0)+VLOOKUP($A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0.61208479549274297</v>
      </c>
      <c r="I85" s="10">
        <f>(+VLOOKUP($A85,FIXED_CHARTER_COST,HLOOKUP(I$7,FIXED_CHARTER_COST,2,0)+1,0)+VLOOKUP($A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0.73480871668987646</v>
      </c>
    </row>
    <row r="86" spans="1:9" x14ac:dyDescent="0.2">
      <c r="A86" s="179">
        <f>+SHIPS!B102</f>
        <v>39022</v>
      </c>
      <c r="B86" s="10">
        <f>(+VLOOKUP($A86,FIXED_CHARTER_COST,HLOOKUP(B$7,FIXED_CHARTER_COST,2,0)+1,0)+VLOOKUP($A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1.3833779173896654</v>
      </c>
      <c r="C86" s="10">
        <f>(+VLOOKUP($A86,FIXED_CHARTER_COST,HLOOKUP(C$7,FIXED_CHARTER_COST,2,0)+1,0)+VLOOKUP($A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1.5061841420608986</v>
      </c>
      <c r="D86" s="10">
        <f>(+VLOOKUP($A86,FIXED_CHARTER_COST,HLOOKUP(D$7,FIXED_CHARTER_COST,2,0)+1,0)+VLOOKUP($A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0.32859816701973199</v>
      </c>
      <c r="E86" s="10">
        <f>(+VLOOKUP($A86,FIXED_CHARTER_COST,HLOOKUP(E$7,FIXED_CHARTER_COST,2,0)+1,0)+VLOOKUP($A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0.35868335572538884</v>
      </c>
      <c r="F86" s="10">
        <f>(+VLOOKUP($A86,FIXED_CHARTER_COST,HLOOKUP(F$7,FIXED_CHARTER_COST,2,0)+1,0)+VLOOKUP($A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0.60286824778503001</v>
      </c>
      <c r="G86" s="10">
        <f>(+VLOOKUP($A86,FIXED_CHARTER_COST,HLOOKUP(G$7,FIXED_CHARTER_COST,2,0)+1,0)+VLOOKUP($A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0.73258294578905736</v>
      </c>
      <c r="H86" s="10">
        <f>(+VLOOKUP($A86,FIXED_CHARTER_COST,HLOOKUP(H$7,FIXED_CHARTER_COST,2,0)+1,0)+VLOOKUP($A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0.61244693077878221</v>
      </c>
      <c r="I86" s="10">
        <f>(+VLOOKUP($A86,FIXED_CHARTER_COST,HLOOKUP(I$7,FIXED_CHARTER_COST,2,0)+1,0)+VLOOKUP($A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0.73525315545001546</v>
      </c>
    </row>
    <row r="87" spans="1:9" x14ac:dyDescent="0.2">
      <c r="A87" s="179">
        <f>+SHIPS!B103</f>
        <v>39052</v>
      </c>
      <c r="B87" s="10">
        <f>(+VLOOKUP($A87,FIXED_CHARTER_COST,HLOOKUP(B$7,FIXED_CHARTER_COST,2,0)+1,0)+VLOOKUP($A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1.3841696768105058</v>
      </c>
      <c r="C87" s="10">
        <f>(+VLOOKUP($A87,FIXED_CHARTER_COST,HLOOKUP(C$7,FIXED_CHARTER_COST,2,0)+1,0)+VLOOKUP($A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1.5070583764214101</v>
      </c>
      <c r="D87" s="10">
        <f>(+VLOOKUP($A87,FIXED_CHARTER_COST,HLOOKUP(D$7,FIXED_CHARTER_COST,2,0)+1,0)+VLOOKUP($A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0.32869048855964317</v>
      </c>
      <c r="E87" s="10">
        <f>(+VLOOKUP($A87,FIXED_CHARTER_COST,HLOOKUP(E$7,FIXED_CHARTER_COST,2,0)+1,0)+VLOOKUP($A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0.35878337072695926</v>
      </c>
      <c r="F87" s="10">
        <f>(+VLOOKUP($A87,FIXED_CHARTER_COST,HLOOKUP(F$7,FIXED_CHARTER_COST,2,0)+1,0)+VLOOKUP($A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0.60302981047987447</v>
      </c>
      <c r="G87" s="10">
        <f>(+VLOOKUP($A87,FIXED_CHARTER_COST,HLOOKUP(G$7,FIXED_CHARTER_COST,2,0)+1,0)+VLOOKUP($A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0.7327829757921982</v>
      </c>
      <c r="H87" s="10">
        <f>(+VLOOKUP($A87,FIXED_CHARTER_COST,HLOOKUP(H$7,FIXED_CHARTER_COST,2,0)+1,0)+VLOOKUP($A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0.6128098205133341</v>
      </c>
      <c r="I87" s="10">
        <f>(+VLOOKUP($A87,FIXED_CHARTER_COST,HLOOKUP(I$7,FIXED_CHARTER_COST,2,0)+1,0)+VLOOKUP($A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0.7356985201242382</v>
      </c>
    </row>
    <row r="88" spans="1:9" x14ac:dyDescent="0.2">
      <c r="A88" s="180">
        <f>+SHIPS!B104</f>
        <v>39083</v>
      </c>
      <c r="B88" s="10">
        <f>(+VLOOKUP($A88,FIXED_CHARTER_COST,HLOOKUP(B$7,FIXED_CHARTER_COST,2,0)+1,0)+VLOOKUP($A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1.3849630857301396</v>
      </c>
      <c r="C88" s="10">
        <f>(+VLOOKUP($A88,FIXED_CHARTER_COST,HLOOKUP(C$7,FIXED_CHARTER_COST,2,0)+1,0)+VLOOKUP($A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1.5079344321035058</v>
      </c>
      <c r="D88" s="10">
        <f>(+VLOOKUP($A88,FIXED_CHARTER_COST,HLOOKUP(D$7,FIXED_CHARTER_COST,2,0)+1,0)+VLOOKUP($A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0.32878300243609582</v>
      </c>
      <c r="E88" s="10">
        <f>(+VLOOKUP($A88,FIXED_CHARTER_COST,HLOOKUP(E$7,FIXED_CHARTER_COST,2,0)+1,0)+VLOOKUP($A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0.35888359409311626</v>
      </c>
      <c r="F88" s="10">
        <f>(+VLOOKUP($A88,FIXED_CHARTER_COST,HLOOKUP(F$7,FIXED_CHARTER_COST,2,0)+1,0)+VLOOKUP($A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0.60319170976366665</v>
      </c>
      <c r="G88" s="10">
        <f>(+VLOOKUP($A88,FIXED_CHARTER_COST,HLOOKUP(G$7,FIXED_CHARTER_COST,2,0)+1,0)+VLOOKUP($A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0.73298342252451221</v>
      </c>
      <c r="H88" s="10">
        <f>(+VLOOKUP($A88,FIXED_CHARTER_COST,HLOOKUP(H$7,FIXED_CHARTER_COST,2,0)+1,0)+VLOOKUP($A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0.61317346626816616</v>
      </c>
      <c r="I88" s="10">
        <f>(+VLOOKUP($A88,FIXED_CHARTER_COST,HLOOKUP(I$7,FIXED_CHARTER_COST,2,0)+1,0)+VLOOKUP($A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0.7361448126415322</v>
      </c>
    </row>
    <row r="89" spans="1:9" x14ac:dyDescent="0.2">
      <c r="A89" s="179">
        <f>+SHIPS!B105</f>
        <v>39114</v>
      </c>
      <c r="B89" s="10">
        <f>(+VLOOKUP($A89,FIXED_CHARTER_COST,HLOOKUP(B$7,FIXED_CHARTER_COST,2,0)+1,0)+VLOOKUP($A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1.3857581475850227</v>
      </c>
      <c r="C89" s="10">
        <f>(+VLOOKUP($A89,FIXED_CHARTER_COST,HLOOKUP(C$7,FIXED_CHARTER_COST,2,0)+1,0)+VLOOKUP($A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1.5088123129016056</v>
      </c>
      <c r="D89" s="10">
        <f>(+VLOOKUP($A89,FIXED_CHARTER_COST,HLOOKUP(D$7,FIXED_CHARTER_COST,2,0)+1,0)+VLOOKUP($A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0.32887570904979102</v>
      </c>
      <c r="E89" s="10">
        <f>(+VLOOKUP($A89,FIXED_CHARTER_COST,HLOOKUP(E$7,FIXED_CHARTER_COST,2,0)+1,0)+VLOOKUP($A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0.35898402625795284</v>
      </c>
      <c r="F89" s="10">
        <f>(+VLOOKUP($A89,FIXED_CHARTER_COST,HLOOKUP(F$7,FIXED_CHARTER_COST,2,0)+1,0)+VLOOKUP($A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0.60335394633763328</v>
      </c>
      <c r="G89" s="10">
        <f>(+VLOOKUP($A89,FIXED_CHARTER_COST,HLOOKUP(G$7,FIXED_CHARTER_COST,2,0)+1,0)+VLOOKUP($A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0.73318428685418524</v>
      </c>
      <c r="H89" s="10">
        <f>(+VLOOKUP($A89,FIXED_CHARTER_COST,HLOOKUP(H$7,FIXED_CHARTER_COST,2,0)+1,0)+VLOOKUP($A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0.61353786961832091</v>
      </c>
      <c r="I89" s="10">
        <f>(+VLOOKUP($A89,FIXED_CHARTER_COST,HLOOKUP(I$7,FIXED_CHARTER_COST,2,0)+1,0)+VLOOKUP($A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0.73659203493490388</v>
      </c>
    </row>
    <row r="90" spans="1:9" x14ac:dyDescent="0.2">
      <c r="A90" s="179">
        <f>+SHIPS!B106</f>
        <v>39142</v>
      </c>
      <c r="B90" s="10">
        <f>(+VLOOKUP($A90,FIXED_CHARTER_COST,HLOOKUP(B$7,FIXED_CHARTER_COST,2,0)+1,0)+VLOOKUP($A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1.3865548658187701</v>
      </c>
      <c r="C90" s="10">
        <f>(+VLOOKUP($A90,FIXED_CHARTER_COST,HLOOKUP(C$7,FIXED_CHARTER_COST,2,0)+1,0)+VLOOKUP($A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1.509692022618035</v>
      </c>
      <c r="D90" s="10">
        <f>(+VLOOKUP($A90,FIXED_CHARTER_COST,HLOOKUP(D$7,FIXED_CHARTER_COST,2,0)+1,0)+VLOOKUP($A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0.32896860880226486</v>
      </c>
      <c r="E90" s="10">
        <f>(+VLOOKUP($A90,FIXED_CHARTER_COST,HLOOKUP(E$7,FIXED_CHARTER_COST,2,0)+1,0)+VLOOKUP($A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0.35908466765646613</v>
      </c>
      <c r="F90" s="10">
        <f>(+VLOOKUP($A90,FIXED_CHARTER_COST,HLOOKUP(F$7,FIXED_CHARTER_COST,2,0)+1,0)+VLOOKUP($A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0.60351652090446239</v>
      </c>
      <c r="G90" s="10">
        <f>(+VLOOKUP($A90,FIXED_CHARTER_COST,HLOOKUP(G$7,FIXED_CHARTER_COST,2,0)+1,0)+VLOOKUP($A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0.73338556965121182</v>
      </c>
      <c r="H90" s="10">
        <f>(+VLOOKUP($A90,FIXED_CHARTER_COST,HLOOKUP(H$7,FIXED_CHARTER_COST,2,0)+1,0)+VLOOKUP($A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0.61390303214212172</v>
      </c>
      <c r="I90" s="10">
        <f>(+VLOOKUP($A90,FIXED_CHARTER_COST,HLOOKUP(I$7,FIXED_CHARTER_COST,2,0)+1,0)+VLOOKUP($A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0.73704018894138679</v>
      </c>
    </row>
    <row r="91" spans="1:9" x14ac:dyDescent="0.2">
      <c r="A91" s="179">
        <f>+SHIPS!B107</f>
        <v>39173</v>
      </c>
      <c r="B91" s="10">
        <f>(+VLOOKUP($A91,FIXED_CHARTER_COST,HLOOKUP(B$7,FIXED_CHARTER_COST,2,0)+1,0)+VLOOKUP($A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1.387353243882171</v>
      </c>
      <c r="C91" s="10">
        <f>(+VLOOKUP($A91,FIXED_CHARTER_COST,HLOOKUP(C$7,FIXED_CHARTER_COST,2,0)+1,0)+VLOOKUP($A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1.5105735650630401</v>
      </c>
      <c r="D91" s="10">
        <f>(+VLOOKUP($A91,FIXED_CHARTER_COST,HLOOKUP(D$7,FIXED_CHARTER_COST,2,0)+1,0)+VLOOKUP($A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0.32906170209588959</v>
      </c>
      <c r="E91" s="10">
        <f>(+VLOOKUP($A91,FIXED_CHARTER_COST,HLOOKUP(E$7,FIXED_CHARTER_COST,2,0)+1,0)+VLOOKUP($A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0.35918551872455956</v>
      </c>
      <c r="F91" s="10">
        <f>(+VLOOKUP($A91,FIXED_CHARTER_COST,HLOOKUP(F$7,FIXED_CHARTER_COST,2,0)+1,0)+VLOOKUP($A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0.60367943416830572</v>
      </c>
      <c r="G91" s="10">
        <f>(+VLOOKUP($A91,FIXED_CHARTER_COST,HLOOKUP(G$7,FIXED_CHARTER_COST,2,0)+1,0)+VLOOKUP($A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0.7335872717873988</v>
      </c>
      <c r="H91" s="10">
        <f>(+VLOOKUP($A91,FIXED_CHARTER_COST,HLOOKUP(H$7,FIXED_CHARTER_COST,2,0)+1,0)+VLOOKUP($A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0.61426895542118054</v>
      </c>
      <c r="I91" s="10">
        <f>(+VLOOKUP($A91,FIXED_CHARTER_COST,HLOOKUP(I$7,FIXED_CHARTER_COST,2,0)+1,0)+VLOOKUP($A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0.73748927660204988</v>
      </c>
    </row>
    <row r="92" spans="1:9" x14ac:dyDescent="0.2">
      <c r="A92" s="179">
        <f>+SHIPS!B108</f>
        <v>39203</v>
      </c>
      <c r="B92" s="10">
        <f>(+VLOOKUP($A92,FIXED_CHARTER_COST,HLOOKUP(B$7,FIXED_CHARTER_COST,2,0)+1,0)+VLOOKUP($A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1.3881532852332041</v>
      </c>
      <c r="C92" s="10">
        <f>(+VLOOKUP($A92,FIXED_CHARTER_COST,HLOOKUP(C$7,FIXED_CHARTER_COST,2,0)+1,0)+VLOOKUP($A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1.511456944054806</v>
      </c>
      <c r="D92" s="10">
        <f>(+VLOOKUP($A92,FIXED_CHARTER_COST,HLOOKUP(D$7,FIXED_CHARTER_COST,2,0)+1,0)+VLOOKUP($A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0.3291549893338761</v>
      </c>
      <c r="E92" s="10">
        <f>(+VLOOKUP($A92,FIXED_CHARTER_COST,HLOOKUP(E$7,FIXED_CHARTER_COST,2,0)+1,0)+VLOOKUP($A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0.35928657989904494</v>
      </c>
      <c r="F92" s="10">
        <f>(+VLOOKUP($A92,FIXED_CHARTER_COST,HLOOKUP(F$7,FIXED_CHARTER_COST,2,0)+1,0)+VLOOKUP($A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0.60384268683478215</v>
      </c>
      <c r="G92" s="10">
        <f>(+VLOOKUP($A92,FIXED_CHARTER_COST,HLOOKUP(G$7,FIXED_CHARTER_COST,2,0)+1,0)+VLOOKUP($A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0.73378939413636945</v>
      </c>
      <c r="H92" s="10">
        <f>(+VLOOKUP($A92,FIXED_CHARTER_COST,HLOOKUP(H$7,FIXED_CHARTER_COST,2,0)+1,0)+VLOOKUP($A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0.61463564104040402</v>
      </c>
      <c r="I92" s="10">
        <f>(+VLOOKUP($A92,FIXED_CHARTER_COST,HLOOKUP(I$7,FIXED_CHARTER_COST,2,0)+1,0)+VLOOKUP($A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0.7379392998620059</v>
      </c>
    </row>
    <row r="93" spans="1:9" x14ac:dyDescent="0.2">
      <c r="A93" s="179">
        <f>+SHIPS!B109</f>
        <v>39234</v>
      </c>
      <c r="B93" s="10">
        <f>(+VLOOKUP($A93,FIXED_CHARTER_COST,HLOOKUP(B$7,FIXED_CHARTER_COST,2,0)+1,0)+VLOOKUP($A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1.3889549933370517</v>
      </c>
      <c r="C93" s="10">
        <f>(+VLOOKUP($A93,FIXED_CHARTER_COST,HLOOKUP(C$7,FIXED_CHARTER_COST,2,0)+1,0)+VLOOKUP($A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1.5123421634194709</v>
      </c>
      <c r="D93" s="10">
        <f>(+VLOOKUP($A93,FIXED_CHARTER_COST,HLOOKUP(D$7,FIXED_CHARTER_COST,2,0)+1,0)+VLOOKUP($A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0.32924847092027504</v>
      </c>
      <c r="E93" s="10">
        <f>(+VLOOKUP($A93,FIXED_CHARTER_COST,HLOOKUP(E$7,FIXED_CHARTER_COST,2,0)+1,0)+VLOOKUP($A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0.35938785161764381</v>
      </c>
      <c r="F93" s="10">
        <f>(+VLOOKUP($A93,FIXED_CHARTER_COST,HLOOKUP(F$7,FIXED_CHARTER_COST,2,0)+1,0)+VLOOKUP($A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0.6040062796109803</v>
      </c>
      <c r="G93" s="10">
        <f>(+VLOOKUP($A93,FIXED_CHARTER_COST,HLOOKUP(G$7,FIXED_CHARTER_COST,2,0)+1,0)+VLOOKUP($A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0.73399193757356729</v>
      </c>
      <c r="H93" s="10">
        <f>(+VLOOKUP($A93,FIXED_CHARTER_COST,HLOOKUP(H$7,FIXED_CHARTER_COST,2,0)+1,0)+VLOOKUP($A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0.61500309058800096</v>
      </c>
      <c r="I93" s="10">
        <f>(+VLOOKUP($A93,FIXED_CHARTER_COST,HLOOKUP(I$7,FIXED_CHARTER_COST,2,0)+1,0)+VLOOKUP($A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0.73839026067042024</v>
      </c>
    </row>
    <row r="94" spans="1:9" x14ac:dyDescent="0.2">
      <c r="A94" s="179">
        <f>+SHIPS!B110</f>
        <v>39264</v>
      </c>
      <c r="B94" s="10">
        <f>(+VLOOKUP($A94,FIXED_CHARTER_COST,HLOOKUP(B$7,FIXED_CHARTER_COST,2,0)+1,0)+VLOOKUP($A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1.3897583716661159</v>
      </c>
      <c r="C94" s="10">
        <f>(+VLOOKUP($A94,FIXED_CHARTER_COST,HLOOKUP(C$7,FIXED_CHARTER_COST,2,0)+1,0)+VLOOKUP($A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1.513229226991146</v>
      </c>
      <c r="D94" s="10">
        <f>(+VLOOKUP($A94,FIXED_CHARTER_COST,HLOOKUP(D$7,FIXED_CHARTER_COST,2,0)+1,0)+VLOOKUP($A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0.32934214725997901</v>
      </c>
      <c r="E94" s="10">
        <f>(+VLOOKUP($A94,FIXED_CHARTER_COST,HLOOKUP(E$7,FIXED_CHARTER_COST,2,0)+1,0)+VLOOKUP($A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0.35948933431898972</v>
      </c>
      <c r="F94" s="10">
        <f>(+VLOOKUP($A94,FIXED_CHARTER_COST,HLOOKUP(F$7,FIXED_CHARTER_COST,2,0)+1,0)+VLOOKUP($A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0.60417021320546216</v>
      </c>
      <c r="G94" s="10">
        <f>(+VLOOKUP($A94,FIXED_CHARTER_COST,HLOOKUP(G$7,FIXED_CHARTER_COST,2,0)+1,0)+VLOOKUP($A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0.73419490297625911</v>
      </c>
      <c r="H94" s="10">
        <f>(+VLOOKUP($A94,FIXED_CHARTER_COST,HLOOKUP(H$7,FIXED_CHARTER_COST,2,0)+1,0)+VLOOKUP($A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0.61537130565548859</v>
      </c>
      <c r="I94" s="10">
        <f>(+VLOOKUP($A94,FIXED_CHARTER_COST,HLOOKUP(I$7,FIXED_CHARTER_COST,2,0)+1,0)+VLOOKUP($A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0.7388421609805188</v>
      </c>
    </row>
    <row r="95" spans="1:9" x14ac:dyDescent="0.2">
      <c r="A95" s="179">
        <f>+SHIPS!B111</f>
        <v>39295</v>
      </c>
      <c r="B95" s="10">
        <f>(+VLOOKUP($A95,FIXED_CHARTER_COST,HLOOKUP(B$7,FIXED_CHARTER_COST,2,0)+1,0)+VLOOKUP($A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1.3905634237000322</v>
      </c>
      <c r="C95" s="10">
        <f>(+VLOOKUP($A95,FIXED_CHARTER_COST,HLOOKUP(C$7,FIXED_CHARTER_COST,2,0)+1,0)+VLOOKUP($A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1.5141181386119287</v>
      </c>
      <c r="D95" s="10">
        <f>(+VLOOKUP($A95,FIXED_CHARTER_COST,HLOOKUP(D$7,FIXED_CHARTER_COST,2,0)+1,0)+VLOOKUP($A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0.32943601875872397</v>
      </c>
      <c r="E95" s="10">
        <f>(+VLOOKUP($A95,FIXED_CHARTER_COST,HLOOKUP(E$7,FIXED_CHARTER_COST,2,0)+1,0)+VLOOKUP($A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0.35959102844263019</v>
      </c>
      <c r="F95" s="10">
        <f>(+VLOOKUP($A95,FIXED_CHARTER_COST,HLOOKUP(F$7,FIXED_CHARTER_COST,2,0)+1,0)+VLOOKUP($A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0.60433448832826597</v>
      </c>
      <c r="G95" s="10">
        <f>(+VLOOKUP($A95,FIXED_CHARTER_COST,HLOOKUP(G$7,FIXED_CHARTER_COST,2,0)+1,0)+VLOOKUP($A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0.73439829122353995</v>
      </c>
      <c r="H95" s="10">
        <f>(+VLOOKUP($A95,FIXED_CHARTER_COST,HLOOKUP(H$7,FIXED_CHARTER_COST,2,0)+1,0)+VLOOKUP($A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0.6157402878377003</v>
      </c>
      <c r="I95" s="10">
        <f>(+VLOOKUP($A95,FIXED_CHARTER_COST,HLOOKUP(I$7,FIXED_CHARTER_COST,2,0)+1,0)+VLOOKUP($A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0.7392950027495967</v>
      </c>
    </row>
    <row r="96" spans="1:9" x14ac:dyDescent="0.2">
      <c r="A96" s="179">
        <f>+SHIPS!B112</f>
        <v>39326</v>
      </c>
      <c r="B96" s="10">
        <f>(+VLOOKUP($A96,FIXED_CHARTER_COST,HLOOKUP(B$7,FIXED_CHARTER_COST,2,0)+1,0)+VLOOKUP($A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1.3913701529256859</v>
      </c>
      <c r="C96" s="10">
        <f>(+VLOOKUP($A96,FIXED_CHARTER_COST,HLOOKUP(C$7,FIXED_CHARTER_COST,2,0)+1,0)+VLOOKUP($A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1.5150089021319213</v>
      </c>
      <c r="D96" s="10">
        <f>(+VLOOKUP($A96,FIXED_CHARTER_COST,HLOOKUP(D$7,FIXED_CHARTER_COST,2,0)+1,0)+VLOOKUP($A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0.3295300858230914</v>
      </c>
      <c r="E96" s="10">
        <f>(+VLOOKUP($A96,FIXED_CHARTER_COST,HLOOKUP(E$7,FIXED_CHARTER_COST,2,0)+1,0)+VLOOKUP($A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0.35969293442902822</v>
      </c>
      <c r="F96" s="10">
        <f>(+VLOOKUP($A96,FIXED_CHARTER_COST,HLOOKUP(F$7,FIXED_CHARTER_COST,2,0)+1,0)+VLOOKUP($A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0.60449910569090892</v>
      </c>
      <c r="G96" s="10">
        <f>(+VLOOKUP($A96,FIXED_CHARTER_COST,HLOOKUP(G$7,FIXED_CHARTER_COST,2,0)+1,0)+VLOOKUP($A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0.73460210319633601</v>
      </c>
      <c r="H96" s="10">
        <f>(+VLOOKUP($A96,FIXED_CHARTER_COST,HLOOKUP(H$7,FIXED_CHARTER_COST,2,0)+1,0)+VLOOKUP($A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0.61611003873279147</v>
      </c>
      <c r="I96" s="10">
        <f>(+VLOOKUP($A96,FIXED_CHARTER_COST,HLOOKUP(I$7,FIXED_CHARTER_COST,2,0)+1,0)+VLOOKUP($A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0.73974878793902688</v>
      </c>
    </row>
    <row r="97" spans="1:9" x14ac:dyDescent="0.2">
      <c r="A97" s="179">
        <f>+SHIPS!B113</f>
        <v>39356</v>
      </c>
      <c r="B97" s="10">
        <f>(+VLOOKUP($A97,FIXED_CHARTER_COST,HLOOKUP(B$7,FIXED_CHARTER_COST,2,0)+1,0)+VLOOKUP($A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1.3921785628372261</v>
      </c>
      <c r="C97" s="10">
        <f>(+VLOOKUP($A97,FIXED_CHARTER_COST,HLOOKUP(C$7,FIXED_CHARTER_COST,2,0)+1,0)+VLOOKUP($A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1.5159015214092471</v>
      </c>
      <c r="D97" s="10">
        <f>(+VLOOKUP($A97,FIXED_CHARTER_COST,HLOOKUP(D$7,FIXED_CHARTER_COST,2,0)+1,0)+VLOOKUP($A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0.32962434886050956</v>
      </c>
      <c r="E97" s="10">
        <f>(+VLOOKUP($A97,FIXED_CHARTER_COST,HLOOKUP(E$7,FIXED_CHARTER_COST,2,0)+1,0)+VLOOKUP($A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0.35979505271956452</v>
      </c>
      <c r="F97" s="10">
        <f>(+VLOOKUP($A97,FIXED_CHARTER_COST,HLOOKUP(F$7,FIXED_CHARTER_COST,2,0)+1,0)+VLOOKUP($A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0.60466406600639067</v>
      </c>
      <c r="G97" s="10">
        <f>(+VLOOKUP($A97,FIXED_CHARTER_COST,HLOOKUP(G$7,FIXED_CHARTER_COST,2,0)+1,0)+VLOOKUP($A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0.73480633977740861</v>
      </c>
      <c r="H97" s="10">
        <f>(+VLOOKUP($A97,FIXED_CHARTER_COST,HLOOKUP(H$7,FIXED_CHARTER_COST,2,0)+1,0)+VLOOKUP($A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0.61648055994224749</v>
      </c>
      <c r="I97" s="10">
        <f>(+VLOOKUP($A97,FIXED_CHARTER_COST,HLOOKUP(I$7,FIXED_CHARTER_COST,2,0)+1,0)+VLOOKUP($A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0.74020351851426835</v>
      </c>
    </row>
    <row r="98" spans="1:9" x14ac:dyDescent="0.2">
      <c r="A98" s="179">
        <f>+SHIPS!B114</f>
        <v>39387</v>
      </c>
      <c r="B98" s="10">
        <f>(+VLOOKUP($A98,FIXED_CHARTER_COST,HLOOKUP(B$7,FIXED_CHARTER_COST,2,0)+1,0)+VLOOKUP($A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1.3929886569360823</v>
      </c>
      <c r="C98" s="10">
        <f>(+VLOOKUP($A98,FIXED_CHARTER_COST,HLOOKUP(C$7,FIXED_CHARTER_COST,2,0)+1,0)+VLOOKUP($A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1.5167960003100671</v>
      </c>
      <c r="D98" s="10">
        <f>(+VLOOKUP($A98,FIXED_CHARTER_COST,HLOOKUP(D$7,FIXED_CHARTER_COST,2,0)+1,0)+VLOOKUP($A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0.32971880827925565</v>
      </c>
      <c r="E98" s="10">
        <f>(+VLOOKUP($A98,FIXED_CHARTER_COST,HLOOKUP(E$7,FIXED_CHARTER_COST,2,0)+1,0)+VLOOKUP($A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0.35989738375653951</v>
      </c>
      <c r="F98" s="10">
        <f>(+VLOOKUP($A98,FIXED_CHARTER_COST,HLOOKUP(F$7,FIXED_CHARTER_COST,2,0)+1,0)+VLOOKUP($A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0.60482936998919634</v>
      </c>
      <c r="G98" s="10">
        <f>(+VLOOKUP($A98,FIXED_CHARTER_COST,HLOOKUP(G$7,FIXED_CHARTER_COST,2,0)+1,0)+VLOOKUP($A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0.73501100185135859</v>
      </c>
      <c r="H98" s="10">
        <f>(+VLOOKUP($A98,FIXED_CHARTER_COST,HLOOKUP(H$7,FIXED_CHARTER_COST,2,0)+1,0)+VLOOKUP($A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0.61685185307088986</v>
      </c>
      <c r="I98" s="10">
        <f>(+VLOOKUP($A98,FIXED_CHARTER_COST,HLOOKUP(I$7,FIXED_CHARTER_COST,2,0)+1,0)+VLOOKUP($A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0.74065919644487499</v>
      </c>
    </row>
    <row r="99" spans="1:9" x14ac:dyDescent="0.2">
      <c r="A99" s="179">
        <f>+SHIPS!B115</f>
        <v>39417</v>
      </c>
      <c r="B99" s="10">
        <f>(+VLOOKUP($A99,FIXED_CHARTER_COST,HLOOKUP(B$7,FIXED_CHARTER_COST,2,0)+1,0)+VLOOKUP($A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1.3938004387309777</v>
      </c>
      <c r="C99" s="10">
        <f>(+VLOOKUP($A99,FIXED_CHARTER_COST,HLOOKUP(C$7,FIXED_CHARTER_COST,2,0)+1,0)+VLOOKUP($A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1.5176923427085975</v>
      </c>
      <c r="D99" s="10">
        <f>(+VLOOKUP($A99,FIXED_CHARTER_COST,HLOOKUP(D$7,FIXED_CHARTER_COST,2,0)+1,0)+VLOOKUP($A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0.32981346448845744</v>
      </c>
      <c r="E99" s="10">
        <f>(+VLOOKUP($A99,FIXED_CHARTER_COST,HLOOKUP(E$7,FIXED_CHARTER_COST,2,0)+1,0)+VLOOKUP($A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0.35999992798317476</v>
      </c>
      <c r="F99" s="10">
        <f>(+VLOOKUP($A99,FIXED_CHARTER_COST,HLOOKUP(F$7,FIXED_CHARTER_COST,2,0)+1,0)+VLOOKUP($A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0.60499501835529956</v>
      </c>
      <c r="G99" s="10">
        <f>(+VLOOKUP($A99,FIXED_CHARTER_COST,HLOOKUP(G$7,FIXED_CHARTER_COST,2,0)+1,0)+VLOOKUP($A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0.7352160903046292</v>
      </c>
      <c r="H99" s="10">
        <f>(+VLOOKUP($A99,FIXED_CHARTER_COST,HLOOKUP(H$7,FIXED_CHARTER_COST,2,0)+1,0)+VLOOKUP($A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0.61722391972688362</v>
      </c>
      <c r="I99" s="10">
        <f>(+VLOOKUP($A99,FIXED_CHARTER_COST,HLOOKUP(I$7,FIXED_CHARTER_COST,2,0)+1,0)+VLOOKUP($A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0.74111582370450357</v>
      </c>
    </row>
    <row r="100" spans="1:9" x14ac:dyDescent="0.2">
      <c r="A100" s="180">
        <f>+SHIPS!B116</f>
        <v>39448</v>
      </c>
      <c r="B100" s="10">
        <f>(+VLOOKUP($A100,FIXED_CHARTER_COST,HLOOKUP(B$7,FIXED_CHARTER_COST,2,0)+1,0)+VLOOKUP($A100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1.3946139117379457</v>
      </c>
      <c r="C100" s="10">
        <f>(+VLOOKUP($A100,FIXED_CHARTER_COST,HLOOKUP(C$7,FIXED_CHARTER_COST,2,0)+1,0)+VLOOKUP($A100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1.5185905524871248</v>
      </c>
      <c r="D100" s="10">
        <f>(+VLOOKUP($A100,FIXED_CHARTER_COST,HLOOKUP(D$7,FIXED_CHARTER_COST,2,0)+1,0)+VLOOKUP($A100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0.32990831789809516</v>
      </c>
      <c r="E100" s="10">
        <f>(+VLOOKUP($A100,FIXED_CHARTER_COST,HLOOKUP(E$7,FIXED_CHARTER_COST,2,0)+1,0)+VLOOKUP($A100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0.36010268584361554</v>
      </c>
      <c r="F100" s="10">
        <f>(+VLOOKUP($A100,FIXED_CHARTER_COST,HLOOKUP(F$7,FIXED_CHARTER_COST,2,0)+1,0)+VLOOKUP($A100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0.60516101182216542</v>
      </c>
      <c r="G100" s="10">
        <f>(+VLOOKUP($A100,FIXED_CHARTER_COST,HLOOKUP(G$7,FIXED_CHARTER_COST,2,0)+1,0)+VLOOKUP($A100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0.73542160602551077</v>
      </c>
      <c r="H100" s="10">
        <f>(+VLOOKUP($A100,FIXED_CHARTER_COST,HLOOKUP(H$7,FIXED_CHARTER_COST,2,0)+1,0)+VLOOKUP($A100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0.61759676152174403</v>
      </c>
      <c r="I100" s="10">
        <f>(+VLOOKUP($A100,FIXED_CHARTER_COST,HLOOKUP(I$7,FIXED_CHARTER_COST,2,0)+1,0)+VLOOKUP($A100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0.74157340227092317</v>
      </c>
    </row>
    <row r="101" spans="1:9" x14ac:dyDescent="0.2">
      <c r="A101" s="179">
        <f>+SHIPS!B117</f>
        <v>39479</v>
      </c>
      <c r="B101" s="10">
        <f>(+VLOOKUP($A101,FIXED_CHARTER_COST,HLOOKUP(B$7,FIXED_CHARTER_COST,2,0)+1,0)+VLOOKUP($A101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1.395429079480345</v>
      </c>
      <c r="C101" s="10">
        <f>(+VLOOKUP($A101,FIXED_CHARTER_COST,HLOOKUP(C$7,FIXED_CHARTER_COST,2,0)+1,0)+VLOOKUP($A101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1.5194906335360241</v>
      </c>
      <c r="D101" s="10">
        <f>(+VLOOKUP($A101,FIXED_CHARTER_COST,HLOOKUP(D$7,FIXED_CHARTER_COST,2,0)+1,0)+VLOOKUP($A101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0.33000336891900289</v>
      </c>
      <c r="E101" s="10">
        <f>(+VLOOKUP($A101,FIXED_CHARTER_COST,HLOOKUP(E$7,FIXED_CHARTER_COST,2,0)+1,0)+VLOOKUP($A101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0.36020565778293229</v>
      </c>
      <c r="F101" s="10">
        <f>(+VLOOKUP($A101,FIXED_CHARTER_COST,HLOOKUP(F$7,FIXED_CHARTER_COST,2,0)+1,0)+VLOOKUP($A101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0.60532735110875402</v>
      </c>
      <c r="G101" s="10">
        <f>(+VLOOKUP($A101,FIXED_CHARTER_COST,HLOOKUP(G$7,FIXED_CHARTER_COST,2,0)+1,0)+VLOOKUP($A101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0.73562754990414425</v>
      </c>
      <c r="H101" s="10">
        <f>(+VLOOKUP($A101,FIXED_CHARTER_COST,HLOOKUP(H$7,FIXED_CHARTER_COST,2,0)+1,0)+VLOOKUP($A101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0.61797038007034366</v>
      </c>
      <c r="I101" s="10">
        <f>(+VLOOKUP($A101,FIXED_CHARTER_COST,HLOOKUP(I$7,FIXED_CHARTER_COST,2,0)+1,0)+VLOOKUP($A101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0.74203193412602275</v>
      </c>
    </row>
    <row r="102" spans="1:9" x14ac:dyDescent="0.2">
      <c r="A102" s="179">
        <f>+SHIPS!B118</f>
        <v>39508</v>
      </c>
      <c r="B102" s="10">
        <f>(+VLOOKUP($A102,FIXED_CHARTER_COST,HLOOKUP(B$7,FIXED_CHARTER_COST,2,0)+1,0)+VLOOKUP($A102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1.3962459454888745</v>
      </c>
      <c r="C102" s="10">
        <f>(+VLOOKUP($A102,FIXED_CHARTER_COST,HLOOKUP(C$7,FIXED_CHARTER_COST,2,0)+1,0)+VLOOKUP($A102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1.5203925897537751</v>
      </c>
      <c r="D102" s="10">
        <f>(+VLOOKUP($A102,FIXED_CHARTER_COST,HLOOKUP(D$7,FIXED_CHARTER_COST,2,0)+1,0)+VLOOKUP($A102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0.33009861796287088</v>
      </c>
      <c r="E102" s="10">
        <f>(+VLOOKUP($A102,FIXED_CHARTER_COST,HLOOKUP(E$7,FIXED_CHARTER_COST,2,0)+1,0)+VLOOKUP($A102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0.36030884424712256</v>
      </c>
      <c r="F102" s="10">
        <f>(+VLOOKUP($A102,FIXED_CHARTER_COST,HLOOKUP(F$7,FIXED_CHARTER_COST,2,0)+1,0)+VLOOKUP($A102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0.60549403693552295</v>
      </c>
      <c r="G102" s="10">
        <f>(+VLOOKUP($A102,FIXED_CHARTER_COST,HLOOKUP(G$7,FIXED_CHARTER_COST,2,0)+1,0)+VLOOKUP($A102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0.7358339228325248</v>
      </c>
      <c r="H102" s="10">
        <f>(+VLOOKUP($A102,FIXED_CHARTER_COST,HLOOKUP(H$7,FIXED_CHARTER_COST,2,0)+1,0)+VLOOKUP($A102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0.61834477699091961</v>
      </c>
      <c r="I102" s="10">
        <f>(+VLOOKUP($A102,FIXED_CHARTER_COST,HLOOKUP(I$7,FIXED_CHARTER_COST,2,0)+1,0)+VLOOKUP($A102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0.74249142125582046</v>
      </c>
    </row>
    <row r="103" spans="1:9" x14ac:dyDescent="0.2">
      <c r="A103" s="179">
        <f>+SHIPS!B119</f>
        <v>39539</v>
      </c>
      <c r="B103" s="10">
        <f>(+VLOOKUP($A103,FIXED_CHARTER_COST,HLOOKUP(B$7,FIXED_CHARTER_COST,2,0)+1,0)+VLOOKUP($A103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1.3970645133015882</v>
      </c>
      <c r="C103" s="10">
        <f>(+VLOOKUP($A103,FIXED_CHARTER_COST,HLOOKUP(C$7,FIXED_CHARTER_COST,2,0)+1,0)+VLOOKUP($A103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1.52129642504698</v>
      </c>
      <c r="D103" s="10">
        <f>(+VLOOKUP($A103,FIXED_CHARTER_COST,HLOOKUP(D$7,FIXED_CHARTER_COST,2,0)+1,0)+VLOOKUP($A103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0.33019406544224689</v>
      </c>
      <c r="E103" s="10">
        <f>(+VLOOKUP($A103,FIXED_CHARTER_COST,HLOOKUP(E$7,FIXED_CHARTER_COST,2,0)+1,0)+VLOOKUP($A103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0.36041224568311331</v>
      </c>
      <c r="F103" s="10">
        <f>(+VLOOKUP($A103,FIXED_CHARTER_COST,HLOOKUP(F$7,FIXED_CHARTER_COST,2,0)+1,0)+VLOOKUP($A103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0.60566107002443104</v>
      </c>
      <c r="G103" s="10">
        <f>(+VLOOKUP($A103,FIXED_CHARTER_COST,HLOOKUP(G$7,FIXED_CHARTER_COST,2,0)+1,0)+VLOOKUP($A103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0.73604072570450618</v>
      </c>
      <c r="H103" s="10">
        <f>(+VLOOKUP($A103,FIXED_CHARTER_COST,HLOOKUP(H$7,FIXED_CHARTER_COST,2,0)+1,0)+VLOOKUP($A103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0.61871995390508006</v>
      </c>
      <c r="I103" s="10">
        <f>(+VLOOKUP($A103,FIXED_CHARTER_COST,HLOOKUP(I$7,FIXED_CHARTER_COST,2,0)+1,0)+VLOOKUP($A103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0.742951865650472</v>
      </c>
    </row>
    <row r="104" spans="1:9" x14ac:dyDescent="0.2">
      <c r="A104" s="179">
        <f>+SHIPS!B120</f>
        <v>39569</v>
      </c>
      <c r="B104" s="10">
        <f>(+VLOOKUP($A104,FIXED_CHARTER_COST,HLOOKUP(B$7,FIXED_CHARTER_COST,2,0)+1,0)+VLOOKUP($A104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1.3978847864639115</v>
      </c>
      <c r="C104" s="10">
        <f>(+VLOOKUP($A104,FIXED_CHARTER_COST,HLOOKUP(C$7,FIXED_CHARTER_COST,2,0)+1,0)+VLOOKUP($A104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1.522202143330379</v>
      </c>
      <c r="D104" s="10">
        <f>(+VLOOKUP($A104,FIXED_CHARTER_COST,HLOOKUP(D$7,FIXED_CHARTER_COST,2,0)+1,0)+VLOOKUP($A104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0.33028971177053829</v>
      </c>
      <c r="E104" s="10">
        <f>(+VLOOKUP($A104,FIXED_CHARTER_COST,HLOOKUP(E$7,FIXED_CHARTER_COST,2,0)+1,0)+VLOOKUP($A104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0.36051586253876228</v>
      </c>
      <c r="F104" s="10">
        <f>(+VLOOKUP($A104,FIXED_CHARTER_COST,HLOOKUP(F$7,FIXED_CHARTER_COST,2,0)+1,0)+VLOOKUP($A104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0.60582845109894101</v>
      </c>
      <c r="G104" s="10">
        <f>(+VLOOKUP($A104,FIXED_CHARTER_COST,HLOOKUP(G$7,FIXED_CHARTER_COST,2,0)+1,0)+VLOOKUP($A104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0.73624795941580423</v>
      </c>
      <c r="H104" s="10">
        <f>(+VLOOKUP($A104,FIXED_CHARTER_COST,HLOOKUP(H$7,FIXED_CHARTER_COST,2,0)+1,0)+VLOOKUP($A104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0.61909591243781159</v>
      </c>
      <c r="I104" s="10">
        <f>(+VLOOKUP($A104,FIXED_CHARTER_COST,HLOOKUP(I$7,FIXED_CHARTER_COST,2,0)+1,0)+VLOOKUP($A104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0.74341326930427887</v>
      </c>
    </row>
    <row r="105" spans="1:9" x14ac:dyDescent="0.2">
      <c r="A105" s="179">
        <f>+SHIPS!B121</f>
        <v>39600</v>
      </c>
      <c r="B105" s="10">
        <f>(+VLOOKUP($A105,FIXED_CHARTER_COST,HLOOKUP(B$7,FIXED_CHARTER_COST,2,0)+1,0)+VLOOKUP($A105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1.3987067685286567</v>
      </c>
      <c r="C105" s="10">
        <f>(+VLOOKUP($A105,FIXED_CHARTER_COST,HLOOKUP(C$7,FIXED_CHARTER_COST,2,0)+1,0)+VLOOKUP($A105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1.5231097485268681</v>
      </c>
      <c r="D105" s="10">
        <f>(+VLOOKUP($A105,FIXED_CHARTER_COST,HLOOKUP(D$7,FIXED_CHARTER_COST,2,0)+1,0)+VLOOKUP($A105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0.33038555736201358</v>
      </c>
      <c r="E105" s="10">
        <f>(+VLOOKUP($A105,FIXED_CHARTER_COST,HLOOKUP(E$7,FIXED_CHARTER_COST,2,0)+1,0)+VLOOKUP($A105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0.36061969526286058</v>
      </c>
      <c r="F105" s="10">
        <f>(+VLOOKUP($A105,FIXED_CHARTER_COST,HLOOKUP(F$7,FIXED_CHARTER_COST,2,0)+1,0)+VLOOKUP($A105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0.60599618088402274</v>
      </c>
      <c r="G105" s="10">
        <f>(+VLOOKUP($A105,FIXED_CHARTER_COST,HLOOKUP(G$7,FIXED_CHARTER_COST,2,0)+1,0)+VLOOKUP($A105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0.73645562486400085</v>
      </c>
      <c r="H105" s="10">
        <f>(+VLOOKUP($A105,FIXED_CHARTER_COST,HLOOKUP(H$7,FIXED_CHARTER_COST,2,0)+1,0)+VLOOKUP($A105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0.61947265421748643</v>
      </c>
      <c r="I105" s="10">
        <f>(+VLOOKUP($A105,FIXED_CHARTER_COST,HLOOKUP(I$7,FIXED_CHARTER_COST,2,0)+1,0)+VLOOKUP($A105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0.74387563421569802</v>
      </c>
    </row>
    <row r="106" spans="1:9" x14ac:dyDescent="0.2">
      <c r="A106" s="179">
        <f>+SHIPS!B122</f>
        <v>39630</v>
      </c>
      <c r="B106" s="10">
        <f>(+VLOOKUP($A106,FIXED_CHARTER_COST,HLOOKUP(B$7,FIXED_CHARTER_COST,2,0)+1,0)+VLOOKUP($A106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1.3995304630560366</v>
      </c>
      <c r="C106" s="10">
        <f>(+VLOOKUP($A106,FIXED_CHARTER_COST,HLOOKUP(C$7,FIXED_CHARTER_COST,2,0)+1,0)+VLOOKUP($A106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1.5240192445675171</v>
      </c>
      <c r="D106" s="10">
        <f>(+VLOOKUP($A106,FIXED_CHARTER_COST,HLOOKUP(D$7,FIXED_CHARTER_COST,2,0)+1,0)+VLOOKUP($A106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0.33048160263180454</v>
      </c>
      <c r="E106" s="10">
        <f>(+VLOOKUP($A106,FIXED_CHARTER_COST,HLOOKUP(E$7,FIXED_CHARTER_COST,2,0)+1,0)+VLOOKUP($A106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0.36072374430513404</v>
      </c>
      <c r="F106" s="10">
        <f>(+VLOOKUP($A106,FIXED_CHARTER_COST,HLOOKUP(F$7,FIXED_CHARTER_COST,2,0)+1,0)+VLOOKUP($A106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0.60616426010615687</v>
      </c>
      <c r="G106" s="10">
        <f>(+VLOOKUP($A106,FIXED_CHARTER_COST,HLOOKUP(G$7,FIXED_CHARTER_COST,2,0)+1,0)+VLOOKUP($A106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0.73666372294854776</v>
      </c>
      <c r="H106" s="10">
        <f>(+VLOOKUP($A106,FIXED_CHARTER_COST,HLOOKUP(H$7,FIXED_CHARTER_COST,2,0)+1,0)+VLOOKUP($A106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0.61985018087586896</v>
      </c>
      <c r="I106" s="10">
        <f>(+VLOOKUP($A106,FIXED_CHARTER_COST,HLOOKUP(I$7,FIXED_CHARTER_COST,2,0)+1,0)+VLOOKUP($A106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0.74433896238734931</v>
      </c>
    </row>
    <row r="107" spans="1:9" x14ac:dyDescent="0.2">
      <c r="A107" s="179">
        <f>+SHIPS!B123</f>
        <v>39661</v>
      </c>
      <c r="B107" s="10">
        <f>(+VLOOKUP($A107,FIXED_CHARTER_COST,HLOOKUP(B$7,FIXED_CHARTER_COST,2,0)+1,0)+VLOOKUP($A107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1.4003558736136819</v>
      </c>
      <c r="C107" s="10">
        <f>(+VLOOKUP($A107,FIXED_CHARTER_COST,HLOOKUP(C$7,FIXED_CHARTER_COST,2,0)+1,0)+VLOOKUP($A107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1.5249306353915835</v>
      </c>
      <c r="D107" s="10">
        <f>(+VLOOKUP($A107,FIXED_CHARTER_COST,HLOOKUP(D$7,FIXED_CHARTER_COST,2,0)+1,0)+VLOOKUP($A107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0.33057784799590745</v>
      </c>
      <c r="E107" s="10">
        <f>(+VLOOKUP($A107,FIXED_CHARTER_COST,HLOOKUP(E$7,FIXED_CHARTER_COST,2,0)+1,0)+VLOOKUP($A107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0.3608280101162456</v>
      </c>
      <c r="F107" s="10">
        <f>(+VLOOKUP($A107,FIXED_CHARTER_COST,HLOOKUP(F$7,FIXED_CHARTER_COST,2,0)+1,0)+VLOOKUP($A107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0.60633268949333707</v>
      </c>
      <c r="G107" s="10">
        <f>(+VLOOKUP($A107,FIXED_CHARTER_COST,HLOOKUP(G$7,FIXED_CHARTER_COST,2,0)+1,0)+VLOOKUP($A107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0.73687225457077088</v>
      </c>
      <c r="H107" s="10">
        <f>(+VLOOKUP($A107,FIXED_CHARTER_COST,HLOOKUP(H$7,FIXED_CHARTER_COST,2,0)+1,0)+VLOOKUP($A107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0.62022849404812308</v>
      </c>
      <c r="I107" s="10">
        <f>(+VLOOKUP($A107,FIXED_CHARTER_COST,HLOOKUP(I$7,FIXED_CHARTER_COST,2,0)+1,0)+VLOOKUP($A107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0.74480325582602469</v>
      </c>
    </row>
    <row r="108" spans="1:9" x14ac:dyDescent="0.2">
      <c r="A108" s="179">
        <f>+SHIPS!B124</f>
        <v>39692</v>
      </c>
      <c r="B108" s="10">
        <f>(+VLOOKUP($A108,FIXED_CHARTER_COST,HLOOKUP(B$7,FIXED_CHARTER_COST,2,0)+1,0)+VLOOKUP($A108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1.4011830037766557</v>
      </c>
      <c r="C108" s="10">
        <f>(+VLOOKUP($A108,FIXED_CHARTER_COST,HLOOKUP(C$7,FIXED_CHARTER_COST,2,0)+1,0)+VLOOKUP($A108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1.5258439249465339</v>
      </c>
      <c r="D108" s="10">
        <f>(+VLOOKUP($A108,FIXED_CHARTER_COST,HLOOKUP(D$7,FIXED_CHARTER_COST,2,0)+1,0)+VLOOKUP($A108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0.33067429387118569</v>
      </c>
      <c r="E108" s="10">
        <f>(+VLOOKUP($A108,FIXED_CHARTER_COST,HLOOKUP(E$7,FIXED_CHARTER_COST,2,0)+1,0)+VLOOKUP($A108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0.36093249314779702</v>
      </c>
      <c r="F108" s="10">
        <f>(+VLOOKUP($A108,FIXED_CHARTER_COST,HLOOKUP(F$7,FIXED_CHARTER_COST,2,0)+1,0)+VLOOKUP($A108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0.60650146977507391</v>
      </c>
      <c r="G108" s="10">
        <f>(+VLOOKUP($A108,FIXED_CHARTER_COST,HLOOKUP(G$7,FIXED_CHARTER_COST,2,0)+1,0)+VLOOKUP($A108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0.7370812206338736</v>
      </c>
      <c r="H108" s="10">
        <f>(+VLOOKUP($A108,FIXED_CHARTER_COST,HLOOKUP(H$7,FIXED_CHARTER_COST,2,0)+1,0)+VLOOKUP($A108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0.6206075953728194</v>
      </c>
      <c r="I108" s="10">
        <f>(+VLOOKUP($A108,FIXED_CHARTER_COST,HLOOKUP(I$7,FIXED_CHARTER_COST,2,0)+1,0)+VLOOKUP($A108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0.74526851654269743</v>
      </c>
    </row>
    <row r="109" spans="1:9" x14ac:dyDescent="0.2">
      <c r="A109" s="179">
        <f>+SHIPS!B125</f>
        <v>39722</v>
      </c>
      <c r="B109" s="10">
        <f>(+VLOOKUP($A109,FIXED_CHARTER_COST,HLOOKUP(B$7,FIXED_CHARTER_COST,2,0)+1,0)+VLOOKUP($A109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1.4020118571274689</v>
      </c>
      <c r="C109" s="10">
        <f>(+VLOOKUP($A109,FIXED_CHARTER_COST,HLOOKUP(C$7,FIXED_CHARTER_COST,2,0)+1,0)+VLOOKUP($A109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1.5267591171880566</v>
      </c>
      <c r="D109" s="10">
        <f>(+VLOOKUP($A109,FIXED_CHARTER_COST,HLOOKUP(D$7,FIXED_CHARTER_COST,2,0)+1,0)+VLOOKUP($A109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0.33077094067537066</v>
      </c>
      <c r="E109" s="10">
        <f>(+VLOOKUP($A109,FIXED_CHARTER_COST,HLOOKUP(E$7,FIXED_CHARTER_COST,2,0)+1,0)+VLOOKUP($A109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0.36103719385233074</v>
      </c>
      <c r="F109" s="10">
        <f>(+VLOOKUP($A109,FIXED_CHARTER_COST,HLOOKUP(F$7,FIXED_CHARTER_COST,2,0)+1,0)+VLOOKUP($A109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0.60667060168239761</v>
      </c>
      <c r="G109" s="10">
        <f>(+VLOOKUP($A109,FIXED_CHARTER_COST,HLOOKUP(G$7,FIXED_CHARTER_COST,2,0)+1,0)+VLOOKUP($A109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0.73729062204294116</v>
      </c>
      <c r="H109" s="10">
        <f>(+VLOOKUP($A109,FIXED_CHARTER_COST,HLOOKUP(H$7,FIXED_CHARTER_COST,2,0)+1,0)+VLOOKUP($A109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0.62098748649194213</v>
      </c>
      <c r="I109" s="10">
        <f>(+VLOOKUP($A109,FIXED_CHARTER_COST,HLOOKUP(I$7,FIXED_CHARTER_COST,2,0)+1,0)+VLOOKUP($A109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0.74573474655252991</v>
      </c>
    </row>
    <row r="110" spans="1:9" x14ac:dyDescent="0.2">
      <c r="A110" s="179">
        <f>+SHIPS!B126</f>
        <v>39753</v>
      </c>
      <c r="B110" s="10">
        <f>(+VLOOKUP($A110,FIXED_CHARTER_COST,HLOOKUP(B$7,FIXED_CHARTER_COST,2,0)+1,0)+VLOOKUP($A110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1.4028424372560964</v>
      </c>
      <c r="C110" s="10">
        <f>(+VLOOKUP($A110,FIXED_CHARTER_COST,HLOOKUP(C$7,FIXED_CHARTER_COST,2,0)+1,0)+VLOOKUP($A110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1.527676216080083</v>
      </c>
      <c r="D110" s="10">
        <f>(+VLOOKUP($A110,FIXED_CHARTER_COST,HLOOKUP(D$7,FIXED_CHARTER_COST,2,0)+1,0)+VLOOKUP($A110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0.33086778882706447</v>
      </c>
      <c r="E110" s="10">
        <f>(+VLOOKUP($A110,FIXED_CHARTER_COST,HLOOKUP(E$7,FIXED_CHARTER_COST,2,0)+1,0)+VLOOKUP($A110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0.36114211268333235</v>
      </c>
      <c r="F110" s="10">
        <f>(+VLOOKUP($A110,FIXED_CHARTER_COST,HLOOKUP(F$7,FIXED_CHARTER_COST,2,0)+1,0)+VLOOKUP($A110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0.60684008594786176</v>
      </c>
      <c r="G110" s="10">
        <f>(+VLOOKUP($A110,FIXED_CHARTER_COST,HLOOKUP(G$7,FIXED_CHARTER_COST,2,0)+1,0)+VLOOKUP($A110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0.73750045970494427</v>
      </c>
      <c r="H110" s="10">
        <f>(+VLOOKUP($A110,FIXED_CHARTER_COST,HLOOKUP(H$7,FIXED_CHARTER_COST,2,0)+1,0)+VLOOKUP($A110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0.62136816905089631</v>
      </c>
      <c r="I110" s="10">
        <f>(+VLOOKUP($A110,FIXED_CHARTER_COST,HLOOKUP(I$7,FIXED_CHARTER_COST,2,0)+1,0)+VLOOKUP($A110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0.74620194787488281</v>
      </c>
    </row>
    <row r="111" spans="1:9" x14ac:dyDescent="0.2">
      <c r="A111" s="179">
        <f>+SHIPS!B127</f>
        <v>39783</v>
      </c>
      <c r="B111" s="10">
        <f>(+VLOOKUP($A111,FIXED_CHARTER_COST,HLOOKUP(B$7,FIXED_CHARTER_COST,2,0)+1,0)+VLOOKUP($A111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1.4036747477599918</v>
      </c>
      <c r="C111" s="10">
        <f>(+VLOOKUP($A111,FIXED_CHARTER_COST,HLOOKUP(C$7,FIXED_CHARTER_COST,2,0)+1,0)+VLOOKUP($A111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1.5285952255948005</v>
      </c>
      <c r="D111" s="10">
        <f>(+VLOOKUP($A111,FIXED_CHARTER_COST,HLOOKUP(D$7,FIXED_CHARTER_COST,2,0)+1,0)+VLOOKUP($A111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0.33096483874574084</v>
      </c>
      <c r="E111" s="10">
        <f>(+VLOOKUP($A111,FIXED_CHARTER_COST,HLOOKUP(E$7,FIXED_CHARTER_COST,2,0)+1,0)+VLOOKUP($A111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0.36124725009523179</v>
      </c>
      <c r="F111" s="10">
        <f>(+VLOOKUP($A111,FIXED_CHARTER_COST,HLOOKUP(F$7,FIXED_CHARTER_COST,2,0)+1,0)+VLOOKUP($A111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0.60700992330554548</v>
      </c>
      <c r="G111" s="10">
        <f>(+VLOOKUP($A111,FIXED_CHARTER_COST,HLOOKUP(G$7,FIXED_CHARTER_COST,2,0)+1,0)+VLOOKUP($A111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0.73771073452874314</v>
      </c>
      <c r="H111" s="10">
        <f>(+VLOOKUP($A111,FIXED_CHARTER_COST,HLOOKUP(H$7,FIXED_CHARTER_COST,2,0)+1,0)+VLOOKUP($A111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0.62174964469851501</v>
      </c>
      <c r="I111" s="10">
        <f>(+VLOOKUP($A111,FIXED_CHARTER_COST,HLOOKUP(I$7,FIXED_CHARTER_COST,2,0)+1,0)+VLOOKUP($A111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0.74667012253332399</v>
      </c>
    </row>
    <row r="112" spans="1:9" x14ac:dyDescent="0.2">
      <c r="A112" s="180">
        <f>+SHIPS!B128</f>
        <v>39814</v>
      </c>
      <c r="B112" s="10">
        <f>(+VLOOKUP($A112,FIXED_CHARTER_COST,HLOOKUP(B$7,FIXED_CHARTER_COST,2,0)+1,0)+VLOOKUP($A112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1.4045087922441037</v>
      </c>
      <c r="C112" s="10">
        <f>(+VLOOKUP($A112,FIXED_CHARTER_COST,HLOOKUP(C$7,FIXED_CHARTER_COST,2,0)+1,0)+VLOOKUP($A112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1.5295161497126741</v>
      </c>
      <c r="D112" s="10">
        <f>(+VLOOKUP($A112,FIXED_CHARTER_COST,HLOOKUP(D$7,FIXED_CHARTER_COST,2,0)+1,0)+VLOOKUP($A112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0.33106209085174787</v>
      </c>
      <c r="E112" s="10">
        <f>(+VLOOKUP($A112,FIXED_CHARTER_COST,HLOOKUP(E$7,FIXED_CHARTER_COST,2,0)+1,0)+VLOOKUP($A112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0.36135260654340601</v>
      </c>
      <c r="F112" s="10">
        <f>(+VLOOKUP($A112,FIXED_CHARTER_COST,HLOOKUP(F$7,FIXED_CHARTER_COST,2,0)+1,0)+VLOOKUP($A112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0.60718011449105769</v>
      </c>
      <c r="G112" s="10">
        <f>(+VLOOKUP($A112,FIXED_CHARTER_COST,HLOOKUP(G$7,FIXED_CHARTER_COST,2,0)+1,0)+VLOOKUP($A112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0.73792144742509169</v>
      </c>
      <c r="H112" s="10">
        <f>(+VLOOKUP($A112,FIXED_CHARTER_COST,HLOOKUP(H$7,FIXED_CHARTER_COST,2,0)+1,0)+VLOOKUP($A112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0.62213191508706644</v>
      </c>
      <c r="I112" s="10">
        <f>(+VLOOKUP($A112,FIXED_CHARTER_COST,HLOOKUP(I$7,FIXED_CHARTER_COST,2,0)+1,0)+VLOOKUP($A112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0.74713927255563706</v>
      </c>
    </row>
    <row r="113" spans="1:9" x14ac:dyDescent="0.2">
      <c r="A113" s="179">
        <f>+SHIPS!B129</f>
        <v>39845</v>
      </c>
      <c r="B113" s="10">
        <f>(+VLOOKUP($A113,FIXED_CHARTER_COST,HLOOKUP(B$7,FIXED_CHARTER_COST,2,0)+1,0)+VLOOKUP($A113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1.4053445743208908</v>
      </c>
      <c r="C113" s="10">
        <f>(+VLOOKUP($A113,FIXED_CHARTER_COST,HLOOKUP(C$7,FIXED_CHARTER_COST,2,0)+1,0)+VLOOKUP($A113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1.5304389924224602</v>
      </c>
      <c r="D113" s="10">
        <f>(+VLOOKUP($A113,FIXED_CHARTER_COST,HLOOKUP(D$7,FIXED_CHARTER_COST,2,0)+1,0)+VLOOKUP($A113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0.33115954556630905</v>
      </c>
      <c r="E113" s="10">
        <f>(+VLOOKUP($A113,FIXED_CHARTER_COST,HLOOKUP(E$7,FIXED_CHARTER_COST,2,0)+1,0)+VLOOKUP($A113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0.36145818248418066</v>
      </c>
      <c r="F113" s="10">
        <f>(+VLOOKUP($A113,FIXED_CHARTER_COST,HLOOKUP(F$7,FIXED_CHARTER_COST,2,0)+1,0)+VLOOKUP($A113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0.60735066024153983</v>
      </c>
      <c r="G113" s="10">
        <f>(+VLOOKUP($A113,FIXED_CHARTER_COST,HLOOKUP(G$7,FIXED_CHARTER_COST,2,0)+1,0)+VLOOKUP($A113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0.73813259930664099</v>
      </c>
      <c r="H113" s="10">
        <f>(+VLOOKUP($A113,FIXED_CHARTER_COST,HLOOKUP(H$7,FIXED_CHARTER_COST,2,0)+1,0)+VLOOKUP($A113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0.6225149818722604</v>
      </c>
      <c r="I113" s="10">
        <f>(+VLOOKUP($A113,FIXED_CHARTER_COST,HLOOKUP(I$7,FIXED_CHARTER_COST,2,0)+1,0)+VLOOKUP($A113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0.74760939997382969</v>
      </c>
    </row>
    <row r="114" spans="1:9" x14ac:dyDescent="0.2">
      <c r="A114" s="179">
        <f>+SHIPS!B130</f>
        <v>39873</v>
      </c>
      <c r="B114" s="10">
        <f>(+VLOOKUP($A114,FIXED_CHARTER_COST,HLOOKUP(B$7,FIXED_CHARTER_COST,2,0)+1,0)+VLOOKUP($A114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1.4061820976103376</v>
      </c>
      <c r="C114" s="10">
        <f>(+VLOOKUP($A114,FIXED_CHARTER_COST,HLOOKUP(C$7,FIXED_CHARTER_COST,2,0)+1,0)+VLOOKUP($A114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1.5313637577212245</v>
      </c>
      <c r="D114" s="10">
        <f>(+VLOOKUP($A114,FIXED_CHARTER_COST,HLOOKUP(D$7,FIXED_CHARTER_COST,2,0)+1,0)+VLOOKUP($A114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0.33125720331152558</v>
      </c>
      <c r="E114" s="10">
        <f>(+VLOOKUP($A114,FIXED_CHARTER_COST,HLOOKUP(E$7,FIXED_CHARTER_COST,2,0)+1,0)+VLOOKUP($A114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0.36156397837483195</v>
      </c>
      <c r="F114" s="10">
        <f>(+VLOOKUP($A114,FIXED_CHARTER_COST,HLOOKUP(F$7,FIXED_CHARTER_COST,2,0)+1,0)+VLOOKUP($A114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0.6075215612956687</v>
      </c>
      <c r="G114" s="10">
        <f>(+VLOOKUP($A114,FIXED_CHARTER_COST,HLOOKUP(G$7,FIXED_CHARTER_COST,2,0)+1,0)+VLOOKUP($A114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0.73834419108794347</v>
      </c>
      <c r="H114" s="10">
        <f>(+VLOOKUP($A114,FIXED_CHARTER_COST,HLOOKUP(H$7,FIXED_CHARTER_COST,2,0)+1,0)+VLOOKUP($A114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0.6228988467132569</v>
      </c>
      <c r="I114" s="10">
        <f>(+VLOOKUP($A114,FIXED_CHARTER_COST,HLOOKUP(I$7,FIXED_CHARTER_COST,2,0)+1,0)+VLOOKUP($A114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0.74808050682414362</v>
      </c>
    </row>
    <row r="115" spans="1:9" x14ac:dyDescent="0.2">
      <c r="A115" s="179">
        <f>+SHIPS!B131</f>
        <v>39904</v>
      </c>
      <c r="B115" s="10">
        <f>(+VLOOKUP($A115,FIXED_CHARTER_COST,HLOOKUP(B$7,FIXED_CHARTER_COST,2,0)+1,0)+VLOOKUP($A115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1.4070213657399711</v>
      </c>
      <c r="C115" s="10">
        <f>(+VLOOKUP($A115,FIXED_CHARTER_COST,HLOOKUP(C$7,FIXED_CHARTER_COST,2,0)+1,0)+VLOOKUP($A115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1.5322904496143612</v>
      </c>
      <c r="D115" s="10">
        <f>(+VLOOKUP($A115,FIXED_CHARTER_COST,HLOOKUP(D$7,FIXED_CHARTER_COST,2,0)+1,0)+VLOOKUP($A115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0.33135506451037799</v>
      </c>
      <c r="E115" s="10">
        <f>(+VLOOKUP($A115,FIXED_CHARTER_COST,HLOOKUP(E$7,FIXED_CHARTER_COST,2,0)+1,0)+VLOOKUP($A115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0.36166999467358868</v>
      </c>
      <c r="F115" s="10">
        <f>(+VLOOKUP($A115,FIXED_CHARTER_COST,HLOOKUP(F$7,FIXED_CHARTER_COST,2,0)+1,0)+VLOOKUP($A115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0.60769281839366041</v>
      </c>
      <c r="G115" s="10">
        <f>(+VLOOKUP($A115,FIXED_CHARTER_COST,HLOOKUP(G$7,FIXED_CHARTER_COST,2,0)+1,0)+VLOOKUP($A115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0.73855622368545693</v>
      </c>
      <c r="H115" s="10">
        <f>(+VLOOKUP($A115,FIXED_CHARTER_COST,HLOOKUP(H$7,FIXED_CHARTER_COST,2,0)+1,0)+VLOOKUP($A115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0.62328351127267223</v>
      </c>
      <c r="I115" s="10">
        <f>(+VLOOKUP($A115,FIXED_CHARTER_COST,HLOOKUP(I$7,FIXED_CHARTER_COST,2,0)+1,0)+VLOOKUP($A115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0.74855259514706241</v>
      </c>
    </row>
    <row r="116" spans="1:9" x14ac:dyDescent="0.2">
      <c r="A116" s="179">
        <f>+SHIPS!B132</f>
        <v>39934</v>
      </c>
      <c r="B116" s="10">
        <f>(+VLOOKUP($A116,FIXED_CHARTER_COST,HLOOKUP(B$7,FIXED_CHARTER_COST,2,0)+1,0)+VLOOKUP($A116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1.4078623823448746</v>
      </c>
      <c r="C116" s="10">
        <f>(+VLOOKUP($A116,FIXED_CHARTER_COST,HLOOKUP(C$7,FIXED_CHARTER_COST,2,0)+1,0)+VLOOKUP($A116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1.5332190721156087</v>
      </c>
      <c r="D116" s="10">
        <f>(+VLOOKUP($A116,FIXED_CHARTER_COST,HLOOKUP(D$7,FIXED_CHARTER_COST,2,0)+1,0)+VLOOKUP($A116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0.33145312958672801</v>
      </c>
      <c r="E116" s="10">
        <f>(+VLOOKUP($A116,FIXED_CHARTER_COST,HLOOKUP(E$7,FIXED_CHARTER_COST,2,0)+1,0)+VLOOKUP($A116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0.36177623183963453</v>
      </c>
      <c r="F116" s="10">
        <f>(+VLOOKUP($A116,FIXED_CHARTER_COST,HLOOKUP(F$7,FIXED_CHARTER_COST,2,0)+1,0)+VLOOKUP($A116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0.60786443227727294</v>
      </c>
      <c r="G116" s="10">
        <f>(+VLOOKUP($A116,FIXED_CHARTER_COST,HLOOKUP(G$7,FIXED_CHARTER_COST,2,0)+1,0)+VLOOKUP($A116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0.73876869801754863</v>
      </c>
      <c r="H116" s="10">
        <f>(+VLOOKUP($A116,FIXED_CHARTER_COST,HLOOKUP(H$7,FIXED_CHARTER_COST,2,0)+1,0)+VLOOKUP($A116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0.62366897721658643</v>
      </c>
      <c r="I116" s="10">
        <f>(+VLOOKUP($A116,FIXED_CHARTER_COST,HLOOKUP(I$7,FIXED_CHARTER_COST,2,0)+1,0)+VLOOKUP($A116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0.74902566698732065</v>
      </c>
    </row>
    <row r="117" spans="1:9" x14ac:dyDescent="0.2">
      <c r="A117" s="179">
        <f>+SHIPS!B133</f>
        <v>39965</v>
      </c>
      <c r="B117" s="10">
        <f>(+VLOOKUP($A117,FIXED_CHARTER_COST,HLOOKUP(B$7,FIXED_CHARTER_COST,2,0)+1,0)+VLOOKUP($A117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1.4087051510677051</v>
      </c>
      <c r="C117" s="10">
        <f>(+VLOOKUP($A117,FIXED_CHARTER_COST,HLOOKUP(C$7,FIXED_CHARTER_COST,2,0)+1,0)+VLOOKUP($A117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1.5341496292470673</v>
      </c>
      <c r="D117" s="10">
        <f>(+VLOOKUP($A117,FIXED_CHARTER_COST,HLOOKUP(D$7,FIXED_CHARTER_COST,2,0)+1,0)+VLOOKUP($A117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0.33155139896532038</v>
      </c>
      <c r="E117" s="10">
        <f>(+VLOOKUP($A117,FIXED_CHARTER_COST,HLOOKUP(E$7,FIXED_CHARTER_COST,2,0)+1,0)+VLOOKUP($A117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0.36188269033310955</v>
      </c>
      <c r="F117" s="10">
        <f>(+VLOOKUP($A117,FIXED_CHARTER_COST,HLOOKUP(F$7,FIXED_CHARTER_COST,2,0)+1,0)+VLOOKUP($A117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0.6080364036898096</v>
      </c>
      <c r="G117" s="10">
        <f>(+VLOOKUP($A117,FIXED_CHARTER_COST,HLOOKUP(G$7,FIXED_CHARTER_COST,2,0)+1,0)+VLOOKUP($A117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0.73898161500449877</v>
      </c>
      <c r="H117" s="10">
        <f>(+VLOOKUP($A117,FIXED_CHARTER_COST,HLOOKUP(H$7,FIXED_CHARTER_COST,2,0)+1,0)+VLOOKUP($A117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0.62405524621455033</v>
      </c>
      <c r="I117" s="10">
        <f>(+VLOOKUP($A117,FIXED_CHARTER_COST,HLOOKUP(I$7,FIXED_CHARTER_COST,2,0)+1,0)+VLOOKUP($A117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0.74949972439391277</v>
      </c>
    </row>
    <row r="118" spans="1:9" x14ac:dyDescent="0.2">
      <c r="A118" s="179">
        <f>+SHIPS!B134</f>
        <v>39995</v>
      </c>
      <c r="B118" s="10">
        <f>(+VLOOKUP($A118,FIXED_CHARTER_COST,HLOOKUP(B$7,FIXED_CHARTER_COST,2,0)+1,0)+VLOOKUP($A118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1.409549675558708</v>
      </c>
      <c r="C118" s="10">
        <f>(+VLOOKUP($A118,FIXED_CHARTER_COST,HLOOKUP(C$7,FIXED_CHARTER_COST,2,0)+1,0)+VLOOKUP($A118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1.5350821250392166</v>
      </c>
      <c r="D118" s="10">
        <f>(+VLOOKUP($A118,FIXED_CHARTER_COST,HLOOKUP(D$7,FIXED_CHARTER_COST,2,0)+1,0)+VLOOKUP($A118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0.33164987307178484</v>
      </c>
      <c r="E118" s="10">
        <f>(+VLOOKUP($A118,FIXED_CHARTER_COST,HLOOKUP(E$7,FIXED_CHARTER_COST,2,0)+1,0)+VLOOKUP($A118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0.36198937061511277</v>
      </c>
      <c r="F118" s="10">
        <f>(+VLOOKUP($A118,FIXED_CHARTER_COST,HLOOKUP(F$7,FIXED_CHARTER_COST,2,0)+1,0)+VLOOKUP($A118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0.60820873337612247</v>
      </c>
      <c r="G118" s="10">
        <f>(+VLOOKUP($A118,FIXED_CHARTER_COST,HLOOKUP(G$7,FIXED_CHARTER_COST,2,0)+1,0)+VLOOKUP($A118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0.73919497556850522</v>
      </c>
      <c r="H118" s="10">
        <f>(+VLOOKUP($A118,FIXED_CHARTER_COST,HLOOKUP(H$7,FIXED_CHARTER_COST,2,0)+1,0)+VLOOKUP($A118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0.62444231993959343</v>
      </c>
      <c r="I118" s="10">
        <f>(+VLOOKUP($A118,FIXED_CHARTER_COST,HLOOKUP(I$7,FIXED_CHARTER_COST,2,0)+1,0)+VLOOKUP($A118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0.74997476942010199</v>
      </c>
    </row>
    <row r="119" spans="1:9" x14ac:dyDescent="0.2">
      <c r="A119" s="179">
        <f>+SHIPS!B135</f>
        <v>40026</v>
      </c>
      <c r="B119" s="10">
        <f>(+VLOOKUP($A119,FIXED_CHARTER_COST,HLOOKUP(B$7,FIXED_CHARTER_COST,2,0)+1,0)+VLOOKUP($A119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1.4103959594757338</v>
      </c>
      <c r="C119" s="10">
        <f>(+VLOOKUP($A119,FIXED_CHARTER_COST,HLOOKUP(C$7,FIXED_CHARTER_COST,2,0)+1,0)+VLOOKUP($A119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1.5360165635309329</v>
      </c>
      <c r="D119" s="10">
        <f>(+VLOOKUP($A119,FIXED_CHARTER_COST,HLOOKUP(D$7,FIXED_CHARTER_COST,2,0)+1,0)+VLOOKUP($A119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0.33174855233263778</v>
      </c>
      <c r="E119" s="10">
        <f>(+VLOOKUP($A119,FIXED_CHARTER_COST,HLOOKUP(E$7,FIXED_CHARTER_COST,2,0)+1,0)+VLOOKUP($A119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0.36209627314770348</v>
      </c>
      <c r="F119" s="10">
        <f>(+VLOOKUP($A119,FIXED_CHARTER_COST,HLOOKUP(F$7,FIXED_CHARTER_COST,2,0)+1,0)+VLOOKUP($A119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0.60838142208261503</v>
      </c>
      <c r="G119" s="10">
        <f>(+VLOOKUP($A119,FIXED_CHARTER_COST,HLOOKUP(G$7,FIXED_CHARTER_COST,2,0)+1,0)+VLOOKUP($A119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0.73940878063368654</v>
      </c>
      <c r="H119" s="10">
        <f>(+VLOOKUP($A119,FIXED_CHARTER_COST,HLOOKUP(H$7,FIXED_CHARTER_COST,2,0)+1,0)+VLOOKUP($A119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0.6248302000682302</v>
      </c>
      <c r="I119" s="10">
        <f>(+VLOOKUP($A119,FIXED_CHARTER_COST,HLOOKUP(I$7,FIXED_CHARTER_COST,2,0)+1,0)+VLOOKUP($A119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0.75045080412342902</v>
      </c>
    </row>
    <row r="120" spans="1:9" x14ac:dyDescent="0.2">
      <c r="A120" s="179">
        <f>+SHIPS!B136</f>
        <v>40057</v>
      </c>
      <c r="B120" s="10">
        <f>(+VLOOKUP($A120,FIXED_CHARTER_COST,HLOOKUP(B$7,FIXED_CHARTER_COST,2,0)+1,0)+VLOOKUP($A120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1.4112440064842535</v>
      </c>
      <c r="C120" s="10">
        <f>(+VLOOKUP($A120,FIXED_CHARTER_COST,HLOOKUP(C$7,FIXED_CHARTER_COST,2,0)+1,0)+VLOOKUP($A120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1.5369529487695066</v>
      </c>
      <c r="D120" s="10">
        <f>(+VLOOKUP($A120,FIXED_CHARTER_COST,HLOOKUP(D$7,FIXED_CHARTER_COST,2,0)+1,0)+VLOOKUP($A120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0.33184743717528414</v>
      </c>
      <c r="E120" s="10">
        <f>(+VLOOKUP($A120,FIXED_CHARTER_COST,HLOOKUP(E$7,FIXED_CHARTER_COST,2,0)+1,0)+VLOOKUP($A120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0.36220339839390364</v>
      </c>
      <c r="F120" s="10">
        <f>(+VLOOKUP($A120,FIXED_CHARTER_COST,HLOOKUP(F$7,FIXED_CHARTER_COST,2,0)+1,0)+VLOOKUP($A120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0.60855447055724621</v>
      </c>
      <c r="G120" s="10">
        <f>(+VLOOKUP($A120,FIXED_CHARTER_COST,HLOOKUP(G$7,FIXED_CHARTER_COST,2,0)+1,0)+VLOOKUP($A120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0.73962303112608696</v>
      </c>
      <c r="H120" s="10">
        <f>(+VLOOKUP($A120,FIXED_CHARTER_COST,HLOOKUP(H$7,FIXED_CHARTER_COST,2,0)+1,0)+VLOOKUP($A120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0.62521888828046834</v>
      </c>
      <c r="I120" s="10">
        <f>(+VLOOKUP($A120,FIXED_CHARTER_COST,HLOOKUP(I$7,FIXED_CHARTER_COST,2,0)+1,0)+VLOOKUP($A120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0.75092783056572121</v>
      </c>
    </row>
    <row r="121" spans="1:9" x14ac:dyDescent="0.2">
      <c r="A121" s="179">
        <f>+SHIPS!B137</f>
        <v>40087</v>
      </c>
      <c r="B121" s="10">
        <f>(+VLOOKUP($A121,FIXED_CHARTER_COST,HLOOKUP(B$7,FIXED_CHARTER_COST,2,0)+1,0)+VLOOKUP($A121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1.4120938202573743</v>
      </c>
      <c r="C121" s="10">
        <f>(+VLOOKUP($A121,FIXED_CHARTER_COST,HLOOKUP(C$7,FIXED_CHARTER_COST,2,0)+1,0)+VLOOKUP($A121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1.5378912848106607</v>
      </c>
      <c r="D121" s="10">
        <f>(+VLOOKUP($A121,FIXED_CHARTER_COST,HLOOKUP(D$7,FIXED_CHARTER_COST,2,0)+1,0)+VLOOKUP($A121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0.33194652802801938</v>
      </c>
      <c r="E121" s="10">
        <f>(+VLOOKUP($A121,FIXED_CHARTER_COST,HLOOKUP(E$7,FIXED_CHARTER_COST,2,0)+1,0)+VLOOKUP($A121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0.3623107468177002</v>
      </c>
      <c r="F121" s="10">
        <f>(+VLOOKUP($A121,FIXED_CHARTER_COST,HLOOKUP(F$7,FIXED_CHARTER_COST,2,0)+1,0)+VLOOKUP($A121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0.60872787954953289</v>
      </c>
      <c r="G121" s="10">
        <f>(+VLOOKUP($A121,FIXED_CHARTER_COST,HLOOKUP(G$7,FIXED_CHARTER_COST,2,0)+1,0)+VLOOKUP($A121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0.73983772797367997</v>
      </c>
      <c r="H121" s="10">
        <f>(+VLOOKUP($A121,FIXED_CHARTER_COST,HLOOKUP(H$7,FIXED_CHARTER_COST,2,0)+1,0)+VLOOKUP($A121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0.62560838625981541</v>
      </c>
      <c r="I121" s="10">
        <f>(+VLOOKUP($A121,FIXED_CHARTER_COST,HLOOKUP(I$7,FIXED_CHARTER_COST,2,0)+1,0)+VLOOKUP($A121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0.75140585081310163</v>
      </c>
    </row>
    <row r="122" spans="1:9" x14ac:dyDescent="0.2">
      <c r="A122" s="179">
        <f>+SHIPS!B138</f>
        <v>40118</v>
      </c>
      <c r="B122" s="10">
        <f>(+VLOOKUP($A122,FIXED_CHARTER_COST,HLOOKUP(B$7,FIXED_CHARTER_COST,2,0)+1,0)+VLOOKUP($A122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1.4129454044758558</v>
      </c>
      <c r="C122" s="10">
        <f>(+VLOOKUP($A122,FIXED_CHARTER_COST,HLOOKUP(C$7,FIXED_CHARTER_COST,2,0)+1,0)+VLOOKUP($A122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1.5388315757185673</v>
      </c>
      <c r="D122" s="10">
        <f>(+VLOOKUP($A122,FIXED_CHARTER_COST,HLOOKUP(D$7,FIXED_CHARTER_COST,2,0)+1,0)+VLOOKUP($A122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0.33204582532003113</v>
      </c>
      <c r="E122" s="10">
        <f>(+VLOOKUP($A122,FIXED_CHARTER_COST,HLOOKUP(E$7,FIXED_CHARTER_COST,2,0)+1,0)+VLOOKUP($A122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0.36241831888404624</v>
      </c>
      <c r="F122" s="10">
        <f>(+VLOOKUP($A122,FIXED_CHARTER_COST,HLOOKUP(F$7,FIXED_CHARTER_COST,2,0)+1,0)+VLOOKUP($A122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0.6089016498105535</v>
      </c>
      <c r="G122" s="10">
        <f>(+VLOOKUP($A122,FIXED_CHARTER_COST,HLOOKUP(G$7,FIXED_CHARTER_COST,2,0)+1,0)+VLOOKUP($A122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0.74005287210637216</v>
      </c>
      <c r="H122" s="10">
        <f>(+VLOOKUP($A122,FIXED_CHARTER_COST,HLOOKUP(H$7,FIXED_CHARTER_COST,2,0)+1,0)+VLOOKUP($A122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0.62599869569328603</v>
      </c>
      <c r="I122" s="10">
        <f>(+VLOOKUP($A122,FIXED_CHARTER_COST,HLOOKUP(I$7,FIXED_CHARTER_COST,2,0)+1,0)+VLOOKUP($A122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0.75188486693599754</v>
      </c>
    </row>
    <row r="123" spans="1:9" x14ac:dyDescent="0.2">
      <c r="A123" s="179">
        <f>+SHIPS!B139</f>
        <v>40148</v>
      </c>
      <c r="B123" s="10">
        <f>(+VLOOKUP($A123,FIXED_CHARTER_COST,HLOOKUP(B$7,FIXED_CHARTER_COST,2,0)+1,0)+VLOOKUP($A123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1.4137987628281257</v>
      </c>
      <c r="C123" s="10">
        <f>(+VLOOKUP($A123,FIXED_CHARTER_COST,HLOOKUP(C$7,FIXED_CHARTER_COST,2,0)+1,0)+VLOOKUP($A123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1.5397738255658651</v>
      </c>
      <c r="D123" s="10">
        <f>(+VLOOKUP($A123,FIXED_CHARTER_COST,HLOOKUP(D$7,FIXED_CHARTER_COST,2,0)+1,0)+VLOOKUP($A123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0.33214532948140124</v>
      </c>
      <c r="E123" s="10">
        <f>(+VLOOKUP($A123,FIXED_CHARTER_COST,HLOOKUP(E$7,FIXED_CHARTER_COST,2,0)+1,0)+VLOOKUP($A123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0.36252611505886384</v>
      </c>
      <c r="F123" s="10">
        <f>(+VLOOKUP($A123,FIXED_CHARTER_COST,HLOOKUP(F$7,FIXED_CHARTER_COST,2,0)+1,0)+VLOOKUP($A123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0.6090757820929511</v>
      </c>
      <c r="G123" s="10">
        <f>(+VLOOKUP($A123,FIXED_CHARTER_COST,HLOOKUP(G$7,FIXED_CHARTER_COST,2,0)+1,0)+VLOOKUP($A123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0.74026846445600736</v>
      </c>
      <c r="H123" s="10">
        <f>(+VLOOKUP($A123,FIXED_CHARTER_COST,HLOOKUP(H$7,FIXED_CHARTER_COST,2,0)+1,0)+VLOOKUP($A123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0.62638981827140983</v>
      </c>
      <c r="I123" s="10">
        <f>(+VLOOKUP($A123,FIXED_CHARTER_COST,HLOOKUP(I$7,FIXED_CHARTER_COST,2,0)+1,0)+VLOOKUP($A123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0.75236488100914933</v>
      </c>
    </row>
    <row r="124" spans="1:9" x14ac:dyDescent="0.2">
      <c r="A124" s="180">
        <f>+SHIPS!B140</f>
        <v>40179</v>
      </c>
      <c r="B124" s="10">
        <f>(+VLOOKUP($A124,FIXED_CHARTER_COST,HLOOKUP(B$7,FIXED_CHARTER_COST,2,0)+1,0)+VLOOKUP($A124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1.4146538990102961</v>
      </c>
      <c r="C124" s="10">
        <f>(+VLOOKUP($A124,FIXED_CHARTER_COST,HLOOKUP(C$7,FIXED_CHARTER_COST,2,0)+1,0)+VLOOKUP($A124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1.5407180384336783</v>
      </c>
      <c r="D124" s="10">
        <f>(+VLOOKUP($A124,FIXED_CHARTER_COST,HLOOKUP(D$7,FIXED_CHARTER_COST,2,0)+1,0)+VLOOKUP($A124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0.33224504094310753</v>
      </c>
      <c r="E124" s="10">
        <f>(+VLOOKUP($A124,FIXED_CHARTER_COST,HLOOKUP(E$7,FIXED_CHARTER_COST,2,0)+1,0)+VLOOKUP($A124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0.36263413580904574</v>
      </c>
      <c r="F124" s="10">
        <f>(+VLOOKUP($A124,FIXED_CHARTER_COST,HLOOKUP(F$7,FIXED_CHARTER_COST,2,0)+1,0)+VLOOKUP($A124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0.60925027715093716</v>
      </c>
      <c r="G124" s="10">
        <f>(+VLOOKUP($A124,FIXED_CHARTER_COST,HLOOKUP(G$7,FIXED_CHARTER_COST,2,0)+1,0)+VLOOKUP($A124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0.74048450595637105</v>
      </c>
      <c r="H124" s="10">
        <f>(+VLOOKUP($A124,FIXED_CHARTER_COST,HLOOKUP(H$7,FIXED_CHARTER_COST,2,0)+1,0)+VLOOKUP($A124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0.62678175568823791</v>
      </c>
      <c r="I124" s="10">
        <f>(+VLOOKUP($A124,FIXED_CHARTER_COST,HLOOKUP(I$7,FIXED_CHARTER_COST,2,0)+1,0)+VLOOKUP($A124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0.75284589511162014</v>
      </c>
    </row>
    <row r="125" spans="1:9" x14ac:dyDescent="0.2">
      <c r="A125" s="179">
        <f>+SHIPS!B141</f>
        <v>40210</v>
      </c>
      <c r="B125" s="10">
        <f>(+VLOOKUP($A125,FIXED_CHARTER_COST,HLOOKUP(B$7,FIXED_CHARTER_COST,2,0)+1,0)+VLOOKUP($A125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1.4155108167261796</v>
      </c>
      <c r="C125" s="10">
        <f>(+VLOOKUP($A125,FIXED_CHARTER_COST,HLOOKUP(C$7,FIXED_CHARTER_COST,2,0)+1,0)+VLOOKUP($A125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1.5416642184116329</v>
      </c>
      <c r="D125" s="10">
        <f>(+VLOOKUP($A125,FIXED_CHARTER_COST,HLOOKUP(D$7,FIXED_CHARTER_COST,2,0)+1,0)+VLOOKUP($A125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0.33234496013702575</v>
      </c>
      <c r="E125" s="10">
        <f>(+VLOOKUP($A125,FIXED_CHARTER_COST,HLOOKUP(E$7,FIXED_CHARTER_COST,2,0)+1,0)+VLOOKUP($A125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0.36274238160245703</v>
      </c>
      <c r="F125" s="10">
        <f>(+VLOOKUP($A125,FIXED_CHARTER_COST,HLOOKUP(F$7,FIXED_CHARTER_COST,2,0)+1,0)+VLOOKUP($A125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0.609425135740294</v>
      </c>
      <c r="G125" s="10">
        <f>(+VLOOKUP($A125,FIXED_CHARTER_COST,HLOOKUP(G$7,FIXED_CHARTER_COST,2,0)+1,0)+VLOOKUP($A125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0.74070099754319374</v>
      </c>
      <c r="H125" s="10">
        <f>(+VLOOKUP($A125,FIXED_CHARTER_COST,HLOOKUP(H$7,FIXED_CHARTER_COST,2,0)+1,0)+VLOOKUP($A125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0.62717450964135113</v>
      </c>
      <c r="I125" s="10">
        <f>(+VLOOKUP($A125,FIXED_CHARTER_COST,HLOOKUP(I$7,FIXED_CHARTER_COST,2,0)+1,0)+VLOOKUP($A125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0.75332791132680466</v>
      </c>
    </row>
    <row r="126" spans="1:9" x14ac:dyDescent="0.2">
      <c r="A126" s="179">
        <f>+SHIPS!B142</f>
        <v>40238</v>
      </c>
      <c r="B126" s="10">
        <f>(+VLOOKUP($A126,FIXED_CHARTER_COST,HLOOKUP(B$7,FIXED_CHARTER_COST,2,0)+1,0)+VLOOKUP($A126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1.4163695196873043</v>
      </c>
      <c r="C126" s="10">
        <f>(+VLOOKUP($A126,FIXED_CHARTER_COST,HLOOKUP(C$7,FIXED_CHARTER_COST,2,0)+1,0)+VLOOKUP($A126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1.5426123695978748</v>
      </c>
      <c r="D126" s="10">
        <f>(+VLOOKUP($A126,FIXED_CHARTER_COST,HLOOKUP(D$7,FIXED_CHARTER_COST,2,0)+1,0)+VLOOKUP($A126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0.33244508749593127</v>
      </c>
      <c r="E126" s="10">
        <f>(+VLOOKUP($A126,FIXED_CHARTER_COST,HLOOKUP(E$7,FIXED_CHARTER_COST,2,0)+1,0)+VLOOKUP($A126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0.362850852907938</v>
      </c>
      <c r="F126" s="10">
        <f>(+VLOOKUP($A126,FIXED_CHARTER_COST,HLOOKUP(F$7,FIXED_CHARTER_COST,2,0)+1,0)+VLOOKUP($A126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0.60960035861837869</v>
      </c>
      <c r="G126" s="10">
        <f>(+VLOOKUP($A126,FIXED_CHARTER_COST,HLOOKUP(G$7,FIXED_CHARTER_COST,2,0)+1,0)+VLOOKUP($A126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0.74091794015415569</v>
      </c>
      <c r="H126" s="10">
        <f>(+VLOOKUP($A126,FIXED_CHARTER_COST,HLOOKUP(H$7,FIXED_CHARTER_COST,2,0)+1,0)+VLOOKUP($A126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0.62756808183186663</v>
      </c>
      <c r="I126" s="10">
        <f>(+VLOOKUP($A126,FIXED_CHARTER_COST,HLOOKUP(I$7,FIXED_CHARTER_COST,2,0)+1,0)+VLOOKUP($A126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0.7538109317424373</v>
      </c>
    </row>
    <row r="127" spans="1:9" x14ac:dyDescent="0.2">
      <c r="A127" s="179">
        <f>+SHIPS!B143</f>
        <v>40269</v>
      </c>
      <c r="B127" s="10">
        <f>(+VLOOKUP($A127,FIXED_CHARTER_COST,HLOOKUP(B$7,FIXED_CHARTER_COST,2,0)+1,0)+VLOOKUP($A127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1.4172300116129313</v>
      </c>
      <c r="C127" s="10">
        <f>(+VLOOKUP($A127,FIXED_CHARTER_COST,HLOOKUP(C$7,FIXED_CHARTER_COST,2,0)+1,0)+VLOOKUP($A127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1.5435624960990879</v>
      </c>
      <c r="D127" s="10">
        <f>(+VLOOKUP($A127,FIXED_CHARTER_COST,HLOOKUP(D$7,FIXED_CHARTER_COST,2,0)+1,0)+VLOOKUP($A127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0.33254542345350113</v>
      </c>
      <c r="E127" s="10">
        <f>(+VLOOKUP($A127,FIXED_CHARTER_COST,HLOOKUP(E$7,FIXED_CHARTER_COST,2,0)+1,0)+VLOOKUP($A127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0.3629595501953054</v>
      </c>
      <c r="F127" s="10">
        <f>(+VLOOKUP($A127,FIXED_CHARTER_COST,HLOOKUP(F$7,FIXED_CHARTER_COST,2,0)+1,0)+VLOOKUP($A127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0.60977594654412604</v>
      </c>
      <c r="G127" s="10">
        <f>(+VLOOKUP($A127,FIXED_CHARTER_COST,HLOOKUP(G$7,FIXED_CHARTER_COST,2,0)+1,0)+VLOOKUP($A127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0.74113533472889048</v>
      </c>
      <c r="H127" s="10">
        <f>(+VLOOKUP($A127,FIXED_CHARTER_COST,HLOOKUP(H$7,FIXED_CHARTER_COST,2,0)+1,0)+VLOOKUP($A127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0.62796247396444571</v>
      </c>
      <c r="I127" s="10">
        <f>(+VLOOKUP($A127,FIXED_CHARTER_COST,HLOOKUP(I$7,FIXED_CHARTER_COST,2,0)+1,0)+VLOOKUP($A127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0.75429495845060246</v>
      </c>
    </row>
    <row r="128" spans="1:9" x14ac:dyDescent="0.2">
      <c r="A128" s="179">
        <f>+SHIPS!B144</f>
        <v>40299</v>
      </c>
      <c r="B128" s="10">
        <f>(+VLOOKUP($A128,FIXED_CHARTER_COST,HLOOKUP(B$7,FIXED_CHARTER_COST,2,0)+1,0)+VLOOKUP($A128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1.4180922962300702</v>
      </c>
      <c r="C128" s="10">
        <f>(+VLOOKUP($A128,FIXED_CHARTER_COST,HLOOKUP(C$7,FIXED_CHARTER_COST,2,0)+1,0)+VLOOKUP($A128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1.5445146020305123</v>
      </c>
      <c r="D128" s="10">
        <f>(+VLOOKUP($A128,FIXED_CHARTER_COST,HLOOKUP(D$7,FIXED_CHARTER_COST,2,0)+1,0)+VLOOKUP($A128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0.33264596844431599</v>
      </c>
      <c r="E128" s="10">
        <f>(+VLOOKUP($A128,FIXED_CHARTER_COST,HLOOKUP(E$7,FIXED_CHARTER_COST,2,0)+1,0)+VLOOKUP($A128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0.36306847393535485</v>
      </c>
      <c r="F128" s="10">
        <f>(+VLOOKUP($A128,FIXED_CHARTER_COST,HLOOKUP(F$7,FIXED_CHARTER_COST,2,0)+1,0)+VLOOKUP($A128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0.60995190027805191</v>
      </c>
      <c r="G128" s="10">
        <f>(+VLOOKUP($A128,FIXED_CHARTER_COST,HLOOKUP(G$7,FIXED_CHARTER_COST,2,0)+1,0)+VLOOKUP($A128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0.74135318220898927</v>
      </c>
      <c r="H128" s="10">
        <f>(+VLOOKUP($A128,FIXED_CHARTER_COST,HLOOKUP(H$7,FIXED_CHARTER_COST,2,0)+1,0)+VLOOKUP($A128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0.62835768774730105</v>
      </c>
      <c r="I128" s="10">
        <f>(+VLOOKUP($A128,FIXED_CHARTER_COST,HLOOKUP(I$7,FIXED_CHARTER_COST,2,0)+1,0)+VLOOKUP($A128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0.75477999354774317</v>
      </c>
    </row>
    <row r="129" spans="1:9" x14ac:dyDescent="0.2">
      <c r="A129" s="179">
        <f>+SHIPS!B145</f>
        <v>40330</v>
      </c>
      <c r="B129" s="10">
        <f>(+VLOOKUP($A129,FIXED_CHARTER_COST,HLOOKUP(B$7,FIXED_CHARTER_COST,2,0)+1,0)+VLOOKUP($A129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1.4189563772734948</v>
      </c>
      <c r="C129" s="10">
        <f>(+VLOOKUP($A129,FIXED_CHARTER_COST,HLOOKUP(C$7,FIXED_CHARTER_COST,2,0)+1,0)+VLOOKUP($A129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1.5454686915159603</v>
      </c>
      <c r="D129" s="10">
        <f>(+VLOOKUP($A129,FIXED_CHARTER_COST,HLOOKUP(D$7,FIXED_CHARTER_COST,2,0)+1,0)+VLOOKUP($A129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0.3327467229038617</v>
      </c>
      <c r="E129" s="10">
        <f>(+VLOOKUP($A129,FIXED_CHARTER_COST,HLOOKUP(E$7,FIXED_CHARTER_COST,2,0)+1,0)+VLOOKUP($A129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0.36317762459986275</v>
      </c>
      <c r="F129" s="10">
        <f>(+VLOOKUP($A129,FIXED_CHARTER_COST,HLOOKUP(F$7,FIXED_CHARTER_COST,2,0)+1,0)+VLOOKUP($A129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0.61012822058225691</v>
      </c>
      <c r="G129" s="10">
        <f>(+VLOOKUP($A129,FIXED_CHARTER_COST,HLOOKUP(G$7,FIXED_CHARTER_COST,2,0)+1,0)+VLOOKUP($A129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0.74157148353800506</v>
      </c>
      <c r="H129" s="10">
        <f>(+VLOOKUP($A129,FIXED_CHARTER_COST,HLOOKUP(H$7,FIXED_CHARTER_COST,2,0)+1,0)+VLOOKUP($A129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0.62875372489220394</v>
      </c>
      <c r="I129" s="10">
        <f>(+VLOOKUP($A129,FIXED_CHARTER_COST,HLOOKUP(I$7,FIXED_CHARTER_COST,2,0)+1,0)+VLOOKUP($A129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0.75526603913466939</v>
      </c>
    </row>
    <row r="130" spans="1:9" x14ac:dyDescent="0.2">
      <c r="A130" s="179">
        <f>+SHIPS!B146</f>
        <v>40360</v>
      </c>
      <c r="B130" s="10">
        <f>(+VLOOKUP($A130,FIXED_CHARTER_COST,HLOOKUP(B$7,FIXED_CHARTER_COST,2,0)+1,0)+VLOOKUP($A130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1.4198222584857596</v>
      </c>
      <c r="C130" s="10">
        <f>(+VLOOKUP($A130,FIXED_CHARTER_COST,HLOOKUP(C$7,FIXED_CHARTER_COST,2,0)+1,0)+VLOOKUP($A130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1.5464247686878363</v>
      </c>
      <c r="D130" s="10">
        <f>(+VLOOKUP($A130,FIXED_CHARTER_COST,HLOOKUP(D$7,FIXED_CHARTER_COST,2,0)+1,0)+VLOOKUP($A130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0.33284768726853148</v>
      </c>
      <c r="E130" s="10">
        <f>(+VLOOKUP($A130,FIXED_CHARTER_COST,HLOOKUP(E$7,FIXED_CHARTER_COST,2,0)+1,0)+VLOOKUP($A130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0.36328700266158825</v>
      </c>
      <c r="F130" s="10">
        <f>(+VLOOKUP($A130,FIXED_CHARTER_COST,HLOOKUP(F$7,FIXED_CHARTER_COST,2,0)+1,0)+VLOOKUP($A130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0.61030490822042904</v>
      </c>
      <c r="G130" s="10">
        <f>(+VLOOKUP($A130,FIXED_CHARTER_COST,HLOOKUP(G$7,FIXED_CHARTER_COST,2,0)+1,0)+VLOOKUP($A130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0.74179023966145619</v>
      </c>
      <c r="H130" s="10">
        <f>(+VLOOKUP($A130,FIXED_CHARTER_COST,HLOOKUP(H$7,FIXED_CHARTER_COST,2,0)+1,0)+VLOOKUP($A130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0.62915058711449201</v>
      </c>
      <c r="I130" s="10">
        <f>(+VLOOKUP($A130,FIXED_CHARTER_COST,HLOOKUP(I$7,FIXED_CHARTER_COST,2,0)+1,0)+VLOOKUP($A130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0.75575309731656848</v>
      </c>
    </row>
    <row r="131" spans="1:9" x14ac:dyDescent="0.2">
      <c r="A131" s="179">
        <f>+SHIPS!B147</f>
        <v>40391</v>
      </c>
      <c r="B131" s="10">
        <f>(+VLOOKUP($A131,FIXED_CHARTER_COST,HLOOKUP(B$7,FIXED_CHARTER_COST,2,0)+1,0)+VLOOKUP($A131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1.4206899436172169</v>
      </c>
      <c r="C131" s="10">
        <f>(+VLOOKUP($A131,FIXED_CHARTER_COST,HLOOKUP(C$7,FIXED_CHARTER_COST,2,0)+1,0)+VLOOKUP($A131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1.5473828376871535</v>
      </c>
      <c r="D131" s="10">
        <f>(+VLOOKUP($A131,FIXED_CHARTER_COST,HLOOKUP(D$7,FIXED_CHARTER_COST,2,0)+1,0)+VLOOKUP($A131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0.33294886197562762</v>
      </c>
      <c r="E131" s="10">
        <f>(+VLOOKUP($A131,FIXED_CHARTER_COST,HLOOKUP(E$7,FIXED_CHARTER_COST,2,0)+1,0)+VLOOKUP($A131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0.36339660859427575</v>
      </c>
      <c r="F131" s="10">
        <f>(+VLOOKUP($A131,FIXED_CHARTER_COST,HLOOKUP(F$7,FIXED_CHARTER_COST,2,0)+1,0)+VLOOKUP($A131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0.61048196395784726</v>
      </c>
      <c r="G131" s="10">
        <f>(+VLOOKUP($A131,FIXED_CHARTER_COST,HLOOKUP(G$7,FIXED_CHARTER_COST,2,0)+1,0)+VLOOKUP($A131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0.74200945152683118</v>
      </c>
      <c r="H131" s="10">
        <f>(+VLOOKUP($A131,FIXED_CHARTER_COST,HLOOKUP(H$7,FIXED_CHARTER_COST,2,0)+1,0)+VLOOKUP($A131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0.62954827613307662</v>
      </c>
      <c r="I131" s="10">
        <f>(+VLOOKUP($A131,FIXED_CHARTER_COST,HLOOKUP(I$7,FIXED_CHARTER_COST,2,0)+1,0)+VLOOKUP($A131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0.75624117020301318</v>
      </c>
    </row>
    <row r="132" spans="1:9" x14ac:dyDescent="0.2">
      <c r="A132" s="179">
        <f>+SHIPS!B148</f>
        <v>40422</v>
      </c>
      <c r="B132" s="10">
        <f>(+VLOOKUP($A132,FIXED_CHARTER_COST,HLOOKUP(B$7,FIXED_CHARTER_COST,2,0)+1,0)+VLOOKUP($A132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1.4215594364260313</v>
      </c>
      <c r="C132" s="10">
        <f>(+VLOOKUP($A132,FIXED_CHARTER_COST,HLOOKUP(C$7,FIXED_CHARTER_COST,2,0)+1,0)+VLOOKUP($A132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1.5483429026635529</v>
      </c>
      <c r="D132" s="10">
        <f>(+VLOOKUP($A132,FIXED_CHARTER_COST,HLOOKUP(D$7,FIXED_CHARTER_COST,2,0)+1,0)+VLOOKUP($A132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0.33305024746336354</v>
      </c>
      <c r="E132" s="10">
        <f>(+VLOOKUP($A132,FIXED_CHARTER_COST,HLOOKUP(E$7,FIXED_CHARTER_COST,2,0)+1,0)+VLOOKUP($A132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0.36350644287265638</v>
      </c>
      <c r="F132" s="10">
        <f>(+VLOOKUP($A132,FIXED_CHARTER_COST,HLOOKUP(F$7,FIXED_CHARTER_COST,2,0)+1,0)+VLOOKUP($A132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0.61065938856138524</v>
      </c>
      <c r="G132" s="10">
        <f>(+VLOOKUP($A132,FIXED_CHARTER_COST,HLOOKUP(G$7,FIXED_CHARTER_COST,2,0)+1,0)+VLOOKUP($A132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0.74222912008359232</v>
      </c>
      <c r="H132" s="10">
        <f>(+VLOOKUP($A132,FIXED_CHARTER_COST,HLOOKUP(H$7,FIXED_CHARTER_COST,2,0)+1,0)+VLOOKUP($A132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0.62994679367044992</v>
      </c>
      <c r="I132" s="10">
        <f>(+VLOOKUP($A132,FIXED_CHARTER_COST,HLOOKUP(I$7,FIXED_CHARTER_COST,2,0)+1,0)+VLOOKUP($A132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0.75673025990797127</v>
      </c>
    </row>
    <row r="133" spans="1:9" x14ac:dyDescent="0.2">
      <c r="A133" s="179">
        <f>+SHIPS!B149</f>
        <v>40452</v>
      </c>
      <c r="B133" s="10">
        <f>(+VLOOKUP($A133,FIXED_CHARTER_COST,HLOOKUP(B$7,FIXED_CHARTER_COST,2,0)+1,0)+VLOOKUP($A133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1.4224307406781973</v>
      </c>
      <c r="C133" s="10">
        <f>(+VLOOKUP($A133,FIXED_CHARTER_COST,HLOOKUP(C$7,FIXED_CHARTER_COST,2,0)+1,0)+VLOOKUP($A133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1.5493049677753195</v>
      </c>
      <c r="D133" s="10">
        <f>(+VLOOKUP($A133,FIXED_CHARTER_COST,HLOOKUP(D$7,FIXED_CHARTER_COST,2,0)+1,0)+VLOOKUP($A133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0.33315184417086563</v>
      </c>
      <c r="E133" s="10">
        <f>(+VLOOKUP($A133,FIXED_CHARTER_COST,HLOOKUP(E$7,FIXED_CHARTER_COST,2,0)+1,0)+VLOOKUP($A133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0.36361650597245027</v>
      </c>
      <c r="F133" s="10">
        <f>(+VLOOKUP($A133,FIXED_CHARTER_COST,HLOOKUP(F$7,FIXED_CHARTER_COST,2,0)+1,0)+VLOOKUP($A133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0.61083718279951382</v>
      </c>
      <c r="G133" s="10">
        <f>(+VLOOKUP($A133,FIXED_CHARTER_COST,HLOOKUP(G$7,FIXED_CHARTER_COST,2,0)+1,0)+VLOOKUP($A133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0.7424492462831801</v>
      </c>
      <c r="H133" s="10">
        <f>(+VLOOKUP($A133,FIXED_CHARTER_COST,HLOOKUP(H$7,FIXED_CHARTER_COST,2,0)+1,0)+VLOOKUP($A133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0.63034614145269263</v>
      </c>
      <c r="I133" s="10">
        <f>(+VLOOKUP($A133,FIXED_CHARTER_COST,HLOOKUP(I$7,FIXED_CHARTER_COST,2,0)+1,0)+VLOOKUP($A133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0.75722036854981467</v>
      </c>
    </row>
    <row r="134" spans="1:9" x14ac:dyDescent="0.2">
      <c r="A134" s="179">
        <f>+SHIPS!B150</f>
        <v>40483</v>
      </c>
      <c r="B134" s="10">
        <f>(+VLOOKUP($A134,FIXED_CHARTER_COST,HLOOKUP(B$7,FIXED_CHARTER_COST,2,0)+1,0)+VLOOKUP($A134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1.4233038601475556</v>
      </c>
      <c r="C134" s="10">
        <f>(+VLOOKUP($A134,FIXED_CHARTER_COST,HLOOKUP(C$7,FIXED_CHARTER_COST,2,0)+1,0)+VLOOKUP($A134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1.5502690371894026</v>
      </c>
      <c r="D134" s="10">
        <f>(+VLOOKUP($A134,FIXED_CHARTER_COST,HLOOKUP(D$7,FIXED_CHARTER_COST,2,0)+1,0)+VLOOKUP($A134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0.33325365253817496</v>
      </c>
      <c r="E134" s="10">
        <f>(+VLOOKUP($A134,FIXED_CHARTER_COST,HLOOKUP(E$7,FIXED_CHARTER_COST,2,0)+1,0)+VLOOKUP($A134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0.36372679837036875</v>
      </c>
      <c r="F134" s="10">
        <f>(+VLOOKUP($A134,FIXED_CHARTER_COST,HLOOKUP(F$7,FIXED_CHARTER_COST,2,0)+1,0)+VLOOKUP($A134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0.61101534744230512</v>
      </c>
      <c r="G134" s="10">
        <f>(+VLOOKUP($A134,FIXED_CHARTER_COST,HLOOKUP(G$7,FIXED_CHARTER_COST,2,0)+1,0)+VLOOKUP($A134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0.74266983107901707</v>
      </c>
      <c r="H134" s="10">
        <f>(+VLOOKUP($A134,FIXED_CHARTER_COST,HLOOKUP(H$7,FIXED_CHARTER_COST,2,0)+1,0)+VLOOKUP($A134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0.63074632120948182</v>
      </c>
      <c r="I134" s="10">
        <f>(+VLOOKUP($A134,FIXED_CHARTER_COST,HLOOKUP(I$7,FIXED_CHARTER_COST,2,0)+1,0)+VLOOKUP($A134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0.75771149825132866</v>
      </c>
    </row>
    <row r="135" spans="1:9" x14ac:dyDescent="0.2">
      <c r="A135" s="179">
        <f>+SHIPS!B151</f>
        <v>40513</v>
      </c>
      <c r="B135" s="10">
        <f>(+VLOOKUP($A135,FIXED_CHARTER_COST,HLOOKUP(B$7,FIXED_CHARTER_COST,2,0)+1,0)+VLOOKUP($A135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1.4241787986158081</v>
      </c>
      <c r="C135" s="10">
        <f>(+VLOOKUP($A135,FIXED_CHARTER_COST,HLOOKUP(C$7,FIXED_CHARTER_COST,2,0)+1,0)+VLOOKUP($A135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1.5512351150814314</v>
      </c>
      <c r="D135" s="10">
        <f>(+VLOOKUP($A135,FIXED_CHARTER_COST,HLOOKUP(D$7,FIXED_CHARTER_COST,2,0)+1,0)+VLOOKUP($A135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0.33335567300624952</v>
      </c>
      <c r="E135" s="10">
        <f>(+VLOOKUP($A135,FIXED_CHARTER_COST,HLOOKUP(E$7,FIXED_CHARTER_COST,2,0)+1,0)+VLOOKUP($A135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0.36383732054411616</v>
      </c>
      <c r="F135" s="10">
        <f>(+VLOOKUP($A135,FIXED_CHARTER_COST,HLOOKUP(F$7,FIXED_CHARTER_COST,2,0)+1,0)+VLOOKUP($A135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0.61119388326143564</v>
      </c>
      <c r="G135" s="10">
        <f>(+VLOOKUP($A135,FIXED_CHARTER_COST,HLOOKUP(G$7,FIXED_CHARTER_COST,2,0)+1,0)+VLOOKUP($A135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0.742890875426512</v>
      </c>
      <c r="H135" s="10">
        <f>(+VLOOKUP($A135,FIXED_CHARTER_COST,HLOOKUP(H$7,FIXED_CHARTER_COST,2,0)+1,0)+VLOOKUP($A135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0.63114733467409756</v>
      </c>
      <c r="I135" s="10">
        <f>(+VLOOKUP($A135,FIXED_CHARTER_COST,HLOOKUP(I$7,FIXED_CHARTER_COST,2,0)+1,0)+VLOOKUP($A135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0.75820365113972066</v>
      </c>
    </row>
    <row r="136" spans="1:9" x14ac:dyDescent="0.2">
      <c r="A136" s="179">
        <f>+SHIPS!B152</f>
        <v>40544</v>
      </c>
      <c r="B136" s="10">
        <f>(+VLOOKUP($A136,FIXED_CHARTER_COST,HLOOKUP(B$7,FIXED_CHARTER_COST,2,0)+1,0)+VLOOKUP($A136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1.4250555598725363</v>
      </c>
      <c r="C136" s="10">
        <f>(+VLOOKUP($A136,FIXED_CHARTER_COST,HLOOKUP(C$7,FIXED_CHARTER_COST,2,0)+1,0)+VLOOKUP($A136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1.5522032056357353</v>
      </c>
      <c r="D136" s="10">
        <f>(+VLOOKUP($A136,FIXED_CHARTER_COST,HLOOKUP(D$7,FIXED_CHARTER_COST,2,0)+1,0)+VLOOKUP($A136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0.3334579060169659</v>
      </c>
      <c r="E136" s="10">
        <f>(+VLOOKUP($A136,FIXED_CHARTER_COST,HLOOKUP(E$7,FIXED_CHARTER_COST,2,0)+1,0)+VLOOKUP($A136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0.36394807297239223</v>
      </c>
      <c r="F136" s="10">
        <f>(+VLOOKUP($A136,FIXED_CHARTER_COST,HLOOKUP(F$7,FIXED_CHARTER_COST,2,0)+1,0)+VLOOKUP($A136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0.61137279103018938</v>
      </c>
      <c r="G136" s="10">
        <f>(+VLOOKUP($A136,FIXED_CHARTER_COST,HLOOKUP(G$7,FIXED_CHARTER_COST,2,0)+1,0)+VLOOKUP($A136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0.74311238028306414</v>
      </c>
      <c r="H136" s="10">
        <f>(+VLOOKUP($A136,FIXED_CHARTER_COST,HLOOKUP(H$7,FIXED_CHARTER_COST,2,0)+1,0)+VLOOKUP($A136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0.63154918358343137</v>
      </c>
      <c r="I136" s="10">
        <f>(+VLOOKUP($A136,FIXED_CHARTER_COST,HLOOKUP(I$7,FIXED_CHARTER_COST,2,0)+1,0)+VLOOKUP($A136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0.7586968293466303</v>
      </c>
    </row>
    <row r="137" spans="1:9" x14ac:dyDescent="0.2">
      <c r="A137" s="179">
        <f>+SHIPS!B153</f>
        <v>40575</v>
      </c>
      <c r="B137" s="10">
        <f>(+VLOOKUP($A137,FIXED_CHARTER_COST,HLOOKUP(B$7,FIXED_CHARTER_COST,2,0)+1,0)+VLOOKUP($A137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1.4259341477152159</v>
      </c>
      <c r="C137" s="10">
        <f>(+VLOOKUP($A137,FIXED_CHARTER_COST,HLOOKUP(C$7,FIXED_CHARTER_COST,2,0)+1,0)+VLOOKUP($A137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1.5531733130453607</v>
      </c>
      <c r="D137" s="10">
        <f>(+VLOOKUP($A137,FIXED_CHARTER_COST,HLOOKUP(D$7,FIXED_CHARTER_COST,2,0)+1,0)+VLOOKUP($A137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0.33356035201312134</v>
      </c>
      <c r="E137" s="10">
        <f>(+VLOOKUP($A137,FIXED_CHARTER_COST,HLOOKUP(E$7,FIXED_CHARTER_COST,2,0)+1,0)+VLOOKUP($A137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0.36405905613489392</v>
      </c>
      <c r="F137" s="10">
        <f>(+VLOOKUP($A137,FIXED_CHARTER_COST,HLOOKUP(F$7,FIXED_CHARTER_COST,2,0)+1,0)+VLOOKUP($A137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0.61155207152346125</v>
      </c>
      <c r="G137" s="10">
        <f>(+VLOOKUP($A137,FIXED_CHARTER_COST,HLOOKUP(G$7,FIXED_CHARTER_COST,2,0)+1,0)+VLOOKUP($A137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0.74333434660806752</v>
      </c>
      <c r="H137" s="10">
        <f>(+VLOOKUP($A137,FIXED_CHARTER_COST,HLOOKUP(H$7,FIXED_CHARTER_COST,2,0)+1,0)+VLOOKUP($A137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0.63195186967799277</v>
      </c>
      <c r="I137" s="10">
        <f>(+VLOOKUP($A137,FIXED_CHARTER_COST,HLOOKUP(I$7,FIXED_CHARTER_COST,2,0)+1,0)+VLOOKUP($A137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0.75919103500813756</v>
      </c>
    </row>
    <row r="138" spans="1:9" x14ac:dyDescent="0.2">
      <c r="A138" s="179">
        <f>+SHIPS!B154</f>
        <v>40603</v>
      </c>
      <c r="B138" s="10">
        <f>(+VLOOKUP($A138,FIXED_CHARTER_COST,HLOOKUP(B$7,FIXED_CHARTER_COST,2,0)+1,0)+VLOOKUP($A138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1.4268145659492346</v>
      </c>
      <c r="C138" s="10">
        <f>(+VLOOKUP($A138,FIXED_CHARTER_COST,HLOOKUP(C$7,FIXED_CHARTER_COST,2,0)+1,0)+VLOOKUP($A138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1.5541454415120894</v>
      </c>
      <c r="D138" s="10">
        <f>(+VLOOKUP($A138,FIXED_CHARTER_COST,HLOOKUP(D$7,FIXED_CHARTER_COST,2,0)+1,0)+VLOOKUP($A138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0.33366301143843541</v>
      </c>
      <c r="E138" s="10">
        <f>(+VLOOKUP($A138,FIXED_CHARTER_COST,HLOOKUP(E$7,FIXED_CHARTER_COST,2,0)+1,0)+VLOOKUP($A138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0.36417027051231748</v>
      </c>
      <c r="F138" s="10">
        <f>(+VLOOKUP($A138,FIXED_CHARTER_COST,HLOOKUP(F$7,FIXED_CHARTER_COST,2,0)+1,0)+VLOOKUP($A138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0.61173172551776089</v>
      </c>
      <c r="G138" s="10">
        <f>(+VLOOKUP($A138,FIXED_CHARTER_COST,HLOOKUP(G$7,FIXED_CHARTER_COST,2,0)+1,0)+VLOOKUP($A138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0.74355677536291465</v>
      </c>
      <c r="H138" s="10">
        <f>(+VLOOKUP($A138,FIXED_CHARTER_COST,HLOOKUP(H$7,FIXED_CHARTER_COST,2,0)+1,0)+VLOOKUP($A138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0.63235539470191804</v>
      </c>
      <c r="I138" s="10">
        <f>(+VLOOKUP($A138,FIXED_CHARTER_COST,HLOOKUP(I$7,FIXED_CHARTER_COST,2,0)+1,0)+VLOOKUP($A138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0.75968627026477309</v>
      </c>
    </row>
    <row r="139" spans="1:9" x14ac:dyDescent="0.2">
      <c r="A139" s="179">
        <f>+SHIPS!B155</f>
        <v>40634</v>
      </c>
      <c r="B139" s="10">
        <f>(+VLOOKUP($A139,FIXED_CHARTER_COST,HLOOKUP(B$7,FIXED_CHARTER_COST,2,0)+1,0)+VLOOKUP($A139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1.4276968183879073</v>
      </c>
      <c r="C139" s="10">
        <f>(+VLOOKUP($A139,FIXED_CHARTER_COST,HLOOKUP(C$7,FIXED_CHARTER_COST,2,0)+1,0)+VLOOKUP($A139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1.5551195952464576</v>
      </c>
      <c r="D139" s="10">
        <f>(+VLOOKUP($A139,FIXED_CHARTER_COST,HLOOKUP(D$7,FIXED_CHARTER_COST,2,0)+1,0)+VLOOKUP($A139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0.3337658847375522</v>
      </c>
      <c r="E139" s="10">
        <f>(+VLOOKUP($A139,FIXED_CHARTER_COST,HLOOKUP(E$7,FIXED_CHARTER_COST,2,0)+1,0)+VLOOKUP($A139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0.36428171658636072</v>
      </c>
      <c r="F139" s="10">
        <f>(+VLOOKUP($A139,FIXED_CHARTER_COST,HLOOKUP(F$7,FIXED_CHARTER_COST,2,0)+1,0)+VLOOKUP($A139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0.61191175379121532</v>
      </c>
      <c r="G139" s="10">
        <f>(+VLOOKUP($A139,FIXED_CHARTER_COST,HLOOKUP(G$7,FIXED_CHARTER_COST,2,0)+1,0)+VLOOKUP($A139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0.743779667511001</v>
      </c>
      <c r="H139" s="10">
        <f>(+VLOOKUP($A139,FIXED_CHARTER_COST,HLOOKUP(H$7,FIXED_CHARTER_COST,2,0)+1,0)+VLOOKUP($A139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0.63275976040297643</v>
      </c>
      <c r="I139" s="10">
        <f>(+VLOOKUP($A139,FIXED_CHARTER_COST,HLOOKUP(I$7,FIXED_CHARTER_COST,2,0)+1,0)+VLOOKUP($A139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0.76018253726152651</v>
      </c>
    </row>
    <row r="140" spans="1:9" x14ac:dyDescent="0.2">
      <c r="A140" s="179">
        <f>+SHIPS!B156</f>
        <v>40664</v>
      </c>
      <c r="B140" s="10">
        <f>(+VLOOKUP($A140,FIXED_CHARTER_COST,HLOOKUP(B$7,FIXED_CHARTER_COST,2,0)+1,0)+VLOOKUP($A140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1.4285809088524941</v>
      </c>
      <c r="C140" s="10">
        <f>(+VLOOKUP($A140,FIXED_CHARTER_COST,HLOOKUP(C$7,FIXED_CHARTER_COST,2,0)+1,0)+VLOOKUP($A140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1.5560957784677723</v>
      </c>
      <c r="D140" s="10">
        <f>(+VLOOKUP($A140,FIXED_CHARTER_COST,HLOOKUP(D$7,FIXED_CHARTER_COST,2,0)+1,0)+VLOOKUP($A140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0.33386897235604213</v>
      </c>
      <c r="E140" s="10">
        <f>(+VLOOKUP($A140,FIXED_CHARTER_COST,HLOOKUP(E$7,FIXED_CHARTER_COST,2,0)+1,0)+VLOOKUP($A140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0.36439339483972483</v>
      </c>
      <c r="F140" s="10">
        <f>(+VLOOKUP($A140,FIXED_CHARTER_COST,HLOOKUP(F$7,FIXED_CHARTER_COST,2,0)+1,0)+VLOOKUP($A140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0.61209215712357268</v>
      </c>
      <c r="G140" s="10">
        <f>(+VLOOKUP($A140,FIXED_CHARTER_COST,HLOOKUP(G$7,FIXED_CHARTER_COST,2,0)+1,0)+VLOOKUP($A140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0.74400302401772922</v>
      </c>
      <c r="H140" s="10">
        <f>(+VLOOKUP($A140,FIXED_CHARTER_COST,HLOOKUP(H$7,FIXED_CHARTER_COST,2,0)+1,0)+VLOOKUP($A140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0.63316496853257864</v>
      </c>
      <c r="I140" s="10">
        <f>(+VLOOKUP($A140,FIXED_CHARTER_COST,HLOOKUP(I$7,FIXED_CHARTER_COST,2,0)+1,0)+VLOOKUP($A140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0.76067983814785667</v>
      </c>
    </row>
    <row r="141" spans="1:9" x14ac:dyDescent="0.2">
      <c r="A141" s="179">
        <f>+SHIPS!B157</f>
        <v>40695</v>
      </c>
      <c r="B141" s="10">
        <f>(+VLOOKUP($A141,FIXED_CHARTER_COST,HLOOKUP(B$7,FIXED_CHARTER_COST,2,0)+1,0)+VLOOKUP($A141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1.4294668411722153</v>
      </c>
      <c r="C141" s="10">
        <f>(+VLOOKUP($A141,FIXED_CHARTER_COST,HLOOKUP(C$7,FIXED_CHARTER_COST,2,0)+1,0)+VLOOKUP($A141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1.5570739954041308</v>
      </c>
      <c r="D141" s="10">
        <f>(+VLOOKUP($A141,FIXED_CHARTER_COST,HLOOKUP(D$7,FIXED_CHARTER_COST,2,0)+1,0)+VLOOKUP($A141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0.33397227474040392</v>
      </c>
      <c r="E141" s="10">
        <f>(+VLOOKUP($A141,FIXED_CHARTER_COST,HLOOKUP(E$7,FIXED_CHARTER_COST,2,0)+1,0)+VLOOKUP($A141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0.36450530575611678</v>
      </c>
      <c r="F141" s="10">
        <f>(+VLOOKUP($A141,FIXED_CHARTER_COST,HLOOKUP(F$7,FIXED_CHARTER_COST,2,0)+1,0)+VLOOKUP($A141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0.61227293629620583</v>
      </c>
      <c r="G141" s="10">
        <f>(+VLOOKUP($A141,FIXED_CHARTER_COST,HLOOKUP(G$7,FIXED_CHARTER_COST,2,0)+1,0)+VLOOKUP($A141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0.74422684585051313</v>
      </c>
      <c r="H141" s="10">
        <f>(+VLOOKUP($A141,FIXED_CHARTER_COST,HLOOKUP(H$7,FIXED_CHARTER_COST,2,0)+1,0)+VLOOKUP($A141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0.63357102084578421</v>
      </c>
      <c r="I141" s="10">
        <f>(+VLOOKUP($A141,FIXED_CHARTER_COST,HLOOKUP(I$7,FIXED_CHARTER_COST,2,0)+1,0)+VLOOKUP($A141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0.76117817507769969</v>
      </c>
    </row>
    <row r="142" spans="1:9" x14ac:dyDescent="0.2">
      <c r="A142" s="179">
        <f>+SHIPS!B158</f>
        <v>40725</v>
      </c>
      <c r="B142" s="10">
        <f>(+VLOOKUP($A142,FIXED_CHARTER_COST,HLOOKUP(B$7,FIXED_CHARTER_COST,2,0)+1,0)+VLOOKUP($A142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1.4303546191842693</v>
      </c>
      <c r="C142" s="10">
        <f>(+VLOOKUP($A142,FIXED_CHARTER_COST,HLOOKUP(C$7,FIXED_CHARTER_COST,2,0)+1,0)+VLOOKUP($A142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1.5580542502924406</v>
      </c>
      <c r="D142" s="10">
        <f>(+VLOOKUP($A142,FIXED_CHARTER_COST,HLOOKUP(D$7,FIXED_CHARTER_COST,2,0)+1,0)+VLOOKUP($A142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0.33407579233806645</v>
      </c>
      <c r="E142" s="10">
        <f>(+VLOOKUP($A142,FIXED_CHARTER_COST,HLOOKUP(E$7,FIXED_CHARTER_COST,2,0)+1,0)+VLOOKUP($A142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0.36461744982025118</v>
      </c>
      <c r="F142" s="10">
        <f>(+VLOOKUP($A142,FIXED_CHARTER_COST,HLOOKUP(F$7,FIXED_CHARTER_COST,2,0)+1,0)+VLOOKUP($A142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0.61245409209211532</v>
      </c>
      <c r="G142" s="10">
        <f>(+VLOOKUP($A142,FIXED_CHARTER_COST,HLOOKUP(G$7,FIXED_CHARTER_COST,2,0)+1,0)+VLOOKUP($A142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0.74445113397878204</v>
      </c>
      <c r="H142" s="10">
        <f>(+VLOOKUP($A142,FIXED_CHARTER_COST,HLOOKUP(H$7,FIXED_CHARTER_COST,2,0)+1,0)+VLOOKUP($A142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0.63397791910130896</v>
      </c>
      <c r="I142" s="10">
        <f>(+VLOOKUP($A142,FIXED_CHARTER_COST,HLOOKUP(I$7,FIXED_CHARTER_COST,2,0)+1,0)+VLOOKUP($A142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0.76167755020948014</v>
      </c>
    </row>
    <row r="143" spans="1:9" x14ac:dyDescent="0.2">
      <c r="A143" s="179">
        <f>+SHIPS!B159</f>
        <v>40756</v>
      </c>
      <c r="B143" s="10">
        <f>(+VLOOKUP($A143,FIXED_CHARTER_COST,HLOOKUP(B$7,FIXED_CHARTER_COST,2,0)+1,0)+VLOOKUP($A143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1.4312442467338486</v>
      </c>
      <c r="C143" s="10">
        <f>(+VLOOKUP($A143,FIXED_CHARTER_COST,HLOOKUP(C$7,FIXED_CHARTER_COST,2,0)+1,0)+VLOOKUP($A143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1.5590365473784342</v>
      </c>
      <c r="D143" s="10">
        <f>(+VLOOKUP($A143,FIXED_CHARTER_COST,HLOOKUP(D$7,FIXED_CHARTER_COST,2,0)+1,0)+VLOOKUP($A143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0.33417952559739084</v>
      </c>
      <c r="E143" s="10">
        <f>(+VLOOKUP($A143,FIXED_CHARTER_COST,HLOOKUP(E$7,FIXED_CHARTER_COST,2,0)+1,0)+VLOOKUP($A143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0.3647298275178526</v>
      </c>
      <c r="F143" s="10">
        <f>(+VLOOKUP($A143,FIXED_CHARTER_COST,HLOOKUP(F$7,FIXED_CHARTER_COST,2,0)+1,0)+VLOOKUP($A143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0.61263562529593285</v>
      </c>
      <c r="G143" s="10">
        <f>(+VLOOKUP($A143,FIXED_CHARTER_COST,HLOOKUP(G$7,FIXED_CHARTER_COST,2,0)+1,0)+VLOOKUP($A143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0.74467588937398477</v>
      </c>
      <c r="H143" s="10">
        <f>(+VLOOKUP($A143,FIXED_CHARTER_COST,HLOOKUP(H$7,FIXED_CHARTER_COST,2,0)+1,0)+VLOOKUP($A143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0.63438566506153282</v>
      </c>
      <c r="I143" s="10">
        <f>(+VLOOKUP($A143,FIXED_CHARTER_COST,HLOOKUP(I$7,FIXED_CHARTER_COST,2,0)+1,0)+VLOOKUP($A143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0.76217796570611851</v>
      </c>
    </row>
    <row r="144" spans="1:9" x14ac:dyDescent="0.2">
      <c r="A144" s="179">
        <f>+SHIPS!B160</f>
        <v>40787</v>
      </c>
      <c r="B144" s="10">
        <f>(+VLOOKUP($A144,FIXED_CHARTER_COST,HLOOKUP(B$7,FIXED_CHARTER_COST,2,0)+1,0)+VLOOKUP($A144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1.4321357276741558</v>
      </c>
      <c r="C144" s="10">
        <f>(+VLOOKUP($A144,FIXED_CHARTER_COST,HLOOKUP(C$7,FIXED_CHARTER_COST,2,0)+1,0)+VLOOKUP($A144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1.5600208909166902</v>
      </c>
      <c r="D144" s="10">
        <f>(+VLOOKUP($A144,FIXED_CHARTER_COST,HLOOKUP(D$7,FIXED_CHARTER_COST,2,0)+1,0)+VLOOKUP($A144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0.33428347496767208</v>
      </c>
      <c r="E144" s="10">
        <f>(+VLOOKUP($A144,FIXED_CHARTER_COST,HLOOKUP(E$7,FIXED_CHARTER_COST,2,0)+1,0)+VLOOKUP($A144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0.36484243933565735</v>
      </c>
      <c r="F144" s="10">
        <f>(+VLOOKUP($A144,FIXED_CHARTER_COST,HLOOKUP(F$7,FIXED_CHARTER_COST,2,0)+1,0)+VLOOKUP($A144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0.61281753669392514</v>
      </c>
      <c r="G144" s="10">
        <f>(+VLOOKUP($A144,FIXED_CHARTER_COST,HLOOKUP(G$7,FIXED_CHARTER_COST,2,0)+1,0)+VLOOKUP($A144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0.74490111300959427</v>
      </c>
      <c r="H144" s="10">
        <f>(+VLOOKUP($A144,FIXED_CHARTER_COST,HLOOKUP(H$7,FIXED_CHARTER_COST,2,0)+1,0)+VLOOKUP($A144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0.63479426049250698</v>
      </c>
      <c r="I144" s="10">
        <f>(+VLOOKUP($A144,FIXED_CHARTER_COST,HLOOKUP(I$7,FIXED_CHARTER_COST,2,0)+1,0)+VLOOKUP($A144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0.76267942373504127</v>
      </c>
    </row>
    <row r="145" spans="1:9" x14ac:dyDescent="0.2">
      <c r="A145" s="179">
        <f>+SHIPS!B161</f>
        <v>40817</v>
      </c>
      <c r="B145" s="10">
        <f>(+VLOOKUP($A145,FIXED_CHARTER_COST,HLOOKUP(B$7,FIXED_CHARTER_COST,2,0)+1,0)+VLOOKUP($A145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1.4330290658664224</v>
      </c>
      <c r="C145" s="10">
        <f>(+VLOOKUP($A145,FIXED_CHARTER_COST,HLOOKUP(C$7,FIXED_CHARTER_COST,2,0)+1,0)+VLOOKUP($A145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1.5610072851706513</v>
      </c>
      <c r="D145" s="10">
        <f>(+VLOOKUP($A145,FIXED_CHARTER_COST,HLOOKUP(D$7,FIXED_CHARTER_COST,2,0)+1,0)+VLOOKUP($A145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0.33438764089914147</v>
      </c>
      <c r="E145" s="10">
        <f>(+VLOOKUP($A145,FIXED_CHARTER_COST,HLOOKUP(E$7,FIXED_CHARTER_COST,2,0)+1,0)+VLOOKUP($A145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0.36495528576141573</v>
      </c>
      <c r="F145" s="10">
        <f>(+VLOOKUP($A145,FIXED_CHARTER_COST,HLOOKUP(F$7,FIXED_CHARTER_COST,2,0)+1,0)+VLOOKUP($A145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0.61299982707399647</v>
      </c>
      <c r="G145" s="10">
        <f>(+VLOOKUP($A145,FIXED_CHARTER_COST,HLOOKUP(G$7,FIXED_CHARTER_COST,2,0)+1,0)+VLOOKUP($A145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0.74512680586111113</v>
      </c>
      <c r="H145" s="10">
        <f>(+VLOOKUP($A145,FIXED_CHARTER_COST,HLOOKUP(H$7,FIXED_CHARTER_COST,2,0)+1,0)+VLOOKUP($A145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0.63520370716396246</v>
      </c>
      <c r="I145" s="10">
        <f>(+VLOOKUP($A145,FIXED_CHARTER_COST,HLOOKUP(I$7,FIXED_CHARTER_COST,2,0)+1,0)+VLOOKUP($A145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0.76318192646819127</v>
      </c>
    </row>
    <row r="146" spans="1:9" x14ac:dyDescent="0.2">
      <c r="A146" s="179">
        <f>+SHIPS!B162</f>
        <v>40848</v>
      </c>
      <c r="B146" s="10">
        <f>(+VLOOKUP($A146,FIXED_CHARTER_COST,HLOOKUP(B$7,FIXED_CHARTER_COST,2,0)+1,0)+VLOOKUP($A146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1.4339242651799227</v>
      </c>
      <c r="C146" s="10">
        <f>(+VLOOKUP($A146,FIXED_CHARTER_COST,HLOOKUP(C$7,FIXED_CHARTER_COST,2,0)+1,0)+VLOOKUP($A146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1.5619957344126412</v>
      </c>
      <c r="D146" s="10">
        <f>(+VLOOKUP($A146,FIXED_CHARTER_COST,HLOOKUP(D$7,FIXED_CHARTER_COST,2,0)+1,0)+VLOOKUP($A146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0.33449202384296806</v>
      </c>
      <c r="E146" s="10">
        <f>(+VLOOKUP($A146,FIXED_CHARTER_COST,HLOOKUP(E$7,FIXED_CHARTER_COST,2,0)+1,0)+VLOOKUP($A146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0.36506836728389452</v>
      </c>
      <c r="F146" s="10">
        <f>(+VLOOKUP($A146,FIXED_CHARTER_COST,HLOOKUP(F$7,FIXED_CHARTER_COST,2,0)+1,0)+VLOOKUP($A146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0.61318249722569307</v>
      </c>
      <c r="G146" s="10">
        <f>(+VLOOKUP($A146,FIXED_CHARTER_COST,HLOOKUP(G$7,FIXED_CHARTER_COST,2,0)+1,0)+VLOOKUP($A146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0.74535296890606872</v>
      </c>
      <c r="H146" s="10">
        <f>(+VLOOKUP($A146,FIXED_CHARTER_COST,HLOOKUP(H$7,FIXED_CHARTER_COST,2,0)+1,0)+VLOOKUP($A146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0.63561400684931679</v>
      </c>
      <c r="I146" s="10">
        <f>(+VLOOKUP($A146,FIXED_CHARTER_COST,HLOOKUP(I$7,FIXED_CHARTER_COST,2,0)+1,0)+VLOOKUP($A146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0.76368547608203519</v>
      </c>
    </row>
    <row r="147" spans="1:9" x14ac:dyDescent="0.2">
      <c r="A147" s="179">
        <f>+SHIPS!B163</f>
        <v>40878</v>
      </c>
      <c r="B147" s="10">
        <f>(+VLOOKUP($A147,FIXED_CHARTER_COST,HLOOKUP(B$7,FIXED_CHARTER_COST,2,0)+1,0)+VLOOKUP($A147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1.4348213294919927</v>
      </c>
      <c r="C147" s="10">
        <f>(+VLOOKUP($A147,FIXED_CHARTER_COST,HLOOKUP(C$7,FIXED_CHARTER_COST,2,0)+1,0)+VLOOKUP($A147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1.5629862429238852</v>
      </c>
      <c r="D147" s="10">
        <f>(+VLOOKUP($A147,FIXED_CHARTER_COST,HLOOKUP(D$7,FIXED_CHARTER_COST,2,0)+1,0)+VLOOKUP($A147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0.33459662425126097</v>
      </c>
      <c r="E147" s="10">
        <f>(+VLOOKUP($A147,FIXED_CHARTER_COST,HLOOKUP(E$7,FIXED_CHARTER_COST,2,0)+1,0)+VLOOKUP($A147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0.36518168439287851</v>
      </c>
      <c r="F147" s="10">
        <f>(+VLOOKUP($A147,FIXED_CHARTER_COST,HLOOKUP(F$7,FIXED_CHARTER_COST,2,0)+1,0)+VLOOKUP($A147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0.61336554794020559</v>
      </c>
      <c r="G147" s="10">
        <f>(+VLOOKUP($A147,FIXED_CHARTER_COST,HLOOKUP(G$7,FIXED_CHARTER_COST,2,0)+1,0)+VLOOKUP($A147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0.7455796031240367</v>
      </c>
      <c r="H147" s="10">
        <f>(+VLOOKUP($A147,FIXED_CHARTER_COST,HLOOKUP(H$7,FIXED_CHARTER_COST,2,0)+1,0)+VLOOKUP($A147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0.63602516132568221</v>
      </c>
      <c r="I147" s="10">
        <f>(+VLOOKUP($A147,FIXED_CHARTER_COST,HLOOKUP(I$7,FIXED_CHARTER_COST,2,0)+1,0)+VLOOKUP($A147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0.7641900747575745</v>
      </c>
    </row>
    <row r="148" spans="1:9" x14ac:dyDescent="0.2">
      <c r="A148" s="179">
        <f>+SHIPS!B164</f>
        <v>40909</v>
      </c>
      <c r="B148" s="10">
        <f>(+VLOOKUP($A148,FIXED_CHARTER_COST,HLOOKUP(B$7,FIXED_CHARTER_COST,2,0)+1,0)+VLOOKUP($A148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1.4357202626880463</v>
      </c>
      <c r="C148" s="10">
        <f>(+VLOOKUP($A148,FIXED_CHARTER_COST,HLOOKUP(C$7,FIXED_CHARTER_COST,2,0)+1,0)+VLOOKUP($A148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1.5639788149945277</v>
      </c>
      <c r="D148" s="10">
        <f>(+VLOOKUP($A148,FIXED_CHARTER_COST,HLOOKUP(D$7,FIXED_CHARTER_COST,2,0)+1,0)+VLOOKUP($A148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0.33470144257707113</v>
      </c>
      <c r="E148" s="10">
        <f>(+VLOOKUP($A148,FIXED_CHARTER_COST,HLOOKUP(E$7,FIXED_CHARTER_COST,2,0)+1,0)+VLOOKUP($A148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0.36529523757917287</v>
      </c>
      <c r="F148" s="10">
        <f>(+VLOOKUP($A148,FIXED_CHARTER_COST,HLOOKUP(F$7,FIXED_CHARTER_COST,2,0)+1,0)+VLOOKUP($A148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0.6135489800103735</v>
      </c>
      <c r="G148" s="10">
        <f>(+VLOOKUP($A148,FIXED_CHARTER_COST,HLOOKUP(G$7,FIXED_CHARTER_COST,2,0)+1,0)+VLOOKUP($A148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0.74580670949662542</v>
      </c>
      <c r="H148" s="10">
        <f>(+VLOOKUP($A148,FIXED_CHARTER_COST,HLOOKUP(H$7,FIXED_CHARTER_COST,2,0)+1,0)+VLOOKUP($A148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0.63643717237387343</v>
      </c>
      <c r="I148" s="10">
        <f>(+VLOOKUP($A148,FIXED_CHARTER_COST,HLOOKUP(I$7,FIXED_CHARTER_COST,2,0)+1,0)+VLOOKUP($A148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0.76469572468035474</v>
      </c>
    </row>
    <row r="149" spans="1:9" x14ac:dyDescent="0.2">
      <c r="A149" s="179">
        <f>+SHIPS!B165</f>
        <v>40940</v>
      </c>
      <c r="B149" s="10">
        <f>(+VLOOKUP($A149,FIXED_CHARTER_COST,HLOOKUP(B$7,FIXED_CHARTER_COST,2,0)+1,0)+VLOOKUP($A149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1.4366210686615917</v>
      </c>
      <c r="C149" s="10">
        <f>(+VLOOKUP($A149,FIXED_CHARTER_COST,HLOOKUP(C$7,FIXED_CHARTER_COST,2,0)+1,0)+VLOOKUP($A149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1.5649734549236507</v>
      </c>
      <c r="D149" s="10">
        <f>(+VLOOKUP($A149,FIXED_CHARTER_COST,HLOOKUP(D$7,FIXED_CHARTER_COST,2,0)+1,0)+VLOOKUP($A149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0.33480647927439339</v>
      </c>
      <c r="E149" s="10">
        <f>(+VLOOKUP($A149,FIXED_CHARTER_COST,HLOOKUP(E$7,FIXED_CHARTER_COST,2,0)+1,0)+VLOOKUP($A149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0.3654090273346054</v>
      </c>
      <c r="F149" s="10">
        <f>(+VLOOKUP($A149,FIXED_CHARTER_COST,HLOOKUP(F$7,FIXED_CHARTER_COST,2,0)+1,0)+VLOOKUP($A149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0.61373279423068738</v>
      </c>
      <c r="G149" s="10">
        <f>(+VLOOKUP($A149,FIXED_CHARTER_COST,HLOOKUP(G$7,FIXED_CHARTER_COST,2,0)+1,0)+VLOOKUP($A149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0.74603428900749036</v>
      </c>
      <c r="H149" s="10">
        <f>(+VLOOKUP($A149,FIXED_CHARTER_COST,HLOOKUP(H$7,FIXED_CHARTER_COST,2,0)+1,0)+VLOOKUP($A149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0.63685004177841498</v>
      </c>
      <c r="I149" s="10">
        <f>(+VLOOKUP($A149,FIXED_CHARTER_COST,HLOOKUP(I$7,FIXED_CHARTER_COST,2,0)+1,0)+VLOOKUP($A149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0.76520242804047389</v>
      </c>
    </row>
    <row r="150" spans="1:9" x14ac:dyDescent="0.2">
      <c r="A150" s="179">
        <f>+SHIPS!B166</f>
        <v>40969</v>
      </c>
      <c r="B150" s="10">
        <f>(+VLOOKUP($A150,FIXED_CHARTER_COST,HLOOKUP(B$7,FIXED_CHARTER_COST,2,0)+1,0)+VLOOKUP($A150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1.4375237513142483</v>
      </c>
      <c r="C150" s="10">
        <f>(+VLOOKUP($A150,FIXED_CHARTER_COST,HLOOKUP(C$7,FIXED_CHARTER_COST,2,0)+1,0)+VLOOKUP($A150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1.5659701670192925</v>
      </c>
      <c r="D150" s="10">
        <f>(+VLOOKUP($A150,FIXED_CHARTER_COST,HLOOKUP(D$7,FIXED_CHARTER_COST,2,0)+1,0)+VLOOKUP($A150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0.33491173479816844</v>
      </c>
      <c r="E150" s="10">
        <f>(+VLOOKUP($A150,FIXED_CHARTER_COST,HLOOKUP(E$7,FIXED_CHARTER_COST,2,0)+1,0)+VLOOKUP($A150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0.36552305415202829</v>
      </c>
      <c r="F150" s="10">
        <f>(+VLOOKUP($A150,FIXED_CHARTER_COST,HLOOKUP(F$7,FIXED_CHARTER_COST,2,0)+1,0)+VLOOKUP($A150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0.61391699139729372</v>
      </c>
      <c r="G150" s="10">
        <f>(+VLOOKUP($A150,FIXED_CHARTER_COST,HLOOKUP(G$7,FIXED_CHARTER_COST,2,0)+1,0)+VLOOKUP($A150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0.74626234264233626</v>
      </c>
      <c r="H150" s="10">
        <f>(+VLOOKUP($A150,FIXED_CHARTER_COST,HLOOKUP(H$7,FIXED_CHARTER_COST,2,0)+1,0)+VLOOKUP($A150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0.6372637713275493</v>
      </c>
      <c r="I150" s="10">
        <f>(+VLOOKUP($A150,FIXED_CHARTER_COST,HLOOKUP(I$7,FIXED_CHARTER_COST,2,0)+1,0)+VLOOKUP($A150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0.7657101870325933</v>
      </c>
    </row>
    <row r="151" spans="1:9" x14ac:dyDescent="0.2">
      <c r="A151" s="179">
        <f>+SHIPS!B167</f>
        <v>41000</v>
      </c>
      <c r="B151" s="10">
        <f>(+VLOOKUP($A151,FIXED_CHARTER_COST,HLOOKUP(B$7,FIXED_CHARTER_COST,2,0)+1,0)+VLOOKUP($A151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1.438428314555765</v>
      </c>
      <c r="C151" s="10">
        <f>(+VLOOKUP($A151,FIXED_CHARTER_COST,HLOOKUP(C$7,FIXED_CHARTER_COST,2,0)+1,0)+VLOOKUP($A151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1.5669689555984669</v>
      </c>
      <c r="D151" s="10">
        <f>(+VLOOKUP($A151,FIXED_CHARTER_COST,HLOOKUP(D$7,FIXED_CHARTER_COST,2,0)+1,0)+VLOOKUP($A151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0.33501720960428466</v>
      </c>
      <c r="E151" s="10">
        <f>(+VLOOKUP($A151,FIXED_CHARTER_COST,HLOOKUP(E$7,FIXED_CHARTER_COST,2,0)+1,0)+VLOOKUP($A151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0.36563731852532094</v>
      </c>
      <c r="F151" s="10">
        <f>(+VLOOKUP($A151,FIXED_CHARTER_COST,HLOOKUP(F$7,FIXED_CHARTER_COST,2,0)+1,0)+VLOOKUP($A151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0.61410157230799711</v>
      </c>
      <c r="G151" s="10">
        <f>(+VLOOKUP($A151,FIXED_CHARTER_COST,HLOOKUP(G$7,FIXED_CHARTER_COST,2,0)+1,0)+VLOOKUP($A151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0.74649087138892145</v>
      </c>
      <c r="H151" s="10">
        <f>(+VLOOKUP($A151,FIXED_CHARTER_COST,HLOOKUP(H$7,FIXED_CHARTER_COST,2,0)+1,0)+VLOOKUP($A151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0.63767836281324453</v>
      </c>
      <c r="I151" s="10">
        <f>(+VLOOKUP($A151,FIXED_CHARTER_COST,HLOOKUP(I$7,FIXED_CHARTER_COST,2,0)+1,0)+VLOOKUP($A151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0.76621900385594643</v>
      </c>
    </row>
    <row r="152" spans="1:9" x14ac:dyDescent="0.2">
      <c r="A152" s="179">
        <f>+SHIPS!B168</f>
        <v>41030</v>
      </c>
      <c r="B152" s="10">
        <f>(+VLOOKUP($A152,FIXED_CHARTER_COST,HLOOKUP(B$7,FIXED_CHARTER_COST,2,0)+1,0)+VLOOKUP($A152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1.4393347623040347</v>
      </c>
      <c r="C152" s="10">
        <f>(+VLOOKUP($A152,FIXED_CHARTER_COST,HLOOKUP(C$7,FIXED_CHARTER_COST,2,0)+1,0)+VLOOKUP($A152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1.5679698249871816</v>
      </c>
      <c r="D152" s="10">
        <f>(+VLOOKUP($A152,FIXED_CHARTER_COST,HLOOKUP(D$7,FIXED_CHARTER_COST,2,0)+1,0)+VLOOKUP($A152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0.33512290414958029</v>
      </c>
      <c r="E152" s="10">
        <f>(+VLOOKUP($A152,FIXED_CHARTER_COST,HLOOKUP(E$7,FIXED_CHARTER_COST,2,0)+1,0)+VLOOKUP($A152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0.36575182094939113</v>
      </c>
      <c r="F152" s="10">
        <f>(+VLOOKUP($A152,FIXED_CHARTER_COST,HLOOKUP(F$7,FIXED_CHARTER_COST,2,0)+1,0)+VLOOKUP($A152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0.6142865377622645</v>
      </c>
      <c r="G152" s="10">
        <f>(+VLOOKUP($A152,FIXED_CHARTER_COST,HLOOKUP(G$7,FIXED_CHARTER_COST,2,0)+1,0)+VLOOKUP($A152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0.74671987623706193</v>
      </c>
      <c r="H152" s="10">
        <f>(+VLOOKUP($A152,FIXED_CHARTER_COST,HLOOKUP(H$7,FIXED_CHARTER_COST,2,0)+1,0)+VLOOKUP($A152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0.63809381803120147</v>
      </c>
      <c r="I152" s="10">
        <f>(+VLOOKUP($A152,FIXED_CHARTER_COST,HLOOKUP(I$7,FIXED_CHARTER_COST,2,0)+1,0)+VLOOKUP($A152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0.76672888071434819</v>
      </c>
    </row>
    <row r="153" spans="1:9" x14ac:dyDescent="0.2">
      <c r="A153" s="179">
        <f>+SHIPS!B169</f>
        <v>41061</v>
      </c>
      <c r="B153" s="10">
        <f>(+VLOOKUP($A153,FIXED_CHARTER_COST,HLOOKUP(B$7,FIXED_CHARTER_COST,2,0)+1,0)+VLOOKUP($A153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1.4402430984851133</v>
      </c>
      <c r="C153" s="10">
        <f>(+VLOOKUP($A153,FIXED_CHARTER_COST,HLOOKUP(C$7,FIXED_CHARTER_COST,2,0)+1,0)+VLOOKUP($A153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1.568972779520456</v>
      </c>
      <c r="D153" s="10">
        <f>(+VLOOKUP($A153,FIXED_CHARTER_COST,HLOOKUP(D$7,FIXED_CHARTER_COST,2,0)+1,0)+VLOOKUP($A153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0.3352288188918453</v>
      </c>
      <c r="E153" s="10">
        <f>(+VLOOKUP($A153,FIXED_CHARTER_COST,HLOOKUP(E$7,FIXED_CHARTER_COST,2,0)+1,0)+VLOOKUP($A153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0.36586656192017825</v>
      </c>
      <c r="F153" s="10">
        <f>(+VLOOKUP($A153,FIXED_CHARTER_COST,HLOOKUP(F$7,FIXED_CHARTER_COST,2,0)+1,0)+VLOOKUP($A153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0.61447188856122825</v>
      </c>
      <c r="G153" s="10">
        <f>(+VLOOKUP($A153,FIXED_CHARTER_COST,HLOOKUP(G$7,FIXED_CHARTER_COST,2,0)+1,0)+VLOOKUP($A153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0.74694935817863617</v>
      </c>
      <c r="H153" s="10">
        <f>(+VLOOKUP($A153,FIXED_CHARTER_COST,HLOOKUP(H$7,FIXED_CHARTER_COST,2,0)+1,0)+VLOOKUP($A153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0.63851013878086249</v>
      </c>
      <c r="I153" s="10">
        <f>(+VLOOKUP($A153,FIXED_CHARTER_COST,HLOOKUP(I$7,FIXED_CHARTER_COST,2,0)+1,0)+VLOOKUP($A153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0.76723981981620493</v>
      </c>
    </row>
    <row r="154" spans="1:9" x14ac:dyDescent="0.2">
      <c r="A154" s="179">
        <f>+SHIPS!B170</f>
        <v>41091</v>
      </c>
      <c r="B154" s="10">
        <f>(+VLOOKUP($A154,FIXED_CHARTER_COST,HLOOKUP(B$7,FIXED_CHARTER_COST,2,0)+1,0)+VLOOKUP($A154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1.441153327033236</v>
      </c>
      <c r="C154" s="10">
        <f>(+VLOOKUP($A154,FIXED_CHARTER_COST,HLOOKUP(C$7,FIXED_CHARTER_COST,2,0)+1,0)+VLOOKUP($A154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1.5699778235423409</v>
      </c>
      <c r="D154" s="10">
        <f>(+VLOOKUP($A154,FIXED_CHARTER_COST,HLOOKUP(D$7,FIXED_CHARTER_COST,2,0)+1,0)+VLOOKUP($A154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0.33533495428982341</v>
      </c>
      <c r="E154" s="10">
        <f>(+VLOOKUP($A154,FIXED_CHARTER_COST,HLOOKUP(E$7,FIXED_CHARTER_COST,2,0)+1,0)+VLOOKUP($A154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0.36598154193465454</v>
      </c>
      <c r="F154" s="10">
        <f>(+VLOOKUP($A154,FIXED_CHARTER_COST,HLOOKUP(F$7,FIXED_CHARTER_COST,2,0)+1,0)+VLOOKUP($A154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0.61465762550768988</v>
      </c>
      <c r="G154" s="10">
        <f>(+VLOOKUP($A154,FIXED_CHARTER_COST,HLOOKUP(G$7,FIXED_CHARTER_COST,2,0)+1,0)+VLOOKUP($A154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0.74717931820758865</v>
      </c>
      <c r="H154" s="10">
        <f>(+VLOOKUP($A154,FIXED_CHARTER_COST,HLOOKUP(H$7,FIXED_CHARTER_COST,2,0)+1,0)+VLOOKUP($A154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0.63892732686541864</v>
      </c>
      <c r="I154" s="10">
        <f>(+VLOOKUP($A154,FIXED_CHARTER_COST,HLOOKUP(I$7,FIXED_CHARTER_COST,2,0)+1,0)+VLOOKUP($A154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0.76775182337452386</v>
      </c>
    </row>
    <row r="155" spans="1:9" x14ac:dyDescent="0.2">
      <c r="A155" s="179">
        <f>+SHIPS!B171</f>
        <v>41122</v>
      </c>
      <c r="B155" s="10">
        <f>(+VLOOKUP($A155,FIXED_CHARTER_COST,HLOOKUP(B$7,FIXED_CHARTER_COST,2,0)+1,0)+VLOOKUP($A155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1.4420654518908336</v>
      </c>
      <c r="C155" s="10">
        <f>(+VLOOKUP($A155,FIXED_CHARTER_COST,HLOOKUP(C$7,FIXED_CHARTER_COST,2,0)+1,0)+VLOOKUP($A155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1.5709849614059388</v>
      </c>
      <c r="D155" s="10">
        <f>(+VLOOKUP($A155,FIXED_CHARTER_COST,HLOOKUP(D$7,FIXED_CHARTER_COST,2,0)+1,0)+VLOOKUP($A155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0.33544131080321388</v>
      </c>
      <c r="E155" s="10">
        <f>(+VLOOKUP($A155,FIXED_CHARTER_COST,HLOOKUP(E$7,FIXED_CHARTER_COST,2,0)+1,0)+VLOOKUP($A155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0.36609676149082754</v>
      </c>
      <c r="F155" s="10">
        <f>(+VLOOKUP($A155,FIXED_CHARTER_COST,HLOOKUP(F$7,FIXED_CHARTER_COST,2,0)+1,0)+VLOOKUP($A155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0.6148437494061233</v>
      </c>
      <c r="G155" s="10">
        <f>(+VLOOKUP($A155,FIXED_CHARTER_COST,HLOOKUP(G$7,FIXED_CHARTER_COST,2,0)+1,0)+VLOOKUP($A155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0.74740975731993475</v>
      </c>
      <c r="H155" s="10">
        <f>(+VLOOKUP($A155,FIXED_CHARTER_COST,HLOOKUP(H$7,FIXED_CHARTER_COST,2,0)+1,0)+VLOOKUP($A155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0.63934538409181763</v>
      </c>
      <c r="I155" s="10">
        <f>(+VLOOKUP($A155,FIXED_CHARTER_COST,HLOOKUP(I$7,FIXED_CHARTER_COST,2,0)+1,0)+VLOOKUP($A155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0.76826489360692263</v>
      </c>
    </row>
    <row r="156" spans="1:9" x14ac:dyDescent="0.2">
      <c r="A156" s="179">
        <f>+SHIPS!B172</f>
        <v>41153</v>
      </c>
      <c r="B156" s="10">
        <f>(+VLOOKUP($A156,FIXED_CHARTER_COST,HLOOKUP(B$7,FIXED_CHARTER_COST,2,0)+1,0)+VLOOKUP($A156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1.4429794770085516</v>
      </c>
      <c r="C156" s="10">
        <f>(+VLOOKUP($A156,FIXED_CHARTER_COST,HLOOKUP(C$7,FIXED_CHARTER_COST,2,0)+1,0)+VLOOKUP($A156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1.5719941974734188</v>
      </c>
      <c r="D156" s="10">
        <f>(+VLOOKUP($A156,FIXED_CHARTER_COST,HLOOKUP(D$7,FIXED_CHARTER_COST,2,0)+1,0)+VLOOKUP($A156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0.33554788889267395</v>
      </c>
      <c r="E156" s="10">
        <f>(+VLOOKUP($A156,FIXED_CHARTER_COST,HLOOKUP(E$7,FIXED_CHARTER_COST,2,0)+1,0)+VLOOKUP($A156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0.36621222108774271</v>
      </c>
      <c r="F156" s="10">
        <f>(+VLOOKUP($A156,FIXED_CHARTER_COST,HLOOKUP(F$7,FIXED_CHARTER_COST,2,0)+1,0)+VLOOKUP($A156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0.61503026106267844</v>
      </c>
      <c r="G156" s="10">
        <f>(+VLOOKUP($A156,FIXED_CHARTER_COST,HLOOKUP(G$7,FIXED_CHARTER_COST,2,0)+1,0)+VLOOKUP($A156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0.74764067651376498</v>
      </c>
      <c r="H156" s="10">
        <f>(+VLOOKUP($A156,FIXED_CHARTER_COST,HLOOKUP(H$7,FIXED_CHARTER_COST,2,0)+1,0)+VLOOKUP($A156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0.63976431227077168</v>
      </c>
      <c r="I156" s="10">
        <f>(+VLOOKUP($A156,FIXED_CHARTER_COST,HLOOKUP(I$7,FIXED_CHARTER_COST,2,0)+1,0)+VLOOKUP($A156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0.76877903273563886</v>
      </c>
    </row>
    <row r="157" spans="1:9" x14ac:dyDescent="0.2">
      <c r="A157" s="179">
        <f>+SHIPS!B173</f>
        <v>41183</v>
      </c>
      <c r="B157" s="10">
        <f>(+VLOOKUP($A157,FIXED_CHARTER_COST,HLOOKUP(B$7,FIXED_CHARTER_COST,2,0)+1,0)+VLOOKUP($A157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1.4438954063452647</v>
      </c>
      <c r="C157" s="10">
        <f>(+VLOOKUP($A157,FIXED_CHARTER_COST,HLOOKUP(C$7,FIXED_CHARTER_COST,2,0)+1,0)+VLOOKUP($A157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1.5730055361160395</v>
      </c>
      <c r="D157" s="10">
        <f>(+VLOOKUP($A157,FIXED_CHARTER_COST,HLOOKUP(D$7,FIXED_CHARTER_COST,2,0)+1,0)+VLOOKUP($A157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0.33565468901982043</v>
      </c>
      <c r="E157" s="10">
        <f>(+VLOOKUP($A157,FIXED_CHARTER_COST,HLOOKUP(E$7,FIXED_CHARTER_COST,2,0)+1,0)+VLOOKUP($A157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0.36632792122548469</v>
      </c>
      <c r="F157" s="10">
        <f>(+VLOOKUP($A157,FIXED_CHARTER_COST,HLOOKUP(F$7,FIXED_CHARTER_COST,2,0)+1,0)+VLOOKUP($A157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0.61521716128518467</v>
      </c>
      <c r="G157" s="10">
        <f>(+VLOOKUP($A157,FIXED_CHARTER_COST,HLOOKUP(G$7,FIXED_CHARTER_COST,2,0)+1,0)+VLOOKUP($A157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0.74787207678924894</v>
      </c>
      <c r="H157" s="10">
        <f>(+VLOOKUP($A157,FIXED_CHARTER_COST,HLOOKUP(H$7,FIXED_CHARTER_COST,2,0)+1,0)+VLOOKUP($A157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0.64018411321676516</v>
      </c>
      <c r="I157" s="10">
        <f>(+VLOOKUP($A157,FIXED_CHARTER_COST,HLOOKUP(I$7,FIXED_CHARTER_COST,2,0)+1,0)+VLOOKUP($A157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0.76929424298754001</v>
      </c>
    </row>
    <row r="158" spans="1:9" x14ac:dyDescent="0.2">
      <c r="A158" s="179">
        <f>+SHIPS!B174</f>
        <v>41214</v>
      </c>
      <c r="B158" s="10">
        <f>(+VLOOKUP($A158,FIXED_CHARTER_COST,HLOOKUP(B$7,FIXED_CHARTER_COST,2,0)+1,0)+VLOOKUP($A158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1.4448132438680958</v>
      </c>
      <c r="C158" s="10">
        <f>(+VLOOKUP($A158,FIXED_CHARTER_COST,HLOOKUP(C$7,FIXED_CHARTER_COST,2,0)+1,0)+VLOOKUP($A158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1.5740189817141659</v>
      </c>
      <c r="D158" s="10">
        <f>(+VLOOKUP($A158,FIXED_CHARTER_COST,HLOOKUP(D$7,FIXED_CHARTER_COST,2,0)+1,0)+VLOOKUP($A158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0.33576171164723173</v>
      </c>
      <c r="E158" s="10">
        <f>(+VLOOKUP($A158,FIXED_CHARTER_COST,HLOOKUP(E$7,FIXED_CHARTER_COST,2,0)+1,0)+VLOOKUP($A158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0.36644386240518029</v>
      </c>
      <c r="F158" s="10">
        <f>(+VLOOKUP($A158,FIXED_CHARTER_COST,HLOOKUP(F$7,FIXED_CHARTER_COST,2,0)+1,0)+VLOOKUP($A158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0.61540445088315454</v>
      </c>
      <c r="G158" s="10">
        <f>(+VLOOKUP($A158,FIXED_CHARTER_COST,HLOOKUP(G$7,FIXED_CHARTER_COST,2,0)+1,0)+VLOOKUP($A158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0.74810395914864014</v>
      </c>
      <c r="H158" s="10">
        <f>(+VLOOKUP($A158,FIXED_CHARTER_COST,HLOOKUP(H$7,FIXED_CHARTER_COST,2,0)+1,0)+VLOOKUP($A158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0.64060478874806281</v>
      </c>
      <c r="I158" s="10">
        <f>(+VLOOKUP($A158,FIXED_CHARTER_COST,HLOOKUP(I$7,FIXED_CHARTER_COST,2,0)+1,0)+VLOOKUP($A158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0.76981052659413263</v>
      </c>
    </row>
    <row r="159" spans="1:9" x14ac:dyDescent="0.2">
      <c r="A159" s="179">
        <f>+SHIPS!B175</f>
        <v>41244</v>
      </c>
      <c r="B159" s="10">
        <f>(+VLOOKUP($A159,FIXED_CHARTER_COST,HLOOKUP(B$7,FIXED_CHARTER_COST,2,0)+1,0)+VLOOKUP($A159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1.445732993552433</v>
      </c>
      <c r="C159" s="10">
        <f>(+VLOOKUP($A159,FIXED_CHARTER_COST,HLOOKUP(C$7,FIXED_CHARTER_COST,2,0)+1,0)+VLOOKUP($A159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1.5750345386572879</v>
      </c>
      <c r="D159" s="10">
        <f>(+VLOOKUP($A159,FIXED_CHARTER_COST,HLOOKUP(D$7,FIXED_CHARTER_COST,2,0)+1,0)+VLOOKUP($A159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0.33586895723845017</v>
      </c>
      <c r="E159" s="10">
        <f>(+VLOOKUP($A159,FIXED_CHARTER_COST,HLOOKUP(E$7,FIXED_CHARTER_COST,2,0)+1,0)+VLOOKUP($A159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0.36656004512900026</v>
      </c>
      <c r="F159" s="10">
        <f>(+VLOOKUP($A159,FIXED_CHARTER_COST,HLOOKUP(F$7,FIXED_CHARTER_COST,2,0)+1,0)+VLOOKUP($A159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0.61559213066778684</v>
      </c>
      <c r="G159" s="10">
        <f>(+VLOOKUP($A159,FIXED_CHARTER_COST,HLOOKUP(G$7,FIXED_CHARTER_COST,2,0)+1,0)+VLOOKUP($A159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0.74833632459628008</v>
      </c>
      <c r="H159" s="10">
        <f>(+VLOOKUP($A159,FIXED_CHARTER_COST,HLOOKUP(H$7,FIXED_CHARTER_COST,2,0)+1,0)+VLOOKUP($A159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0.64102634068671727</v>
      </c>
      <c r="I159" s="10">
        <f>(+VLOOKUP($A159,FIXED_CHARTER_COST,HLOOKUP(I$7,FIXED_CHARTER_COST,2,0)+1,0)+VLOOKUP($A159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0.77032788579157219</v>
      </c>
    </row>
    <row r="160" spans="1:9" x14ac:dyDescent="0.2">
      <c r="A160" s="179">
        <f>+SHIPS!B176</f>
        <v>41275</v>
      </c>
      <c r="B160" s="10">
        <f>(+VLOOKUP($A160,FIXED_CHARTER_COST,HLOOKUP(B$7,FIXED_CHARTER_COST,2,0)+1,0)+VLOOKUP($A160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1.4466546593819456</v>
      </c>
      <c r="C160" s="10">
        <f>(+VLOOKUP($A160,FIXED_CHARTER_COST,HLOOKUP(C$7,FIXED_CHARTER_COST,2,0)+1,0)+VLOOKUP($A160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1.5760522113440414</v>
      </c>
      <c r="D160" s="10">
        <f>(+VLOOKUP($A160,FIXED_CHARTER_COST,HLOOKUP(D$7,FIXED_CHARTER_COST,2,0)+1,0)+VLOOKUP($A160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0.33597642625798368</v>
      </c>
      <c r="E160" s="10">
        <f>(+VLOOKUP($A160,FIXED_CHARTER_COST,HLOOKUP(E$7,FIXED_CHARTER_COST,2,0)+1,0)+VLOOKUP($A160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0.36667646990016151</v>
      </c>
      <c r="F160" s="10">
        <f>(+VLOOKUP($A160,FIXED_CHARTER_COST,HLOOKUP(F$7,FIXED_CHARTER_COST,2,0)+1,0)+VLOOKUP($A160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0.61578020145197043</v>
      </c>
      <c r="G160" s="10">
        <f>(+VLOOKUP($A160,FIXED_CHARTER_COST,HLOOKUP(G$7,FIXED_CHARTER_COST,2,0)+1,0)+VLOOKUP($A160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0.74856917413860269</v>
      </c>
      <c r="H160" s="10">
        <f>(+VLOOKUP($A160,FIXED_CHARTER_COST,HLOOKUP(H$7,FIXED_CHARTER_COST,2,0)+1,0)+VLOOKUP($A160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0.64144877085857732</v>
      </c>
      <c r="I160" s="10">
        <f>(+VLOOKUP($A160,FIXED_CHARTER_COST,HLOOKUP(I$7,FIXED_CHARTER_COST,2,0)+1,0)+VLOOKUP($A160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0.77084632282067311</v>
      </c>
    </row>
    <row r="161" spans="1:9" x14ac:dyDescent="0.2">
      <c r="A161" s="179">
        <f>+SHIPS!B177</f>
        <v>41306</v>
      </c>
      <c r="B161" s="10">
        <f>(+VLOOKUP($A161,FIXED_CHARTER_COST,HLOOKUP(B$7,FIXED_CHARTER_COST,2,0)+1,0)+VLOOKUP($A161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1.4475782453486032</v>
      </c>
      <c r="C161" s="10">
        <f>(+VLOOKUP($A161,FIXED_CHARTER_COST,HLOOKUP(C$7,FIXED_CHARTER_COST,2,0)+1,0)+VLOOKUP($A161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1.5770720041822257</v>
      </c>
      <c r="D161" s="10">
        <f>(+VLOOKUP($A161,FIXED_CHARTER_COST,HLOOKUP(D$7,FIXED_CHARTER_COST,2,0)+1,0)+VLOOKUP($A161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0.33608411917130793</v>
      </c>
      <c r="E161" s="10">
        <f>(+VLOOKUP($A161,FIXED_CHARTER_COST,HLOOKUP(E$7,FIXED_CHARTER_COST,2,0)+1,0)+VLOOKUP($A161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0.36679313722292944</v>
      </c>
      <c r="F161" s="10">
        <f>(+VLOOKUP($A161,FIXED_CHARTER_COST,HLOOKUP(F$7,FIXED_CHARTER_COST,2,0)+1,0)+VLOOKUP($A161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0.61596866405028783</v>
      </c>
      <c r="G161" s="10">
        <f>(+VLOOKUP($A161,FIXED_CHARTER_COST,HLOOKUP(G$7,FIXED_CHARTER_COST,2,0)+1,0)+VLOOKUP($A161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0.74880250878413845</v>
      </c>
      <c r="H161" s="10">
        <f>(+VLOOKUP($A161,FIXED_CHARTER_COST,HLOOKUP(H$7,FIXED_CHARTER_COST,2,0)+1,0)+VLOOKUP($A161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0.6418720810932953</v>
      </c>
      <c r="I161" s="10">
        <f>(+VLOOKUP($A161,FIXED_CHARTER_COST,HLOOKUP(I$7,FIXED_CHARTER_COST,2,0)+1,0)+VLOOKUP($A161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0.77136583992691798</v>
      </c>
    </row>
    <row r="162" spans="1:9" x14ac:dyDescent="0.2">
      <c r="A162" s="179">
        <f>+SHIPS!B178</f>
        <v>41334</v>
      </c>
      <c r="B162" s="10">
        <f>(+VLOOKUP($A162,FIXED_CHARTER_COST,HLOOKUP(B$7,FIXED_CHARTER_COST,2,0)+1,0)+VLOOKUP($A162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1.4485037554526914</v>
      </c>
      <c r="C162" s="10">
        <f>(+VLOOKUP($A162,FIXED_CHARTER_COST,HLOOKUP(C$7,FIXED_CHARTER_COST,2,0)+1,0)+VLOOKUP($A162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1.5780939215888232</v>
      </c>
      <c r="D162" s="10">
        <f>(+VLOOKUP($A162,FIXED_CHARTER_COST,HLOOKUP(D$7,FIXED_CHARTER_COST,2,0)+1,0)+VLOOKUP($A162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0.33619203644486817</v>
      </c>
      <c r="E162" s="10">
        <f>(+VLOOKUP($A162,FIXED_CHARTER_COST,HLOOKUP(E$7,FIXED_CHARTER_COST,2,0)+1,0)+VLOOKUP($A162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0.36691004760261975</v>
      </c>
      <c r="F162" s="10">
        <f>(+VLOOKUP($A162,FIXED_CHARTER_COST,HLOOKUP(F$7,FIXED_CHARTER_COST,2,0)+1,0)+VLOOKUP($A162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0.6161575192790183</v>
      </c>
      <c r="G162" s="10">
        <f>(+VLOOKUP($A162,FIXED_CHARTER_COST,HLOOKUP(G$7,FIXED_CHARTER_COST,2,0)+1,0)+VLOOKUP($A162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0.74903632954351906</v>
      </c>
      <c r="H162" s="10">
        <f>(+VLOOKUP($A162,FIXED_CHARTER_COST,HLOOKUP(H$7,FIXED_CHARTER_COST,2,0)+1,0)+VLOOKUP($A162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0.64229627322433569</v>
      </c>
      <c r="I162" s="10">
        <f>(+VLOOKUP($A162,FIXED_CHARTER_COST,HLOOKUP(I$7,FIXED_CHARTER_COST,2,0)+1,0)+VLOOKUP($A162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0.77188643936046752</v>
      </c>
    </row>
    <row r="163" spans="1:9" x14ac:dyDescent="0.2">
      <c r="A163" s="179">
        <f>+SHIPS!B179</f>
        <v>41365</v>
      </c>
      <c r="B163" s="10">
        <f>(+VLOOKUP($A163,FIXED_CHARTER_COST,HLOOKUP(B$7,FIXED_CHARTER_COST,2,0)+1,0)+VLOOKUP($A163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1.4494311937028297</v>
      </c>
      <c r="C163" s="10">
        <f>(+VLOOKUP($A163,FIXED_CHARTER_COST,HLOOKUP(C$7,FIXED_CHARTER_COST,2,0)+1,0)+VLOOKUP($A163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1.5791179679900174</v>
      </c>
      <c r="D163" s="10">
        <f>(+VLOOKUP($A163,FIXED_CHARTER_COST,HLOOKUP(D$7,FIXED_CHARTER_COST,2,0)+1,0)+VLOOKUP($A163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0.33630017854608169</v>
      </c>
      <c r="E163" s="10">
        <f>(+VLOOKUP($A163,FIXED_CHARTER_COST,HLOOKUP(E$7,FIXED_CHARTER_COST,2,0)+1,0)+VLOOKUP($A163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0.36702720154560103</v>
      </c>
      <c r="F163" s="10">
        <f>(+VLOOKUP($A163,FIXED_CHARTER_COST,HLOOKUP(F$7,FIXED_CHARTER_COST,2,0)+1,0)+VLOOKUP($A163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0.61634676795614196</v>
      </c>
      <c r="G163" s="10">
        <f>(+VLOOKUP($A163,FIXED_CHARTER_COST,HLOOKUP(G$7,FIXED_CHARTER_COST,2,0)+1,0)+VLOOKUP($A163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0.74927063742948163</v>
      </c>
      <c r="H163" s="10">
        <f>(+VLOOKUP($A163,FIXED_CHARTER_COST,HLOOKUP(H$7,FIXED_CHARTER_COST,2,0)+1,0)+VLOOKUP($A163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0.64272134908898249</v>
      </c>
      <c r="I163" s="10">
        <f>(+VLOOKUP($A163,FIXED_CHARTER_COST,HLOOKUP(I$7,FIXED_CHARTER_COST,2,0)+1,0)+VLOOKUP($A163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0.77240812337617026</v>
      </c>
    </row>
    <row r="164" spans="1:9" x14ac:dyDescent="0.2">
      <c r="A164" s="179">
        <f>+SHIPS!B180</f>
        <v>41395</v>
      </c>
      <c r="B164" s="10">
        <f>(+VLOOKUP($A164,FIXED_CHARTER_COST,HLOOKUP(B$7,FIXED_CHARTER_COST,2,0)+1,0)+VLOOKUP($A164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1.4503605641159891</v>
      </c>
      <c r="C164" s="10">
        <f>(+VLOOKUP($A164,FIXED_CHARTER_COST,HLOOKUP(C$7,FIXED_CHARTER_COST,2,0)+1,0)+VLOOKUP($A164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1.5801441478212144</v>
      </c>
      <c r="D164" s="10">
        <f>(+VLOOKUP($A164,FIXED_CHARTER_COST,HLOOKUP(D$7,FIXED_CHARTER_COST,2,0)+1,0)+VLOOKUP($A164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0.33640854594333941</v>
      </c>
      <c r="E164" s="10">
        <f>(+VLOOKUP($A164,FIXED_CHARTER_COST,HLOOKUP(E$7,FIXED_CHARTER_COST,2,0)+1,0)+VLOOKUP($A164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0.36714459955929685</v>
      </c>
      <c r="F164" s="10">
        <f>(+VLOOKUP($A164,FIXED_CHARTER_COST,HLOOKUP(F$7,FIXED_CHARTER_COST,2,0)+1,0)+VLOOKUP($A164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0.61653641090134292</v>
      </c>
      <c r="G164" s="10">
        <f>(+VLOOKUP($A164,FIXED_CHARTER_COST,HLOOKUP(G$7,FIXED_CHARTER_COST,2,0)+1,0)+VLOOKUP($A164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0.74950543345687337</v>
      </c>
      <c r="H164" s="10">
        <f>(+VLOOKUP($A164,FIXED_CHARTER_COST,HLOOKUP(H$7,FIXED_CHARTER_COST,2,0)+1,0)+VLOOKUP($A164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0.64314731052834717</v>
      </c>
      <c r="I164" s="10">
        <f>(+VLOOKUP($A164,FIXED_CHARTER_COST,HLOOKUP(I$7,FIXED_CHARTER_COST,2,0)+1,0)+VLOOKUP($A164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0.77293089423357253</v>
      </c>
    </row>
    <row r="165" spans="1:9" x14ac:dyDescent="0.2">
      <c r="A165" s="179">
        <f>+SHIPS!B181</f>
        <v>41426</v>
      </c>
      <c r="B165" s="10">
        <f>(+VLOOKUP($A165,FIXED_CHARTER_COST,HLOOKUP(B$7,FIXED_CHARTER_COST,2,0)+1,0)+VLOOKUP($A165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1.4512918707175093</v>
      </c>
      <c r="C165" s="10">
        <f>(+VLOOKUP($A165,FIXED_CHARTER_COST,HLOOKUP(C$7,FIXED_CHARTER_COST,2,0)+1,0)+VLOOKUP($A165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1.5811724655270598</v>
      </c>
      <c r="D165" s="10">
        <f>(+VLOOKUP($A165,FIXED_CHARTER_COST,HLOOKUP(D$7,FIXED_CHARTER_COST,2,0)+1,0)+VLOOKUP($A165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0.33651713910600806</v>
      </c>
      <c r="E165" s="10">
        <f>(+VLOOKUP($A165,FIXED_CHARTER_COST,HLOOKUP(E$7,FIXED_CHARTER_COST,2,0)+1,0)+VLOOKUP($A165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0.36726224215218789</v>
      </c>
      <c r="F165" s="10">
        <f>(+VLOOKUP($A165,FIXED_CHARTER_COST,HLOOKUP(F$7,FIXED_CHARTER_COST,2,0)+1,0)+VLOOKUP($A165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0.61672644893601314</v>
      </c>
      <c r="G165" s="10">
        <f>(+VLOOKUP($A165,FIXED_CHARTER_COST,HLOOKUP(G$7,FIXED_CHARTER_COST,2,0)+1,0)+VLOOKUP($A165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0.74974071864265546</v>
      </c>
      <c r="H165" s="10">
        <f>(+VLOOKUP($A165,FIXED_CHARTER_COST,HLOOKUP(H$7,FIXED_CHARTER_COST,2,0)+1,0)+VLOOKUP($A165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0.64357415938737728</v>
      </c>
      <c r="I165" s="10">
        <f>(+VLOOKUP($A165,FIXED_CHARTER_COST,HLOOKUP(I$7,FIXED_CHARTER_COST,2,0)+1,0)+VLOOKUP($A165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0.77345475419692766</v>
      </c>
    </row>
    <row r="166" spans="1:9" x14ac:dyDescent="0.2">
      <c r="A166" s="179">
        <f>+SHIPS!B182</f>
        <v>41456</v>
      </c>
      <c r="B166" s="10">
        <f>(+VLOOKUP($A166,FIXED_CHARTER_COST,HLOOKUP(B$7,FIXED_CHARTER_COST,2,0)+1,0)+VLOOKUP($A166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1.4522251175411161</v>
      </c>
      <c r="C166" s="10">
        <f>(+VLOOKUP($A166,FIXED_CHARTER_COST,HLOOKUP(C$7,FIXED_CHARTER_COST,2,0)+1,0)+VLOOKUP($A166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1.5822029255614589</v>
      </c>
      <c r="D166" s="10">
        <f>(+VLOOKUP($A166,FIXED_CHARTER_COST,HLOOKUP(D$7,FIXED_CHARTER_COST,2,0)+1,0)+VLOOKUP($A166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0.33662595850443233</v>
      </c>
      <c r="E166" s="10">
        <f>(+VLOOKUP($A166,FIXED_CHARTER_COST,HLOOKUP(E$7,FIXED_CHARTER_COST,2,0)+1,0)+VLOOKUP($A166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0.36738012983381424</v>
      </c>
      <c r="F166" s="10">
        <f>(+VLOOKUP($A166,FIXED_CHARTER_COST,HLOOKUP(F$7,FIXED_CHARTER_COST,2,0)+1,0)+VLOOKUP($A166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0.61691688288325552</v>
      </c>
      <c r="G166" s="10">
        <f>(+VLOOKUP($A166,FIXED_CHARTER_COST,HLOOKUP(G$7,FIXED_CHARTER_COST,2,0)+1,0)+VLOOKUP($A166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0.74997649400590805</v>
      </c>
      <c r="H166" s="10">
        <f>(+VLOOKUP($A166,FIXED_CHARTER_COST,HLOOKUP(H$7,FIXED_CHARTER_COST,2,0)+1,0)+VLOOKUP($A166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0.64400189751486381</v>
      </c>
      <c r="I166" s="10">
        <f>(+VLOOKUP($A166,FIXED_CHARTER_COST,HLOOKUP(I$7,FIXED_CHARTER_COST,2,0)+1,0)+VLOOKUP($A166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0.77397970553520645</v>
      </c>
    </row>
    <row r="167" spans="1:9" x14ac:dyDescent="0.2">
      <c r="A167" s="179">
        <f>+SHIPS!B183</f>
        <v>41487</v>
      </c>
      <c r="B167" s="10">
        <f>(+VLOOKUP($A167,FIXED_CHARTER_COST,HLOOKUP(B$7,FIXED_CHARTER_COST,2,0)+1,0)+VLOOKUP($A167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1.4531603086289384</v>
      </c>
      <c r="C167" s="10">
        <f>(+VLOOKUP($A167,FIXED_CHARTER_COST,HLOOKUP(C$7,FIXED_CHARTER_COST,2,0)+1,0)+VLOOKUP($A167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1.5832355323875962</v>
      </c>
      <c r="D167" s="10">
        <f>(+VLOOKUP($A167,FIXED_CHARTER_COST,HLOOKUP(D$7,FIXED_CHARTER_COST,2,0)+1,0)+VLOOKUP($A167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0.33673500460993661</v>
      </c>
      <c r="E167" s="10">
        <f>(+VLOOKUP($A167,FIXED_CHARTER_COST,HLOOKUP(E$7,FIXED_CHARTER_COST,2,0)+1,0)+VLOOKUP($A167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0.36749826311477712</v>
      </c>
      <c r="F167" s="10">
        <f>(+VLOOKUP($A167,FIXED_CHARTER_COST,HLOOKUP(F$7,FIXED_CHARTER_COST,2,0)+1,0)+VLOOKUP($A167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0.61710771356788796</v>
      </c>
      <c r="G167" s="10">
        <f>(+VLOOKUP($A167,FIXED_CHARTER_COST,HLOOKUP(G$7,FIXED_CHARTER_COST,2,0)+1,0)+VLOOKUP($A167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0.75021276056783393</v>
      </c>
      <c r="H167" s="10">
        <f>(+VLOOKUP($A167,FIXED_CHARTER_COST,HLOOKUP(H$7,FIXED_CHARTER_COST,2,0)+1,0)+VLOOKUP($A167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0.64443052676344903</v>
      </c>
      <c r="I167" s="10">
        <f>(+VLOOKUP($A167,FIXED_CHARTER_COST,HLOOKUP(I$7,FIXED_CHARTER_COST,2,0)+1,0)+VLOOKUP($A167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0.77450575052210657</v>
      </c>
    </row>
    <row r="168" spans="1:9" x14ac:dyDescent="0.2">
      <c r="A168" s="179">
        <f>+SHIPS!B184</f>
        <v>41518</v>
      </c>
      <c r="B168" s="10">
        <f>(+VLOOKUP($A168,FIXED_CHARTER_COST,HLOOKUP(B$7,FIXED_CHARTER_COST,2,0)+1,0)+VLOOKUP($A168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1.4540974480315274</v>
      </c>
      <c r="C168" s="10">
        <f>(+VLOOKUP($A168,FIXED_CHARTER_COST,HLOOKUP(C$7,FIXED_CHARTER_COST,2,0)+1,0)+VLOOKUP($A168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1.5842702904779544</v>
      </c>
      <c r="D168" s="10">
        <f>(+VLOOKUP($A168,FIXED_CHARTER_COST,HLOOKUP(D$7,FIXED_CHARTER_COST,2,0)+1,0)+VLOOKUP($A168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0.33684427789482729</v>
      </c>
      <c r="E168" s="10">
        <f>(+VLOOKUP($A168,FIXED_CHARTER_COST,HLOOKUP(E$7,FIXED_CHARTER_COST,2,0)+1,0)+VLOOKUP($A168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0.36761664250674214</v>
      </c>
      <c r="F168" s="10">
        <f>(+VLOOKUP($A168,FIXED_CHARTER_COST,HLOOKUP(F$7,FIXED_CHARTER_COST,2,0)+1,0)+VLOOKUP($A168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0.61729894181644673</v>
      </c>
      <c r="G168" s="10">
        <f>(+VLOOKUP($A168,FIXED_CHARTER_COST,HLOOKUP(G$7,FIXED_CHARTER_COST,2,0)+1,0)+VLOOKUP($A168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0.75044951935176385</v>
      </c>
      <c r="H168" s="10">
        <f>(+VLOOKUP($A168,FIXED_CHARTER_COST,HLOOKUP(H$7,FIXED_CHARTER_COST,2,0)+1,0)+VLOOKUP($A168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0.64486004898963556</v>
      </c>
      <c r="I168" s="10">
        <f>(+VLOOKUP($A168,FIXED_CHARTER_COST,HLOOKUP(I$7,FIXED_CHARTER_COST,2,0)+1,0)+VLOOKUP($A168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0.7750328914360628</v>
      </c>
    </row>
    <row r="169" spans="1:9" x14ac:dyDescent="0.2">
      <c r="A169" s="179">
        <f>+SHIPS!B185</f>
        <v>41548</v>
      </c>
      <c r="B169" s="10">
        <f>(+VLOOKUP($A169,FIXED_CHARTER_COST,HLOOKUP(B$7,FIXED_CHARTER_COST,2,0)+1,0)+VLOOKUP($A169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1.4550365398078715</v>
      </c>
      <c r="C169" s="10">
        <f>(+VLOOKUP($A169,FIXED_CHARTER_COST,HLOOKUP(C$7,FIXED_CHARTER_COST,2,0)+1,0)+VLOOKUP($A169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1.5853072043143348</v>
      </c>
      <c r="D169" s="10">
        <f>(+VLOOKUP($A169,FIXED_CHARTER_COST,HLOOKUP(D$7,FIXED_CHARTER_COST,2,0)+1,0)+VLOOKUP($A169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0.33695377883239491</v>
      </c>
      <c r="E169" s="10">
        <f>(+VLOOKUP($A169,FIXED_CHARTER_COST,HLOOKUP(E$7,FIXED_CHARTER_COST,2,0)+1,0)+VLOOKUP($A169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0.36773526852244037</v>
      </c>
      <c r="F169" s="10">
        <f>(+VLOOKUP($A169,FIXED_CHARTER_COST,HLOOKUP(F$7,FIXED_CHARTER_COST,2,0)+1,0)+VLOOKUP($A169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0.61749056845719008</v>
      </c>
      <c r="G169" s="10">
        <f>(+VLOOKUP($A169,FIXED_CHARTER_COST,HLOOKUP(G$7,FIXED_CHARTER_COST,2,0)+1,0)+VLOOKUP($A169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0.75068677138316031</v>
      </c>
      <c r="H169" s="10">
        <f>(+VLOOKUP($A169,FIXED_CHARTER_COST,HLOOKUP(H$7,FIXED_CHARTER_COST,2,0)+1,0)+VLOOKUP($A169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0.64529046605379337</v>
      </c>
      <c r="I169" s="10">
        <f>(+VLOOKUP($A169,FIXED_CHARTER_COST,HLOOKUP(I$7,FIXED_CHARTER_COST,2,0)+1,0)+VLOOKUP($A169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0.77556113056025644</v>
      </c>
    </row>
    <row r="170" spans="1:9" x14ac:dyDescent="0.2">
      <c r="A170" s="179">
        <f>+SHIPS!B186</f>
        <v>41579</v>
      </c>
      <c r="B170" s="10">
        <f>(+VLOOKUP($A170,FIXED_CHARTER_COST,HLOOKUP(B$7,FIXED_CHARTER_COST,2,0)+1,0)+VLOOKUP($A170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1.4559775880254167</v>
      </c>
      <c r="C170" s="10">
        <f>(+VLOOKUP($A170,FIXED_CHARTER_COST,HLOOKUP(C$7,FIXED_CHARTER_COST,2,0)+1,0)+VLOOKUP($A170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1.5863462783878741</v>
      </c>
      <c r="D170" s="10">
        <f>(+VLOOKUP($A170,FIXED_CHARTER_COST,HLOOKUP(D$7,FIXED_CHARTER_COST,2,0)+1,0)+VLOOKUP($A170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0.3370635078969158</v>
      </c>
      <c r="E170" s="10">
        <f>(+VLOOKUP($A170,FIXED_CHARTER_COST,HLOOKUP(E$7,FIXED_CHARTER_COST,2,0)+1,0)+VLOOKUP($A170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0.36785414167567126</v>
      </c>
      <c r="F170" s="10">
        <f>(+VLOOKUP($A170,FIXED_CHARTER_COST,HLOOKUP(F$7,FIXED_CHARTER_COST,2,0)+1,0)+VLOOKUP($A170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0.61768259432010164</v>
      </c>
      <c r="G170" s="10">
        <f>(+VLOOKUP($A170,FIXED_CHARTER_COST,HLOOKUP(G$7,FIXED_CHARTER_COST,2,0)+1,0)+VLOOKUP($A170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0.75092451768962221</v>
      </c>
      <c r="H170" s="10">
        <f>(+VLOOKUP($A170,FIXED_CHARTER_COST,HLOOKUP(H$7,FIXED_CHARTER_COST,2,0)+1,0)+VLOOKUP($A170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0.64572177982016821</v>
      </c>
      <c r="I170" s="10">
        <f>(+VLOOKUP($A170,FIXED_CHARTER_COST,HLOOKUP(I$7,FIXED_CHARTER_COST,2,0)+1,0)+VLOOKUP($A170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0.77609047018262556</v>
      </c>
    </row>
    <row r="171" spans="1:9" x14ac:dyDescent="0.2">
      <c r="A171" s="179">
        <f>+SHIPS!B187</f>
        <v>41609</v>
      </c>
      <c r="B171" s="10">
        <f>(+VLOOKUP($A171,FIXED_CHARTER_COST,HLOOKUP(B$7,FIXED_CHARTER_COST,2,0)+1,0)+VLOOKUP($A171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1.4569205967600813</v>
      </c>
      <c r="C171" s="10">
        <f>(+VLOOKUP($A171,FIXED_CHARTER_COST,HLOOKUP(C$7,FIXED_CHARTER_COST,2,0)+1,0)+VLOOKUP($A171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1.5873875171990661</v>
      </c>
      <c r="D171" s="10">
        <f>(+VLOOKUP($A171,FIXED_CHARTER_COST,HLOOKUP(D$7,FIXED_CHARTER_COST,2,0)+1,0)+VLOOKUP($A171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0.33717346556365446</v>
      </c>
      <c r="E171" s="10">
        <f>(+VLOOKUP($A171,FIXED_CHARTER_COST,HLOOKUP(E$7,FIXED_CHARTER_COST,2,0)+1,0)+VLOOKUP($A171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0.36797326248130485</v>
      </c>
      <c r="F171" s="10">
        <f>(+VLOOKUP($A171,FIXED_CHARTER_COST,HLOOKUP(F$7,FIXED_CHARTER_COST,2,0)+1,0)+VLOOKUP($A171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0.61787502023689422</v>
      </c>
      <c r="G171" s="10">
        <f>(+VLOOKUP($A171,FIXED_CHARTER_COST,HLOOKUP(G$7,FIXED_CHARTER_COST,2,0)+1,0)+VLOOKUP($A171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0.75116275930088927</v>
      </c>
      <c r="H171" s="10">
        <f>(+VLOOKUP($A171,FIXED_CHARTER_COST,HLOOKUP(H$7,FIXED_CHARTER_COST,2,0)+1,0)+VLOOKUP($A171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0.64615399215688951</v>
      </c>
      <c r="I171" s="10">
        <f>(+VLOOKUP($A171,FIXED_CHARTER_COST,HLOOKUP(I$7,FIXED_CHARTER_COST,2,0)+1,0)+VLOOKUP($A171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0.7766209125958744</v>
      </c>
    </row>
    <row r="172" spans="1:9" x14ac:dyDescent="0.2">
      <c r="A172" s="179">
        <f>+SHIPS!B188</f>
        <v>41640</v>
      </c>
      <c r="B172" s="10">
        <f>(+VLOOKUP($A172,FIXED_CHARTER_COST,HLOOKUP(B$7,FIXED_CHARTER_COST,2,0)+1,0)+VLOOKUP($A172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1.4578655700962768</v>
      </c>
      <c r="C172" s="10">
        <f>(+VLOOKUP($A172,FIXED_CHARTER_COST,HLOOKUP(C$7,FIXED_CHARTER_COST,2,0)+1,0)+VLOOKUP($A172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1.588430925257782</v>
      </c>
      <c r="D172" s="10">
        <f>(+VLOOKUP($A172,FIXED_CHARTER_COST,HLOOKUP(D$7,FIXED_CHARTER_COST,2,0)+1,0)+VLOOKUP($A172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0.33728365230886542</v>
      </c>
      <c r="E172" s="10">
        <f>(+VLOOKUP($A172,FIXED_CHARTER_COST,HLOOKUP(E$7,FIXED_CHARTER_COST,2,0)+1,0)+VLOOKUP($A172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0.36809263145528343</v>
      </c>
      <c r="F172" s="10">
        <f>(+VLOOKUP($A172,FIXED_CHARTER_COST,HLOOKUP(F$7,FIXED_CHARTER_COST,2,0)+1,0)+VLOOKUP($A172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0.61806784704101347</v>
      </c>
      <c r="G172" s="10">
        <f>(+VLOOKUP($A172,FIXED_CHARTER_COST,HLOOKUP(G$7,FIXED_CHARTER_COST,2,0)+1,0)+VLOOKUP($A172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0.75140149724884642</v>
      </c>
      <c r="H172" s="10">
        <f>(+VLOOKUP($A172,FIXED_CHARTER_COST,HLOOKUP(H$7,FIXED_CHARTER_COST,2,0)+1,0)+VLOOKUP($A172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0.64658710493597904</v>
      </c>
      <c r="I172" s="10">
        <f>(+VLOOKUP($A172,FIXED_CHARTER_COST,HLOOKUP(I$7,FIXED_CHARTER_COST,2,0)+1,0)+VLOOKUP($A172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0.77715246009748429</v>
      </c>
    </row>
    <row r="173" spans="1:9" x14ac:dyDescent="0.2">
      <c r="A173" s="179">
        <f>+SHIPS!B189</f>
        <v>41671</v>
      </c>
      <c r="B173" s="10">
        <f>(+VLOOKUP($A173,FIXED_CHARTER_COST,HLOOKUP(B$7,FIXED_CHARTER_COST,2,0)+1,0)+VLOOKUP($A173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1.4588125121269226</v>
      </c>
      <c r="C173" s="10">
        <f>(+VLOOKUP($A173,FIXED_CHARTER_COST,HLOOKUP(C$7,FIXED_CHARTER_COST,2,0)+1,0)+VLOOKUP($A173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1.589476507083287</v>
      </c>
      <c r="D173" s="10">
        <f>(+VLOOKUP($A173,FIXED_CHARTER_COST,HLOOKUP(D$7,FIXED_CHARTER_COST,2,0)+1,0)+VLOOKUP($A173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0.33739406860979559</v>
      </c>
      <c r="E173" s="10">
        <f>(+VLOOKUP($A173,FIXED_CHARTER_COST,HLOOKUP(E$7,FIXED_CHARTER_COST,2,0)+1,0)+VLOOKUP($A173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0.36821224911462441</v>
      </c>
      <c r="F173" s="10">
        <f>(+VLOOKUP($A173,FIXED_CHARTER_COST,HLOOKUP(F$7,FIXED_CHARTER_COST,2,0)+1,0)+VLOOKUP($A173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0.61826107556764121</v>
      </c>
      <c r="G173" s="10">
        <f>(+VLOOKUP($A173,FIXED_CHARTER_COST,HLOOKUP(G$7,FIXED_CHARTER_COST,2,0)+1,0)+VLOOKUP($A173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0.75164073256752839</v>
      </c>
      <c r="H173" s="10">
        <f>(+VLOOKUP($A173,FIXED_CHARTER_COST,HLOOKUP(H$7,FIXED_CHARTER_COST,2,0)+1,0)+VLOOKUP($A173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0.64702112003335843</v>
      </c>
      <c r="I173" s="10">
        <f>(+VLOOKUP($A173,FIXED_CHARTER_COST,HLOOKUP(I$7,FIXED_CHARTER_COST,2,0)+1,0)+VLOOKUP($A173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0.7776851149897227</v>
      </c>
    </row>
    <row r="174" spans="1:9" x14ac:dyDescent="0.2">
      <c r="A174" s="179">
        <f>+SHIPS!B190</f>
        <v>41699</v>
      </c>
      <c r="B174" s="10">
        <f>(+VLOOKUP($A174,FIXED_CHARTER_COST,HLOOKUP(B$7,FIXED_CHARTER_COST,2,0)+1,0)+VLOOKUP($A174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1.4597614269534658</v>
      </c>
      <c r="C174" s="10">
        <f>(+VLOOKUP($A174,FIXED_CHARTER_COST,HLOOKUP(C$7,FIXED_CHARTER_COST,2,0)+1,0)+VLOOKUP($A174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1.5905242672042614</v>
      </c>
      <c r="D174" s="10">
        <f>(+VLOOKUP($A174,FIXED_CHARTER_COST,HLOOKUP(D$7,FIXED_CHARTER_COST,2,0)+1,0)+VLOOKUP($A174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0.33750471494468609</v>
      </c>
      <c r="E174" s="10">
        <f>(+VLOOKUP($A174,FIXED_CHARTER_COST,HLOOKUP(E$7,FIXED_CHARTER_COST,2,0)+1,0)+VLOOKUP($A174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0.36833211597742249</v>
      </c>
      <c r="F174" s="10">
        <f>(+VLOOKUP($A174,FIXED_CHARTER_COST,HLOOKUP(F$7,FIXED_CHARTER_COST,2,0)+1,0)+VLOOKUP($A174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0.61845470665369962</v>
      </c>
      <c r="G174" s="10">
        <f>(+VLOOKUP($A174,FIXED_CHARTER_COST,HLOOKUP(G$7,FIXED_CHARTER_COST,2,0)+1,0)+VLOOKUP($A174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0.75188046629312455</v>
      </c>
      <c r="H174" s="10">
        <f>(+VLOOKUP($A174,FIXED_CHARTER_COST,HLOOKUP(H$7,FIXED_CHARTER_COST,2,0)+1,0)+VLOOKUP($A174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0.64745603932885731</v>
      </c>
      <c r="I174" s="10">
        <f>(+VLOOKUP($A174,FIXED_CHARTER_COST,HLOOKUP(I$7,FIXED_CHARTER_COST,2,0)+1,0)+VLOOKUP($A174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0.77821887957965308</v>
      </c>
    </row>
    <row r="175" spans="1:9" x14ac:dyDescent="0.2">
      <c r="A175" s="179">
        <f>+SHIPS!B191</f>
        <v>41730</v>
      </c>
      <c r="B175" s="10">
        <f>(+VLOOKUP($A175,FIXED_CHARTER_COST,HLOOKUP(B$7,FIXED_CHARTER_COST,2,0)+1,0)+VLOOKUP($A175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1.4607123186858972</v>
      </c>
      <c r="C175" s="10">
        <f>(+VLOOKUP($A175,FIXED_CHARTER_COST,HLOOKUP(C$7,FIXED_CHARTER_COST,2,0)+1,0)+VLOOKUP($A175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1.5915742101588213</v>
      </c>
      <c r="D175" s="10">
        <f>(+VLOOKUP($A175,FIXED_CHARTER_COST,HLOOKUP(D$7,FIXED_CHARTER_COST,2,0)+1,0)+VLOOKUP($A175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0.33761559179277417</v>
      </c>
      <c r="E175" s="10">
        <f>(+VLOOKUP($A175,FIXED_CHARTER_COST,HLOOKUP(E$7,FIXED_CHARTER_COST,2,0)+1,0)+VLOOKUP($A175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0.36845223256285126</v>
      </c>
      <c r="F175" s="10">
        <f>(+VLOOKUP($A175,FIXED_CHARTER_COST,HLOOKUP(F$7,FIXED_CHARTER_COST,2,0)+1,0)+VLOOKUP($A175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0.61864874113785373</v>
      </c>
      <c r="G175" s="10">
        <f>(+VLOOKUP($A175,FIXED_CHARTER_COST,HLOOKUP(G$7,FIXED_CHARTER_COST,2,0)+1,0)+VLOOKUP($A175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0.75212069946398208</v>
      </c>
      <c r="H175" s="10">
        <f>(+VLOOKUP($A175,FIXED_CHARTER_COST,HLOOKUP(H$7,FIXED_CHARTER_COST,2,0)+1,0)+VLOOKUP($A175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0.64789186470622184</v>
      </c>
      <c r="I175" s="10">
        <f>(+VLOOKUP($A175,FIXED_CHARTER_COST,HLOOKUP(I$7,FIXED_CHARTER_COST,2,0)+1,0)+VLOOKUP($A175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0.77875375617914588</v>
      </c>
    </row>
    <row r="176" spans="1:9" x14ac:dyDescent="0.2">
      <c r="A176" s="179">
        <f>+SHIPS!B192</f>
        <v>41760</v>
      </c>
      <c r="B176" s="10">
        <f>(+VLOOKUP($A176,FIXED_CHARTER_COST,HLOOKUP(B$7,FIXED_CHARTER_COST,2,0)+1,0)+VLOOKUP($A176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1.4616651914427714</v>
      </c>
      <c r="C176" s="10">
        <f>(+VLOOKUP($A176,FIXED_CHARTER_COST,HLOOKUP(C$7,FIXED_CHARTER_COST,2,0)+1,0)+VLOOKUP($A176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1.5926263404945364</v>
      </c>
      <c r="D176" s="10">
        <f>(+VLOOKUP($A176,FIXED_CHARTER_COST,HLOOKUP(D$7,FIXED_CHARTER_COST,2,0)+1,0)+VLOOKUP($A176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0.33772669963429586</v>
      </c>
      <c r="E176" s="10">
        <f>(+VLOOKUP($A176,FIXED_CHARTER_COST,HLOOKUP(E$7,FIXED_CHARTER_COST,2,0)+1,0)+VLOOKUP($A176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0.36857259939116632</v>
      </c>
      <c r="F176" s="10">
        <f>(+VLOOKUP($A176,FIXED_CHARTER_COST,HLOOKUP(F$7,FIXED_CHARTER_COST,2,0)+1,0)+VLOOKUP($A176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0.61884317986051673</v>
      </c>
      <c r="G176" s="10">
        <f>(+VLOOKUP($A176,FIXED_CHARTER_COST,HLOOKUP(G$7,FIXED_CHARTER_COST,2,0)+1,0)+VLOOKUP($A176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0.75236143312061232</v>
      </c>
      <c r="H176" s="10">
        <f>(+VLOOKUP($A176,FIXED_CHARTER_COST,HLOOKUP(H$7,FIXED_CHARTER_COST,2,0)+1,0)+VLOOKUP($A176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0.64832859805312248</v>
      </c>
      <c r="I176" s="10">
        <f>(+VLOOKUP($A176,FIXED_CHARTER_COST,HLOOKUP(I$7,FIXED_CHARTER_COST,2,0)+1,0)+VLOOKUP($A176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0.77928974710488763</v>
      </c>
    </row>
    <row r="177" spans="1:9" x14ac:dyDescent="0.2">
      <c r="A177" s="179">
        <f>+SHIPS!B193</f>
        <v>41791</v>
      </c>
      <c r="B177" s="10">
        <f>(+VLOOKUP($A177,FIXED_CHARTER_COST,HLOOKUP(B$7,FIXED_CHARTER_COST,2,0)+1,0)+VLOOKUP($A177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1.4626200493512223</v>
      </c>
      <c r="C177" s="10">
        <f>(+VLOOKUP($A177,FIXED_CHARTER_COST,HLOOKUP(C$7,FIXED_CHARTER_COST,2,0)+1,0)+VLOOKUP($A177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1.593680662768451</v>
      </c>
      <c r="D177" s="10">
        <f>(+VLOOKUP($A177,FIXED_CHARTER_COST,HLOOKUP(D$7,FIXED_CHARTER_COST,2,0)+1,0)+VLOOKUP($A177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0.33783803895048736</v>
      </c>
      <c r="E177" s="10">
        <f>(+VLOOKUP($A177,FIXED_CHARTER_COST,HLOOKUP(E$7,FIXED_CHARTER_COST,2,0)+1,0)+VLOOKUP($A177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0.36869321698370722</v>
      </c>
      <c r="F177" s="10">
        <f>(+VLOOKUP($A177,FIXED_CHARTER_COST,HLOOKUP(F$7,FIXED_CHARTER_COST,2,0)+1,0)+VLOOKUP($A177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0.61903802366385186</v>
      </c>
      <c r="G177" s="10">
        <f>(+VLOOKUP($A177,FIXED_CHARTER_COST,HLOOKUP(G$7,FIXED_CHARTER_COST,2,0)+1,0)+VLOOKUP($A177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0.752602668305694</v>
      </c>
      <c r="H177" s="10">
        <f>(+VLOOKUP($A177,FIXED_CHARTER_COST,HLOOKUP(H$7,FIXED_CHARTER_COST,2,0)+1,0)+VLOOKUP($A177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0.64876624126116245</v>
      </c>
      <c r="I177" s="10">
        <f>(+VLOOKUP($A177,FIXED_CHARTER_COST,HLOOKUP(I$7,FIXED_CHARTER_COST,2,0)+1,0)+VLOOKUP($A177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0.77982685467839119</v>
      </c>
    </row>
    <row r="178" spans="1:9" x14ac:dyDescent="0.2">
      <c r="A178" s="179">
        <f>+SHIPS!B194</f>
        <v>41821</v>
      </c>
      <c r="B178" s="10">
        <f>(+VLOOKUP($A178,FIXED_CHARTER_COST,HLOOKUP(B$7,FIXED_CHARTER_COST,2,0)+1,0)+VLOOKUP($A178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1.4635768965469826</v>
      </c>
      <c r="C178" s="10">
        <f>(+VLOOKUP($A178,FIXED_CHARTER_COST,HLOOKUP(C$7,FIXED_CHARTER_COST,2,0)+1,0)+VLOOKUP($A178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1.5947371815471032</v>
      </c>
      <c r="D178" s="10">
        <f>(+VLOOKUP($A178,FIXED_CHARTER_COST,HLOOKUP(D$7,FIXED_CHARTER_COST,2,0)+1,0)+VLOOKUP($A178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0.33794961022358755</v>
      </c>
      <c r="E178" s="10">
        <f>(+VLOOKUP($A178,FIXED_CHARTER_COST,HLOOKUP(E$7,FIXED_CHARTER_COST,2,0)+1,0)+VLOOKUP($A178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0.36881408586289904</v>
      </c>
      <c r="F178" s="10">
        <f>(+VLOOKUP($A178,FIXED_CHARTER_COST,HLOOKUP(F$7,FIXED_CHARTER_COST,2,0)+1,0)+VLOOKUP($A178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0.61923327339177725</v>
      </c>
      <c r="G178" s="10">
        <f>(+VLOOKUP($A178,FIXED_CHARTER_COST,HLOOKUP(G$7,FIXED_CHARTER_COST,2,0)+1,0)+VLOOKUP($A178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0.75284440606407776</v>
      </c>
      <c r="H178" s="10">
        <f>(+VLOOKUP($A178,FIXED_CHARTER_COST,HLOOKUP(H$7,FIXED_CHARTER_COST,2,0)+1,0)+VLOOKUP($A178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0.64920479622588589</v>
      </c>
      <c r="I178" s="10">
        <f>(+VLOOKUP($A178,FIXED_CHARTER_COST,HLOOKUP(I$7,FIXED_CHARTER_COST,2,0)+1,0)+VLOOKUP($A178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0.78036508122600645</v>
      </c>
    </row>
    <row r="179" spans="1:9" x14ac:dyDescent="0.2">
      <c r="A179" s="179">
        <f>+SHIPS!B195</f>
        <v>41852</v>
      </c>
      <c r="B179" s="10">
        <f>(+VLOOKUP($A179,FIXED_CHARTER_COST,HLOOKUP(B$7,FIXED_CHARTER_COST,2,0)+1,0)+VLOOKUP($A179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1.4645357371744008</v>
      </c>
      <c r="C179" s="10">
        <f>(+VLOOKUP($A179,FIXED_CHARTER_COST,HLOOKUP(C$7,FIXED_CHARTER_COST,2,0)+1,0)+VLOOKUP($A179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1.5957959014065441</v>
      </c>
      <c r="D179" s="10">
        <f>(+VLOOKUP($A179,FIXED_CHARTER_COST,HLOOKUP(D$7,FIXED_CHARTER_COST,2,0)+1,0)+VLOOKUP($A179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0.33806141393684014</v>
      </c>
      <c r="E179" s="10">
        <f>(+VLOOKUP($A179,FIXED_CHARTER_COST,HLOOKUP(E$7,FIXED_CHARTER_COST,2,0)+1,0)+VLOOKUP($A179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0.36893520655225592</v>
      </c>
      <c r="F179" s="10">
        <f>(+VLOOKUP($A179,FIXED_CHARTER_COST,HLOOKUP(F$7,FIXED_CHARTER_COST,2,0)+1,0)+VLOOKUP($A179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0.61942892988996912</v>
      </c>
      <c r="G179" s="10">
        <f>(+VLOOKUP($A179,FIXED_CHARTER_COST,HLOOKUP(G$7,FIXED_CHARTER_COST,2,0)+1,0)+VLOOKUP($A179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0.75308664744279152</v>
      </c>
      <c r="H179" s="10">
        <f>(+VLOOKUP($A179,FIXED_CHARTER_COST,HLOOKUP(H$7,FIXED_CHARTER_COST,2,0)+1,0)+VLOOKUP($A179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0.64964426484678583</v>
      </c>
      <c r="I179" s="10">
        <f>(+VLOOKUP($A179,FIXED_CHARTER_COST,HLOOKUP(I$7,FIXED_CHARTER_COST,2,0)+1,0)+VLOOKUP($A179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0.7809044290789291</v>
      </c>
    </row>
    <row r="180" spans="1:9" x14ac:dyDescent="0.2">
      <c r="A180" s="179">
        <f>+SHIPS!B196</f>
        <v>41883</v>
      </c>
      <c r="B180" s="10">
        <f>(+VLOOKUP($A180,FIXED_CHARTER_COST,HLOOKUP(B$7,FIXED_CHARTER_COST,2,0)+1,0)+VLOOKUP($A180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1.4654965753864595</v>
      </c>
      <c r="C180" s="10">
        <f>(+VLOOKUP($A180,FIXED_CHARTER_COST,HLOOKUP(C$7,FIXED_CHARTER_COST,2,0)+1,0)+VLOOKUP($A180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1.5968568269323586</v>
      </c>
      <c r="D180" s="10">
        <f>(+VLOOKUP($A180,FIXED_CHARTER_COST,HLOOKUP(D$7,FIXED_CHARTER_COST,2,0)+1,0)+VLOOKUP($A180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0.33817345057449522</v>
      </c>
      <c r="E180" s="10">
        <f>(+VLOOKUP($A180,FIXED_CHARTER_COST,HLOOKUP(E$7,FIXED_CHARTER_COST,2,0)+1,0)+VLOOKUP($A180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0.36905657957638233</v>
      </c>
      <c r="F180" s="10">
        <f>(+VLOOKUP($A180,FIXED_CHARTER_COST,HLOOKUP(F$7,FIXED_CHARTER_COST,2,0)+1,0)+VLOOKUP($A180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0.61962499400586568</v>
      </c>
      <c r="G180" s="10">
        <f>(+VLOOKUP($A180,FIXED_CHARTER_COST,HLOOKUP(G$7,FIXED_CHARTER_COST,2,0)+1,0)+VLOOKUP($A180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0.75332939349104433</v>
      </c>
      <c r="H180" s="10">
        <f>(+VLOOKUP($A180,FIXED_CHARTER_COST,HLOOKUP(H$7,FIXED_CHARTER_COST,2,0)+1,0)+VLOOKUP($A180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0.65008464902731278</v>
      </c>
      <c r="I180" s="10">
        <f>(+VLOOKUP($A180,FIXED_CHARTER_COST,HLOOKUP(I$7,FIXED_CHARTER_COST,2,0)+1,0)+VLOOKUP($A180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0.78144490057321214</v>
      </c>
    </row>
    <row r="181" spans="1:9" x14ac:dyDescent="0.2">
      <c r="A181" s="179">
        <f>+SHIPS!B197</f>
        <v>41913</v>
      </c>
      <c r="B181" s="10">
        <f>(+VLOOKUP($A181,FIXED_CHARTER_COST,HLOOKUP(B$7,FIXED_CHARTER_COST,2,0)+1,0)+VLOOKUP($A181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1.4664594153447932</v>
      </c>
      <c r="C181" s="10">
        <f>(+VLOOKUP($A181,FIXED_CHARTER_COST,HLOOKUP(C$7,FIXED_CHARTER_COST,2,0)+1,0)+VLOOKUP($A181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1.5979199627196856</v>
      </c>
      <c r="D181" s="10">
        <f>(+VLOOKUP($A181,FIXED_CHARTER_COST,HLOOKUP(D$7,FIXED_CHARTER_COST,2,0)+1,0)+VLOOKUP($A181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0.33828572062181217</v>
      </c>
      <c r="E181" s="10">
        <f>(+VLOOKUP($A181,FIXED_CHARTER_COST,HLOOKUP(E$7,FIXED_CHARTER_COST,2,0)+1,0)+VLOOKUP($A181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0.36917820546097574</v>
      </c>
      <c r="F181" s="10">
        <f>(+VLOOKUP($A181,FIXED_CHARTER_COST,HLOOKUP(F$7,FIXED_CHARTER_COST,2,0)+1,0)+VLOOKUP($A181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0.61982146658867032</v>
      </c>
      <c r="G181" s="10">
        <f>(+VLOOKUP($A181,FIXED_CHARTER_COST,HLOOKUP(G$7,FIXED_CHARTER_COST,2,0)+1,0)+VLOOKUP($A181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0.75357264526023104</v>
      </c>
      <c r="H181" s="10">
        <f>(+VLOOKUP($A181,FIXED_CHARTER_COST,HLOOKUP(H$7,FIXED_CHARTER_COST,2,0)+1,0)+VLOOKUP($A181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0.65052595067488239</v>
      </c>
      <c r="I181" s="10">
        <f>(+VLOOKUP($A181,FIXED_CHARTER_COST,HLOOKUP(I$7,FIXED_CHARTER_COST,2,0)+1,0)+VLOOKUP($A181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0.78198649804977483</v>
      </c>
    </row>
    <row r="182" spans="1:9" x14ac:dyDescent="0.2">
      <c r="A182" s="179">
        <f>+SHIPS!B198</f>
        <v>41944</v>
      </c>
      <c r="B182" s="10">
        <f>(+VLOOKUP($A182,FIXED_CHARTER_COST,HLOOKUP(B$7,FIXED_CHARTER_COST,2,0)+1,0)+VLOOKUP($A182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1.4674242612197066</v>
      </c>
      <c r="C182" s="10">
        <f>(+VLOOKUP($A182,FIXED_CHARTER_COST,HLOOKUP(C$7,FIXED_CHARTER_COST,2,0)+1,0)+VLOOKUP($A182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1.5989853133732359</v>
      </c>
      <c r="D182" s="10">
        <f>(+VLOOKUP($A182,FIXED_CHARTER_COST,HLOOKUP(D$7,FIXED_CHARTER_COST,2,0)+1,0)+VLOOKUP($A182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0.33839822456506097</v>
      </c>
      <c r="E182" s="10">
        <f>(+VLOOKUP($A182,FIXED_CHARTER_COST,HLOOKUP(E$7,FIXED_CHARTER_COST,2,0)+1,0)+VLOOKUP($A182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0.36930008473282855</v>
      </c>
      <c r="F182" s="10">
        <f>(+VLOOKUP($A182,FIXED_CHARTER_COST,HLOOKUP(F$7,FIXED_CHARTER_COST,2,0)+1,0)+VLOOKUP($A182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0.62001834848935566</v>
      </c>
      <c r="G182" s="10">
        <f>(+VLOOKUP($A182,FIXED_CHARTER_COST,HLOOKUP(G$7,FIXED_CHARTER_COST,2,0)+1,0)+VLOOKUP($A182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0.75381640380393677</v>
      </c>
      <c r="H182" s="10">
        <f>(+VLOOKUP($A182,FIXED_CHARTER_COST,HLOOKUP(H$7,FIXED_CHARTER_COST,2,0)+1,0)+VLOOKUP($A182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0.65096817170088439</v>
      </c>
      <c r="I182" s="10">
        <f>(+VLOOKUP($A182,FIXED_CHARTER_COST,HLOOKUP(I$7,FIXED_CHARTER_COST,2,0)+1,0)+VLOOKUP($A182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0.7825292238544137</v>
      </c>
    </row>
    <row r="183" spans="1:9" x14ac:dyDescent="0.2">
      <c r="A183" s="179">
        <f>+SHIPS!B199</f>
        <v>41974</v>
      </c>
      <c r="B183" s="10">
        <f>(+VLOOKUP($A183,FIXED_CHARTER_COST,HLOOKUP(B$7,FIXED_CHARTER_COST,2,0)+1,0)+VLOOKUP($A183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1.4683911171901929</v>
      </c>
      <c r="C183" s="10">
        <f>(+VLOOKUP($A183,FIXED_CHARTER_COST,HLOOKUP(C$7,FIXED_CHARTER_COST,2,0)+1,0)+VLOOKUP($A183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1.6000528835073144</v>
      </c>
      <c r="D183" s="10">
        <f>(+VLOOKUP($A183,FIXED_CHARTER_COST,HLOOKUP(D$7,FIXED_CHARTER_COST,2,0)+1,0)+VLOOKUP($A183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0.33851096289152494</v>
      </c>
      <c r="E183" s="10">
        <f>(+VLOOKUP($A183,FIXED_CHARTER_COST,HLOOKUP(E$7,FIXED_CHARTER_COST,2,0)+1,0)+VLOOKUP($A183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0.36942221791983115</v>
      </c>
      <c r="F183" s="10">
        <f>(+VLOOKUP($A183,FIXED_CHARTER_COST,HLOOKUP(F$7,FIXED_CHARTER_COST,2,0)+1,0)+VLOOKUP($A183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0.62021564056066758</v>
      </c>
      <c r="G183" s="10">
        <f>(+VLOOKUP($A183,FIXED_CHARTER_COST,HLOOKUP(G$7,FIXED_CHARTER_COST,2,0)+1,0)+VLOOKUP($A183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0.75406067017794198</v>
      </c>
      <c r="H183" s="10">
        <f>(+VLOOKUP($A183,FIXED_CHARTER_COST,HLOOKUP(H$7,FIXED_CHARTER_COST,2,0)+1,0)+VLOOKUP($A183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0.65141131402069063</v>
      </c>
      <c r="I183" s="10">
        <f>(+VLOOKUP($A183,FIXED_CHARTER_COST,HLOOKUP(I$7,FIXED_CHARTER_COST,2,0)+1,0)+VLOOKUP($A183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0.78307308033781209</v>
      </c>
    </row>
    <row r="184" spans="1:9" x14ac:dyDescent="0.2">
      <c r="A184" s="179">
        <f>+SHIPS!B200</f>
        <v>42005</v>
      </c>
      <c r="B184" s="10">
        <f>(+VLOOKUP($A184,FIXED_CHARTER_COST,HLOOKUP(B$7,FIXED_CHARTER_COST,2,0)+1,0)+VLOOKUP($A184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1.4693599874439511</v>
      </c>
      <c r="C184" s="10">
        <f>(+VLOOKUP($A184,FIXED_CHARTER_COST,HLOOKUP(C$7,FIXED_CHARTER_COST,2,0)+1,0)+VLOOKUP($A184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1.6011226777458389</v>
      </c>
      <c r="D184" s="10">
        <f>(+VLOOKUP($A184,FIXED_CHARTER_COST,HLOOKUP(D$7,FIXED_CHARTER_COST,2,0)+1,0)+VLOOKUP($A184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0.33862393608950231</v>
      </c>
      <c r="E184" s="10">
        <f>(+VLOOKUP($A184,FIXED_CHARTER_COST,HLOOKUP(E$7,FIXED_CHARTER_COST,2,0)+1,0)+VLOOKUP($A184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0.3695446055509734</v>
      </c>
      <c r="F184" s="10">
        <f>(+VLOOKUP($A184,FIXED_CHARTER_COST,HLOOKUP(F$7,FIXED_CHARTER_COST,2,0)+1,0)+VLOOKUP($A184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0.62041334365712808</v>
      </c>
      <c r="G184" s="10">
        <f>(+VLOOKUP($A184,FIXED_CHARTER_COST,HLOOKUP(G$7,FIXED_CHARTER_COST,2,0)+1,0)+VLOOKUP($A184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0.75430544544022637</v>
      </c>
      <c r="H184" s="10">
        <f>(+VLOOKUP($A184,FIXED_CHARTER_COST,HLOOKUP(H$7,FIXED_CHARTER_COST,2,0)+1,0)+VLOOKUP($A184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0.65185537955366313</v>
      </c>
      <c r="I184" s="10">
        <f>(+VLOOKUP($A184,FIXED_CHARTER_COST,HLOOKUP(I$7,FIXED_CHARTER_COST,2,0)+1,0)+VLOOKUP($A184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0.78361806985555105</v>
      </c>
    </row>
    <row r="185" spans="1:9" x14ac:dyDescent="0.2">
      <c r="A185" s="179">
        <f>+SHIPS!B201</f>
        <v>42036</v>
      </c>
      <c r="B185" s="10">
        <f>(+VLOOKUP($A185,FIXED_CHARTER_COST,HLOOKUP(B$7,FIXED_CHARTER_COST,2,0)+1,0)+VLOOKUP($A185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1.4703308761774045</v>
      </c>
      <c r="C185" s="10">
        <f>(+VLOOKUP($A185,FIXED_CHARTER_COST,HLOOKUP(C$7,FIXED_CHARTER_COST,2,0)+1,0)+VLOOKUP($A185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1.6021947007223607</v>
      </c>
      <c r="D185" s="10">
        <f>(+VLOOKUP($A185,FIXED_CHARTER_COST,HLOOKUP(D$7,FIXED_CHARTER_COST,2,0)+1,0)+VLOOKUP($A185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0.33873714464830879</v>
      </c>
      <c r="E185" s="10">
        <f>(+VLOOKUP($A185,FIXED_CHARTER_COST,HLOOKUP(E$7,FIXED_CHARTER_COST,2,0)+1,0)+VLOOKUP($A185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0.36966724815634705</v>
      </c>
      <c r="F185" s="10">
        <f>(+VLOOKUP($A185,FIXED_CHARTER_COST,HLOOKUP(F$7,FIXED_CHARTER_COST,2,0)+1,0)+VLOOKUP($A185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0.6206114586350393</v>
      </c>
      <c r="G185" s="10">
        <f>(+VLOOKUP($A185,FIXED_CHARTER_COST,HLOOKUP(G$7,FIXED_CHARTER_COST,2,0)+1,0)+VLOOKUP($A185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0.75455073065097367</v>
      </c>
      <c r="H185" s="10">
        <f>(+VLOOKUP($A185,FIXED_CHARTER_COST,HLOOKUP(H$7,FIXED_CHARTER_COST,2,0)+1,0)+VLOOKUP($A185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0.65230037022316256</v>
      </c>
      <c r="I185" s="10">
        <f>(+VLOOKUP($A185,FIXED_CHARTER_COST,HLOOKUP(I$7,FIXED_CHARTER_COST,2,0)+1,0)+VLOOKUP($A185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0.78416419476811872</v>
      </c>
    </row>
    <row r="186" spans="1:9" x14ac:dyDescent="0.2">
      <c r="A186" s="179">
        <f>+SHIPS!B202</f>
        <v>42064</v>
      </c>
      <c r="B186" s="10">
        <f>(+VLOOKUP($A186,FIXED_CHARTER_COST,HLOOKUP(B$7,FIXED_CHARTER_COST,2,0)+1,0)+VLOOKUP($A186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1.4713037875957193</v>
      </c>
      <c r="C186" s="10">
        <f>(+VLOOKUP($A186,FIXED_CHARTER_COST,HLOOKUP(C$7,FIXED_CHARTER_COST,2,0)+1,0)+VLOOKUP($A186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1.6032689570800833</v>
      </c>
      <c r="D186" s="10">
        <f>(+VLOOKUP($A186,FIXED_CHARTER_COST,HLOOKUP(D$7,FIXED_CHARTER_COST,2,0)+1,0)+VLOOKUP($A186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0.33885058905827953</v>
      </c>
      <c r="E186" s="10">
        <f>(+VLOOKUP($A186,FIXED_CHARTER_COST,HLOOKUP(E$7,FIXED_CHARTER_COST,2,0)+1,0)+VLOOKUP($A186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0.36979014626714862</v>
      </c>
      <c r="F186" s="10">
        <f>(+VLOOKUP($A186,FIXED_CHARTER_COST,HLOOKUP(F$7,FIXED_CHARTER_COST,2,0)+1,0)+VLOOKUP($A186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0.62080998635248807</v>
      </c>
      <c r="G186" s="10">
        <f>(+VLOOKUP($A186,FIXED_CHARTER_COST,HLOOKUP(G$7,FIXED_CHARTER_COST,2,0)+1,0)+VLOOKUP($A186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0.75479652687257692</v>
      </c>
      <c r="H186" s="10">
        <f>(+VLOOKUP($A186,FIXED_CHARTER_COST,HLOOKUP(H$7,FIXED_CHARTER_COST,2,0)+1,0)+VLOOKUP($A186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0.65274628795655687</v>
      </c>
      <c r="I186" s="10">
        <f>(+VLOOKUP($A186,FIXED_CHARTER_COST,HLOOKUP(I$7,FIXED_CHARTER_COST,2,0)+1,0)+VLOOKUP($A186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0.78471145744092086</v>
      </c>
    </row>
    <row r="187" spans="1:9" x14ac:dyDescent="0.2">
      <c r="A187" s="179">
        <f>+SHIPS!B203</f>
        <v>42095</v>
      </c>
      <c r="B187" s="10">
        <f>(+VLOOKUP($A187,FIXED_CHARTER_COST,HLOOKUP(B$7,FIXED_CHARTER_COST,2,0)+1,0)+VLOOKUP($A187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1.4722787259128223</v>
      </c>
      <c r="C187" s="10">
        <f>(+VLOOKUP($A187,FIXED_CHARTER_COST,HLOOKUP(C$7,FIXED_CHARTER_COST,2,0)+1,0)+VLOOKUP($A187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1.6043454514718845</v>
      </c>
      <c r="D187" s="10">
        <f>(+VLOOKUP($A187,FIXED_CHARTER_COST,HLOOKUP(D$7,FIXED_CHARTER_COST,2,0)+1,0)+VLOOKUP($A187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0.33896426981077099</v>
      </c>
      <c r="E187" s="10">
        <f>(+VLOOKUP($A187,FIXED_CHARTER_COST,HLOOKUP(E$7,FIXED_CHARTER_COST,2,0)+1,0)+VLOOKUP($A187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0.3699133004156811</v>
      </c>
      <c r="F187" s="10">
        <f>(+VLOOKUP($A187,FIXED_CHARTER_COST,HLOOKUP(F$7,FIXED_CHARTER_COST,2,0)+1,0)+VLOOKUP($A187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0.62100892766934823</v>
      </c>
      <c r="G187" s="10">
        <f>(+VLOOKUP($A187,FIXED_CHARTER_COST,HLOOKUP(G$7,FIXED_CHARTER_COST,2,0)+1,0)+VLOOKUP($A187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0.75504283516964177</v>
      </c>
      <c r="H187" s="10">
        <f>(+VLOOKUP($A187,FIXED_CHARTER_COST,HLOOKUP(H$7,FIXED_CHARTER_COST,2,0)+1,0)+VLOOKUP($A187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0.6531931346852291</v>
      </c>
      <c r="I187" s="10">
        <f>(+VLOOKUP($A187,FIXED_CHARTER_COST,HLOOKUP(I$7,FIXED_CHARTER_COST,2,0)+1,0)+VLOOKUP($A187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0.78525986024429117</v>
      </c>
    </row>
    <row r="188" spans="1:9" x14ac:dyDescent="0.2">
      <c r="A188" s="179">
        <f>+SHIPS!B204</f>
        <v>42125</v>
      </c>
      <c r="B188" s="10">
        <f>(+VLOOKUP($A188,FIXED_CHARTER_COST,HLOOKUP(B$7,FIXED_CHARTER_COST,2,0)+1,0)+VLOOKUP($A188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1.4732556953514193</v>
      </c>
      <c r="C188" s="10">
        <f>(+VLOOKUP($A188,FIXED_CHARTER_COST,HLOOKUP(C$7,FIXED_CHARTER_COST,2,0)+1,0)+VLOOKUP($A188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1.6054241885603353</v>
      </c>
      <c r="D188" s="10">
        <f>(+VLOOKUP($A188,FIXED_CHARTER_COST,HLOOKUP(D$7,FIXED_CHARTER_COST,2,0)+1,0)+VLOOKUP($A188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0.33907818739816342</v>
      </c>
      <c r="E188" s="10">
        <f>(+VLOOKUP($A188,FIXED_CHARTER_COST,HLOOKUP(E$7,FIXED_CHARTER_COST,2,0)+1,0)+VLOOKUP($A188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0.37003671113535624</v>
      </c>
      <c r="F188" s="10">
        <f>(+VLOOKUP($A188,FIXED_CHARTER_COST,HLOOKUP(F$7,FIXED_CHARTER_COST,2,0)+1,0)+VLOOKUP($A188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0.62120828344728496</v>
      </c>
      <c r="G188" s="10">
        <f>(+VLOOKUP($A188,FIXED_CHARTER_COST,HLOOKUP(G$7,FIXED_CHARTER_COST,2,0)+1,0)+VLOOKUP($A188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0.75528965660899217</v>
      </c>
      <c r="H188" s="10">
        <f>(+VLOOKUP($A188,FIXED_CHARTER_COST,HLOOKUP(H$7,FIXED_CHARTER_COST,2,0)+1,0)+VLOOKUP($A188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0.65364091234458599</v>
      </c>
      <c r="I188" s="10">
        <f>(+VLOOKUP($A188,FIXED_CHARTER_COST,HLOOKUP(I$7,FIXED_CHARTER_COST,2,0)+1,0)+VLOOKUP($A188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0.78580940555350198</v>
      </c>
    </row>
    <row r="189" spans="1:9" x14ac:dyDescent="0.2">
      <c r="A189" s="179">
        <f>+SHIPS!B205</f>
        <v>42156</v>
      </c>
      <c r="B189" s="10">
        <f>(+VLOOKUP($A189,FIXED_CHARTER_COST,HLOOKUP(B$7,FIXED_CHARTER_COST,2,0)+1,0)+VLOOKUP($A189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1.4742347001430132</v>
      </c>
      <c r="C189" s="10">
        <f>(+VLOOKUP($A189,FIXED_CHARTER_COST,HLOOKUP(C$7,FIXED_CHARTER_COST,2,0)+1,0)+VLOOKUP($A189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1.6065051730177202</v>
      </c>
      <c r="D189" s="10">
        <f>(+VLOOKUP($A189,FIXED_CHARTER_COST,HLOOKUP(D$7,FIXED_CHARTER_COST,2,0)+1,0)+VLOOKUP($A189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0.33919234231386297</v>
      </c>
      <c r="E189" s="10">
        <f>(+VLOOKUP($A189,FIXED_CHARTER_COST,HLOOKUP(E$7,FIXED_CHARTER_COST,2,0)+1,0)+VLOOKUP($A189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0.37016037896069748</v>
      </c>
      <c r="F189" s="10">
        <f>(+VLOOKUP($A189,FIXED_CHARTER_COST,HLOOKUP(F$7,FIXED_CHARTER_COST,2,0)+1,0)+VLOOKUP($A189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0.62140805454975923</v>
      </c>
      <c r="G189" s="10">
        <f>(+VLOOKUP($A189,FIXED_CHARTER_COST,HLOOKUP(G$7,FIXED_CHARTER_COST,2,0)+1,0)+VLOOKUP($A189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0.75553699225967452</v>
      </c>
      <c r="H189" s="10">
        <f>(+VLOOKUP($A189,FIXED_CHARTER_COST,HLOOKUP(H$7,FIXED_CHARTER_COST,2,0)+1,0)+VLOOKUP($A189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0.65408962287406658</v>
      </c>
      <c r="I189" s="10">
        <f>(+VLOOKUP($A189,FIXED_CHARTER_COST,HLOOKUP(I$7,FIXED_CHARTER_COST,2,0)+1,0)+VLOOKUP($A189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0.78636009574877352</v>
      </c>
    </row>
    <row r="190" spans="1:9" x14ac:dyDescent="0.2">
      <c r="A190" s="179">
        <f>+SHIPS!B206</f>
        <v>42186</v>
      </c>
      <c r="B190" s="10">
        <f>(+VLOOKUP($A190,FIXED_CHARTER_COST,HLOOKUP(B$7,FIXED_CHARTER_COST,2,0)+1,0)+VLOOKUP($A190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1.475215744527923</v>
      </c>
      <c r="C190" s="10">
        <f>(+VLOOKUP($A190,FIXED_CHARTER_COST,HLOOKUP(C$7,FIXED_CHARTER_COST,2,0)+1,0)+VLOOKUP($A190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1.607588409526058</v>
      </c>
      <c r="D190" s="10">
        <f>(+VLOOKUP($A190,FIXED_CHARTER_COST,HLOOKUP(D$7,FIXED_CHARTER_COST,2,0)+1,0)+VLOOKUP($A190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0.33930673505230363</v>
      </c>
      <c r="E190" s="10">
        <f>(+VLOOKUP($A190,FIXED_CHARTER_COST,HLOOKUP(E$7,FIXED_CHARTER_COST,2,0)+1,0)+VLOOKUP($A190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0.37028430442734145</v>
      </c>
      <c r="F190" s="10">
        <f>(+VLOOKUP($A190,FIXED_CHARTER_COST,HLOOKUP(F$7,FIXED_CHARTER_COST,2,0)+1,0)+VLOOKUP($A190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0.62160824184203034</v>
      </c>
      <c r="G190" s="10">
        <f>(+VLOOKUP($A190,FIXED_CHARTER_COST,HLOOKUP(G$7,FIXED_CHARTER_COST,2,0)+1,0)+VLOOKUP($A190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0.75578484319296257</v>
      </c>
      <c r="H190" s="10">
        <f>(+VLOOKUP($A190,FIXED_CHARTER_COST,HLOOKUP(H$7,FIXED_CHARTER_COST,2,0)+1,0)+VLOOKUP($A190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0.65453926821715025</v>
      </c>
      <c r="I190" s="10">
        <f>(+VLOOKUP($A190,FIXED_CHARTER_COST,HLOOKUP(I$7,FIXED_CHARTER_COST,2,0)+1,0)+VLOOKUP($A190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0.7869119332152853</v>
      </c>
    </row>
    <row r="191" spans="1:9" x14ac:dyDescent="0.2">
      <c r="A191" s="179">
        <f>+SHIPS!B207</f>
        <v>42217</v>
      </c>
      <c r="B191" s="10">
        <f>(+VLOOKUP($A191,FIXED_CHARTER_COST,HLOOKUP(B$7,FIXED_CHARTER_COST,2,0)+1,0)+VLOOKUP($A191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1.4761988327553015</v>
      </c>
      <c r="C191" s="10">
        <f>(+VLOOKUP($A191,FIXED_CHARTER_COST,HLOOKUP(C$7,FIXED_CHARTER_COST,2,0)+1,0)+VLOOKUP($A191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1.6086739027771217</v>
      </c>
      <c r="D191" s="10">
        <f>(+VLOOKUP($A191,FIXED_CHARTER_COST,HLOOKUP(D$7,FIXED_CHARTER_COST,2,0)+1,0)+VLOOKUP($A191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0.3394213661089493</v>
      </c>
      <c r="E191" s="10">
        <f>(+VLOOKUP($A191,FIXED_CHARTER_COST,HLOOKUP(E$7,FIXED_CHARTER_COST,2,0)+1,0)+VLOOKUP($A191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0.37040848807204091</v>
      </c>
      <c r="F191" s="10">
        <f>(+VLOOKUP($A191,FIXED_CHARTER_COST,HLOOKUP(F$7,FIXED_CHARTER_COST,2,0)+1,0)+VLOOKUP($A191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0.62180884619116028</v>
      </c>
      <c r="G191" s="10">
        <f>(+VLOOKUP($A191,FIXED_CHARTER_COST,HLOOKUP(G$7,FIXED_CHARTER_COST,2,0)+1,0)+VLOOKUP($A191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0.7560332104823615</v>
      </c>
      <c r="H191" s="10">
        <f>(+VLOOKUP($A191,FIXED_CHARTER_COST,HLOOKUP(H$7,FIXED_CHARTER_COST,2,0)+1,0)+VLOOKUP($A191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0.65498985032136536</v>
      </c>
      <c r="I191" s="10">
        <f>(+VLOOKUP($A191,FIXED_CHARTER_COST,HLOOKUP(I$7,FIXED_CHARTER_COST,2,0)+1,0)+VLOOKUP($A191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0.78746492034318571</v>
      </c>
    </row>
    <row r="192" spans="1:9" x14ac:dyDescent="0.2">
      <c r="A192" s="179">
        <f>+SHIPS!B208</f>
        <v>42248</v>
      </c>
      <c r="B192" s="10">
        <f>(+VLOOKUP($A192,FIXED_CHARTER_COST,HLOOKUP(B$7,FIXED_CHARTER_COST,2,0)+1,0)+VLOOKUP($A192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1.4771839690831536</v>
      </c>
      <c r="C192" s="10">
        <f>(+VLOOKUP($A192,FIXED_CHARTER_COST,HLOOKUP(C$7,FIXED_CHARTER_COST,2,0)+1,0)+VLOOKUP($A192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1.6097616574724587</v>
      </c>
      <c r="D192" s="10">
        <f>(+VLOOKUP($A192,FIXED_CHARTER_COST,HLOOKUP(D$7,FIXED_CHARTER_COST,2,0)+1,0)+VLOOKUP($A192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0.33953623598029631</v>
      </c>
      <c r="E192" s="10">
        <f>(+VLOOKUP($A192,FIXED_CHARTER_COST,HLOOKUP(E$7,FIXED_CHARTER_COST,2,0)+1,0)+VLOOKUP($A192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0.37053293043266683</v>
      </c>
      <c r="F192" s="10">
        <f>(+VLOOKUP($A192,FIXED_CHARTER_COST,HLOOKUP(F$7,FIXED_CHARTER_COST,2,0)+1,0)+VLOOKUP($A192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0.62200986846601747</v>
      </c>
      <c r="G192" s="10">
        <f>(+VLOOKUP($A192,FIXED_CHARTER_COST,HLOOKUP(G$7,FIXED_CHARTER_COST,2,0)+1,0)+VLOOKUP($A192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0.75628209520361334</v>
      </c>
      <c r="H192" s="10">
        <f>(+VLOOKUP($A192,FIXED_CHARTER_COST,HLOOKUP(H$7,FIXED_CHARTER_COST,2,0)+1,0)+VLOOKUP($A192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0.65544137113829759</v>
      </c>
      <c r="I192" s="10">
        <f>(+VLOOKUP($A192,FIXED_CHARTER_COST,HLOOKUP(I$7,FIXED_CHARTER_COST,2,0)+1,0)+VLOOKUP($A192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0.78801905952760254</v>
      </c>
    </row>
    <row r="193" spans="1:9" x14ac:dyDescent="0.2">
      <c r="A193" s="179">
        <f>+SHIPS!B209</f>
        <v>42278</v>
      </c>
      <c r="B193" s="10">
        <f>(+VLOOKUP($A193,FIXED_CHARTER_COST,HLOOKUP(B$7,FIXED_CHARTER_COST,2,0)+1,0)+VLOOKUP($A193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1.4781711577783554</v>
      </c>
      <c r="C193" s="10">
        <f>(+VLOOKUP($A193,FIXED_CHARTER_COST,HLOOKUP(C$7,FIXED_CHARTER_COST,2,0)+1,0)+VLOOKUP($A193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1.6108516783234104</v>
      </c>
      <c r="D193" s="10">
        <f>(+VLOOKUP($A193,FIXED_CHARTER_COST,HLOOKUP(D$7,FIXED_CHARTER_COST,2,0)+1,0)+VLOOKUP($A193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0.3396513451638753</v>
      </c>
      <c r="E193" s="10">
        <f>(+VLOOKUP($A193,FIXED_CHARTER_COST,HLOOKUP(E$7,FIXED_CHARTER_COST,2,0)+1,0)+VLOOKUP($A193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0.37065763204821073</v>
      </c>
      <c r="F193" s="10">
        <f>(+VLOOKUP($A193,FIXED_CHARTER_COST,HLOOKUP(F$7,FIXED_CHARTER_COST,2,0)+1,0)+VLOOKUP($A193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0.62221130953728077</v>
      </c>
      <c r="G193" s="10">
        <f>(+VLOOKUP($A193,FIXED_CHARTER_COST,HLOOKUP(G$7,FIXED_CHARTER_COST,2,0)+1,0)+VLOOKUP($A193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0.75653149843470113</v>
      </c>
      <c r="H193" s="10">
        <f>(+VLOOKUP($A193,FIXED_CHARTER_COST,HLOOKUP(H$7,FIXED_CHARTER_COST,2,0)+1,0)+VLOOKUP($A193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0.65589383262359835</v>
      </c>
      <c r="I193" s="10">
        <f>(+VLOOKUP($A193,FIXED_CHARTER_COST,HLOOKUP(I$7,FIXED_CHARTER_COST,2,0)+1,0)+VLOOKUP($A193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0.78857435316865354</v>
      </c>
    </row>
    <row r="194" spans="1:9" x14ac:dyDescent="0.2">
      <c r="A194" s="179">
        <f>+SHIPS!B210</f>
        <v>42309</v>
      </c>
      <c r="B194" s="10">
        <f>(+VLOOKUP($A194,FIXED_CHARTER_COST,HLOOKUP(B$7,FIXED_CHARTER_COST,2,0)+1,0)+VLOOKUP($A194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1.4791604031166721</v>
      </c>
      <c r="C194" s="10">
        <f>(+VLOOKUP($A194,FIXED_CHARTER_COST,HLOOKUP(C$7,FIXED_CHARTER_COST,2,0)+1,0)+VLOOKUP($A194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1.6119439700511353</v>
      </c>
      <c r="D194" s="10">
        <f>(+VLOOKUP($A194,FIXED_CHARTER_COST,HLOOKUP(D$7,FIXED_CHARTER_COST,2,0)+1,0)+VLOOKUP($A194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0.33976669415825345</v>
      </c>
      <c r="E194" s="10">
        <f>(+VLOOKUP($A194,FIXED_CHARTER_COST,HLOOKUP(E$7,FIXED_CHARTER_COST,2,0)+1,0)+VLOOKUP($A194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0.37078259345878711</v>
      </c>
      <c r="F194" s="10">
        <f>(+VLOOKUP($A194,FIXED_CHARTER_COST,HLOOKUP(F$7,FIXED_CHARTER_COST,2,0)+1,0)+VLOOKUP($A194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0.62241317027744247</v>
      </c>
      <c r="G194" s="10">
        <f>(+VLOOKUP($A194,FIXED_CHARTER_COST,HLOOKUP(G$7,FIXED_CHARTER_COST,2,0)+1,0)+VLOOKUP($A194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0.75678142125585379</v>
      </c>
      <c r="H194" s="10">
        <f>(+VLOOKUP($A194,FIXED_CHARTER_COST,HLOOKUP(H$7,FIXED_CHARTER_COST,2,0)+1,0)+VLOOKUP($A194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0.65634723673699358</v>
      </c>
      <c r="I194" s="10">
        <f>(+VLOOKUP($A194,FIXED_CHARTER_COST,HLOOKUP(I$7,FIXED_CHARTER_COST,2,0)+1,0)+VLOOKUP($A194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0.78913080367145672</v>
      </c>
    </row>
    <row r="195" spans="1:9" x14ac:dyDescent="0.2">
      <c r="A195" s="179">
        <f>+SHIPS!B211</f>
        <v>42339</v>
      </c>
      <c r="B195" s="10">
        <f>(+VLOOKUP($A195,FIXED_CHARTER_COST,HLOOKUP(B$7,FIXED_CHARTER_COST,2,0)+1,0)+VLOOKUP($A195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1.4801517093827772</v>
      </c>
      <c r="C195" s="10">
        <f>(+VLOOKUP($A195,FIXED_CHARTER_COST,HLOOKUP(C$7,FIXED_CHARTER_COST,2,0)+1,0)+VLOOKUP($A195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1.6130385373866265</v>
      </c>
      <c r="D195" s="10">
        <f>(+VLOOKUP($A195,FIXED_CHARTER_COST,HLOOKUP(D$7,FIXED_CHARTER_COST,2,0)+1,0)+VLOOKUP($A195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0.33988228346303651</v>
      </c>
      <c r="E195" s="10">
        <f>(+VLOOKUP($A195,FIXED_CHARTER_COST,HLOOKUP(E$7,FIXED_CHARTER_COST,2,0)+1,0)+VLOOKUP($A195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0.37090781520563537</v>
      </c>
      <c r="F195" s="10">
        <f>(+VLOOKUP($A195,FIXED_CHARTER_COST,HLOOKUP(F$7,FIXED_CHARTER_COST,2,0)+1,0)+VLOOKUP($A195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0.62261545156081288</v>
      </c>
      <c r="G195" s="10">
        <f>(+VLOOKUP($A195,FIXED_CHARTER_COST,HLOOKUP(G$7,FIXED_CHARTER_COST,2,0)+1,0)+VLOOKUP($A195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0.75703186474955042</v>
      </c>
      <c r="H195" s="10">
        <f>(+VLOOKUP($A195,FIXED_CHARTER_COST,HLOOKUP(H$7,FIXED_CHARTER_COST,2,0)+1,0)+VLOOKUP($A195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0.65680158544229172</v>
      </c>
      <c r="I195" s="10">
        <f>(+VLOOKUP($A195,FIXED_CHARTER_COST,HLOOKUP(I$7,FIXED_CHARTER_COST,2,0)+1,0)+VLOOKUP($A195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0.78968841344614082</v>
      </c>
    </row>
    <row r="196" spans="1:9" x14ac:dyDescent="0.2">
      <c r="A196" s="179">
        <f>+SHIPS!B212</f>
        <v>42370</v>
      </c>
      <c r="B196" s="10">
        <f>(+VLOOKUP($A196,FIXED_CHARTER_COST,HLOOKUP(B$7,FIXED_CHARTER_COST,2,0)+1,0)+VLOOKUP($A196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1.48114508087027</v>
      </c>
      <c r="C196" s="10">
        <f>(+VLOOKUP($A196,FIXED_CHARTER_COST,HLOOKUP(C$7,FIXED_CHARTER_COST,2,0)+1,0)+VLOOKUP($A196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1.614135385070733</v>
      </c>
      <c r="D196" s="10">
        <f>(+VLOOKUP($A196,FIXED_CHARTER_COST,HLOOKUP(D$7,FIXED_CHARTER_COST,2,0)+1,0)+VLOOKUP($A196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0.33999811357887122</v>
      </c>
      <c r="E196" s="10">
        <f>(+VLOOKUP($A196,FIXED_CHARTER_COST,HLOOKUP(E$7,FIXED_CHARTER_COST,2,0)+1,0)+VLOOKUP($A196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0.37103329783112299</v>
      </c>
      <c r="F196" s="10">
        <f>(+VLOOKUP($A196,FIXED_CHARTER_COST,HLOOKUP(F$7,FIXED_CHARTER_COST,2,0)+1,0)+VLOOKUP($A196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0.6228181542635236</v>
      </c>
      <c r="G196" s="10">
        <f>(+VLOOKUP($A196,FIXED_CHARTER_COST,HLOOKUP(G$7,FIXED_CHARTER_COST,2,0)+1,0)+VLOOKUP($A196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0.75728283000052554</v>
      </c>
      <c r="H196" s="10">
        <f>(+VLOOKUP($A196,FIXED_CHARTER_COST,HLOOKUP(H$7,FIXED_CHARTER_COST,2,0)+1,0)+VLOOKUP($A196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0.65725688070739252</v>
      </c>
      <c r="I196" s="10">
        <f>(+VLOOKUP($A196,FIXED_CHARTER_COST,HLOOKUP(I$7,FIXED_CHARTER_COST,2,0)+1,0)+VLOOKUP($A196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0.7902471849078555</v>
      </c>
    </row>
    <row r="197" spans="1:9" x14ac:dyDescent="0.2">
      <c r="A197" s="179">
        <f>+SHIPS!B213</f>
        <v>42401</v>
      </c>
      <c r="B197" s="10">
        <f>(+VLOOKUP($A197,FIXED_CHARTER_COST,HLOOKUP(B$7,FIXED_CHARTER_COST,2,0)+1,0)+VLOOKUP($A197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1.482140521881695</v>
      </c>
      <c r="C197" s="10">
        <f>(+VLOOKUP($A197,FIXED_CHARTER_COST,HLOOKUP(C$7,FIXED_CHARTER_COST,2,0)+1,0)+VLOOKUP($A197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1.6152345178541812</v>
      </c>
      <c r="D197" s="10">
        <f>(+VLOOKUP($A197,FIXED_CHARTER_COST,HLOOKUP(D$7,FIXED_CHARTER_COST,2,0)+1,0)+VLOOKUP($A197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0.34011418500744722</v>
      </c>
      <c r="E197" s="10">
        <f>(+VLOOKUP($A197,FIXED_CHARTER_COST,HLOOKUP(E$7,FIXED_CHARTER_COST,2,0)+1,0)+VLOOKUP($A197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0.37115904187874699</v>
      </c>
      <c r="F197" s="10">
        <f>(+VLOOKUP($A197,FIXED_CHARTER_COST,HLOOKUP(F$7,FIXED_CHARTER_COST,2,0)+1,0)+VLOOKUP($A197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0.62302127926353168</v>
      </c>
      <c r="G197" s="10">
        <f>(+VLOOKUP($A197,FIXED_CHARTER_COST,HLOOKUP(G$7,FIXED_CHARTER_COST,2,0)+1,0)+VLOOKUP($A197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0.75753431809577365</v>
      </c>
      <c r="H197" s="10">
        <f>(+VLOOKUP($A197,FIXED_CHARTER_COST,HLOOKUP(H$7,FIXED_CHARTER_COST,2,0)+1,0)+VLOOKUP($A197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0.65771312450429564</v>
      </c>
      <c r="I197" s="10">
        <f>(+VLOOKUP($A197,FIXED_CHARTER_COST,HLOOKUP(I$7,FIXED_CHARTER_COST,2,0)+1,0)+VLOOKUP($A197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0.79080712047678203</v>
      </c>
    </row>
    <row r="198" spans="1:9" x14ac:dyDescent="0.2">
      <c r="A198" s="179">
        <f>+SHIPS!B214</f>
        <v>42430</v>
      </c>
      <c r="B198" s="10">
        <f>(+VLOOKUP($A198,FIXED_CHARTER_COST,HLOOKUP(B$7,FIXED_CHARTER_COST,2,0)+1,0)+VLOOKUP($A198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1.4831380367285603</v>
      </c>
      <c r="C198" s="10">
        <f>(+VLOOKUP($A198,FIXED_CHARTER_COST,HLOOKUP(C$7,FIXED_CHARTER_COST,2,0)+1,0)+VLOOKUP($A198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1.616335940497595</v>
      </c>
      <c r="D198" s="10">
        <f>(+VLOOKUP($A198,FIXED_CHARTER_COST,HLOOKUP(D$7,FIXED_CHARTER_COST,2,0)+1,0)+VLOOKUP($A198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0.34023049825149948</v>
      </c>
      <c r="E198" s="10">
        <f>(+VLOOKUP($A198,FIXED_CHARTER_COST,HLOOKUP(E$7,FIXED_CHARTER_COST,2,0)+1,0)+VLOOKUP($A198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0.37128504789313693</v>
      </c>
      <c r="F198" s="10">
        <f>(+VLOOKUP($A198,FIXED_CHARTER_COST,HLOOKUP(F$7,FIXED_CHARTER_COST,2,0)+1,0)+VLOOKUP($A198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0.62322482744062302</v>
      </c>
      <c r="G198" s="10">
        <f>(+VLOOKUP($A198,FIXED_CHARTER_COST,HLOOKUP(G$7,FIXED_CHARTER_COST,2,0)+1,0)+VLOOKUP($A198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0.75778633012455354</v>
      </c>
      <c r="H198" s="10">
        <f>(+VLOOKUP($A198,FIXED_CHARTER_COST,HLOOKUP(H$7,FIXED_CHARTER_COST,2,0)+1,0)+VLOOKUP($A198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0.65817031880910903</v>
      </c>
      <c r="I198" s="10">
        <f>(+VLOOKUP($A198,FIXED_CHARTER_COST,HLOOKUP(I$7,FIXED_CHARTER_COST,2,0)+1,0)+VLOOKUP($A198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0.79136822257814388</v>
      </c>
    </row>
    <row r="199" spans="1:9" x14ac:dyDescent="0.2">
      <c r="A199" s="179">
        <f>+SHIPS!B215</f>
        <v>42461</v>
      </c>
      <c r="B199" s="10">
        <f>(+VLOOKUP($A199,FIXED_CHARTER_COST,HLOOKUP(B$7,FIXED_CHARTER_COST,2,0)+1,0)+VLOOKUP($A199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1.4841376297313567</v>
      </c>
      <c r="C199" s="10">
        <f>(+VLOOKUP($A199,FIXED_CHARTER_COST,HLOOKUP(C$7,FIXED_CHARTER_COST,2,0)+1,0)+VLOOKUP($A199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1.6174396577715162</v>
      </c>
      <c r="D199" s="10">
        <f>(+VLOOKUP($A199,FIXED_CHARTER_COST,HLOOKUP(D$7,FIXED_CHARTER_COST,2,0)+1,0)+VLOOKUP($A199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0.34034705381481012</v>
      </c>
      <c r="E199" s="10">
        <f>(+VLOOKUP($A199,FIXED_CHARTER_COST,HLOOKUP(E$7,FIXED_CHARTER_COST,2,0)+1,0)+VLOOKUP($A199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0.37141131642005681</v>
      </c>
      <c r="F199" s="10">
        <f>(+VLOOKUP($A199,FIXED_CHARTER_COST,HLOOKUP(F$7,FIXED_CHARTER_COST,2,0)+1,0)+VLOOKUP($A199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0.62342879967641673</v>
      </c>
      <c r="G199" s="10">
        <f>(+VLOOKUP($A199,FIXED_CHARTER_COST,HLOOKUP(G$7,FIXED_CHARTER_COST,2,0)+1,0)+VLOOKUP($A199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0.75803886717839331</v>
      </c>
      <c r="H199" s="10">
        <f>(+VLOOKUP($A199,FIXED_CHARTER_COST,HLOOKUP(H$7,FIXED_CHARTER_COST,2,0)+1,0)+VLOOKUP($A199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0.65862846560205734</v>
      </c>
      <c r="I199" s="10">
        <f>(+VLOOKUP($A199,FIXED_CHARTER_COST,HLOOKUP(I$7,FIXED_CHARTER_COST,2,0)+1,0)+VLOOKUP($A199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0.79193049364221679</v>
      </c>
    </row>
    <row r="200" spans="1:9" x14ac:dyDescent="0.2">
      <c r="A200" s="179">
        <f>+SHIPS!B216</f>
        <v>42491</v>
      </c>
      <c r="B200" s="10">
        <f>(+VLOOKUP($A200,FIXED_CHARTER_COST,HLOOKUP(B$7,FIXED_CHARTER_COST,2,0)+1,0)+VLOOKUP($A200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1.4851393052195756</v>
      </c>
      <c r="C200" s="10">
        <f>(+VLOOKUP($A200,FIXED_CHARTER_COST,HLOOKUP(C$7,FIXED_CHARTER_COST,2,0)+1,0)+VLOOKUP($A200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1.6185456744564244</v>
      </c>
      <c r="D200" s="10">
        <f>(+VLOOKUP($A200,FIXED_CHARTER_COST,HLOOKUP(D$7,FIXED_CHARTER_COST,2,0)+1,0)+VLOOKUP($A200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0.34046385220221104</v>
      </c>
      <c r="E200" s="10">
        <f>(+VLOOKUP($A200,FIXED_CHARTER_COST,HLOOKUP(E$7,FIXED_CHARTER_COST,2,0)+1,0)+VLOOKUP($A200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0.37153784800640782</v>
      </c>
      <c r="F200" s="10">
        <f>(+VLOOKUP($A200,FIXED_CHARTER_COST,HLOOKUP(F$7,FIXED_CHARTER_COST,2,0)+1,0)+VLOOKUP($A200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0.62363319685436824</v>
      </c>
      <c r="G200" s="10">
        <f>(+VLOOKUP($A200,FIXED_CHARTER_COST,HLOOKUP(G$7,FIXED_CHARTER_COST,2,0)+1,0)+VLOOKUP($A200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0.75829193035109521</v>
      </c>
      <c r="H200" s="10">
        <f>(+VLOOKUP($A200,FIXED_CHARTER_COST,HLOOKUP(H$7,FIXED_CHARTER_COST,2,0)+1,0)+VLOOKUP($A200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0.65908756686749093</v>
      </c>
      <c r="I200" s="10">
        <f>(+VLOOKUP($A200,FIXED_CHARTER_COST,HLOOKUP(I$7,FIXED_CHARTER_COST,2,0)+1,0)+VLOOKUP($A200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0.79249393610433982</v>
      </c>
    </row>
    <row r="201" spans="1:9" x14ac:dyDescent="0.2">
      <c r="A201" s="179">
        <f>+SHIPS!B217</f>
        <v>42522</v>
      </c>
      <c r="B201" s="10">
        <f>(+VLOOKUP($A201,FIXED_CHARTER_COST,HLOOKUP(B$7,FIXED_CHARTER_COST,2,0)+1,0)+VLOOKUP($A201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1.4861430675317282</v>
      </c>
      <c r="C201" s="10">
        <f>(+VLOOKUP($A201,FIXED_CHARTER_COST,HLOOKUP(C$7,FIXED_CHARTER_COST,2,0)+1,0)+VLOOKUP($A201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1.6196539953427596</v>
      </c>
      <c r="D201" s="10">
        <f>(+VLOOKUP($A201,FIXED_CHARTER_COST,HLOOKUP(D$7,FIXED_CHARTER_COST,2,0)+1,0)+VLOOKUP($A201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0.34058089391958568</v>
      </c>
      <c r="E201" s="10">
        <f>(+VLOOKUP($A201,FIXED_CHARTER_COST,HLOOKUP(E$7,FIXED_CHARTER_COST,2,0)+1,0)+VLOOKUP($A201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0.37166464320023035</v>
      </c>
      <c r="F201" s="10">
        <f>(+VLOOKUP($A201,FIXED_CHARTER_COST,HLOOKUP(F$7,FIXED_CHARTER_COST,2,0)+1,0)+VLOOKUP($A201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0.62383801985977394</v>
      </c>
      <c r="G201" s="10">
        <f>(+VLOOKUP($A201,FIXED_CHARTER_COST,HLOOKUP(G$7,FIXED_CHARTER_COST,2,0)+1,0)+VLOOKUP($A201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0.75854552073874026</v>
      </c>
      <c r="H201" s="10">
        <f>(+VLOOKUP($A201,FIXED_CHARTER_COST,HLOOKUP(H$7,FIXED_CHARTER_COST,2,0)+1,0)+VLOOKUP($A201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0.65954762459389427</v>
      </c>
      <c r="I201" s="10">
        <f>(+VLOOKUP($A201,FIXED_CHARTER_COST,HLOOKUP(I$7,FIXED_CHARTER_COST,2,0)+1,0)+VLOOKUP($A201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0.79305855240492573</v>
      </c>
    </row>
    <row r="202" spans="1:9" x14ac:dyDescent="0.2">
      <c r="A202" s="179">
        <f>+SHIPS!B218</f>
        <v>42552</v>
      </c>
      <c r="B202" s="10">
        <f>(+VLOOKUP($A202,FIXED_CHARTER_COST,HLOOKUP(B$7,FIXED_CHARTER_COST,2,0)+1,0)+VLOOKUP($A202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1.4871489210153643</v>
      </c>
      <c r="C202" s="10">
        <f>(+VLOOKUP($A202,FIXED_CHARTER_COST,HLOOKUP(C$7,FIXED_CHARTER_COST,2,0)+1,0)+VLOOKUP($A202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1.6207646252309413</v>
      </c>
      <c r="D202" s="10">
        <f>(+VLOOKUP($A202,FIXED_CHARTER_COST,HLOOKUP(D$7,FIXED_CHARTER_COST,2,0)+1,0)+VLOOKUP($A202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0.34069817947387154</v>
      </c>
      <c r="E202" s="10">
        <f>(+VLOOKUP($A202,FIXED_CHARTER_COST,HLOOKUP(E$7,FIXED_CHARTER_COST,2,0)+1,0)+VLOOKUP($A202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0.37179170255070665</v>
      </c>
      <c r="F202" s="10">
        <f>(+VLOOKUP($A202,FIXED_CHARTER_COST,HLOOKUP(F$7,FIXED_CHARTER_COST,2,0)+1,0)+VLOOKUP($A202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0.62404326957977418</v>
      </c>
      <c r="G202" s="10">
        <f>(+VLOOKUP($A202,FIXED_CHARTER_COST,HLOOKUP(G$7,FIXED_CHARTER_COST,2,0)+1,0)+VLOOKUP($A202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0.75879963943969297</v>
      </c>
      <c r="H202" s="10">
        <f>(+VLOOKUP($A202,FIXED_CHARTER_COST,HLOOKUP(H$7,FIXED_CHARTER_COST,2,0)+1,0)+VLOOKUP($A202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0.66000864077389421</v>
      </c>
      <c r="I202" s="10">
        <f>(+VLOOKUP($A202,FIXED_CHARTER_COST,HLOOKUP(I$7,FIXED_CHARTER_COST,2,0)+1,0)+VLOOKUP($A202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0.7936243449894711</v>
      </c>
    </row>
    <row r="203" spans="1:9" x14ac:dyDescent="0.2">
      <c r="A203" s="179">
        <f>+SHIPS!B219</f>
        <v>42583</v>
      </c>
      <c r="B203" s="10">
        <f>(+VLOOKUP($A203,FIXED_CHARTER_COST,HLOOKUP(B$7,FIXED_CHARTER_COST,2,0)+1,0)+VLOOKUP($A203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1.4881568700270917</v>
      </c>
      <c r="C203" s="10">
        <f>(+VLOOKUP($A203,FIXED_CHARTER_COST,HLOOKUP(C$7,FIXED_CHARTER_COST,2,0)+1,0)+VLOOKUP($A203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1.6218775689313902</v>
      </c>
      <c r="D203" s="10">
        <f>(+VLOOKUP($A203,FIXED_CHARTER_COST,HLOOKUP(D$7,FIXED_CHARTER_COST,2,0)+1,0)+VLOOKUP($A203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0.34081570937306216</v>
      </c>
      <c r="E203" s="10">
        <f>(+VLOOKUP($A203,FIXED_CHARTER_COST,HLOOKUP(E$7,FIXED_CHARTER_COST,2,0)+1,0)+VLOOKUP($A203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0.37191902660816317</v>
      </c>
      <c r="F203" s="10">
        <f>(+VLOOKUP($A203,FIXED_CHARTER_COST,HLOOKUP(F$7,FIXED_CHARTER_COST,2,0)+1,0)+VLOOKUP($A203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0.62424894690335775</v>
      </c>
      <c r="G203" s="10">
        <f>(+VLOOKUP($A203,FIXED_CHARTER_COST,HLOOKUP(G$7,FIXED_CHARTER_COST,2,0)+1,0)+VLOOKUP($A203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0.75905428755460602</v>
      </c>
      <c r="H203" s="10">
        <f>(+VLOOKUP($A203,FIXED_CHARTER_COST,HLOOKUP(H$7,FIXED_CHARTER_COST,2,0)+1,0)+VLOOKUP($A203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0.66047061740426927</v>
      </c>
      <c r="I203" s="10">
        <f>(+VLOOKUP($A203,FIXED_CHARTER_COST,HLOOKUP(I$7,FIXED_CHARTER_COST,2,0)+1,0)+VLOOKUP($A203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0.79419131630856776</v>
      </c>
    </row>
    <row r="204" spans="1:9" x14ac:dyDescent="0.2">
      <c r="A204" s="179">
        <f>+SHIPS!B220</f>
        <v>42614</v>
      </c>
      <c r="B204" s="10">
        <f>(+VLOOKUP($A204,FIXED_CHARTER_COST,HLOOKUP(B$7,FIXED_CHARTER_COST,2,0)+1,0)+VLOOKUP($A204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1.4891669189325933</v>
      </c>
      <c r="C204" s="10">
        <f>(+VLOOKUP($A204,FIXED_CHARTER_COST,HLOOKUP(C$7,FIXED_CHARTER_COST,2,0)+1,0)+VLOOKUP($A204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1.6229928312645481</v>
      </c>
      <c r="D204" s="10">
        <f>(+VLOOKUP($A204,FIXED_CHARTER_COST,HLOOKUP(D$7,FIXED_CHARTER_COST,2,0)+1,0)+VLOOKUP($A204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0.34093348412620944</v>
      </c>
      <c r="E204" s="10">
        <f>(+VLOOKUP($A204,FIXED_CHARTER_COST,HLOOKUP(E$7,FIXED_CHARTER_COST,2,0)+1,0)+VLOOKUP($A204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0.37204661592407268</v>
      </c>
      <c r="F204" s="10">
        <f>(+VLOOKUP($A204,FIXED_CHARTER_COST,HLOOKUP(F$7,FIXED_CHARTER_COST,2,0)+1,0)+VLOOKUP($A204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0.62445505272136548</v>
      </c>
      <c r="G204" s="10">
        <f>(+VLOOKUP($A204,FIXED_CHARTER_COST,HLOOKUP(G$7,FIXED_CHARTER_COST,2,0)+1,0)+VLOOKUP($A204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0.75930946618642503</v>
      </c>
      <c r="H204" s="10">
        <f>(+VLOOKUP($A204,FIXED_CHARTER_COST,HLOOKUP(H$7,FIXED_CHARTER_COST,2,0)+1,0)+VLOOKUP($A204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0.66093355648595742</v>
      </c>
      <c r="I204" s="10">
        <f>(+VLOOKUP($A204,FIXED_CHARTER_COST,HLOOKUP(I$7,FIXED_CHARTER_COST,2,0)+1,0)+VLOOKUP($A204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0.79475946881791237</v>
      </c>
    </row>
    <row r="205" spans="1:9" x14ac:dyDescent="0.2">
      <c r="A205" s="179">
        <f>+SHIPS!B221</f>
        <v>42644</v>
      </c>
      <c r="B205" s="10">
        <f>(+VLOOKUP($A205,FIXED_CHARTER_COST,HLOOKUP(B$7,FIXED_CHARTER_COST,2,0)+1,0)+VLOOKUP($A205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1.4901790721066481</v>
      </c>
      <c r="C205" s="10">
        <f>(+VLOOKUP($A205,FIXED_CHARTER_COST,HLOOKUP(C$7,FIXED_CHARTER_COST,2,0)+1,0)+VLOOKUP($A205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1.6241104170609006</v>
      </c>
      <c r="D205" s="10">
        <f>(+VLOOKUP($A205,FIXED_CHARTER_COST,HLOOKUP(D$7,FIXED_CHARTER_COST,2,0)+1,0)+VLOOKUP($A205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0.34105150424342573</v>
      </c>
      <c r="E205" s="10">
        <f>(+VLOOKUP($A205,FIXED_CHARTER_COST,HLOOKUP(E$7,FIXED_CHARTER_COST,2,0)+1,0)+VLOOKUP($A205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0.372174471051057</v>
      </c>
      <c r="F205" s="10">
        <f>(+VLOOKUP($A205,FIXED_CHARTER_COST,HLOOKUP(F$7,FIXED_CHARTER_COST,2,0)+1,0)+VLOOKUP($A205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0.62466158792649396</v>
      </c>
      <c r="G205" s="10">
        <f>(+VLOOKUP($A205,FIXED_CHARTER_COST,HLOOKUP(G$7,FIXED_CHARTER_COST,2,0)+1,0)+VLOOKUP($A205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0.75956517644039367</v>
      </c>
      <c r="H205" s="10">
        <f>(+VLOOKUP($A205,FIXED_CHARTER_COST,HLOOKUP(H$7,FIXED_CHARTER_COST,2,0)+1,0)+VLOOKUP($A205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0.66139746002406596</v>
      </c>
      <c r="I205" s="10">
        <f>(+VLOOKUP($A205,FIXED_CHARTER_COST,HLOOKUP(I$7,FIXED_CHARTER_COST,2,0)+1,0)+VLOOKUP($A205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0.79532880497831826</v>
      </c>
    </row>
    <row r="206" spans="1:9" x14ac:dyDescent="0.2">
      <c r="A206" s="179">
        <f>+SHIPS!B222</f>
        <v>42675</v>
      </c>
      <c r="B206" s="10">
        <f>(+VLOOKUP($A206,FIXED_CHARTER_COST,HLOOKUP(B$7,FIXED_CHARTER_COST,2,0)+1,0)+VLOOKUP($A206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1.4911933339331489</v>
      </c>
      <c r="C206" s="10">
        <f>(+VLOOKUP($A206,FIXED_CHARTER_COST,HLOOKUP(C$7,FIXED_CHARTER_COST,2,0)+1,0)+VLOOKUP($A206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1.625230331160995</v>
      </c>
      <c r="D206" s="10">
        <f>(+VLOOKUP($A206,FIXED_CHARTER_COST,HLOOKUP(D$7,FIXED_CHARTER_COST,2,0)+1,0)+VLOOKUP($A206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0.34116977023588624</v>
      </c>
      <c r="E206" s="10">
        <f>(+VLOOKUP($A206,FIXED_CHARTER_COST,HLOOKUP(E$7,FIXED_CHARTER_COST,2,0)+1,0)+VLOOKUP($A206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0.37230259254288928</v>
      </c>
      <c r="F206" s="10">
        <f>(+VLOOKUP($A206,FIXED_CHARTER_COST,HLOOKUP(F$7,FIXED_CHARTER_COST,2,0)+1,0)+VLOOKUP($A206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0.62486855341329994</v>
      </c>
      <c r="G206" s="10">
        <f>(+VLOOKUP($A206,FIXED_CHARTER_COST,HLOOKUP(G$7,FIXED_CHARTER_COST,2,0)+1,0)+VLOOKUP($A206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0.75982141942405823</v>
      </c>
      <c r="H206" s="10">
        <f>(+VLOOKUP($A206,FIXED_CHARTER_COST,HLOOKUP(H$7,FIXED_CHARTER_COST,2,0)+1,0)+VLOOKUP($A206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0.66186233002787875</v>
      </c>
      <c r="I206" s="10">
        <f>(+VLOOKUP($A206,FIXED_CHARTER_COST,HLOOKUP(I$7,FIXED_CHARTER_COST,2,0)+1,0)+VLOOKUP($A206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0.79589932725572488</v>
      </c>
    </row>
    <row r="207" spans="1:9" x14ac:dyDescent="0.2">
      <c r="A207" s="179">
        <f>+SHIPS!B223</f>
        <v>42705</v>
      </c>
      <c r="B207" s="10">
        <f>(+VLOOKUP($A207,FIXED_CHARTER_COST,HLOOKUP(B$7,FIXED_CHARTER_COST,2,0)+1,0)+VLOOKUP($A207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1.4922097088051214</v>
      </c>
      <c r="C207" s="10">
        <f>(+VLOOKUP($A207,FIXED_CHARTER_COST,HLOOKUP(C$7,FIXED_CHARTER_COST,2,0)+1,0)+VLOOKUP($A207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1.6263525784154649</v>
      </c>
      <c r="D207" s="10">
        <f>(+VLOOKUP($A207,FIXED_CHARTER_COST,HLOOKUP(D$7,FIXED_CHARTER_COST,2,0)+1,0)+VLOOKUP($A207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0.34128828261583105</v>
      </c>
      <c r="E207" s="10">
        <f>(+VLOOKUP($A207,FIXED_CHARTER_COST,HLOOKUP(E$7,FIXED_CHARTER_COST,2,0)+1,0)+VLOOKUP($A207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0.37243098095449617</v>
      </c>
      <c r="F207" s="10">
        <f>(+VLOOKUP($A207,FIXED_CHARTER_COST,HLOOKUP(F$7,FIXED_CHARTER_COST,2,0)+1,0)+VLOOKUP($A207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0.62507595007820327</v>
      </c>
      <c r="G207" s="10">
        <f>(+VLOOKUP($A207,FIXED_CHARTER_COST,HLOOKUP(G$7,FIXED_CHARTER_COST,2,0)+1,0)+VLOOKUP($A207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0.76007819624727191</v>
      </c>
      <c r="H207" s="10">
        <f>(+VLOOKUP($A207,FIXED_CHARTER_COST,HLOOKUP(H$7,FIXED_CHARTER_COST,2,0)+1,0)+VLOOKUP($A207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0.66232816851086618</v>
      </c>
      <c r="I207" s="10">
        <f>(+VLOOKUP($A207,FIXED_CHARTER_COST,HLOOKUP(I$7,FIXED_CHARTER_COST,2,0)+1,0)+VLOOKUP($A207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0.79647103812120945</v>
      </c>
    </row>
    <row r="208" spans="1:9" x14ac:dyDescent="0.2">
      <c r="A208" s="179">
        <f>+SHIPS!B224</f>
        <v>42736</v>
      </c>
      <c r="B208" s="10">
        <f>(+VLOOKUP($A208,FIXED_CHARTER_COST,HLOOKUP(B$7,FIXED_CHARTER_COST,2,0)+1,0)+VLOOKUP($A208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1.493228201124744</v>
      </c>
      <c r="C208" s="10">
        <f>(+VLOOKUP($A208,FIXED_CHARTER_COST,HLOOKUP(C$7,FIXED_CHARTER_COST,2,0)+1,0)+VLOOKUP($A208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1.6274771636850482</v>
      </c>
      <c r="D208" s="10">
        <f>(+VLOOKUP($A208,FIXED_CHARTER_COST,HLOOKUP(D$7,FIXED_CHARTER_COST,2,0)+1,0)+VLOOKUP($A208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0.34140704189656745</v>
      </c>
      <c r="E208" s="10">
        <f>(+VLOOKUP($A208,FIXED_CHARTER_COST,HLOOKUP(E$7,FIXED_CHARTER_COST,2,0)+1,0)+VLOOKUP($A208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0.37255963684196053</v>
      </c>
      <c r="F208" s="10">
        <f>(+VLOOKUP($A208,FIXED_CHARTER_COST,HLOOKUP(F$7,FIXED_CHARTER_COST,2,0)+1,0)+VLOOKUP($A208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0.62528377881949193</v>
      </c>
      <c r="G208" s="10">
        <f>(+VLOOKUP($A208,FIXED_CHARTER_COST,HLOOKUP(G$7,FIXED_CHARTER_COST,2,0)+1,0)+VLOOKUP($A208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0.76033550802220073</v>
      </c>
      <c r="H208" s="10">
        <f>(+VLOOKUP($A208,FIXED_CHARTER_COST,HLOOKUP(H$7,FIXED_CHARTER_COST,2,0)+1,0)+VLOOKUP($A208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0.66279497749069327</v>
      </c>
      <c r="I208" s="10">
        <f>(+VLOOKUP($A208,FIXED_CHARTER_COST,HLOOKUP(I$7,FIXED_CHARTER_COST,2,0)+1,0)+VLOOKUP($A208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0.79704394005099721</v>
      </c>
    </row>
    <row r="209" spans="1:9" x14ac:dyDescent="0.2">
      <c r="A209" s="179">
        <f>+SHIPS!B225</f>
        <v>42767</v>
      </c>
      <c r="B209" s="10">
        <f>(+VLOOKUP($A209,FIXED_CHARTER_COST,HLOOKUP(B$7,FIXED_CHARTER_COST,2,0)+1,0)+VLOOKUP($A209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1.4942488153033657</v>
      </c>
      <c r="C209" s="10">
        <f>(+VLOOKUP($A209,FIXED_CHARTER_COST,HLOOKUP(C$7,FIXED_CHARTER_COST,2,0)+1,0)+VLOOKUP($A209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1.6286040918406097</v>
      </c>
      <c r="D209" s="10">
        <f>(+VLOOKUP($A209,FIXED_CHARTER_COST,HLOOKUP(D$7,FIXED_CHARTER_COST,2,0)+1,0)+VLOOKUP($A209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0.34152604859247204</v>
      </c>
      <c r="E209" s="10">
        <f>(+VLOOKUP($A209,FIXED_CHARTER_COST,HLOOKUP(E$7,FIXED_CHARTER_COST,2,0)+1,0)+VLOOKUP($A209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0.37268856076252382</v>
      </c>
      <c r="F209" s="10">
        <f>(+VLOOKUP($A209,FIXED_CHARTER_COST,HLOOKUP(F$7,FIXED_CHARTER_COST,2,0)+1,0)+VLOOKUP($A209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0.62549204053732499</v>
      </c>
      <c r="G209" s="10">
        <f>(+VLOOKUP($A209,FIXED_CHARTER_COST,HLOOKUP(G$7,FIXED_CHARTER_COST,2,0)+1,0)+VLOOKUP($A209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0.76059335586332733</v>
      </c>
      <c r="H209" s="10">
        <f>(+VLOOKUP($A209,FIXED_CHARTER_COST,HLOOKUP(H$7,FIXED_CHARTER_COST,2,0)+1,0)+VLOOKUP($A209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0.66326275898922815</v>
      </c>
      <c r="I209" s="10">
        <f>(+VLOOKUP($A209,FIXED_CHARTER_COST,HLOOKUP(I$7,FIXED_CHARTER_COST,2,0)+1,0)+VLOOKUP($A209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0.79761803552647192</v>
      </c>
    </row>
    <row r="210" spans="1:9" x14ac:dyDescent="0.2">
      <c r="A210" s="179">
        <f>+SHIPS!B226</f>
        <v>42795</v>
      </c>
      <c r="B210" s="10">
        <f>(+VLOOKUP($A210,FIXED_CHARTER_COST,HLOOKUP(B$7,FIXED_CHARTER_COST,2,0)+1,0)+VLOOKUP($A210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1.4952715557615264</v>
      </c>
      <c r="C210" s="10">
        <f>(+VLOOKUP($A210,FIXED_CHARTER_COST,HLOOKUP(C$7,FIXED_CHARTER_COST,2,0)+1,0)+VLOOKUP($A210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1.6297333677631618</v>
      </c>
      <c r="D210" s="10">
        <f>(+VLOOKUP($A210,FIXED_CHARTER_COST,HLOOKUP(D$7,FIXED_CHARTER_COST,2,0)+1,0)+VLOOKUP($A210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0.34164530321899306</v>
      </c>
      <c r="E210" s="10">
        <f>(+VLOOKUP($A210,FIXED_CHARTER_COST,HLOOKUP(E$7,FIXED_CHARTER_COST,2,0)+1,0)+VLOOKUP($A210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0.37281775327458827</v>
      </c>
      <c r="F210" s="10">
        <f>(+VLOOKUP($A210,FIXED_CHARTER_COST,HLOOKUP(F$7,FIXED_CHARTER_COST,2,0)+1,0)+VLOOKUP($A210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0.62570073613373678</v>
      </c>
      <c r="G210" s="10">
        <f>(+VLOOKUP($A210,FIXED_CHARTER_COST,HLOOKUP(G$7,FIXED_CHARTER_COST,2,0)+1,0)+VLOOKUP($A210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0.76085174088745622</v>
      </c>
      <c r="H210" s="10">
        <f>(+VLOOKUP($A210,FIXED_CHARTER_COST,HLOOKUP(H$7,FIXED_CHARTER_COST,2,0)+1,0)+VLOOKUP($A210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0.66373151503255179</v>
      </c>
      <c r="I210" s="10">
        <f>(+VLOOKUP($A210,FIXED_CHARTER_COST,HLOOKUP(I$7,FIXED_CHARTER_COST,2,0)+1,0)+VLOOKUP($A210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0.79819332703418722</v>
      </c>
    </row>
    <row r="211" spans="1:9" x14ac:dyDescent="0.2">
      <c r="A211" s="179">
        <f>+SHIPS!B227</f>
        <v>42826</v>
      </c>
      <c r="B211" s="10">
        <f>(+VLOOKUP($A211,FIXED_CHARTER_COST,HLOOKUP(B$7,FIXED_CHARTER_COST,2,0)+1,0)+VLOOKUP($A211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1.4962964269289747</v>
      </c>
      <c r="C211" s="10">
        <f>(+VLOOKUP($A211,FIXED_CHARTER_COST,HLOOKUP(C$7,FIXED_CHARTER_COST,2,0)+1,0)+VLOOKUP($A211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1.6308649963438862</v>
      </c>
      <c r="D211" s="10">
        <f>(+VLOOKUP($A211,FIXED_CHARTER_COST,HLOOKUP(D$7,FIXED_CHARTER_COST,2,0)+1,0)+VLOOKUP($A211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0.34176480629265266</v>
      </c>
      <c r="E211" s="10">
        <f>(+VLOOKUP($A211,FIXED_CHARTER_COST,HLOOKUP(E$7,FIXED_CHARTER_COST,2,0)+1,0)+VLOOKUP($A211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0.37294721493771948</v>
      </c>
      <c r="F211" s="10">
        <f>(+VLOOKUP($A211,FIXED_CHARTER_COST,HLOOKUP(F$7,FIXED_CHARTER_COST,2,0)+1,0)+VLOOKUP($A211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0.62590986651264102</v>
      </c>
      <c r="G211" s="10">
        <f>(+VLOOKUP($A211,FIXED_CHARTER_COST,HLOOKUP(G$7,FIXED_CHARTER_COST,2,0)+1,0)+VLOOKUP($A211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0.76111066421371865</v>
      </c>
      <c r="H211" s="10">
        <f>(+VLOOKUP($A211,FIXED_CHARTER_COST,HLOOKUP(H$7,FIXED_CHARTER_COST,2,0)+1,0)+VLOOKUP($A211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0.66420124765096566</v>
      </c>
      <c r="I211" s="10">
        <f>(+VLOOKUP($A211,FIXED_CHARTER_COST,HLOOKUP(I$7,FIXED_CHARTER_COST,2,0)+1,0)+VLOOKUP($A211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0.79876981706587702</v>
      </c>
    </row>
    <row r="212" spans="1:9" x14ac:dyDescent="0.2">
      <c r="A212" s="179">
        <f>+SHIPS!B228</f>
        <v>42856</v>
      </c>
      <c r="B212" s="10">
        <f>(+VLOOKUP($A212,FIXED_CHARTER_COST,HLOOKUP(B$7,FIXED_CHARTER_COST,2,0)+1,0)+VLOOKUP($A212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1.4973234332446888</v>
      </c>
      <c r="C212" s="10">
        <f>(+VLOOKUP($A212,FIXED_CHARTER_COST,HLOOKUP(C$7,FIXED_CHARTER_COST,2,0)+1,0)+VLOOKUP($A212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1.6319989824841536</v>
      </c>
      <c r="D212" s="10">
        <f>(+VLOOKUP($A212,FIXED_CHARTER_COST,HLOOKUP(D$7,FIXED_CHARTER_COST,2,0)+1,0)+VLOOKUP($A212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0.34188455833104903</v>
      </c>
      <c r="E212" s="10">
        <f>(+VLOOKUP($A212,FIXED_CHARTER_COST,HLOOKUP(E$7,FIXED_CHARTER_COST,2,0)+1,0)+VLOOKUP($A212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0.37307694631264893</v>
      </c>
      <c r="F212" s="10">
        <f>(+VLOOKUP($A212,FIXED_CHARTER_COST,HLOOKUP(F$7,FIXED_CHARTER_COST,2,0)+1,0)+VLOOKUP($A212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0.62611943257983482</v>
      </c>
      <c r="G212" s="10">
        <f>(+VLOOKUP($A212,FIXED_CHARTER_COST,HLOOKUP(G$7,FIXED_CHARTER_COST,2,0)+1,0)+VLOOKUP($A212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0.76137012696357753</v>
      </c>
      <c r="H212" s="10">
        <f>(+VLOOKUP($A212,FIXED_CHARTER_COST,HLOOKUP(H$7,FIXED_CHARTER_COST,2,0)+1,0)+VLOOKUP($A212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0.66467195887900121</v>
      </c>
      <c r="I212" s="10">
        <f>(+VLOOKUP($A212,FIXED_CHARTER_COST,HLOOKUP(I$7,FIXED_CHARTER_COST,2,0)+1,0)+VLOOKUP($A212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0.79934750811846611</v>
      </c>
    </row>
    <row r="213" spans="1:9" x14ac:dyDescent="0.2">
      <c r="A213" s="179">
        <f>+SHIPS!B229</f>
        <v>42887</v>
      </c>
      <c r="B213" s="10">
        <f>(+VLOOKUP($A213,FIXED_CHARTER_COST,HLOOKUP(B$7,FIXED_CHARTER_COST,2,0)+1,0)+VLOOKUP($A213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1.4983525791568937</v>
      </c>
      <c r="C213" s="10">
        <f>(+VLOOKUP($A213,FIXED_CHARTER_COST,HLOOKUP(C$7,FIXED_CHARTER_COST,2,0)+1,0)+VLOOKUP($A213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1.6331353310955465</v>
      </c>
      <c r="D213" s="10">
        <f>(+VLOOKUP($A213,FIXED_CHARTER_COST,HLOOKUP(D$7,FIXED_CHARTER_COST,2,0)+1,0)+VLOOKUP($A213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0.34200455985285877</v>
      </c>
      <c r="E213" s="10">
        <f>(+VLOOKUP($A213,FIXED_CHARTER_COST,HLOOKUP(E$7,FIXED_CHARTER_COST,2,0)+1,0)+VLOOKUP($A213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0.37320694796127613</v>
      </c>
      <c r="F213" s="10">
        <f>(+VLOOKUP($A213,FIXED_CHARTER_COST,HLOOKUP(F$7,FIXED_CHARTER_COST,2,0)+1,0)+VLOOKUP($A213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0.62632943524300178</v>
      </c>
      <c r="G213" s="10">
        <f>(+VLOOKUP($A213,FIXED_CHARTER_COST,HLOOKUP(G$7,FIXED_CHARTER_COST,2,0)+1,0)+VLOOKUP($A213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0.76163013026083193</v>
      </c>
      <c r="H213" s="10">
        <f>(+VLOOKUP($A213,FIXED_CHARTER_COST,HLOOKUP(H$7,FIXED_CHARTER_COST,2,0)+1,0)+VLOOKUP($A213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0.66514365075542847</v>
      </c>
      <c r="I213" s="10">
        <f>(+VLOOKUP($A213,FIXED_CHARTER_COST,HLOOKUP(I$7,FIXED_CHARTER_COST,2,0)+1,0)+VLOOKUP($A213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0.79992640269408133</v>
      </c>
    </row>
    <row r="214" spans="1:9" x14ac:dyDescent="0.2">
      <c r="A214" s="179">
        <f>+SHIPS!B230</f>
        <v>42917</v>
      </c>
      <c r="B214" s="10">
        <f>(+VLOOKUP($A214,FIXED_CHARTER_COST,HLOOKUP(B$7,FIXED_CHARTER_COST,2,0)+1,0)+VLOOKUP($A214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1.4993838691230825</v>
      </c>
      <c r="C214" s="10">
        <f>(+VLOOKUP($A214,FIXED_CHARTER_COST,HLOOKUP(C$7,FIXED_CHARTER_COST,2,0)+1,0)+VLOOKUP($A214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1.6342740470998802</v>
      </c>
      <c r="D214" s="10">
        <f>(+VLOOKUP($A214,FIXED_CHARTER_COST,HLOOKUP(D$7,FIXED_CHARTER_COST,2,0)+1,0)+VLOOKUP($A214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0.34212481137783896</v>
      </c>
      <c r="E214" s="10">
        <f>(+VLOOKUP($A214,FIXED_CHARTER_COST,HLOOKUP(E$7,FIXED_CHARTER_COST,2,0)+1,0)+VLOOKUP($A214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0.37333722044667145</v>
      </c>
      <c r="F214" s="10">
        <f>(+VLOOKUP($A214,FIXED_CHARTER_COST,HLOOKUP(F$7,FIXED_CHARTER_COST,2,0)+1,0)+VLOOKUP($A214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0.62653987541171718</v>
      </c>
      <c r="G214" s="10">
        <f>(+VLOOKUP($A214,FIXED_CHARTER_COST,HLOOKUP(G$7,FIXED_CHARTER_COST,2,0)+1,0)+VLOOKUP($A214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0.76189067523162246</v>
      </c>
      <c r="H214" s="10">
        <f>(+VLOOKUP($A214,FIXED_CHARTER_COST,HLOOKUP(H$7,FIXED_CHARTER_COST,2,0)+1,0)+VLOOKUP($A214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0.66561632532326498</v>
      </c>
      <c r="I214" s="10">
        <f>(+VLOOKUP($A214,FIXED_CHARTER_COST,HLOOKUP(I$7,FIXED_CHARTER_COST,2,0)+1,0)+VLOOKUP($A214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0.80050650330006257</v>
      </c>
    </row>
    <row r="215" spans="1:9" x14ac:dyDescent="0.2">
      <c r="A215" s="179">
        <f>+SHIPS!B231</f>
        <v>42948</v>
      </c>
      <c r="B215" s="10">
        <f>(+VLOOKUP($A215,FIXED_CHARTER_COST,HLOOKUP(B$7,FIXED_CHARTER_COST,2,0)+1,0)+VLOOKUP($A215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1.500417307610034</v>
      </c>
      <c r="C215" s="10">
        <f>(+VLOOKUP($A215,FIXED_CHARTER_COST,HLOOKUP(C$7,FIXED_CHARTER_COST,2,0)+1,0)+VLOOKUP($A215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1.6354151354292223</v>
      </c>
      <c r="D215" s="10">
        <f>(+VLOOKUP($A215,FIXED_CHARTER_COST,HLOOKUP(D$7,FIXED_CHARTER_COST,2,0)+1,0)+VLOOKUP($A215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0.34224531342682951</v>
      </c>
      <c r="E215" s="10">
        <f>(+VLOOKUP($A215,FIXED_CHARTER_COST,HLOOKUP(E$7,FIXED_CHARTER_COST,2,0)+1,0)+VLOOKUP($A215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0.37346776433307777</v>
      </c>
      <c r="F215" s="10">
        <f>(+VLOOKUP($A215,FIXED_CHARTER_COST,HLOOKUP(F$7,FIXED_CHARTER_COST,2,0)+1,0)+VLOOKUP($A215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0.62675075399745062</v>
      </c>
      <c r="G215" s="10">
        <f>(+VLOOKUP($A215,FIXED_CHARTER_COST,HLOOKUP(G$7,FIXED_CHARTER_COST,2,0)+1,0)+VLOOKUP($A215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0.76215176300443521</v>
      </c>
      <c r="H215" s="10">
        <f>(+VLOOKUP($A215,FIXED_CHARTER_COST,HLOOKUP(H$7,FIXED_CHARTER_COST,2,0)+1,0)+VLOOKUP($A215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0.66608998462978442</v>
      </c>
      <c r="I215" s="10">
        <f>(+VLOOKUP($A215,FIXED_CHARTER_COST,HLOOKUP(I$7,FIXED_CHARTER_COST,2,0)+1,0)+VLOOKUP($A215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0.80108781244897276</v>
      </c>
    </row>
    <row r="216" spans="1:9" x14ac:dyDescent="0.2">
      <c r="A216" s="179">
        <f>+SHIPS!B232</f>
        <v>42979</v>
      </c>
      <c r="B216" s="10">
        <f>(+VLOOKUP($A216,FIXED_CHARTER_COST,HLOOKUP(B$7,FIXED_CHARTER_COST,2,0)+1,0)+VLOOKUP($A216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1.5014528990938334</v>
      </c>
      <c r="C216" s="10">
        <f>(+VLOOKUP($A216,FIXED_CHARTER_COST,HLOOKUP(C$7,FIXED_CHARTER_COST,2,0)+1,0)+VLOOKUP($A216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1.6365586010259177</v>
      </c>
      <c r="D216" s="10">
        <f>(+VLOOKUP($A216,FIXED_CHARTER_COST,HLOOKUP(D$7,FIXED_CHARTER_COST,2,0)+1,0)+VLOOKUP($A216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0.34236606652175544</v>
      </c>
      <c r="E216" s="10">
        <f>(+VLOOKUP($A216,FIXED_CHARTER_COST,HLOOKUP(E$7,FIXED_CHARTER_COST,2,0)+1,0)+VLOOKUP($A216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0.37359858018591424</v>
      </c>
      <c r="F216" s="10">
        <f>(+VLOOKUP($A216,FIXED_CHARTER_COST,HLOOKUP(F$7,FIXED_CHARTER_COST,2,0)+1,0)+VLOOKUP($A216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0.62696207191357101</v>
      </c>
      <c r="G216" s="10">
        <f>(+VLOOKUP($A216,FIXED_CHARTER_COST,HLOOKUP(G$7,FIXED_CHARTER_COST,2,0)+1,0)+VLOOKUP($A216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0.76241339471010805</v>
      </c>
      <c r="H216" s="10">
        <f>(+VLOOKUP($A216,FIXED_CHARTER_COST,HLOOKUP(H$7,FIXED_CHARTER_COST,2,0)+1,0)+VLOOKUP($A216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0.66656463072652583</v>
      </c>
      <c r="I216" s="10">
        <f>(+VLOOKUP($A216,FIXED_CHARTER_COST,HLOOKUP(I$7,FIXED_CHARTER_COST,2,0)+1,0)+VLOOKUP($A216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0.80167033265860999</v>
      </c>
    </row>
    <row r="217" spans="1:9" x14ac:dyDescent="0.2">
      <c r="A217" s="179">
        <f>+SHIPS!B233</f>
        <v>43009</v>
      </c>
      <c r="B217" s="10">
        <f>(+VLOOKUP($A217,FIXED_CHARTER_COST,HLOOKUP(B$7,FIXED_CHARTER_COST,2,0)+1,0)+VLOOKUP($A217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1.5024906480598907</v>
      </c>
      <c r="C217" s="10">
        <f>(+VLOOKUP($A217,FIXED_CHARTER_COST,HLOOKUP(C$7,FIXED_CHARTER_COST,2,0)+1,0)+VLOOKUP($A217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1.6377044488426058</v>
      </c>
      <c r="D217" s="10">
        <f>(+VLOOKUP($A217,FIXED_CHARTER_COST,HLOOKUP(D$7,FIXED_CHARTER_COST,2,0)+1,0)+VLOOKUP($A217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0.34248707118562915</v>
      </c>
      <c r="E217" s="10">
        <f>(+VLOOKUP($A217,FIXED_CHARTER_COST,HLOOKUP(E$7,FIXED_CHARTER_COST,2,0)+1,0)+VLOOKUP($A217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0.37372966857177742</v>
      </c>
      <c r="F217" s="10">
        <f>(+VLOOKUP($A217,FIXED_CHARTER_COST,HLOOKUP(F$7,FIXED_CHARTER_COST,2,0)+1,0)+VLOOKUP($A217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0.62717383007534988</v>
      </c>
      <c r="G217" s="10">
        <f>(+VLOOKUP($A217,FIXED_CHARTER_COST,HLOOKUP(G$7,FIXED_CHARTER_COST,2,0)+1,0)+VLOOKUP($A217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0.7626755714818344</v>
      </c>
      <c r="H217" s="10">
        <f>(+VLOOKUP($A217,FIXED_CHARTER_COST,HLOOKUP(H$7,FIXED_CHARTER_COST,2,0)+1,0)+VLOOKUP($A217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0.66704026566930219</v>
      </c>
      <c r="I217" s="10">
        <f>(+VLOOKUP($A217,FIXED_CHARTER_COST,HLOOKUP(I$7,FIXED_CHARTER_COST,2,0)+1,0)+VLOOKUP($A217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0.80225406645201724</v>
      </c>
    </row>
    <row r="218" spans="1:9" x14ac:dyDescent="0.2">
      <c r="A218" s="179">
        <f>+SHIPS!B234</f>
        <v>43040</v>
      </c>
      <c r="B218" s="10">
        <f>(+VLOOKUP($A218,FIXED_CHARTER_COST,HLOOKUP(B$7,FIXED_CHARTER_COST,2,0)+1,0)+VLOOKUP($A218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1.5035305590029608</v>
      </c>
      <c r="C218" s="10">
        <f>(+VLOOKUP($A218,FIXED_CHARTER_COST,HLOOKUP(C$7,FIXED_CHARTER_COST,2,0)+1,0)+VLOOKUP($A218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1.6388526838422457</v>
      </c>
      <c r="D218" s="10">
        <f>(+VLOOKUP($A218,FIXED_CHARTER_COST,HLOOKUP(D$7,FIXED_CHARTER_COST,2,0)+1,0)+VLOOKUP($A218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0.34260832794255264</v>
      </c>
      <c r="E218" s="10">
        <f>(+VLOOKUP($A218,FIXED_CHARTER_COST,HLOOKUP(E$7,FIXED_CHARTER_COST,2,0)+1,0)+VLOOKUP($A218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0.37386103005844457</v>
      </c>
      <c r="F218" s="10">
        <f>(+VLOOKUP($A218,FIXED_CHARTER_COST,HLOOKUP(F$7,FIXED_CHARTER_COST,2,0)+1,0)+VLOOKUP($A218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0.62738602939996602</v>
      </c>
      <c r="G218" s="10">
        <f>(+VLOOKUP($A218,FIXED_CHARTER_COST,HLOOKUP(G$7,FIXED_CHARTER_COST,2,0)+1,0)+VLOOKUP($A218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0.7629382944551687</v>
      </c>
      <c r="H218" s="10">
        <f>(+VLOOKUP($A218,FIXED_CHARTER_COST,HLOOKUP(H$7,FIXED_CHARTER_COST,2,0)+1,0)+VLOOKUP($A218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0.66751689151820925</v>
      </c>
      <c r="I218" s="10">
        <f>(+VLOOKUP($A218,FIXED_CHARTER_COST,HLOOKUP(I$7,FIXED_CHARTER_COST,2,0)+1,0)+VLOOKUP($A218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0.80283901635749411</v>
      </c>
    </row>
    <row r="219" spans="1:9" x14ac:dyDescent="0.2">
      <c r="A219" s="179">
        <f>+SHIPS!B235</f>
        <v>43070</v>
      </c>
      <c r="B219" s="10">
        <f>(+VLOOKUP($A219,FIXED_CHARTER_COST,HLOOKUP(B$7,FIXED_CHARTER_COST,2,0)+1,0)+VLOOKUP($A219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1.5045726364271623</v>
      </c>
      <c r="C219" s="10">
        <f>(+VLOOKUP($A219,FIXED_CHARTER_COST,HLOOKUP(C$7,FIXED_CHARTER_COST,2,0)+1,0)+VLOOKUP($A219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1.6400033109981347</v>
      </c>
      <c r="D219" s="10">
        <f>(+VLOOKUP($A219,FIXED_CHARTER_COST,HLOOKUP(D$7,FIXED_CHARTER_COST,2,0)+1,0)+VLOOKUP($A219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0.34272983731771967</v>
      </c>
      <c r="E219" s="10">
        <f>(+VLOOKUP($A219,FIXED_CHARTER_COST,HLOOKUP(E$7,FIXED_CHARTER_COST,2,0)+1,0)+VLOOKUP($A219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0.37399266521487545</v>
      </c>
      <c r="F219" s="10">
        <f>(+VLOOKUP($A219,FIXED_CHARTER_COST,HLOOKUP(F$7,FIXED_CHARTER_COST,2,0)+1,0)+VLOOKUP($A219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0.62759867080650833</v>
      </c>
      <c r="G219" s="10">
        <f>(+VLOOKUP($A219,FIXED_CHARTER_COST,HLOOKUP(G$7,FIXED_CHARTER_COST,2,0)+1,0)+VLOOKUP($A219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0.76320156476803058</v>
      </c>
      <c r="H219" s="10">
        <f>(+VLOOKUP($A219,FIXED_CHARTER_COST,HLOOKUP(H$7,FIXED_CHARTER_COST,2,0)+1,0)+VLOOKUP($A219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0.66799451033763491</v>
      </c>
      <c r="I219" s="10">
        <f>(+VLOOKUP($A219,FIXED_CHARTER_COST,HLOOKUP(I$7,FIXED_CHARTER_COST,2,0)+1,0)+VLOOKUP($A219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0.80342518490860737</v>
      </c>
    </row>
    <row r="220" spans="1:9" x14ac:dyDescent="0.2">
      <c r="A220" s="179">
        <f>+SHIPS!B236</f>
        <v>43101</v>
      </c>
      <c r="B220" s="10">
        <f>(+VLOOKUP($A220,FIXED_CHARTER_COST,HLOOKUP(B$7,FIXED_CHARTER_COST,2,0)+1,0)+VLOOKUP($A220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0" s="10">
        <f>(+VLOOKUP($A220,FIXED_CHARTER_COST,HLOOKUP(C$7,FIXED_CHARTER_COST,2,0)+1,0)+VLOOKUP($A220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0" s="10">
        <f>(+VLOOKUP($A220,FIXED_CHARTER_COST,HLOOKUP(D$7,FIXED_CHARTER_COST,2,0)+1,0)+VLOOKUP($A220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0.34285159983741825</v>
      </c>
      <c r="E220" s="10">
        <f>(+VLOOKUP($A220,FIXED_CHARTER_COST,HLOOKUP(E$7,FIXED_CHARTER_COST,2,0)+1,0)+VLOOKUP($A220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0.37412457461121568</v>
      </c>
      <c r="F220" s="10">
        <f>(+VLOOKUP($A220,FIXED_CHARTER_COST,HLOOKUP(F$7,FIXED_CHARTER_COST,2,0)+1,0)+VLOOKUP($A220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0.62781175521598087</v>
      </c>
      <c r="G220" s="10">
        <f>(+VLOOKUP($A220,FIXED_CHARTER_COST,HLOOKUP(G$7,FIXED_CHARTER_COST,2,0)+1,0)+VLOOKUP($A220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0.76346538356071092</v>
      </c>
      <c r="H220" s="10">
        <f>(+VLOOKUP($A220,FIXED_CHARTER_COST,HLOOKUP(H$7,FIXED_CHARTER_COST,2,0)+1,0)+VLOOKUP($A220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0" s="10">
        <f>(+VLOOKUP($A220,FIXED_CHARTER_COST,HLOOKUP(I$7,FIXED_CHARTER_COST,2,0)+1,0)+VLOOKUP($A220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1" spans="1:9" x14ac:dyDescent="0.2">
      <c r="A221" s="179">
        <f>+SHIPS!B237</f>
        <v>43132</v>
      </c>
      <c r="B221" s="10">
        <f>(+VLOOKUP($A221,FIXED_CHARTER_COST,HLOOKUP(B$7,FIXED_CHARTER_COST,2,0)+1,0)+VLOOKUP($A221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1" s="10">
        <f>(+VLOOKUP($A221,FIXED_CHARTER_COST,HLOOKUP(C$7,FIXED_CHARTER_COST,2,0)+1,0)+VLOOKUP($A221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1" s="10">
        <f>(+VLOOKUP($A221,FIXED_CHARTER_COST,HLOOKUP(D$7,FIXED_CHARTER_COST,2,0)+1,0)+VLOOKUP($A221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0.34297361602903292</v>
      </c>
      <c r="E221" s="10">
        <f>(+VLOOKUP($A221,FIXED_CHARTER_COST,HLOOKUP(E$7,FIXED_CHARTER_COST,2,0)+1,0)+VLOOKUP($A221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0.37425675881879822</v>
      </c>
      <c r="F221" s="10">
        <f>(+VLOOKUP($A221,FIXED_CHARTER_COST,HLOOKUP(F$7,FIXED_CHARTER_COST,2,0)+1,0)+VLOOKUP($A221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0.6280252835513066</v>
      </c>
      <c r="G221" s="10">
        <f>(+VLOOKUP($A221,FIXED_CHARTER_COST,HLOOKUP(G$7,FIXED_CHARTER_COST,2,0)+1,0)+VLOOKUP($A221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0.763729751975876</v>
      </c>
      <c r="H221" s="10">
        <f>(+VLOOKUP($A221,FIXED_CHARTER_COST,HLOOKUP(H$7,FIXED_CHARTER_COST,2,0)+1,0)+VLOOKUP($A221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1" s="10">
        <f>(+VLOOKUP($A221,FIXED_CHARTER_COST,HLOOKUP(I$7,FIXED_CHARTER_COST,2,0)+1,0)+VLOOKUP($A221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2" spans="1:9" x14ac:dyDescent="0.2">
      <c r="A222" s="179">
        <f>+SHIPS!B238</f>
        <v>43160</v>
      </c>
      <c r="B222" s="10">
        <f>(+VLOOKUP($A222,FIXED_CHARTER_COST,HLOOKUP(B$7,FIXED_CHARTER_COST,2,0)+1,0)+VLOOKUP($A222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2" s="10">
        <f>(+VLOOKUP($A222,FIXED_CHARTER_COST,HLOOKUP(C$7,FIXED_CHARTER_COST,2,0)+1,0)+VLOOKUP($A222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2" s="10">
        <f>(+VLOOKUP($A222,FIXED_CHARTER_COST,HLOOKUP(D$7,FIXED_CHARTER_COST,2,0)+1,0)+VLOOKUP($A222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0.34309588642104683</v>
      </c>
      <c r="E222" s="10">
        <f>(+VLOOKUP($A222,FIXED_CHARTER_COST,HLOOKUP(E$7,FIXED_CHARTER_COST,2,0)+1,0)+VLOOKUP($A222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0.37438921841014655</v>
      </c>
      <c r="F222" s="10">
        <f>(+VLOOKUP($A222,FIXED_CHARTER_COST,HLOOKUP(F$7,FIXED_CHARTER_COST,2,0)+1,0)+VLOOKUP($A222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0.62823925673733083</v>
      </c>
      <c r="G222" s="10">
        <f>(+VLOOKUP($A222,FIXED_CHARTER_COST,HLOOKUP(G$7,FIXED_CHARTER_COST,2,0)+1,0)+VLOOKUP($A222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0.76399467115857267</v>
      </c>
      <c r="H222" s="10">
        <f>(+VLOOKUP($A222,FIXED_CHARTER_COST,HLOOKUP(H$7,FIXED_CHARTER_COST,2,0)+1,0)+VLOOKUP($A222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2" s="10">
        <f>(+VLOOKUP($A222,FIXED_CHARTER_COST,HLOOKUP(I$7,FIXED_CHARTER_COST,2,0)+1,0)+VLOOKUP($A222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3" spans="1:9" x14ac:dyDescent="0.2">
      <c r="A223" s="179">
        <f>+SHIPS!B239</f>
        <v>43191</v>
      </c>
      <c r="B223" s="10">
        <f>(+VLOOKUP($A223,FIXED_CHARTER_COST,HLOOKUP(B$7,FIXED_CHARTER_COST,2,0)+1,0)+VLOOKUP($A223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3" s="10">
        <f>(+VLOOKUP($A223,FIXED_CHARTER_COST,HLOOKUP(C$7,FIXED_CHARTER_COST,2,0)+1,0)+VLOOKUP($A223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3" s="10">
        <f>(+VLOOKUP($A223,FIXED_CHARTER_COST,HLOOKUP(D$7,FIXED_CHARTER_COST,2,0)+1,0)+VLOOKUP($A223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0.343218411543044</v>
      </c>
      <c r="E223" s="10">
        <f>(+VLOOKUP($A223,FIXED_CHARTER_COST,HLOOKUP(E$7,FIXED_CHARTER_COST,2,0)+1,0)+VLOOKUP($A223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0.37452195395897686</v>
      </c>
      <c r="F223" s="10">
        <f>(+VLOOKUP($A223,FIXED_CHARTER_COST,HLOOKUP(F$7,FIXED_CHARTER_COST,2,0)+1,0)+VLOOKUP($A223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0.628453675700826</v>
      </c>
      <c r="G223" s="10">
        <f>(+VLOOKUP($A223,FIXED_CHARTER_COST,HLOOKUP(G$7,FIXED_CHARTER_COST,2,0)+1,0)+VLOOKUP($A223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0.76426014225623329</v>
      </c>
      <c r="H223" s="10">
        <f>(+VLOOKUP($A223,FIXED_CHARTER_COST,HLOOKUP(H$7,FIXED_CHARTER_COST,2,0)+1,0)+VLOOKUP($A223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3" s="10">
        <f>(+VLOOKUP($A223,FIXED_CHARTER_COST,HLOOKUP(I$7,FIXED_CHARTER_COST,2,0)+1,0)+VLOOKUP($A223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4" spans="1:9" x14ac:dyDescent="0.2">
      <c r="A224" s="179">
        <f>+SHIPS!B240</f>
        <v>43221</v>
      </c>
      <c r="B224" s="10">
        <f>(+VLOOKUP($A224,FIXED_CHARTER_COST,HLOOKUP(B$7,FIXED_CHARTER_COST,2,0)+1,0)+VLOOKUP($A224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4" s="10">
        <f>(+VLOOKUP($A224,FIXED_CHARTER_COST,HLOOKUP(C$7,FIXED_CHARTER_COST,2,0)+1,0)+VLOOKUP($A224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4" s="10">
        <f>(+VLOOKUP($A224,FIXED_CHARTER_COST,HLOOKUP(D$7,FIXED_CHARTER_COST,2,0)+1,0)+VLOOKUP($A224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0.34334119192571205</v>
      </c>
      <c r="E224" s="10">
        <f>(+VLOOKUP($A224,FIXED_CHARTER_COST,HLOOKUP(E$7,FIXED_CHARTER_COST,2,0)+1,0)+VLOOKUP($A224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0.3746549660402006</v>
      </c>
      <c r="F224" s="10">
        <f>(+VLOOKUP($A224,FIXED_CHARTER_COST,HLOOKUP(F$7,FIXED_CHARTER_COST,2,0)+1,0)+VLOOKUP($A224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0.62866854137049499</v>
      </c>
      <c r="G224" s="10">
        <f>(+VLOOKUP($A224,FIXED_CHARTER_COST,HLOOKUP(G$7,FIXED_CHARTER_COST,2,0)+1,0)+VLOOKUP($A224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0.76452616641868076</v>
      </c>
      <c r="H224" s="10">
        <f>(+VLOOKUP($A224,FIXED_CHARTER_COST,HLOOKUP(H$7,FIXED_CHARTER_COST,2,0)+1,0)+VLOOKUP($A224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4" s="10">
        <f>(+VLOOKUP($A224,FIXED_CHARTER_COST,HLOOKUP(I$7,FIXED_CHARTER_COST,2,0)+1,0)+VLOOKUP($A224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5" spans="1:9" x14ac:dyDescent="0.2">
      <c r="A225" s="179">
        <f>+SHIPS!B241</f>
        <v>43252</v>
      </c>
      <c r="B225" s="10">
        <f>(+VLOOKUP($A225,FIXED_CHARTER_COST,HLOOKUP(B$7,FIXED_CHARTER_COST,2,0)+1,0)+VLOOKUP($A225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5" s="10">
        <f>(+VLOOKUP($A225,FIXED_CHARTER_COST,HLOOKUP(C$7,FIXED_CHARTER_COST,2,0)+1,0)+VLOOKUP($A225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5" s="10">
        <f>(+VLOOKUP($A225,FIXED_CHARTER_COST,HLOOKUP(D$7,FIXED_CHARTER_COST,2,0)+1,0)+VLOOKUP($A225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0.34346422810084404</v>
      </c>
      <c r="E225" s="10">
        <f>(+VLOOKUP($A225,FIXED_CHARTER_COST,HLOOKUP(E$7,FIXED_CHARTER_COST,2,0)+1,0)+VLOOKUP($A225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0.37478825522992681</v>
      </c>
      <c r="F225" s="10">
        <f>(+VLOOKUP($A225,FIXED_CHARTER_COST,HLOOKUP(F$7,FIXED_CHARTER_COST,2,0)+1,0)+VLOOKUP($A225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0.62888385467697594</v>
      </c>
      <c r="G225" s="10">
        <f>(+VLOOKUP($A225,FIXED_CHARTER_COST,HLOOKUP(G$7,FIXED_CHARTER_COST,2,0)+1,0)+VLOOKUP($A225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0.76479274479813331</v>
      </c>
      <c r="H225" s="10">
        <f>(+VLOOKUP($A225,FIXED_CHARTER_COST,HLOOKUP(H$7,FIXED_CHARTER_COST,2,0)+1,0)+VLOOKUP($A225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5" s="10">
        <f>(+VLOOKUP($A225,FIXED_CHARTER_COST,HLOOKUP(I$7,FIXED_CHARTER_COST,2,0)+1,0)+VLOOKUP($A225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6" spans="1:9" x14ac:dyDescent="0.2">
      <c r="A226" s="179">
        <f>+SHIPS!B242</f>
        <v>43282</v>
      </c>
      <c r="B226" s="10">
        <f>(+VLOOKUP($A226,FIXED_CHARTER_COST,HLOOKUP(B$7,FIXED_CHARTER_COST,2,0)+1,0)+VLOOKUP($A226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6" s="10">
        <f>(+VLOOKUP($A226,FIXED_CHARTER_COST,HLOOKUP(C$7,FIXED_CHARTER_COST,2,0)+1,0)+VLOOKUP($A226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6" s="10">
        <f>(+VLOOKUP($A226,FIXED_CHARTER_COST,HLOOKUP(D$7,FIXED_CHARTER_COST,2,0)+1,0)+VLOOKUP($A226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0.34358752060134085</v>
      </c>
      <c r="E226" s="10">
        <f>(+VLOOKUP($A226,FIXED_CHARTER_COST,HLOOKUP(E$7,FIXED_CHARTER_COST,2,0)+1,0)+VLOOKUP($A226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0.37492182210546504</v>
      </c>
      <c r="F226" s="10">
        <f>(+VLOOKUP($A226,FIXED_CHARTER_COST,HLOOKUP(F$7,FIXED_CHARTER_COST,2,0)+1,0)+VLOOKUP($A226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0.62909961655284541</v>
      </c>
      <c r="G226" s="10">
        <f>(+VLOOKUP($A226,FIXED_CHARTER_COST,HLOOKUP(G$7,FIXED_CHARTER_COST,2,0)+1,0)+VLOOKUP($A226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0.76505987854920976</v>
      </c>
      <c r="H226" s="10">
        <f>(+VLOOKUP($A226,FIXED_CHARTER_COST,HLOOKUP(H$7,FIXED_CHARTER_COST,2,0)+1,0)+VLOOKUP($A226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6" s="10">
        <f>(+VLOOKUP($A226,FIXED_CHARTER_COST,HLOOKUP(I$7,FIXED_CHARTER_COST,2,0)+1,0)+VLOOKUP($A226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7" spans="1:9" x14ac:dyDescent="0.2">
      <c r="A227" s="179">
        <f>+SHIPS!B243</f>
        <v>43313</v>
      </c>
      <c r="B227" s="10">
        <f>(+VLOOKUP($A227,FIXED_CHARTER_COST,HLOOKUP(B$7,FIXED_CHARTER_COST,2,0)+1,0)+VLOOKUP($A227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7" s="10">
        <f>(+VLOOKUP($A227,FIXED_CHARTER_COST,HLOOKUP(C$7,FIXED_CHARTER_COST,2,0)+1,0)+VLOOKUP($A227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7" s="10">
        <f>(+VLOOKUP($A227,FIXED_CHARTER_COST,HLOOKUP(D$7,FIXED_CHARTER_COST,2,0)+1,0)+VLOOKUP($A227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0.3437110699612137</v>
      </c>
      <c r="E227" s="10">
        <f>(+VLOOKUP($A227,FIXED_CHARTER_COST,HLOOKUP(E$7,FIXED_CHARTER_COST,2,0)+1,0)+VLOOKUP($A227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0.3750556672453273</v>
      </c>
      <c r="F227" s="10">
        <f>(+VLOOKUP($A227,FIXED_CHARTER_COST,HLOOKUP(F$7,FIXED_CHARTER_COST,2,0)+1,0)+VLOOKUP($A227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0.62931582793262297</v>
      </c>
      <c r="G227" s="10">
        <f>(+VLOOKUP($A227,FIXED_CHARTER_COST,HLOOKUP(G$7,FIXED_CHARTER_COST,2,0)+1,0)+VLOOKUP($A227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0.76532756882893427</v>
      </c>
      <c r="H227" s="10">
        <f>(+VLOOKUP($A227,FIXED_CHARTER_COST,HLOOKUP(H$7,FIXED_CHARTER_COST,2,0)+1,0)+VLOOKUP($A227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7" s="10">
        <f>(+VLOOKUP($A227,FIXED_CHARTER_COST,HLOOKUP(I$7,FIXED_CHARTER_COST,2,0)+1,0)+VLOOKUP($A227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8" spans="1:9" x14ac:dyDescent="0.2">
      <c r="A228" s="179">
        <f>+SHIPS!B244</f>
        <v>43344</v>
      </c>
      <c r="B228" s="10">
        <f>(+VLOOKUP($A228,FIXED_CHARTER_COST,HLOOKUP(B$7,FIXED_CHARTER_COST,2,0)+1,0)+VLOOKUP($A228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8" s="10">
        <f>(+VLOOKUP($A228,FIXED_CHARTER_COST,HLOOKUP(C$7,FIXED_CHARTER_COST,2,0)+1,0)+VLOOKUP($A228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8" s="10">
        <f>(+VLOOKUP($A228,FIXED_CHARTER_COST,HLOOKUP(D$7,FIXED_CHARTER_COST,2,0)+1,0)+VLOOKUP($A228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0.34383487671558627</v>
      </c>
      <c r="E228" s="10">
        <f>(+VLOOKUP($A228,FIXED_CHARTER_COST,HLOOKUP(E$7,FIXED_CHARTER_COST,2,0)+1,0)+VLOOKUP($A228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0.37518979122923096</v>
      </c>
      <c r="F228" s="10">
        <f>(+VLOOKUP($A228,FIXED_CHARTER_COST,HLOOKUP(F$7,FIXED_CHARTER_COST,2,0)+1,0)+VLOOKUP($A228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0.62953248975277487</v>
      </c>
      <c r="G228" s="10">
        <f>(+VLOOKUP($A228,FIXED_CHARTER_COST,HLOOKUP(G$7,FIXED_CHARTER_COST,2,0)+1,0)+VLOOKUP($A228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0.76559581679674149</v>
      </c>
      <c r="H228" s="10">
        <f>(+VLOOKUP($A228,FIXED_CHARTER_COST,HLOOKUP(H$7,FIXED_CHARTER_COST,2,0)+1,0)+VLOOKUP($A228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8" s="10">
        <f>(+VLOOKUP($A228,FIXED_CHARTER_COST,HLOOKUP(I$7,FIXED_CHARTER_COST,2,0)+1,0)+VLOOKUP($A228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9" spans="1:9" x14ac:dyDescent="0.2">
      <c r="A229" s="179">
        <f>+SHIPS!B245</f>
        <v>43374</v>
      </c>
      <c r="B229" s="10">
        <f>(+VLOOKUP($A229,FIXED_CHARTER_COST,HLOOKUP(B$7,FIXED_CHARTER_COST,2,0)+1,0)+VLOOKUP($A229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9" s="10">
        <f>(+VLOOKUP($A229,FIXED_CHARTER_COST,HLOOKUP(C$7,FIXED_CHARTER_COST,2,0)+1,0)+VLOOKUP($A229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9" s="10">
        <f>(+VLOOKUP($A229,FIXED_CHARTER_COST,HLOOKUP(D$7,FIXED_CHARTER_COST,2,0)+1,0)+VLOOKUP($A229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0.34395894140069716</v>
      </c>
      <c r="E229" s="10">
        <f>(+VLOOKUP($A229,FIXED_CHARTER_COST,HLOOKUP(E$7,FIXED_CHARTER_COST,2,0)+1,0)+VLOOKUP($A229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0.37532419463810102</v>
      </c>
      <c r="F229" s="10">
        <f>(+VLOOKUP($A229,FIXED_CHARTER_COST,HLOOKUP(F$7,FIXED_CHARTER_COST,2,0)+1,0)+VLOOKUP($A229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0.62974960295171889</v>
      </c>
      <c r="G229" s="10">
        <f>(+VLOOKUP($A229,FIXED_CHARTER_COST,HLOOKUP(G$7,FIXED_CHARTER_COST,2,0)+1,0)+VLOOKUP($A229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0.76586462361448171</v>
      </c>
      <c r="H229" s="10">
        <f>(+VLOOKUP($A229,FIXED_CHARTER_COST,HLOOKUP(H$7,FIXED_CHARTER_COST,2,0)+1,0)+VLOOKUP($A229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9" s="10">
        <f>(+VLOOKUP($A229,FIXED_CHARTER_COST,HLOOKUP(I$7,FIXED_CHARTER_COST,2,0)+1,0)+VLOOKUP($A229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0" spans="1:9" x14ac:dyDescent="0.2">
      <c r="A230" s="179">
        <f>+SHIPS!B246</f>
        <v>43405</v>
      </c>
      <c r="B230" s="10">
        <f>(+VLOOKUP($A230,FIXED_CHARTER_COST,HLOOKUP(B$7,FIXED_CHARTER_COST,2,0)+1,0)+VLOOKUP($A230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0" s="10">
        <f>(+VLOOKUP($A230,FIXED_CHARTER_COST,HLOOKUP(C$7,FIXED_CHARTER_COST,2,0)+1,0)+VLOOKUP($A230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0" s="10">
        <f>(+VLOOKUP($A230,FIXED_CHARTER_COST,HLOOKUP(D$7,FIXED_CHARTER_COST,2,0)+1,0)+VLOOKUP($A230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0.34408326455390198</v>
      </c>
      <c r="E230" s="10">
        <f>(+VLOOKUP($A230,FIXED_CHARTER_COST,HLOOKUP(E$7,FIXED_CHARTER_COST,2,0)+1,0)+VLOOKUP($A230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0.37545887805407302</v>
      </c>
      <c r="F230" s="10">
        <f>(+VLOOKUP($A230,FIXED_CHARTER_COST,HLOOKUP(F$7,FIXED_CHARTER_COST,2,0)+1,0)+VLOOKUP($A230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0.62996716846982737</v>
      </c>
      <c r="G230" s="10">
        <f>(+VLOOKUP($A230,FIXED_CHARTER_COST,HLOOKUP(G$7,FIXED_CHARTER_COST,2,0)+1,0)+VLOOKUP($A230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0.76613399044642561</v>
      </c>
      <c r="H230" s="10">
        <f>(+VLOOKUP($A230,FIXED_CHARTER_COST,HLOOKUP(H$7,FIXED_CHARTER_COST,2,0)+1,0)+VLOOKUP($A230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0" s="10">
        <f>(+VLOOKUP($A230,FIXED_CHARTER_COST,HLOOKUP(I$7,FIXED_CHARTER_COST,2,0)+1,0)+VLOOKUP($A230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1" spans="1:9" x14ac:dyDescent="0.2">
      <c r="A231" s="179">
        <f>+SHIPS!B247</f>
        <v>43435</v>
      </c>
      <c r="B231" s="10">
        <f>(+VLOOKUP($A231,FIXED_CHARTER_COST,HLOOKUP(B$7,FIXED_CHARTER_COST,2,0)+1,0)+VLOOKUP($A231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1" s="10">
        <f>(+VLOOKUP($A231,FIXED_CHARTER_COST,HLOOKUP(C$7,FIXED_CHARTER_COST,2,0)+1,0)+VLOOKUP($A231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1" s="10">
        <f>(+VLOOKUP($A231,FIXED_CHARTER_COST,HLOOKUP(D$7,FIXED_CHARTER_COST,2,0)+1,0)+VLOOKUP($A231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0.34420784671367599</v>
      </c>
      <c r="E231" s="10">
        <f>(+VLOOKUP($A231,FIXED_CHARTER_COST,HLOOKUP(E$7,FIXED_CHARTER_COST,2,0)+1,0)+VLOOKUP($A231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0.37559384206049479</v>
      </c>
      <c r="F231" s="10">
        <f>(+VLOOKUP($A231,FIXED_CHARTER_COST,HLOOKUP(F$7,FIXED_CHARTER_COST,2,0)+1,0)+VLOOKUP($A231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0.63018518724943196</v>
      </c>
      <c r="G231" s="10">
        <f>(+VLOOKUP($A231,FIXED_CHARTER_COST,HLOOKUP(G$7,FIXED_CHARTER_COST,2,0)+1,0)+VLOOKUP($A231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0.76640391845926925</v>
      </c>
      <c r="H231" s="10">
        <f>(+VLOOKUP($A231,FIXED_CHARTER_COST,HLOOKUP(H$7,FIXED_CHARTER_COST,2,0)+1,0)+VLOOKUP($A231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1" s="10">
        <f>(+VLOOKUP($A231,FIXED_CHARTER_COST,HLOOKUP(I$7,FIXED_CHARTER_COST,2,0)+1,0)+VLOOKUP($A231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2" spans="1:9" x14ac:dyDescent="0.2">
      <c r="A232" s="179">
        <f>+SHIPS!B248</f>
        <v>43466</v>
      </c>
      <c r="B232" s="10">
        <f>(+VLOOKUP($A232,FIXED_CHARTER_COST,HLOOKUP(B$7,FIXED_CHARTER_COST,2,0)+1,0)+VLOOKUP($A232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2" s="10">
        <f>(+VLOOKUP($A232,FIXED_CHARTER_COST,HLOOKUP(C$7,FIXED_CHARTER_COST,2,0)+1,0)+VLOOKUP($A232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2" s="10">
        <f>(+VLOOKUP($A232,FIXED_CHARTER_COST,HLOOKUP(D$7,FIXED_CHARTER_COST,2,0)+1,0)+VLOOKUP($A232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0.34433268841961617</v>
      </c>
      <c r="E232" s="10">
        <f>(+VLOOKUP($A232,FIXED_CHARTER_COST,HLOOKUP(E$7,FIXED_CHARTER_COST,2,0)+1,0)+VLOOKUP($A232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0.37572908724193005</v>
      </c>
      <c r="F232" s="10">
        <f>(+VLOOKUP($A232,FIXED_CHARTER_COST,HLOOKUP(F$7,FIXED_CHARTER_COST,2,0)+1,0)+VLOOKUP($A232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0.63040366023482719</v>
      </c>
      <c r="G232" s="10">
        <f>(+VLOOKUP($A232,FIXED_CHARTER_COST,HLOOKUP(G$7,FIXED_CHARTER_COST,2,0)+1,0)+VLOOKUP($A232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0.76667440882213966</v>
      </c>
      <c r="H232" s="10">
        <f>(+VLOOKUP($A232,FIXED_CHARTER_COST,HLOOKUP(H$7,FIXED_CHARTER_COST,2,0)+1,0)+VLOOKUP($A232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2" s="10">
        <f>(+VLOOKUP($A232,FIXED_CHARTER_COST,HLOOKUP(I$7,FIXED_CHARTER_COST,2,0)+1,0)+VLOOKUP($A232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3" spans="1:9" x14ac:dyDescent="0.2">
      <c r="A233" s="179">
        <f>+SHIPS!B249</f>
        <v>43497</v>
      </c>
      <c r="B233" s="10">
        <f>(+VLOOKUP($A233,FIXED_CHARTER_COST,HLOOKUP(B$7,FIXED_CHARTER_COST,2,0)+1,0)+VLOOKUP($A233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3" s="10">
        <f>(+VLOOKUP($A233,FIXED_CHARTER_COST,HLOOKUP(C$7,FIXED_CHARTER_COST,2,0)+1,0)+VLOOKUP($A233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3" s="10">
        <f>(+VLOOKUP($A233,FIXED_CHARTER_COST,HLOOKUP(D$7,FIXED_CHARTER_COST,2,0)+1,0)+VLOOKUP($A233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0.34445779021244377</v>
      </c>
      <c r="E233" s="10">
        <f>(+VLOOKUP($A233,FIXED_CHARTER_COST,HLOOKUP(E$7,FIXED_CHARTER_COST,2,0)+1,0)+VLOOKUP($A233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0.3758646141841599</v>
      </c>
      <c r="F233" s="10">
        <f>(+VLOOKUP($A233,FIXED_CHARTER_COST,HLOOKUP(F$7,FIXED_CHARTER_COST,2,0)+1,0)+VLOOKUP($A233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0.63062258837227547</v>
      </c>
      <c r="G233" s="10">
        <f>(+VLOOKUP($A233,FIXED_CHARTER_COST,HLOOKUP(G$7,FIXED_CHARTER_COST,2,0)+1,0)+VLOOKUP($A233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0.76694546270659947</v>
      </c>
      <c r="H233" s="10">
        <f>(+VLOOKUP($A233,FIXED_CHARTER_COST,HLOOKUP(H$7,FIXED_CHARTER_COST,2,0)+1,0)+VLOOKUP($A233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3" s="10">
        <f>(+VLOOKUP($A233,FIXED_CHARTER_COST,HLOOKUP(I$7,FIXED_CHARTER_COST,2,0)+1,0)+VLOOKUP($A233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4" spans="1:9" x14ac:dyDescent="0.2">
      <c r="A234" s="179">
        <f>+SHIPS!B250</f>
        <v>43525</v>
      </c>
      <c r="B234" s="10">
        <f>(+VLOOKUP($A234,FIXED_CHARTER_COST,HLOOKUP(B$7,FIXED_CHARTER_COST,2,0)+1,0)+VLOOKUP($A234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4" s="10">
        <f>(+VLOOKUP($A234,FIXED_CHARTER_COST,HLOOKUP(C$7,FIXED_CHARTER_COST,2,0)+1,0)+VLOOKUP($A234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4" s="10">
        <f>(+VLOOKUP($A234,FIXED_CHARTER_COST,HLOOKUP(D$7,FIXED_CHARTER_COST,2,0)+1,0)+VLOOKUP($A234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0.34458315263400635</v>
      </c>
      <c r="E234" s="10">
        <f>(+VLOOKUP($A234,FIXED_CHARTER_COST,HLOOKUP(E$7,FIXED_CHARTER_COST,2,0)+1,0)+VLOOKUP($A234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0.37600042347418611</v>
      </c>
      <c r="F234" s="10">
        <f>(+VLOOKUP($A234,FIXED_CHARTER_COST,HLOOKUP(F$7,FIXED_CHARTER_COST,2,0)+1,0)+VLOOKUP($A234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0.63084197261001007</v>
      </c>
      <c r="G234" s="10">
        <f>(+VLOOKUP($A234,FIXED_CHARTER_COST,HLOOKUP(G$7,FIXED_CHARTER_COST,2,0)+1,0)+VLOOKUP($A234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0.76721708128665178</v>
      </c>
      <c r="H234" s="10">
        <f>(+VLOOKUP($A234,FIXED_CHARTER_COST,HLOOKUP(H$7,FIXED_CHARTER_COST,2,0)+1,0)+VLOOKUP($A234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4" s="10">
        <f>(+VLOOKUP($A234,FIXED_CHARTER_COST,HLOOKUP(I$7,FIXED_CHARTER_COST,2,0)+1,0)+VLOOKUP($A234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5" spans="1:9" x14ac:dyDescent="0.2">
      <c r="A235" s="179">
        <f>+SHIPS!B251</f>
        <v>43556</v>
      </c>
      <c r="B235" s="10">
        <f>(+VLOOKUP($A235,FIXED_CHARTER_COST,HLOOKUP(B$7,FIXED_CHARTER_COST,2,0)+1,0)+VLOOKUP($A235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5" s="10">
        <f>(+VLOOKUP($A235,FIXED_CHARTER_COST,HLOOKUP(C$7,FIXED_CHARTER_COST,2,0)+1,0)+VLOOKUP($A235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5" s="10">
        <f>(+VLOOKUP($A235,FIXED_CHARTER_COST,HLOOKUP(D$7,FIXED_CHARTER_COST,2,0)+1,0)+VLOOKUP($A235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0.34470877622728063</v>
      </c>
      <c r="E235" s="10">
        <f>(+VLOOKUP($A235,FIXED_CHARTER_COST,HLOOKUP(E$7,FIXED_CHARTER_COST,2,0)+1,0)+VLOOKUP($A235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0.37613651570023315</v>
      </c>
      <c r="F235" s="10">
        <f>(+VLOOKUP($A235,FIXED_CHARTER_COST,HLOOKUP(F$7,FIXED_CHARTER_COST,2,0)+1,0)+VLOOKUP($A235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0.63106181389824001</v>
      </c>
      <c r="G235" s="10">
        <f>(+VLOOKUP($A235,FIXED_CHARTER_COST,HLOOKUP(G$7,FIXED_CHARTER_COST,2,0)+1,0)+VLOOKUP($A235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0.76748926573874598</v>
      </c>
      <c r="H235" s="10">
        <f>(+VLOOKUP($A235,FIXED_CHARTER_COST,HLOOKUP(H$7,FIXED_CHARTER_COST,2,0)+1,0)+VLOOKUP($A235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5" s="10">
        <f>(+VLOOKUP($A235,FIXED_CHARTER_COST,HLOOKUP(I$7,FIXED_CHARTER_COST,2,0)+1,0)+VLOOKUP($A235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6" spans="1:9" x14ac:dyDescent="0.2">
      <c r="A236" s="179">
        <f>+SHIPS!B252</f>
        <v>43586</v>
      </c>
      <c r="B236" s="10">
        <f>(+VLOOKUP($A236,FIXED_CHARTER_COST,HLOOKUP(B$7,FIXED_CHARTER_COST,2,0)+1,0)+VLOOKUP($A236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6" s="10">
        <f>(+VLOOKUP($A236,FIXED_CHARTER_COST,HLOOKUP(C$7,FIXED_CHARTER_COST,2,0)+1,0)+VLOOKUP($A236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6" s="10">
        <f>(+VLOOKUP($A236,FIXED_CHARTER_COST,HLOOKUP(D$7,FIXED_CHARTER_COST,2,0)+1,0)+VLOOKUP($A236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0.34483466153637415</v>
      </c>
      <c r="E236" s="10">
        <f>(+VLOOKUP($A236,FIXED_CHARTER_COST,HLOOKUP(E$7,FIXED_CHARTER_COST,2,0)+1,0)+VLOOKUP($A236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0.37627289145175119</v>
      </c>
      <c r="F236" s="10">
        <f>(+VLOOKUP($A236,FIXED_CHARTER_COST,HLOOKUP(F$7,FIXED_CHARTER_COST,2,0)+1,0)+VLOOKUP($A236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0.63128211318915373</v>
      </c>
      <c r="G236" s="10">
        <f>(+VLOOKUP($A236,FIXED_CHARTER_COST,HLOOKUP(G$7,FIXED_CHARTER_COST,2,0)+1,0)+VLOOKUP($A236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0.76776201724178206</v>
      </c>
      <c r="H236" s="10">
        <f>(+VLOOKUP($A236,FIXED_CHARTER_COST,HLOOKUP(H$7,FIXED_CHARTER_COST,2,0)+1,0)+VLOOKUP($A236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6" s="10">
        <f>(+VLOOKUP($A236,FIXED_CHARTER_COST,HLOOKUP(I$7,FIXED_CHARTER_COST,2,0)+1,0)+VLOOKUP($A236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7" spans="1:9" x14ac:dyDescent="0.2">
      <c r="A237" s="179">
        <f>+SHIPS!B253</f>
        <v>43617</v>
      </c>
      <c r="B237" s="10">
        <f>(+VLOOKUP($A237,FIXED_CHARTER_COST,HLOOKUP(B$7,FIXED_CHARTER_COST,2,0)+1,0)+VLOOKUP($A237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7" s="10">
        <f>(+VLOOKUP($A237,FIXED_CHARTER_COST,HLOOKUP(C$7,FIXED_CHARTER_COST,2,0)+1,0)+VLOOKUP($A237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7" s="10">
        <f>(+VLOOKUP($A237,FIXED_CHARTER_COST,HLOOKUP(D$7,FIXED_CHARTER_COST,2,0)+1,0)+VLOOKUP($A237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0.34496080910652838</v>
      </c>
      <c r="E237" s="10">
        <f>(+VLOOKUP($A237,FIXED_CHARTER_COST,HLOOKUP(E$7,FIXED_CHARTER_COST,2,0)+1,0)+VLOOKUP($A237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0.37640955131941828</v>
      </c>
      <c r="F237" s="10">
        <f>(+VLOOKUP($A237,FIXED_CHARTER_COST,HLOOKUP(F$7,FIXED_CHARTER_COST,2,0)+1,0)+VLOOKUP($A237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0.63150287143692352</v>
      </c>
      <c r="G237" s="10">
        <f>(+VLOOKUP($A237,FIXED_CHARTER_COST,HLOOKUP(G$7,FIXED_CHARTER_COST,2,0)+1,0)+VLOOKUP($A237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0.76803533697711612</v>
      </c>
      <c r="H237" s="10">
        <f>(+VLOOKUP($A237,FIXED_CHARTER_COST,HLOOKUP(H$7,FIXED_CHARTER_COST,2,0)+1,0)+VLOOKUP($A237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7" s="10">
        <f>(+VLOOKUP($A237,FIXED_CHARTER_COST,HLOOKUP(I$7,FIXED_CHARTER_COST,2,0)+1,0)+VLOOKUP($A237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8" spans="1:9" x14ac:dyDescent="0.2">
      <c r="A238" s="179">
        <f>+SHIPS!B254</f>
        <v>43647</v>
      </c>
      <c r="B238" s="10">
        <f>(+VLOOKUP($A238,FIXED_CHARTER_COST,HLOOKUP(B$7,FIXED_CHARTER_COST,2,0)+1,0)+VLOOKUP($A238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8" s="10">
        <f>(+VLOOKUP($A238,FIXED_CHARTER_COST,HLOOKUP(C$7,FIXED_CHARTER_COST,2,0)+1,0)+VLOOKUP($A238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8" s="10">
        <f>(+VLOOKUP($A238,FIXED_CHARTER_COST,HLOOKUP(D$7,FIXED_CHARTER_COST,2,0)+1,0)+VLOOKUP($A238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0.3450872194841203</v>
      </c>
      <c r="E238" s="10">
        <f>(+VLOOKUP($A238,FIXED_CHARTER_COST,HLOOKUP(E$7,FIXED_CHARTER_COST,2,0)+1,0)+VLOOKUP($A238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0.37654649589514283</v>
      </c>
      <c r="F238" s="10">
        <f>(+VLOOKUP($A238,FIXED_CHARTER_COST,HLOOKUP(F$7,FIXED_CHARTER_COST,2,0)+1,0)+VLOOKUP($A238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0.63172408959770954</v>
      </c>
      <c r="G238" s="10">
        <f>(+VLOOKUP($A238,FIXED_CHARTER_COST,HLOOKUP(G$7,FIXED_CHARTER_COST,2,0)+1,0)+VLOOKUP($A238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0.76830922612856534</v>
      </c>
      <c r="H238" s="10">
        <f>(+VLOOKUP($A238,FIXED_CHARTER_COST,HLOOKUP(H$7,FIXED_CHARTER_COST,2,0)+1,0)+VLOOKUP($A238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8" s="10">
        <f>(+VLOOKUP($A238,FIXED_CHARTER_COST,HLOOKUP(I$7,FIXED_CHARTER_COST,2,0)+1,0)+VLOOKUP($A238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9" spans="1:9" x14ac:dyDescent="0.2">
      <c r="A239" s="179">
        <f>+SHIPS!B255</f>
        <v>43678</v>
      </c>
      <c r="B239" s="10">
        <f>(+VLOOKUP($A239,FIXED_CHARTER_COST,HLOOKUP(B$7,FIXED_CHARTER_COST,2,0)+1,0)+VLOOKUP($A239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9" s="10">
        <f>(+VLOOKUP($A239,FIXED_CHARTER_COST,HLOOKUP(C$7,FIXED_CHARTER_COST,2,0)+1,0)+VLOOKUP($A239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9" s="10">
        <f>(+VLOOKUP($A239,FIXED_CHARTER_COST,HLOOKUP(D$7,FIXED_CHARTER_COST,2,0)+1,0)+VLOOKUP($A239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0.34521389321666562</v>
      </c>
      <c r="E239" s="10">
        <f>(+VLOOKUP($A239,FIXED_CHARTER_COST,HLOOKUP(E$7,FIXED_CHARTER_COST,2,0)+1,0)+VLOOKUP($A239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0.37668372577206694</v>
      </c>
      <c r="F239" s="10">
        <f>(+VLOOKUP($A239,FIXED_CHARTER_COST,HLOOKUP(F$7,FIXED_CHARTER_COST,2,0)+1,0)+VLOOKUP($A239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0.63194576862966378</v>
      </c>
      <c r="G239" s="10">
        <f>(+VLOOKUP($A239,FIXED_CHARTER_COST,HLOOKUP(G$7,FIXED_CHARTER_COST,2,0)+1,0)+VLOOKUP($A239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0.76858368588241344</v>
      </c>
      <c r="H239" s="10">
        <f>(+VLOOKUP($A239,FIXED_CHARTER_COST,HLOOKUP(H$7,FIXED_CHARTER_COST,2,0)+1,0)+VLOOKUP($A239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9" s="10">
        <f>(+VLOOKUP($A239,FIXED_CHARTER_COST,HLOOKUP(I$7,FIXED_CHARTER_COST,2,0)+1,0)+VLOOKUP($A239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0" spans="1:9" x14ac:dyDescent="0.2">
      <c r="A240" s="179">
        <f>+SHIPS!B256</f>
        <v>43709</v>
      </c>
      <c r="B240" s="10">
        <f>(+VLOOKUP($A240,FIXED_CHARTER_COST,HLOOKUP(B$7,FIXED_CHARTER_COST,2,0)+1,0)+VLOOKUP($A240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0" s="10">
        <f>(+VLOOKUP($A240,FIXED_CHARTER_COST,HLOOKUP(C$7,FIXED_CHARTER_COST,2,0)+1,0)+VLOOKUP($A240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0" s="10">
        <f>(+VLOOKUP($A240,FIXED_CHARTER_COST,HLOOKUP(D$7,FIXED_CHARTER_COST,2,0)+1,0)+VLOOKUP($A240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0.34534083085282036</v>
      </c>
      <c r="E240" s="10">
        <f>(+VLOOKUP($A240,FIXED_CHARTER_COST,HLOOKUP(E$7,FIXED_CHARTER_COST,2,0)+1,0)+VLOOKUP($A240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0.37682124154456792</v>
      </c>
      <c r="F240" s="10">
        <f>(+VLOOKUP($A240,FIXED_CHARTER_COST,HLOOKUP(F$7,FIXED_CHARTER_COST,2,0)+1,0)+VLOOKUP($A240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0.63216790949293455</v>
      </c>
      <c r="G240" s="10">
        <f>(+VLOOKUP($A240,FIXED_CHARTER_COST,HLOOKUP(G$7,FIXED_CHARTER_COST,2,0)+1,0)+VLOOKUP($A240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0.76885871742741541</v>
      </c>
      <c r="H240" s="10">
        <f>(+VLOOKUP($A240,FIXED_CHARTER_COST,HLOOKUP(H$7,FIXED_CHARTER_COST,2,0)+1,0)+VLOOKUP($A240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0" s="10">
        <f>(+VLOOKUP($A240,FIXED_CHARTER_COST,HLOOKUP(I$7,FIXED_CHARTER_COST,2,0)+1,0)+VLOOKUP($A240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1" spans="1:9" x14ac:dyDescent="0.2">
      <c r="A241" s="179">
        <f>+SHIPS!B257</f>
        <v>43739</v>
      </c>
      <c r="B241" s="10">
        <f>(+VLOOKUP($A241,FIXED_CHARTER_COST,HLOOKUP(B$7,FIXED_CHARTER_COST,2,0)+1,0)+VLOOKUP($A241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1" s="10">
        <f>(+VLOOKUP($A241,FIXED_CHARTER_COST,HLOOKUP(C$7,FIXED_CHARTER_COST,2,0)+1,0)+VLOOKUP($A241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1" s="10">
        <f>(+VLOOKUP($A241,FIXED_CHARTER_COST,HLOOKUP(D$7,FIXED_CHARTER_COST,2,0)+1,0)+VLOOKUP($A241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0.34546803294238382</v>
      </c>
      <c r="E241" s="10">
        <f>(+VLOOKUP($A241,FIXED_CHARTER_COST,HLOOKUP(E$7,FIXED_CHARTER_COST,2,0)+1,0)+VLOOKUP($A241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0.37695904380826167</v>
      </c>
      <c r="F241" s="10">
        <f>(+VLOOKUP($A241,FIXED_CHARTER_COST,HLOOKUP(F$7,FIXED_CHARTER_COST,2,0)+1,0)+VLOOKUP($A241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0.63239051314967054</v>
      </c>
      <c r="G241" s="10">
        <f>(+VLOOKUP($A241,FIXED_CHARTER_COST,HLOOKUP(G$7,FIXED_CHARTER_COST,2,0)+1,0)+VLOOKUP($A241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0.76913432195480291</v>
      </c>
      <c r="H241" s="10">
        <f>(+VLOOKUP($A241,FIXED_CHARTER_COST,HLOOKUP(H$7,FIXED_CHARTER_COST,2,0)+1,0)+VLOOKUP($A241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1" s="10">
        <f>(+VLOOKUP($A241,FIXED_CHARTER_COST,HLOOKUP(I$7,FIXED_CHARTER_COST,2,0)+1,0)+VLOOKUP($A241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2" spans="1:9" x14ac:dyDescent="0.2">
      <c r="A242" s="179">
        <f>+SHIPS!B258</f>
        <v>43770</v>
      </c>
      <c r="B242" s="10">
        <f>(+VLOOKUP($A242,FIXED_CHARTER_COST,HLOOKUP(B$7,FIXED_CHARTER_COST,2,0)+1,0)+VLOOKUP($A242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2" s="10">
        <f>(+VLOOKUP($A242,FIXED_CHARTER_COST,HLOOKUP(C$7,FIXED_CHARTER_COST,2,0)+1,0)+VLOOKUP($A242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2" s="10">
        <f>(+VLOOKUP($A242,FIXED_CHARTER_COST,HLOOKUP(D$7,FIXED_CHARTER_COST,2,0)+1,0)+VLOOKUP($A242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0.34559550003630052</v>
      </c>
      <c r="E242" s="10">
        <f>(+VLOOKUP($A242,FIXED_CHARTER_COST,HLOOKUP(E$7,FIXED_CHARTER_COST,2,0)+1,0)+VLOOKUP($A242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0.37709713316000476</v>
      </c>
      <c r="F242" s="10">
        <f>(+VLOOKUP($A242,FIXED_CHARTER_COST,HLOOKUP(F$7,FIXED_CHARTER_COST,2,0)+1,0)+VLOOKUP($A242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0.63261358056402484</v>
      </c>
      <c r="G242" s="10">
        <f>(+VLOOKUP($A242,FIXED_CHARTER_COST,HLOOKUP(G$7,FIXED_CHARTER_COST,2,0)+1,0)+VLOOKUP($A242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0.76941050065828909</v>
      </c>
      <c r="H242" s="10">
        <f>(+VLOOKUP($A242,FIXED_CHARTER_COST,HLOOKUP(H$7,FIXED_CHARTER_COST,2,0)+1,0)+VLOOKUP($A242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2" s="10">
        <f>(+VLOOKUP($A242,FIXED_CHARTER_COST,HLOOKUP(I$7,FIXED_CHARTER_COST,2,0)+1,0)+VLOOKUP($A242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3" spans="1:9" x14ac:dyDescent="0.2">
      <c r="A243" s="179">
        <f>+SHIPS!B259</f>
        <v>43800</v>
      </c>
      <c r="B243" s="10">
        <f>(+VLOOKUP($A243,FIXED_CHARTER_COST,HLOOKUP(B$7,FIXED_CHARTER_COST,2,0)+1,0)+VLOOKUP($A243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3" s="10">
        <f>(+VLOOKUP($A243,FIXED_CHARTER_COST,HLOOKUP(C$7,FIXED_CHARTER_COST,2,0)+1,0)+VLOOKUP($A243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3" s="10">
        <f>(+VLOOKUP($A243,FIXED_CHARTER_COST,HLOOKUP(D$7,FIXED_CHARTER_COST,2,0)+1,0)+VLOOKUP($A243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0.34572323268666283</v>
      </c>
      <c r="E243" s="10">
        <f>(+VLOOKUP($A243,FIXED_CHARTER_COST,HLOOKUP(E$7,FIXED_CHARTER_COST,2,0)+1,0)+VLOOKUP($A243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0.37723551019789731</v>
      </c>
      <c r="F243" s="10">
        <f>(+VLOOKUP($A243,FIXED_CHARTER_COST,HLOOKUP(F$7,FIXED_CHARTER_COST,2,0)+1,0)+VLOOKUP($A243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0.63283711270215892</v>
      </c>
      <c r="G243" s="10">
        <f>(+VLOOKUP($A243,FIXED_CHARTER_COST,HLOOKUP(G$7,FIXED_CHARTER_COST,2,0)+1,0)+VLOOKUP($A243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0.76968725473407418</v>
      </c>
      <c r="H243" s="10">
        <f>(+VLOOKUP($A243,FIXED_CHARTER_COST,HLOOKUP(H$7,FIXED_CHARTER_COST,2,0)+1,0)+VLOOKUP($A243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3" s="10">
        <f>(+VLOOKUP($A243,FIXED_CHARTER_COST,HLOOKUP(I$7,FIXED_CHARTER_COST,2,0)+1,0)+VLOOKUP($A243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4" spans="1:9" x14ac:dyDescent="0.2">
      <c r="A244" s="179">
        <f>+SHIPS!B260</f>
        <v>43831</v>
      </c>
      <c r="B244" s="10">
        <f>(+VLOOKUP($A244,FIXED_CHARTER_COST,HLOOKUP(B$7,FIXED_CHARTER_COST,2,0)+1,0)+VLOOKUP($A244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4" s="10">
        <f>(+VLOOKUP($A244,FIXED_CHARTER_COST,HLOOKUP(C$7,FIXED_CHARTER_COST,2,0)+1,0)+VLOOKUP($A244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4" s="10">
        <f>(+VLOOKUP($A244,FIXED_CHARTER_COST,HLOOKUP(D$7,FIXED_CHARTER_COST,2,0)+1,0)+VLOOKUP($A244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0.34585123144671343</v>
      </c>
      <c r="E244" s="10">
        <f>(+VLOOKUP($A244,FIXED_CHARTER_COST,HLOOKUP(E$7,FIXED_CHARTER_COST,2,0)+1,0)+VLOOKUP($A244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0.37737417552128533</v>
      </c>
      <c r="F244" s="10">
        <f>(+VLOOKUP($A244,FIXED_CHARTER_COST,HLOOKUP(F$7,FIXED_CHARTER_COST,2,0)+1,0)+VLOOKUP($A244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0.63306111053224745</v>
      </c>
      <c r="G244" s="10">
        <f>(+VLOOKUP($A244,FIXED_CHARTER_COST,HLOOKUP(G$7,FIXED_CHARTER_COST,2,0)+1,0)+VLOOKUP($A244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0.76996458538085033</v>
      </c>
      <c r="H244" s="10">
        <f>(+VLOOKUP($A244,FIXED_CHARTER_COST,HLOOKUP(H$7,FIXED_CHARTER_COST,2,0)+1,0)+VLOOKUP($A244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4" s="10">
        <f>(+VLOOKUP($A244,FIXED_CHARTER_COST,HLOOKUP(I$7,FIXED_CHARTER_COST,2,0)+1,0)+VLOOKUP($A244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5" spans="1:9" x14ac:dyDescent="0.2">
      <c r="A245" s="179">
        <f>+SHIPS!B261</f>
        <v>43862</v>
      </c>
      <c r="B245" s="10">
        <f>(+VLOOKUP($A245,FIXED_CHARTER_COST,HLOOKUP(B$7,FIXED_CHARTER_COST,2,0)+1,0)+VLOOKUP($A245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5" s="10">
        <f>(+VLOOKUP($A245,FIXED_CHARTER_COST,HLOOKUP(C$7,FIXED_CHARTER_COST,2,0)+1,0)+VLOOKUP($A245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5" s="10">
        <f>(+VLOOKUP($A245,FIXED_CHARTER_COST,HLOOKUP(D$7,FIXED_CHARTER_COST,2,0)+1,0)+VLOOKUP($A245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0.34597949687084745</v>
      </c>
      <c r="E245" s="10">
        <f>(+VLOOKUP($A245,FIXED_CHARTER_COST,HLOOKUP(E$7,FIXED_CHARTER_COST,2,0)+1,0)+VLOOKUP($A245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0.37751312973076395</v>
      </c>
      <c r="F245" s="10">
        <f>(+VLOOKUP($A245,FIXED_CHARTER_COST,HLOOKUP(F$7,FIXED_CHARTER_COST,2,0)+1,0)+VLOOKUP($A245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0.63328557502448202</v>
      </c>
      <c r="G245" s="10">
        <f>(+VLOOKUP($A245,FIXED_CHARTER_COST,HLOOKUP(G$7,FIXED_CHARTER_COST,2,0)+1,0)+VLOOKUP($A245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0.77024249379980747</v>
      </c>
      <c r="H245" s="10">
        <f>(+VLOOKUP($A245,FIXED_CHARTER_COST,HLOOKUP(H$7,FIXED_CHARTER_COST,2,0)+1,0)+VLOOKUP($A245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5" s="10">
        <f>(+VLOOKUP($A245,FIXED_CHARTER_COST,HLOOKUP(I$7,FIXED_CHARTER_COST,2,0)+1,0)+VLOOKUP($A245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6" spans="1:9" x14ac:dyDescent="0.2">
      <c r="A246" s="179">
        <f>+SHIPS!B262</f>
        <v>43891</v>
      </c>
      <c r="B246" s="10">
        <f>(+VLOOKUP($A246,FIXED_CHARTER_COST,HLOOKUP(B$7,FIXED_CHARTER_COST,2,0)+1,0)+VLOOKUP($A246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6" s="10">
        <f>(+VLOOKUP($A246,FIXED_CHARTER_COST,HLOOKUP(C$7,FIXED_CHARTER_COST,2,0)+1,0)+VLOOKUP($A246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6" s="10">
        <f>(+VLOOKUP($A246,FIXED_CHARTER_COST,HLOOKUP(D$7,FIXED_CHARTER_COST,2,0)+1,0)+VLOOKUP($A246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0.34610802951461511</v>
      </c>
      <c r="E246" s="10">
        <f>(+VLOOKUP($A246,FIXED_CHARTER_COST,HLOOKUP(E$7,FIXED_CHARTER_COST,2,0)+1,0)+VLOOKUP($A246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0.37765237342817887</v>
      </c>
      <c r="F246" s="10">
        <f>(+VLOOKUP($A246,FIXED_CHARTER_COST,HLOOKUP(F$7,FIXED_CHARTER_COST,2,0)+1,0)+VLOOKUP($A246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0.63351050715107537</v>
      </c>
      <c r="G246" s="10">
        <f>(+VLOOKUP($A246,FIXED_CHARTER_COST,HLOOKUP(G$7,FIXED_CHARTER_COST,2,0)+1,0)+VLOOKUP($A246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0.77052098119463741</v>
      </c>
      <c r="H246" s="10">
        <f>(+VLOOKUP($A246,FIXED_CHARTER_COST,HLOOKUP(H$7,FIXED_CHARTER_COST,2,0)+1,0)+VLOOKUP($A246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6" s="10">
        <f>(+VLOOKUP($A246,FIXED_CHARTER_COST,HLOOKUP(I$7,FIXED_CHARTER_COST,2,0)+1,0)+VLOOKUP($A246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7" spans="1:9" x14ac:dyDescent="0.2">
      <c r="A247" s="179">
        <f>+SHIPS!B263</f>
        <v>43922</v>
      </c>
      <c r="B247" s="10">
        <f>(+VLOOKUP($A247,FIXED_CHARTER_COST,HLOOKUP(B$7,FIXED_CHARTER_COST,2,0)+1,0)+VLOOKUP($A247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7" s="10">
        <f>(+VLOOKUP($A247,FIXED_CHARTER_COST,HLOOKUP(C$7,FIXED_CHARTER_COST,2,0)+1,0)+VLOOKUP($A247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7" s="10">
        <f>(+VLOOKUP($A247,FIXED_CHARTER_COST,HLOOKUP(D$7,FIXED_CHARTER_COST,2,0)+1,0)+VLOOKUP($A247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0.34623682993472399</v>
      </c>
      <c r="E247" s="10">
        <f>(+VLOOKUP($A247,FIXED_CHARTER_COST,HLOOKUP(E$7,FIXED_CHARTER_COST,2,0)+1,0)+VLOOKUP($A247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0.37779190721663009</v>
      </c>
      <c r="F247" s="10">
        <f>(+VLOOKUP($A247,FIXED_CHARTER_COST,HLOOKUP(F$7,FIXED_CHARTER_COST,2,0)+1,0)+VLOOKUP($A247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0.63373590788626588</v>
      </c>
      <c r="G247" s="10">
        <f>(+VLOOKUP($A247,FIXED_CHARTER_COST,HLOOKUP(G$7,FIXED_CHARTER_COST,2,0)+1,0)+VLOOKUP($A247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0.77080004877153985</v>
      </c>
      <c r="H247" s="10">
        <f>(+VLOOKUP($A247,FIXED_CHARTER_COST,HLOOKUP(H$7,FIXED_CHARTER_COST,2,0)+1,0)+VLOOKUP($A247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7" s="10">
        <f>(+VLOOKUP($A247,FIXED_CHARTER_COST,HLOOKUP(I$7,FIXED_CHARTER_COST,2,0)+1,0)+VLOOKUP($A247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8" spans="1:9" x14ac:dyDescent="0.2">
      <c r="A248" s="179">
        <f>+SHIPS!B264</f>
        <v>43952</v>
      </c>
      <c r="B248" s="10">
        <f>(+VLOOKUP($A248,FIXED_CHARTER_COST,HLOOKUP(B$7,FIXED_CHARTER_COST,2,0)+1,0)+VLOOKUP($A248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8" s="10">
        <f>(+VLOOKUP($A248,FIXED_CHARTER_COST,HLOOKUP(C$7,FIXED_CHARTER_COST,2,0)+1,0)+VLOOKUP($A248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8" s="10">
        <f>(+VLOOKUP($A248,FIXED_CHARTER_COST,HLOOKUP(D$7,FIXED_CHARTER_COST,2,0)+1,0)+VLOOKUP($A248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0.34636589868904133</v>
      </c>
      <c r="E248" s="10">
        <f>(+VLOOKUP($A248,FIXED_CHARTER_COST,HLOOKUP(E$7,FIXED_CHARTER_COST,2,0)+1,0)+VLOOKUP($A248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0.37793173170047395</v>
      </c>
      <c r="F248" s="10">
        <f>(+VLOOKUP($A248,FIXED_CHARTER_COST,HLOOKUP(F$7,FIXED_CHARTER_COST,2,0)+1,0)+VLOOKUP($A248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0.63396177820632127</v>
      </c>
      <c r="G248" s="10">
        <f>(+VLOOKUP($A248,FIXED_CHARTER_COST,HLOOKUP(G$7,FIXED_CHARTER_COST,2,0)+1,0)+VLOOKUP($A248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0.77107969773922747</v>
      </c>
      <c r="H248" s="10">
        <f>(+VLOOKUP($A248,FIXED_CHARTER_COST,HLOOKUP(H$7,FIXED_CHARTER_COST,2,0)+1,0)+VLOOKUP($A248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8" s="10">
        <f>(+VLOOKUP($A248,FIXED_CHARTER_COST,HLOOKUP(I$7,FIXED_CHARTER_COST,2,0)+1,0)+VLOOKUP($A248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9" spans="1:9" x14ac:dyDescent="0.2">
      <c r="A249" s="179">
        <f>+SHIPS!B265</f>
        <v>43983</v>
      </c>
      <c r="B249" s="10">
        <f>(+VLOOKUP($A249,FIXED_CHARTER_COST,HLOOKUP(B$7,FIXED_CHARTER_COST,2,0)+1,0)+VLOOKUP($A249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9" s="10">
        <f>(+VLOOKUP($A249,FIXED_CHARTER_COST,HLOOKUP(C$7,FIXED_CHARTER_COST,2,0)+1,0)+VLOOKUP($A249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9" s="10">
        <f>(+VLOOKUP($A249,FIXED_CHARTER_COST,HLOOKUP(D$7,FIXED_CHARTER_COST,2,0)+1,0)+VLOOKUP($A249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0.3464952363365969</v>
      </c>
      <c r="E249" s="10">
        <f>(+VLOOKUP($A249,FIXED_CHARTER_COST,HLOOKUP(E$7,FIXED_CHARTER_COST,2,0)+1,0)+VLOOKUP($A249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0.3780718474853258</v>
      </c>
      <c r="F249" s="10">
        <f>(+VLOOKUP($A249,FIXED_CHARTER_COST,HLOOKUP(F$7,FIXED_CHARTER_COST,2,0)+1,0)+VLOOKUP($A249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0.63418811908954353</v>
      </c>
      <c r="G249" s="10">
        <f>(+VLOOKUP($A249,FIXED_CHARTER_COST,HLOOKUP(G$7,FIXED_CHARTER_COST,2,0)+1,0)+VLOOKUP($A249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0.77135992930893127</v>
      </c>
      <c r="H249" s="10">
        <f>(+VLOOKUP($A249,FIXED_CHARTER_COST,HLOOKUP(H$7,FIXED_CHARTER_COST,2,0)+1,0)+VLOOKUP($A249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9" s="10">
        <f>(+VLOOKUP($A249,FIXED_CHARTER_COST,HLOOKUP(I$7,FIXED_CHARTER_COST,2,0)+1,0)+VLOOKUP($A249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0" spans="1:9" x14ac:dyDescent="0.2">
      <c r="A250" s="179">
        <f>+SHIPS!B266</f>
        <v>44013</v>
      </c>
      <c r="B250" s="10">
        <f>(+VLOOKUP($A250,FIXED_CHARTER_COST,HLOOKUP(B$7,FIXED_CHARTER_COST,2,0)+1,0)+VLOOKUP($A250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0" s="10">
        <f>(+VLOOKUP($A250,FIXED_CHARTER_COST,HLOOKUP(C$7,FIXED_CHARTER_COST,2,0)+1,0)+VLOOKUP($A250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0" s="10">
        <f>(+VLOOKUP($A250,FIXED_CHARTER_COST,HLOOKUP(D$7,FIXED_CHARTER_COST,2,0)+1,0)+VLOOKUP($A250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0.34662484343758487</v>
      </c>
      <c r="E250" s="10">
        <f>(+VLOOKUP($A250,FIXED_CHARTER_COST,HLOOKUP(E$7,FIXED_CHARTER_COST,2,0)+1,0)+VLOOKUP($A250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0.37821225517806284</v>
      </c>
      <c r="F250" s="10">
        <f>(+VLOOKUP($A250,FIXED_CHARTER_COST,HLOOKUP(F$7,FIXED_CHARTER_COST,2,0)+1,0)+VLOOKUP($A250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0.63441493151627248</v>
      </c>
      <c r="G250" s="10">
        <f>(+VLOOKUP($A250,FIXED_CHARTER_COST,HLOOKUP(G$7,FIXED_CHARTER_COST,2,0)+1,0)+VLOOKUP($A250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0.77164074469440525</v>
      </c>
      <c r="H250" s="10">
        <f>(+VLOOKUP($A250,FIXED_CHARTER_COST,HLOOKUP(H$7,FIXED_CHARTER_COST,2,0)+1,0)+VLOOKUP($A250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0" s="10">
        <f>(+VLOOKUP($A250,FIXED_CHARTER_COST,HLOOKUP(I$7,FIXED_CHARTER_COST,2,0)+1,0)+VLOOKUP($A250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1" spans="1:9" x14ac:dyDescent="0.2">
      <c r="A251" s="179">
        <f>+SHIPS!B267</f>
        <v>44044</v>
      </c>
      <c r="B251" s="10">
        <f>(+VLOOKUP($A251,FIXED_CHARTER_COST,HLOOKUP(B$7,FIXED_CHARTER_COST,2,0)+1,0)+VLOOKUP($A251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1" s="10">
        <f>(+VLOOKUP($A251,FIXED_CHARTER_COST,HLOOKUP(C$7,FIXED_CHARTER_COST,2,0)+1,0)+VLOOKUP($A251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1" s="10">
        <f>(+VLOOKUP($A251,FIXED_CHARTER_COST,HLOOKUP(D$7,FIXED_CHARTER_COST,2,0)+1,0)+VLOOKUP($A251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0.34675472055336654</v>
      </c>
      <c r="E251" s="10">
        <f>(+VLOOKUP($A251,FIXED_CHARTER_COST,HLOOKUP(E$7,FIXED_CHARTER_COST,2,0)+1,0)+VLOOKUP($A251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0.37835295538682628</v>
      </c>
      <c r="F251" s="10">
        <f>(+VLOOKUP($A251,FIXED_CHARTER_COST,HLOOKUP(F$7,FIXED_CHARTER_COST,2,0)+1,0)+VLOOKUP($A251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0.63464221646889041</v>
      </c>
      <c r="G251" s="10">
        <f>(+VLOOKUP($A251,FIXED_CHARTER_COST,HLOOKUP(G$7,FIXED_CHARTER_COST,2,0)+1,0)+VLOOKUP($A251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0.77192214511193213</v>
      </c>
      <c r="H251" s="10">
        <f>(+VLOOKUP($A251,FIXED_CHARTER_COST,HLOOKUP(H$7,FIXED_CHARTER_COST,2,0)+1,0)+VLOOKUP($A251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1" s="10">
        <f>(+VLOOKUP($A251,FIXED_CHARTER_COST,HLOOKUP(I$7,FIXED_CHARTER_COST,2,0)+1,0)+VLOOKUP($A251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2" spans="1:9" x14ac:dyDescent="0.2">
      <c r="A252" s="179">
        <f>+SHIPS!B268</f>
        <v>44075</v>
      </c>
      <c r="B252" s="10">
        <f>(+VLOOKUP($A252,FIXED_CHARTER_COST,HLOOKUP(B$7,FIXED_CHARTER_COST,2,0)+1,0)+VLOOKUP($A252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2" s="10">
        <f>(+VLOOKUP($A252,FIXED_CHARTER_COST,HLOOKUP(C$7,FIXED_CHARTER_COST,2,0)+1,0)+VLOOKUP($A252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2" s="10">
        <f>(+VLOOKUP($A252,FIXED_CHARTER_COST,HLOOKUP(D$7,FIXED_CHARTER_COST,2,0)+1,0)+VLOOKUP($A252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0.3468848682464728</v>
      </c>
      <c r="E252" s="10">
        <f>(+VLOOKUP($A252,FIXED_CHARTER_COST,HLOOKUP(E$7,FIXED_CHARTER_COST,2,0)+1,0)+VLOOKUP($A252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0.37849394872102465</v>
      </c>
      <c r="F252" s="10">
        <f>(+VLOOKUP($A252,FIXED_CHARTER_COST,HLOOKUP(F$7,FIXED_CHARTER_COST,2,0)+1,0)+VLOOKUP($A252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0.63486997493182629</v>
      </c>
      <c r="G252" s="10">
        <f>(+VLOOKUP($A252,FIXED_CHARTER_COST,HLOOKUP(G$7,FIXED_CHARTER_COST,2,0)+1,0)+VLOOKUP($A252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0.77220413178032898</v>
      </c>
      <c r="H252" s="10">
        <f>(+VLOOKUP($A252,FIXED_CHARTER_COST,HLOOKUP(H$7,FIXED_CHARTER_COST,2,0)+1,0)+VLOOKUP($A252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2" s="10">
        <f>(+VLOOKUP($A252,FIXED_CHARTER_COST,HLOOKUP(I$7,FIXED_CHARTER_COST,2,0)+1,0)+VLOOKUP($A252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3" spans="1:9" x14ac:dyDescent="0.2">
      <c r="A253" s="179">
        <f>+SHIPS!B269</f>
        <v>44105</v>
      </c>
      <c r="B253" s="10">
        <f>(+VLOOKUP($A253,FIXED_CHARTER_COST,HLOOKUP(B$7,FIXED_CHARTER_COST,2,0)+1,0)+VLOOKUP($A253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3" s="10">
        <f>(+VLOOKUP($A253,FIXED_CHARTER_COST,HLOOKUP(C$7,FIXED_CHARTER_COST,2,0)+1,0)+VLOOKUP($A253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3" s="10">
        <f>(+VLOOKUP($A253,FIXED_CHARTER_COST,HLOOKUP(D$7,FIXED_CHARTER_COST,2,0)+1,0)+VLOOKUP($A253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0.34701528708060631</v>
      </c>
      <c r="E253" s="10">
        <f>(+VLOOKUP($A253,FIXED_CHARTER_COST,HLOOKUP(E$7,FIXED_CHARTER_COST,2,0)+1,0)+VLOOKUP($A253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0.37863523579133601</v>
      </c>
      <c r="F253" s="10">
        <f>(+VLOOKUP($A253,FIXED_CHARTER_COST,HLOOKUP(F$7,FIXED_CHARTER_COST,2,0)+1,0)+VLOOKUP($A253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0.63509820789156002</v>
      </c>
      <c r="G253" s="10">
        <f>(+VLOOKUP($A253,FIXED_CHARTER_COST,HLOOKUP(G$7,FIXED_CHARTER_COST,2,0)+1,0)+VLOOKUP($A253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0.77248670592095159</v>
      </c>
      <c r="H253" s="10">
        <f>(+VLOOKUP($A253,FIXED_CHARTER_COST,HLOOKUP(H$7,FIXED_CHARTER_COST,2,0)+1,0)+VLOOKUP($A253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3" s="10">
        <f>(+VLOOKUP($A253,FIXED_CHARTER_COST,HLOOKUP(I$7,FIXED_CHARTER_COST,2,0)+1,0)+VLOOKUP($A253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4" spans="1:9" x14ac:dyDescent="0.2">
      <c r="A254" s="179">
        <f>+SHIPS!B270</f>
        <v>44136</v>
      </c>
      <c r="B254" s="10">
        <f>(+VLOOKUP($A254,FIXED_CHARTER_COST,HLOOKUP(B$7,FIXED_CHARTER_COST,2,0)+1,0)+VLOOKUP($A254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4" s="10">
        <f>(+VLOOKUP($A254,FIXED_CHARTER_COST,HLOOKUP(C$7,FIXED_CHARTER_COST,2,0)+1,0)+VLOOKUP($A254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4" s="10">
        <f>(+VLOOKUP($A254,FIXED_CHARTER_COST,HLOOKUP(D$7,FIXED_CHARTER_COST,2,0)+1,0)+VLOOKUP($A254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0.34714597762064425</v>
      </c>
      <c r="E254" s="10">
        <f>(+VLOOKUP($A254,FIXED_CHARTER_COST,HLOOKUP(E$7,FIXED_CHARTER_COST,2,0)+1,0)+VLOOKUP($A254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0.37877681720971051</v>
      </c>
      <c r="F254" s="10">
        <f>(+VLOOKUP($A254,FIXED_CHARTER_COST,HLOOKUP(F$7,FIXED_CHARTER_COST,2,0)+1,0)+VLOOKUP($A254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0.63532691633662641</v>
      </c>
      <c r="G254" s="10">
        <f>(+VLOOKUP($A254,FIXED_CHARTER_COST,HLOOKUP(G$7,FIXED_CHARTER_COST,2,0)+1,0)+VLOOKUP($A254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0.7727698687577006</v>
      </c>
      <c r="H254" s="10">
        <f>(+VLOOKUP($A254,FIXED_CHARTER_COST,HLOOKUP(H$7,FIXED_CHARTER_COST,2,0)+1,0)+VLOOKUP($A254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4" s="10">
        <f>(+VLOOKUP($A254,FIXED_CHARTER_COST,HLOOKUP(I$7,FIXED_CHARTER_COST,2,0)+1,0)+VLOOKUP($A254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5" spans="1:9" x14ac:dyDescent="0.2">
      <c r="A255" s="179">
        <f>+SHIPS!B271</f>
        <v>44166</v>
      </c>
      <c r="B255" s="10">
        <f>(+VLOOKUP($A255,FIXED_CHARTER_COST,HLOOKUP(B$7,FIXED_CHARTER_COST,2,0)+1,0)+VLOOKUP($A255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5" s="10">
        <f>(+VLOOKUP($A255,FIXED_CHARTER_COST,HLOOKUP(C$7,FIXED_CHARTER_COST,2,0)+1,0)+VLOOKUP($A255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5" s="10">
        <f>(+VLOOKUP($A255,FIXED_CHARTER_COST,HLOOKUP(D$7,FIXED_CHARTER_COST,2,0)+1,0)+VLOOKUP($A255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0.34727694043264068</v>
      </c>
      <c r="E255" s="10">
        <f>(+VLOOKUP($A255,FIXED_CHARTER_COST,HLOOKUP(E$7,FIXED_CHARTER_COST,2,0)+1,0)+VLOOKUP($A255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0.37891869358937319</v>
      </c>
      <c r="F255" s="10">
        <f>(+VLOOKUP($A255,FIXED_CHARTER_COST,HLOOKUP(F$7,FIXED_CHARTER_COST,2,0)+1,0)+VLOOKUP($A255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0.63555610125762008</v>
      </c>
      <c r="G255" s="10">
        <f>(+VLOOKUP($A255,FIXED_CHARTER_COST,HLOOKUP(G$7,FIXED_CHARTER_COST,2,0)+1,0)+VLOOKUP($A255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0.77305362151702606</v>
      </c>
      <c r="H255" s="10">
        <f>(+VLOOKUP($A255,FIXED_CHARTER_COST,HLOOKUP(H$7,FIXED_CHARTER_COST,2,0)+1,0)+VLOOKUP($A255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5" s="10">
        <f>(+VLOOKUP($A255,FIXED_CHARTER_COST,HLOOKUP(I$7,FIXED_CHARTER_COST,2,0)+1,0)+VLOOKUP($A255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6" spans="1:9" x14ac:dyDescent="0.2">
      <c r="A256" s="179">
        <f>+SHIPS!B272</f>
        <v>44197</v>
      </c>
      <c r="B256" s="10">
        <f>(+VLOOKUP($A256,FIXED_CHARTER_COST,HLOOKUP(B$7,FIXED_CHARTER_COST,2,0)+1,0)+VLOOKUP($A256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6" s="10">
        <f>(+VLOOKUP($A256,FIXED_CHARTER_COST,HLOOKUP(C$7,FIXED_CHARTER_COST,2,0)+1,0)+VLOOKUP($A256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6" s="10">
        <f>(+VLOOKUP($A256,FIXED_CHARTER_COST,HLOOKUP(D$7,FIXED_CHARTER_COST,2,0)+1,0)+VLOOKUP($A256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0.34740817608382873</v>
      </c>
      <c r="E256" s="10">
        <f>(+VLOOKUP($A256,FIXED_CHARTER_COST,HLOOKUP(E$7,FIXED_CHARTER_COST,2,0)+1,0)+VLOOKUP($A256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0.37906086554482693</v>
      </c>
      <c r="F256" s="10">
        <f>(+VLOOKUP($A256,FIXED_CHARTER_COST,HLOOKUP(F$7,FIXED_CHARTER_COST,2,0)+1,0)+VLOOKUP($A256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0.6357857636471993</v>
      </c>
      <c r="G256" s="10">
        <f>(+VLOOKUP($A256,FIXED_CHARTER_COST,HLOOKUP(G$7,FIXED_CHARTER_COST,2,0)+1,0)+VLOOKUP($A256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0.77333796542793354</v>
      </c>
      <c r="H256" s="10">
        <f>(+VLOOKUP($A256,FIXED_CHARTER_COST,HLOOKUP(H$7,FIXED_CHARTER_COST,2,0)+1,0)+VLOOKUP($A256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6" s="10">
        <f>(+VLOOKUP($A256,FIXED_CHARTER_COST,HLOOKUP(I$7,FIXED_CHARTER_COST,2,0)+1,0)+VLOOKUP($A256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7" spans="1:9" x14ac:dyDescent="0.2">
      <c r="A257" s="179">
        <f>+SHIPS!B273</f>
        <v>44228</v>
      </c>
      <c r="B257" s="10">
        <f>(+VLOOKUP($A257,FIXED_CHARTER_COST,HLOOKUP(B$7,FIXED_CHARTER_COST,2,0)+1,0)+VLOOKUP($A257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7" s="10">
        <f>(+VLOOKUP($A257,FIXED_CHARTER_COST,HLOOKUP(C$7,FIXED_CHARTER_COST,2,0)+1,0)+VLOOKUP($A257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7" s="10">
        <f>(+VLOOKUP($A257,FIXED_CHARTER_COST,HLOOKUP(D$7,FIXED_CHARTER_COST,2,0)+1,0)+VLOOKUP($A257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0.34753968514262346</v>
      </c>
      <c r="E257" s="10">
        <f>(+VLOOKUP($A257,FIXED_CHARTER_COST,HLOOKUP(E$7,FIXED_CHARTER_COST,2,0)+1,0)+VLOOKUP($A257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0.3792033336918546</v>
      </c>
      <c r="F257" s="10">
        <f>(+VLOOKUP($A257,FIXED_CHARTER_COST,HLOOKUP(F$7,FIXED_CHARTER_COST,2,0)+1,0)+VLOOKUP($A257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0.63601590450008993</v>
      </c>
      <c r="G257" s="10">
        <f>(+VLOOKUP($A257,FIXED_CHARTER_COST,HLOOKUP(G$7,FIXED_CHARTER_COST,2,0)+1,0)+VLOOKUP($A257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0.77362290172198878</v>
      </c>
      <c r="H257" s="10">
        <f>(+VLOOKUP($A257,FIXED_CHARTER_COST,HLOOKUP(H$7,FIXED_CHARTER_COST,2,0)+1,0)+VLOOKUP($A257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7" s="10">
        <f>(+VLOOKUP($A257,FIXED_CHARTER_COST,HLOOKUP(I$7,FIXED_CHARTER_COST,2,0)+1,0)+VLOOKUP($A257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8" spans="1:9" x14ac:dyDescent="0.2">
      <c r="A258" s="179">
        <f>+SHIPS!B274</f>
        <v>44256</v>
      </c>
      <c r="B258" s="10">
        <f>(+VLOOKUP($A258,FIXED_CHARTER_COST,HLOOKUP(B$7,FIXED_CHARTER_COST,2,0)+1,0)+VLOOKUP($A258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8" s="10">
        <f>(+VLOOKUP($A258,FIXED_CHARTER_COST,HLOOKUP(C$7,FIXED_CHARTER_COST,2,0)+1,0)+VLOOKUP($A258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8" s="10">
        <f>(+VLOOKUP($A258,FIXED_CHARTER_COST,HLOOKUP(D$7,FIXED_CHARTER_COST,2,0)+1,0)+VLOOKUP($A258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0.34767146817862393</v>
      </c>
      <c r="E258" s="10">
        <f>(+VLOOKUP($A258,FIXED_CHARTER_COST,HLOOKUP(E$7,FIXED_CHARTER_COST,2,0)+1,0)+VLOOKUP($A258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0.37934609864752172</v>
      </c>
      <c r="F258" s="10">
        <f>(+VLOOKUP($A258,FIXED_CHARTER_COST,HLOOKUP(F$7,FIXED_CHARTER_COST,2,0)+1,0)+VLOOKUP($A258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0.63624652481309074</v>
      </c>
      <c r="G258" s="10">
        <f>(+VLOOKUP($A258,FIXED_CHARTER_COST,HLOOKUP(G$7,FIXED_CHARTER_COST,2,0)+1,0)+VLOOKUP($A258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0.77390843163332312</v>
      </c>
      <c r="H258" s="10">
        <f>(+VLOOKUP($A258,FIXED_CHARTER_COST,HLOOKUP(H$7,FIXED_CHARTER_COST,2,0)+1,0)+VLOOKUP($A258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8" s="10">
        <f>(+VLOOKUP($A258,FIXED_CHARTER_COST,HLOOKUP(I$7,FIXED_CHARTER_COST,2,0)+1,0)+VLOOKUP($A258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9" spans="1:9" x14ac:dyDescent="0.2">
      <c r="A259" s="179">
        <f>+SHIPS!B275</f>
        <v>44287</v>
      </c>
      <c r="B259" s="10">
        <f>(+VLOOKUP($A259,FIXED_CHARTER_COST,HLOOKUP(B$7,FIXED_CHARTER_COST,2,0)+1,0)+VLOOKUP($A259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9" s="10">
        <f>(+VLOOKUP($A259,FIXED_CHARTER_COST,HLOOKUP(C$7,FIXED_CHARTER_COST,2,0)+1,0)+VLOOKUP($A259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9" s="10">
        <f>(+VLOOKUP($A259,FIXED_CHARTER_COST,HLOOKUP(D$7,FIXED_CHARTER_COST,2,0)+1,0)+VLOOKUP($A259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0.34780352576261614</v>
      </c>
      <c r="E259" s="10">
        <f>(+VLOOKUP($A259,FIXED_CHARTER_COST,HLOOKUP(E$7,FIXED_CHARTER_COST,2,0)+1,0)+VLOOKUP($A259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0.37948916103017999</v>
      </c>
      <c r="F259" s="10">
        <f>(+VLOOKUP($A259,FIXED_CHARTER_COST,HLOOKUP(F$7,FIXED_CHARTER_COST,2,0)+1,0)+VLOOKUP($A259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0.63647762558507714</v>
      </c>
      <c r="G259" s="10">
        <f>(+VLOOKUP($A259,FIXED_CHARTER_COST,HLOOKUP(G$7,FIXED_CHARTER_COST,2,0)+1,0)+VLOOKUP($A259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0.77419455639863954</v>
      </c>
      <c r="H259" s="10">
        <f>(+VLOOKUP($A259,FIXED_CHARTER_COST,HLOOKUP(H$7,FIXED_CHARTER_COST,2,0)+1,0)+VLOOKUP($A259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9" s="10">
        <f>(+VLOOKUP($A259,FIXED_CHARTER_COST,HLOOKUP(I$7,FIXED_CHARTER_COST,2,0)+1,0)+VLOOKUP($A259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0" spans="1:9" x14ac:dyDescent="0.2">
      <c r="A260" s="179">
        <f>+SHIPS!B276</f>
        <v>44317</v>
      </c>
      <c r="B260" s="10">
        <f>(+VLOOKUP($A260,FIXED_CHARTER_COST,HLOOKUP(B$7,FIXED_CHARTER_COST,2,0)+1,0)+VLOOKUP($A260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0" s="10">
        <f>(+VLOOKUP($A260,FIXED_CHARTER_COST,HLOOKUP(C$7,FIXED_CHARTER_COST,2,0)+1,0)+VLOOKUP($A260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0" s="10">
        <f>(+VLOOKUP($A260,FIXED_CHARTER_COST,HLOOKUP(D$7,FIXED_CHARTER_COST,2,0)+1,0)+VLOOKUP($A260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0.34793585846657493</v>
      </c>
      <c r="E260" s="10">
        <f>(+VLOOKUP($A260,FIXED_CHARTER_COST,HLOOKUP(E$7,FIXED_CHARTER_COST,2,0)+1,0)+VLOOKUP($A260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0.37963252145946874</v>
      </c>
      <c r="F260" s="10">
        <f>(+VLOOKUP($A260,FIXED_CHARTER_COST,HLOOKUP(F$7,FIXED_CHARTER_COST,2,0)+1,0)+VLOOKUP($A260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0.63670920781700513</v>
      </c>
      <c r="G260" s="10">
        <f>(+VLOOKUP($A260,FIXED_CHARTER_COST,HLOOKUP(G$7,FIXED_CHARTER_COST,2,0)+1,0)+VLOOKUP($A260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0.77448127725721705</v>
      </c>
      <c r="H260" s="10">
        <f>(+VLOOKUP($A260,FIXED_CHARTER_COST,HLOOKUP(H$7,FIXED_CHARTER_COST,2,0)+1,0)+VLOOKUP($A260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0" s="10">
        <f>(+VLOOKUP($A260,FIXED_CHARTER_COST,HLOOKUP(I$7,FIXED_CHARTER_COST,2,0)+1,0)+VLOOKUP($A260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1" spans="1:9" x14ac:dyDescent="0.2">
      <c r="A261" s="179">
        <f>+SHIPS!B277</f>
        <v>44348</v>
      </c>
      <c r="B261" s="10">
        <f>(+VLOOKUP($A261,FIXED_CHARTER_COST,HLOOKUP(B$7,FIXED_CHARTER_COST,2,0)+1,0)+VLOOKUP($A261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1" s="10">
        <f>(+VLOOKUP($A261,FIXED_CHARTER_COST,HLOOKUP(C$7,FIXED_CHARTER_COST,2,0)+1,0)+VLOOKUP($A261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1" s="10">
        <f>(+VLOOKUP($A261,FIXED_CHARTER_COST,HLOOKUP(D$7,FIXED_CHARTER_COST,2,0)+1,0)+VLOOKUP($A261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0.34806846686366699</v>
      </c>
      <c r="E261" s="10">
        <f>(+VLOOKUP($A261,FIXED_CHARTER_COST,HLOOKUP(E$7,FIXED_CHARTER_COST,2,0)+1,0)+VLOOKUP($A261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0.3797761805563184</v>
      </c>
      <c r="F261" s="10">
        <f>(+VLOOKUP($A261,FIXED_CHARTER_COST,HLOOKUP(F$7,FIXED_CHARTER_COST,2,0)+1,0)+VLOOKUP($A261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0.63694127251191623</v>
      </c>
      <c r="G261" s="10">
        <f>(+VLOOKUP($A261,FIXED_CHARTER_COST,HLOOKUP(G$7,FIXED_CHARTER_COST,2,0)+1,0)+VLOOKUP($A261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0.77476859545091648</v>
      </c>
      <c r="H261" s="10">
        <f>(+VLOOKUP($A261,FIXED_CHARTER_COST,HLOOKUP(H$7,FIXED_CHARTER_COST,2,0)+1,0)+VLOOKUP($A261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1" s="10">
        <f>(+VLOOKUP($A261,FIXED_CHARTER_COST,HLOOKUP(I$7,FIXED_CHARTER_COST,2,0)+1,0)+VLOOKUP($A261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2" spans="1:9" x14ac:dyDescent="0.2">
      <c r="A262" s="179">
        <f>+SHIPS!B278</f>
        <v>44378</v>
      </c>
      <c r="B262" s="10">
        <f>(+VLOOKUP($A262,FIXED_CHARTER_COST,HLOOKUP(B$7,FIXED_CHARTER_COST,2,0)+1,0)+VLOOKUP($A262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2" s="10">
        <f>(+VLOOKUP($A262,FIXED_CHARTER_COST,HLOOKUP(C$7,FIXED_CHARTER_COST,2,0)+1,0)+VLOOKUP($A262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2" s="10">
        <f>(+VLOOKUP($A262,FIXED_CHARTER_COST,HLOOKUP(D$7,FIXED_CHARTER_COST,2,0)+1,0)+VLOOKUP($A262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0.34820135152825304</v>
      </c>
      <c r="E262" s="10">
        <f>(+VLOOKUP($A262,FIXED_CHARTER_COST,HLOOKUP(E$7,FIXED_CHARTER_COST,2,0)+1,0)+VLOOKUP($A262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0.37992013894295334</v>
      </c>
      <c r="F262" s="10">
        <f>(+VLOOKUP($A262,FIXED_CHARTER_COST,HLOOKUP(F$7,FIXED_CHARTER_COST,2,0)+1,0)+VLOOKUP($A262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0.63717382067494177</v>
      </c>
      <c r="G262" s="10">
        <f>(+VLOOKUP($A262,FIXED_CHARTER_COST,HLOOKUP(G$7,FIXED_CHARTER_COST,2,0)+1,0)+VLOOKUP($A262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0.77505651222418626</v>
      </c>
      <c r="H262" s="10">
        <f>(+VLOOKUP($A262,FIXED_CHARTER_COST,HLOOKUP(H$7,FIXED_CHARTER_COST,2,0)+1,0)+VLOOKUP($A262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2" s="10">
        <f>(+VLOOKUP($A262,FIXED_CHARTER_COST,HLOOKUP(I$7,FIXED_CHARTER_COST,2,0)+1,0)+VLOOKUP($A262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3" spans="1:9" x14ac:dyDescent="0.2">
      <c r="A263" s="179">
        <f>+SHIPS!B279</f>
        <v>44409</v>
      </c>
      <c r="B263" s="10">
        <f>(+VLOOKUP($A263,FIXED_CHARTER_COST,HLOOKUP(B$7,FIXED_CHARTER_COST,2,0)+1,0)+VLOOKUP($A263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3" s="10">
        <f>(+VLOOKUP($A263,FIXED_CHARTER_COST,HLOOKUP(C$7,FIXED_CHARTER_COST,2,0)+1,0)+VLOOKUP($A263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3" s="10">
        <f>(+VLOOKUP($A263,FIXED_CHARTER_COST,HLOOKUP(D$7,FIXED_CHARTER_COST,2,0)+1,0)+VLOOKUP($A263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0.3483345130358903</v>
      </c>
      <c r="E263" s="10">
        <f>(+VLOOKUP($A263,FIXED_CHARTER_COST,HLOOKUP(E$7,FIXED_CHARTER_COST,2,0)+1,0)+VLOOKUP($A263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0.38006439724289359</v>
      </c>
      <c r="F263" s="10">
        <f>(+VLOOKUP($A263,FIXED_CHARTER_COST,HLOOKUP(F$7,FIXED_CHARTER_COST,2,0)+1,0)+VLOOKUP($A263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0.63740685331330693</v>
      </c>
      <c r="G263" s="10">
        <f>(+VLOOKUP($A263,FIXED_CHARTER_COST,HLOOKUP(G$7,FIXED_CHARTER_COST,2,0)+1,0)+VLOOKUP($A263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0.77534502882406686</v>
      </c>
      <c r="H263" s="10">
        <f>(+VLOOKUP($A263,FIXED_CHARTER_COST,HLOOKUP(H$7,FIXED_CHARTER_COST,2,0)+1,0)+VLOOKUP($A263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3" s="10">
        <f>(+VLOOKUP($A263,FIXED_CHARTER_COST,HLOOKUP(I$7,FIXED_CHARTER_COST,2,0)+1,0)+VLOOKUP($A263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4" spans="1:9" x14ac:dyDescent="0.2">
      <c r="A264" s="179">
        <f>+SHIPS!B280</f>
        <v>44440</v>
      </c>
      <c r="B264" s="10">
        <f>(+VLOOKUP($A264,FIXED_CHARTER_COST,HLOOKUP(B$7,FIXED_CHARTER_COST,2,0)+1,0)+VLOOKUP($A264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4" s="10">
        <f>(+VLOOKUP($A264,FIXED_CHARTER_COST,HLOOKUP(C$7,FIXED_CHARTER_COST,2,0)+1,0)+VLOOKUP($A264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4" s="10">
        <f>(+VLOOKUP($A264,FIXED_CHARTER_COST,HLOOKUP(D$7,FIXED_CHARTER_COST,2,0)+1,0)+VLOOKUP($A264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0.34846795196333513</v>
      </c>
      <c r="E264" s="10">
        <f>(+VLOOKUP($A264,FIXED_CHARTER_COST,HLOOKUP(E$7,FIXED_CHARTER_COST,2,0)+1,0)+VLOOKUP($A264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0.38020895608095889</v>
      </c>
      <c r="F264" s="10">
        <f>(+VLOOKUP($A264,FIXED_CHARTER_COST,HLOOKUP(F$7,FIXED_CHARTER_COST,2,0)+1,0)+VLOOKUP($A264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0.63764037143633534</v>
      </c>
      <c r="G264" s="10">
        <f>(+VLOOKUP($A264,FIXED_CHARTER_COST,HLOOKUP(G$7,FIXED_CHARTER_COST,2,0)+1,0)+VLOOKUP($A264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0.77563414650019735</v>
      </c>
      <c r="H264" s="10">
        <f>(+VLOOKUP($A264,FIXED_CHARTER_COST,HLOOKUP(H$7,FIXED_CHARTER_COST,2,0)+1,0)+VLOOKUP($A264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4" s="10">
        <f>(+VLOOKUP($A264,FIXED_CHARTER_COST,HLOOKUP(I$7,FIXED_CHARTER_COST,2,0)+1,0)+VLOOKUP($A264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5" spans="1:9" x14ac:dyDescent="0.2">
      <c r="A265" s="179">
        <f>+SHIPS!B281</f>
        <v>44470</v>
      </c>
      <c r="B265" s="10">
        <f>(+VLOOKUP($A265,FIXED_CHARTER_COST,HLOOKUP(B$7,FIXED_CHARTER_COST,2,0)+1,0)+VLOOKUP($A265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5" s="10">
        <f>(+VLOOKUP($A265,FIXED_CHARTER_COST,HLOOKUP(C$7,FIXED_CHARTER_COST,2,0)+1,0)+VLOOKUP($A265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5" s="10">
        <f>(+VLOOKUP($A265,FIXED_CHARTER_COST,HLOOKUP(D$7,FIXED_CHARTER_COST,2,0)+1,0)+VLOOKUP($A265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0.34860166888854544</v>
      </c>
      <c r="E265" s="10">
        <f>(+VLOOKUP($A265,FIXED_CHARTER_COST,HLOOKUP(E$7,FIXED_CHARTER_COST,2,0)+1,0)+VLOOKUP($A265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0.38035381608327007</v>
      </c>
      <c r="F265" s="10">
        <f>(+VLOOKUP($A265,FIXED_CHARTER_COST,HLOOKUP(F$7,FIXED_CHARTER_COST,2,0)+1,0)+VLOOKUP($A265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0.6378743760554535</v>
      </c>
      <c r="G265" s="10">
        <f>(+VLOOKUP($A265,FIXED_CHARTER_COST,HLOOKUP(G$7,FIXED_CHARTER_COST,2,0)+1,0)+VLOOKUP($A265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0.7759238665048197</v>
      </c>
      <c r="H265" s="10">
        <f>(+VLOOKUP($A265,FIXED_CHARTER_COST,HLOOKUP(H$7,FIXED_CHARTER_COST,2,0)+1,0)+VLOOKUP($A265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5" s="10">
        <f>(+VLOOKUP($A265,FIXED_CHARTER_COST,HLOOKUP(I$7,FIXED_CHARTER_COST,2,0)+1,0)+VLOOKUP($A265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6" spans="1:9" x14ac:dyDescent="0.2">
      <c r="A266" s="179">
        <f>+SHIPS!B282</f>
        <v>44501</v>
      </c>
      <c r="B266" s="10">
        <f>(+VLOOKUP($A266,FIXED_CHARTER_COST,HLOOKUP(B$7,FIXED_CHARTER_COST,2,0)+1,0)+VLOOKUP($A266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6" s="10">
        <f>(+VLOOKUP($A266,FIXED_CHARTER_COST,HLOOKUP(C$7,FIXED_CHARTER_COST,2,0)+1,0)+VLOOKUP($A266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6" s="10">
        <f>(+VLOOKUP($A266,FIXED_CHARTER_COST,HLOOKUP(D$7,FIXED_CHARTER_COST,2,0)+1,0)+VLOOKUP($A266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0.34873566439068326</v>
      </c>
      <c r="E266" s="10">
        <f>(+VLOOKUP($A266,FIXED_CHARTER_COST,HLOOKUP(E$7,FIXED_CHARTER_COST,2,0)+1,0)+VLOOKUP($A266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0.38049897787725268</v>
      </c>
      <c r="F266" s="10">
        <f>(+VLOOKUP($A266,FIXED_CHARTER_COST,HLOOKUP(F$7,FIXED_CHARTER_COST,2,0)+1,0)+VLOOKUP($A266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0.63810886818419466</v>
      </c>
      <c r="G266" s="10">
        <f>(+VLOOKUP($A266,FIXED_CHARTER_COST,HLOOKUP(G$7,FIXED_CHARTER_COST,2,0)+1,0)+VLOOKUP($A266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0.77621419009278503</v>
      </c>
      <c r="H266" s="10">
        <f>(+VLOOKUP($A266,FIXED_CHARTER_COST,HLOOKUP(H$7,FIXED_CHARTER_COST,2,0)+1,0)+VLOOKUP($A266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6" s="10">
        <f>(+VLOOKUP($A266,FIXED_CHARTER_COST,HLOOKUP(I$7,FIXED_CHARTER_COST,2,0)+1,0)+VLOOKUP($A266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7" spans="1:9" x14ac:dyDescent="0.2">
      <c r="A267" s="179">
        <f>+SHIPS!B283</f>
        <v>44531</v>
      </c>
      <c r="B267" s="10">
        <f>(+VLOOKUP($A267,FIXED_CHARTER_COST,HLOOKUP(B$7,FIXED_CHARTER_COST,2,0)+1,0)+VLOOKUP($A267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7" s="10">
        <f>(+VLOOKUP($A267,FIXED_CHARTER_COST,HLOOKUP(C$7,FIXED_CHARTER_COST,2,0)+1,0)+VLOOKUP($A267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7" s="10">
        <f>(+VLOOKUP($A267,FIXED_CHARTER_COST,HLOOKUP(D$7,FIXED_CHARTER_COST,2,0)+1,0)+VLOOKUP($A267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0.34886993905011726</v>
      </c>
      <c r="E267" s="10">
        <f>(+VLOOKUP($A267,FIXED_CHARTER_COST,HLOOKUP(E$7,FIXED_CHARTER_COST,2,0)+1,0)+VLOOKUP($A267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0.38064444209163956</v>
      </c>
      <c r="F267" s="10">
        <f>(+VLOOKUP($A267,FIXED_CHARTER_COST,HLOOKUP(F$7,FIXED_CHARTER_COST,2,0)+1,0)+VLOOKUP($A267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0.63834384883820416</v>
      </c>
      <c r="G267" s="10">
        <f>(+VLOOKUP($A267,FIXED_CHARTER_COST,HLOOKUP(G$7,FIXED_CHARTER_COST,2,0)+1,0)+VLOOKUP($A267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0.77650511852155868</v>
      </c>
      <c r="H267" s="10">
        <f>(+VLOOKUP($A267,FIXED_CHARTER_COST,HLOOKUP(H$7,FIXED_CHARTER_COST,2,0)+1,0)+VLOOKUP($A267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7" s="10">
        <f>(+VLOOKUP($A267,FIXED_CHARTER_COST,HLOOKUP(I$7,FIXED_CHARTER_COST,2,0)+1,0)+VLOOKUP($A267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8" spans="1:9" x14ac:dyDescent="0.2">
      <c r="A268" s="179">
        <f>+SHIPS!B284</f>
        <v>44562</v>
      </c>
      <c r="B268" s="10">
        <f>(+VLOOKUP($A268,FIXED_CHARTER_COST,HLOOKUP(B$7,FIXED_CHARTER_COST,2,0)+1,0)+VLOOKUP($A268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8" s="10">
        <f>(+VLOOKUP($A268,FIXED_CHARTER_COST,HLOOKUP(C$7,FIXED_CHARTER_COST,2,0)+1,0)+VLOOKUP($A268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8" s="10">
        <f>(+VLOOKUP($A268,FIXED_CHARTER_COST,HLOOKUP(D$7,FIXED_CHARTER_COST,2,0)+1,0)+VLOOKUP($A268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0.34900449344842505</v>
      </c>
      <c r="E268" s="10">
        <f>(+VLOOKUP($A268,FIXED_CHARTER_COST,HLOOKUP(E$7,FIXED_CHARTER_COST,2,0)+1,0)+VLOOKUP($A268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0.38079020935647295</v>
      </c>
      <c r="F268" s="10">
        <f>(+VLOOKUP($A268,FIXED_CHARTER_COST,HLOOKUP(F$7,FIXED_CHARTER_COST,2,0)+1,0)+VLOOKUP($A268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0.63857931903524279</v>
      </c>
      <c r="G268" s="10">
        <f>(+VLOOKUP($A268,FIXED_CHARTER_COST,HLOOKUP(G$7,FIXED_CHARTER_COST,2,0)+1,0)+VLOOKUP($A268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0.77679665305122558</v>
      </c>
      <c r="H268" s="10">
        <f>(+VLOOKUP($A268,FIXED_CHARTER_COST,HLOOKUP(H$7,FIXED_CHARTER_COST,2,0)+1,0)+VLOOKUP($A268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8" s="10">
        <f>(+VLOOKUP($A268,FIXED_CHARTER_COST,HLOOKUP(I$7,FIXED_CHARTER_COST,2,0)+1,0)+VLOOKUP($A268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9" spans="1:9" x14ac:dyDescent="0.2">
      <c r="A269" s="179">
        <f>+SHIPS!B285</f>
        <v>44593</v>
      </c>
      <c r="B269" s="10">
        <f>(+VLOOKUP($A269,FIXED_CHARTER_COST,HLOOKUP(B$7,FIXED_CHARTER_COST,2,0)+1,0)+VLOOKUP($A269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9" s="10">
        <f>(+VLOOKUP($A269,FIXED_CHARTER_COST,HLOOKUP(C$7,FIXED_CHARTER_COST,2,0)+1,0)+VLOOKUP($A269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9" s="10">
        <f>(+VLOOKUP($A269,FIXED_CHARTER_COST,HLOOKUP(D$7,FIXED_CHARTER_COST,2,0)+1,0)+VLOOKUP($A269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0.34913932816839599</v>
      </c>
      <c r="E269" s="10">
        <f>(+VLOOKUP($A269,FIXED_CHARTER_COST,HLOOKUP(E$7,FIXED_CHARTER_COST,2,0)+1,0)+VLOOKUP($A269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0.38093628030310817</v>
      </c>
      <c r="F269" s="10">
        <f>(+VLOOKUP($A269,FIXED_CHARTER_COST,HLOOKUP(F$7,FIXED_CHARTER_COST,2,0)+1,0)+VLOOKUP($A269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0.63881527979519193</v>
      </c>
      <c r="G269" s="10">
        <f>(+VLOOKUP($A269,FIXED_CHARTER_COST,HLOOKUP(G$7,FIXED_CHARTER_COST,2,0)+1,0)+VLOOKUP($A269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0.7770887949444959</v>
      </c>
      <c r="H269" s="10">
        <f>(+VLOOKUP($A269,FIXED_CHARTER_COST,HLOOKUP(H$7,FIXED_CHARTER_COST,2,0)+1,0)+VLOOKUP($A269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9" s="10">
        <f>(+VLOOKUP($A269,FIXED_CHARTER_COST,HLOOKUP(I$7,FIXED_CHARTER_COST,2,0)+1,0)+VLOOKUP($A269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0" spans="1:9" x14ac:dyDescent="0.2">
      <c r="A270" s="179">
        <f>+SHIPS!B286</f>
        <v>44621</v>
      </c>
      <c r="B270" s="10">
        <f>(+VLOOKUP($A270,FIXED_CHARTER_COST,HLOOKUP(B$7,FIXED_CHARTER_COST,2,0)+1,0)+VLOOKUP($A270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0" s="10">
        <f>(+VLOOKUP($A270,FIXED_CHARTER_COST,HLOOKUP(C$7,FIXED_CHARTER_COST,2,0)+1,0)+VLOOKUP($A270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0" s="10">
        <f>(+VLOOKUP($A270,FIXED_CHARTER_COST,HLOOKUP(D$7,FIXED_CHARTER_COST,2,0)+1,0)+VLOOKUP($A270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0.34927444379403355</v>
      </c>
      <c r="E270" s="10">
        <f>(+VLOOKUP($A270,FIXED_CHARTER_COST,HLOOKUP(E$7,FIXED_CHARTER_COST,2,0)+1,0)+VLOOKUP($A270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0.38108265556421556</v>
      </c>
      <c r="F270" s="10">
        <f>(+VLOOKUP($A270,FIXED_CHARTER_COST,HLOOKUP(F$7,FIXED_CHARTER_COST,2,0)+1,0)+VLOOKUP($A270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0.63905173214005762</v>
      </c>
      <c r="G270" s="10">
        <f>(+VLOOKUP($A270,FIXED_CHARTER_COST,HLOOKUP(G$7,FIXED_CHARTER_COST,2,0)+1,0)+VLOOKUP($A270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0.77738154546671068</v>
      </c>
      <c r="H270" s="10">
        <f>(+VLOOKUP($A270,FIXED_CHARTER_COST,HLOOKUP(H$7,FIXED_CHARTER_COST,2,0)+1,0)+VLOOKUP($A270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0" s="10">
        <f>(+VLOOKUP($A270,FIXED_CHARTER_COST,HLOOKUP(I$7,FIXED_CHARTER_COST,2,0)+1,0)+VLOOKUP($A270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1" spans="1:9" x14ac:dyDescent="0.2">
      <c r="A271" s="179">
        <f>+SHIPS!B287</f>
        <v>44652</v>
      </c>
      <c r="B271" s="10">
        <f>(+VLOOKUP($A271,FIXED_CHARTER_COST,HLOOKUP(B$7,FIXED_CHARTER_COST,2,0)+1,0)+VLOOKUP($A271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1" s="10">
        <f>(+VLOOKUP($A271,FIXED_CHARTER_COST,HLOOKUP(C$7,FIXED_CHARTER_COST,2,0)+1,0)+VLOOKUP($A271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1" s="10">
        <f>(+VLOOKUP($A271,FIXED_CHARTER_COST,HLOOKUP(D$7,FIXED_CHARTER_COST,2,0)+1,0)+VLOOKUP($A271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0.34940984091055782</v>
      </c>
      <c r="E271" s="10">
        <f>(+VLOOKUP($A271,FIXED_CHARTER_COST,HLOOKUP(E$7,FIXED_CHARTER_COST,2,0)+1,0)+VLOOKUP($A271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0.38122933577378343</v>
      </c>
      <c r="F271" s="10">
        <f>(+VLOOKUP($A271,FIXED_CHARTER_COST,HLOOKUP(F$7,FIXED_CHARTER_COST,2,0)+1,0)+VLOOKUP($A271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0.63928867709397508</v>
      </c>
      <c r="G271" s="10">
        <f>(+VLOOKUP($A271,FIXED_CHARTER_COST,HLOOKUP(G$7,FIXED_CHARTER_COST,2,0)+1,0)+VLOOKUP($A271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0.77767490588584653</v>
      </c>
      <c r="H271" s="10">
        <f>(+VLOOKUP($A271,FIXED_CHARTER_COST,HLOOKUP(H$7,FIXED_CHARTER_COST,2,0)+1,0)+VLOOKUP($A271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1" s="10">
        <f>(+VLOOKUP($A271,FIXED_CHARTER_COST,HLOOKUP(I$7,FIXED_CHARTER_COST,2,0)+1,0)+VLOOKUP($A271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2" spans="1:9" x14ac:dyDescent="0.2">
      <c r="A272" s="179">
        <f>+SHIPS!B288</f>
        <v>44682</v>
      </c>
      <c r="B272" s="10">
        <f>(+VLOOKUP($A272,FIXED_CHARTER_COST,HLOOKUP(B$7,FIXED_CHARTER_COST,2,0)+1,0)+VLOOKUP($A272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2" s="10">
        <f>(+VLOOKUP($A272,FIXED_CHARTER_COST,HLOOKUP(C$7,FIXED_CHARTER_COST,2,0)+1,0)+VLOOKUP($A272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2" s="10">
        <f>(+VLOOKUP($A272,FIXED_CHARTER_COST,HLOOKUP(D$7,FIXED_CHARTER_COST,2,0)+1,0)+VLOOKUP($A272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0.3495455201044082</v>
      </c>
      <c r="E272" s="10">
        <f>(+VLOOKUP($A272,FIXED_CHARTER_COST,HLOOKUP(E$7,FIXED_CHARTER_COST,2,0)+1,0)+VLOOKUP($A272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0.38137632156712137</v>
      </c>
      <c r="F272" s="10">
        <f>(+VLOOKUP($A272,FIXED_CHARTER_COST,HLOOKUP(F$7,FIXED_CHARTER_COST,2,0)+1,0)+VLOOKUP($A272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0.63952611568321327</v>
      </c>
      <c r="G272" s="10">
        <f>(+VLOOKUP($A272,FIXED_CHARTER_COST,HLOOKUP(G$7,FIXED_CHARTER_COST,2,0)+1,0)+VLOOKUP($A272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0.77796887747252241</v>
      </c>
      <c r="H272" s="10">
        <f>(+VLOOKUP($A272,FIXED_CHARTER_COST,HLOOKUP(H$7,FIXED_CHARTER_COST,2,0)+1,0)+VLOOKUP($A272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2" s="10">
        <f>(+VLOOKUP($A272,FIXED_CHARTER_COST,HLOOKUP(I$7,FIXED_CHARTER_COST,2,0)+1,0)+VLOOKUP($A272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3" spans="1:9" x14ac:dyDescent="0.2">
      <c r="A273" s="179">
        <f>+SHIPS!B289</f>
        <v>44713</v>
      </c>
      <c r="B273" s="10">
        <f>(+VLOOKUP($A273,FIXED_CHARTER_COST,HLOOKUP(B$7,FIXED_CHARTER_COST,2,0)+1,0)+VLOOKUP($A273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3" s="10">
        <f>(+VLOOKUP($A273,FIXED_CHARTER_COST,HLOOKUP(C$7,FIXED_CHARTER_COST,2,0)+1,0)+VLOOKUP($A273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3" s="10">
        <f>(+VLOOKUP($A273,FIXED_CHARTER_COST,HLOOKUP(D$7,FIXED_CHARTER_COST,2,0)+1,0)+VLOOKUP($A273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0.34968148196324578</v>
      </c>
      <c r="E273" s="10">
        <f>(+VLOOKUP($A273,FIXED_CHARTER_COST,HLOOKUP(E$7,FIXED_CHARTER_COST,2,0)+1,0)+VLOOKUP($A273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0.38152361358086212</v>
      </c>
      <c r="F273" s="10">
        <f>(+VLOOKUP($A273,FIXED_CHARTER_COST,HLOOKUP(F$7,FIXED_CHARTER_COST,2,0)+1,0)+VLOOKUP($A273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0.639764048936179</v>
      </c>
      <c r="G273" s="10">
        <f>(+VLOOKUP($A273,FIXED_CHARTER_COST,HLOOKUP(G$7,FIXED_CHARTER_COST,2,0)+1,0)+VLOOKUP($A273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0.77826346150000381</v>
      </c>
      <c r="H273" s="10">
        <f>(+VLOOKUP($A273,FIXED_CHARTER_COST,HLOOKUP(H$7,FIXED_CHARTER_COST,2,0)+1,0)+VLOOKUP($A273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3" s="10">
        <f>(+VLOOKUP($A273,FIXED_CHARTER_COST,HLOOKUP(I$7,FIXED_CHARTER_COST,2,0)+1,0)+VLOOKUP($A273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4" spans="1:9" x14ac:dyDescent="0.2">
      <c r="A274" s="179">
        <f>+SHIPS!B290</f>
        <v>44743</v>
      </c>
      <c r="B274" s="10">
        <f>(+VLOOKUP($A274,FIXED_CHARTER_COST,HLOOKUP(B$7,FIXED_CHARTER_COST,2,0)+1,0)+VLOOKUP($A274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4" s="10">
        <f>(+VLOOKUP($A274,FIXED_CHARTER_COST,HLOOKUP(C$7,FIXED_CHARTER_COST,2,0)+1,0)+VLOOKUP($A274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4" s="10">
        <f>(+VLOOKUP($A274,FIXED_CHARTER_COST,HLOOKUP(D$7,FIXED_CHARTER_COST,2,0)+1,0)+VLOOKUP($A274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0.34981772707595593</v>
      </c>
      <c r="E274" s="10">
        <f>(+VLOOKUP($A274,FIXED_CHARTER_COST,HLOOKUP(E$7,FIXED_CHARTER_COST,2,0)+1,0)+VLOOKUP($A274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0.3816712124529647</v>
      </c>
      <c r="F274" s="10">
        <f>(+VLOOKUP($A274,FIXED_CHARTER_COST,HLOOKUP(F$7,FIXED_CHARTER_COST,2,0)+1,0)+VLOOKUP($A274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0.64000247788342179</v>
      </c>
      <c r="G274" s="10">
        <f>(+VLOOKUP($A274,FIXED_CHARTER_COST,HLOOKUP(G$7,FIXED_CHARTER_COST,2,0)+1,0)+VLOOKUP($A274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0.77855865924420908</v>
      </c>
      <c r="H274" s="10">
        <f>(+VLOOKUP($A274,FIXED_CHARTER_COST,HLOOKUP(H$7,FIXED_CHARTER_COST,2,0)+1,0)+VLOOKUP($A274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4" s="10">
        <f>(+VLOOKUP($A274,FIXED_CHARTER_COST,HLOOKUP(I$7,FIXED_CHARTER_COST,2,0)+1,0)+VLOOKUP($A274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5" spans="1:9" x14ac:dyDescent="0.2">
      <c r="A275" s="179">
        <f>+SHIPS!B291</f>
        <v>44774</v>
      </c>
      <c r="B275" s="10">
        <f>(+VLOOKUP($A275,FIXED_CHARTER_COST,HLOOKUP(B$7,FIXED_CHARTER_COST,2,0)+1,0)+VLOOKUP($A275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5" s="10">
        <f>(+VLOOKUP($A275,FIXED_CHARTER_COST,HLOOKUP(C$7,FIXED_CHARTER_COST,2,0)+1,0)+VLOOKUP($A275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5" s="10">
        <f>(+VLOOKUP($A275,FIXED_CHARTER_COST,HLOOKUP(D$7,FIXED_CHARTER_COST,2,0)+1,0)+VLOOKUP($A275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0.34995425603265085</v>
      </c>
      <c r="E275" s="10">
        <f>(+VLOOKUP($A275,FIXED_CHARTER_COST,HLOOKUP(E$7,FIXED_CHARTER_COST,2,0)+1,0)+VLOOKUP($A275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0.38181911882271763</v>
      </c>
      <c r="F275" s="10">
        <f>(+VLOOKUP($A275,FIXED_CHARTER_COST,HLOOKUP(F$7,FIXED_CHARTER_COST,2,0)+1,0)+VLOOKUP($A275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0.64024140355763792</v>
      </c>
      <c r="G275" s="10">
        <f>(+VLOOKUP($A275,FIXED_CHARTER_COST,HLOOKUP(G$7,FIXED_CHARTER_COST,2,0)+1,0)+VLOOKUP($A275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0.77885447198371482</v>
      </c>
      <c r="H275" s="10">
        <f>(+VLOOKUP($A275,FIXED_CHARTER_COST,HLOOKUP(H$7,FIXED_CHARTER_COST,2,0)+1,0)+VLOOKUP($A275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5" s="10">
        <f>(+VLOOKUP($A275,FIXED_CHARTER_COST,HLOOKUP(I$7,FIXED_CHARTER_COST,2,0)+1,0)+VLOOKUP($A275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6" spans="1:9" x14ac:dyDescent="0.2">
      <c r="A276" s="179">
        <f>+SHIPS!B292</f>
        <v>44805</v>
      </c>
      <c r="B276" s="10">
        <f>(+VLOOKUP($A276,FIXED_CHARTER_COST,HLOOKUP(B$7,FIXED_CHARTER_COST,2,0)+1,0)+VLOOKUP($A276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6" s="10">
        <f>(+VLOOKUP($A276,FIXED_CHARTER_COST,HLOOKUP(C$7,FIXED_CHARTER_COST,2,0)+1,0)+VLOOKUP($A276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6" s="10">
        <f>(+VLOOKUP($A276,FIXED_CHARTER_COST,HLOOKUP(D$7,FIXED_CHARTER_COST,2,0)+1,0)+VLOOKUP($A276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0.35009106942467227</v>
      </c>
      <c r="E276" s="10">
        <f>(+VLOOKUP($A276,FIXED_CHARTER_COST,HLOOKUP(E$7,FIXED_CHARTER_COST,2,0)+1,0)+VLOOKUP($A276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0.38196733333074079</v>
      </c>
      <c r="F276" s="10">
        <f>(+VLOOKUP($A276,FIXED_CHARTER_COST,HLOOKUP(F$7,FIXED_CHARTER_COST,2,0)+1,0)+VLOOKUP($A276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0.64048082699367537</v>
      </c>
      <c r="G276" s="10">
        <f>(+VLOOKUP($A276,FIXED_CHARTER_COST,HLOOKUP(G$7,FIXED_CHARTER_COST,2,0)+1,0)+VLOOKUP($A276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0.77915090099976125</v>
      </c>
      <c r="H276" s="10">
        <f>(+VLOOKUP($A276,FIXED_CHARTER_COST,HLOOKUP(H$7,FIXED_CHARTER_COST,2,0)+1,0)+VLOOKUP($A276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6" s="10">
        <f>(+VLOOKUP($A276,FIXED_CHARTER_COST,HLOOKUP(I$7,FIXED_CHARTER_COST,2,0)+1,0)+VLOOKUP($A276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7" spans="1:9" x14ac:dyDescent="0.2">
      <c r="A277" s="179">
        <f>+SHIPS!B293</f>
        <v>44835</v>
      </c>
      <c r="B277" s="10">
        <f>(+VLOOKUP($A277,FIXED_CHARTER_COST,HLOOKUP(B$7,FIXED_CHARTER_COST,2,0)+1,0)+VLOOKUP($A277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7" s="10">
        <f>(+VLOOKUP($A277,FIXED_CHARTER_COST,HLOOKUP(C$7,FIXED_CHARTER_COST,2,0)+1,0)+VLOOKUP($A277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7" s="10">
        <f>(+VLOOKUP($A277,FIXED_CHARTER_COST,HLOOKUP(D$7,FIXED_CHARTER_COST,2,0)+1,0)+VLOOKUP($A277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0.35022816784459371</v>
      </c>
      <c r="E277" s="10">
        <f>(+VLOOKUP($A277,FIXED_CHARTER_COST,HLOOKUP(E$7,FIXED_CHARTER_COST,2,0)+1,0)+VLOOKUP($A277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0.382115856618989</v>
      </c>
      <c r="F277" s="10">
        <f>(+VLOOKUP($A277,FIXED_CHARTER_COST,HLOOKUP(F$7,FIXED_CHARTER_COST,2,0)+1,0)+VLOOKUP($A277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0.64072074922853794</v>
      </c>
      <c r="G277" s="10">
        <f>(+VLOOKUP($A277,FIXED_CHARTER_COST,HLOOKUP(G$7,FIXED_CHARTER_COST,2,0)+1,0)+VLOOKUP($A277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0.77944794757625768</v>
      </c>
      <c r="H277" s="10">
        <f>(+VLOOKUP($A277,FIXED_CHARTER_COST,HLOOKUP(H$7,FIXED_CHARTER_COST,2,0)+1,0)+VLOOKUP($A277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7" s="10">
        <f>(+VLOOKUP($A277,FIXED_CHARTER_COST,HLOOKUP(I$7,FIXED_CHARTER_COST,2,0)+1,0)+VLOOKUP($A277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8" spans="1:9" x14ac:dyDescent="0.2">
      <c r="A278" s="179">
        <f>+SHIPS!B294</f>
        <v>44866</v>
      </c>
      <c r="B278" s="10">
        <f>(+VLOOKUP($A278,FIXED_CHARTER_COST,HLOOKUP(B$7,FIXED_CHARTER_COST,2,0)+1,0)+VLOOKUP($A278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8" s="10">
        <f>(+VLOOKUP($A278,FIXED_CHARTER_COST,HLOOKUP(C$7,FIXED_CHARTER_COST,2,0)+1,0)+VLOOKUP($A278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8" s="10">
        <f>(+VLOOKUP($A278,FIXED_CHARTER_COST,HLOOKUP(D$7,FIXED_CHARTER_COST,2,0)+1,0)+VLOOKUP($A278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0.35036555188622331</v>
      </c>
      <c r="E278" s="10">
        <f>(+VLOOKUP($A278,FIXED_CHARTER_COST,HLOOKUP(E$7,FIXED_CHARTER_COST,2,0)+1,0)+VLOOKUP($A278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0.38226468933075447</v>
      </c>
      <c r="F278" s="10">
        <f>(+VLOOKUP($A278,FIXED_CHARTER_COST,HLOOKUP(F$7,FIXED_CHARTER_COST,2,0)+1,0)+VLOOKUP($A278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0.64096117130138974</v>
      </c>
      <c r="G278" s="10">
        <f>(+VLOOKUP($A278,FIXED_CHARTER_COST,HLOOKUP(G$7,FIXED_CHARTER_COST,2,0)+1,0)+VLOOKUP($A278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0.77974561299978851</v>
      </c>
      <c r="H278" s="10">
        <f>(+VLOOKUP($A278,FIXED_CHARTER_COST,HLOOKUP(H$7,FIXED_CHARTER_COST,2,0)+1,0)+VLOOKUP($A278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8" s="10">
        <f>(+VLOOKUP($A278,FIXED_CHARTER_COST,HLOOKUP(I$7,FIXED_CHARTER_COST,2,0)+1,0)+VLOOKUP($A278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9" spans="1:9" x14ac:dyDescent="0.2">
      <c r="A279" s="179">
        <f>+SHIPS!B295</f>
        <v>44896</v>
      </c>
      <c r="B279" s="10">
        <f>(+VLOOKUP($A279,FIXED_CHARTER_COST,HLOOKUP(B$7,FIXED_CHARTER_COST,2,0)+1,0)+VLOOKUP($A279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9" s="10">
        <f>(+VLOOKUP($A279,FIXED_CHARTER_COST,HLOOKUP(C$7,FIXED_CHARTER_COST,2,0)+1,0)+VLOOKUP($A279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9" s="10">
        <f>(+VLOOKUP($A279,FIXED_CHARTER_COST,HLOOKUP(D$7,FIXED_CHARTER_COST,2,0)+1,0)+VLOOKUP($A279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0.35050322214460639</v>
      </c>
      <c r="E279" s="10">
        <f>(+VLOOKUP($A279,FIXED_CHARTER_COST,HLOOKUP(E$7,FIXED_CHARTER_COST,2,0)+1,0)+VLOOKUP($A279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0.38241383211066943</v>
      </c>
      <c r="F279" s="10">
        <f>(+VLOOKUP($A279,FIXED_CHARTER_COST,HLOOKUP(F$7,FIXED_CHARTER_COST,2,0)+1,0)+VLOOKUP($A279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0.64120209425356012</v>
      </c>
      <c r="G279" s="10">
        <f>(+VLOOKUP($A279,FIXED_CHARTER_COST,HLOOKUP(G$7,FIXED_CHARTER_COST,2,0)+1,0)+VLOOKUP($A279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0.78004389855961842</v>
      </c>
      <c r="H279" s="10">
        <f>(+VLOOKUP($A279,FIXED_CHARTER_COST,HLOOKUP(H$7,FIXED_CHARTER_COST,2,0)+1,0)+VLOOKUP($A279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9" s="10">
        <f>(+VLOOKUP($A279,FIXED_CHARTER_COST,HLOOKUP(I$7,FIXED_CHARTER_COST,2,0)+1,0)+VLOOKUP($A279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0" spans="1:9" x14ac:dyDescent="0.2">
      <c r="A280" s="179">
        <f>+SHIPS!B296</f>
        <v>44927</v>
      </c>
      <c r="B280" s="10">
        <f>(+VLOOKUP($A280,FIXED_CHARTER_COST,HLOOKUP(B$7,FIXED_CHARTER_COST,2,0)+1,0)+VLOOKUP($A280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0" s="10">
        <f>(+VLOOKUP($A280,FIXED_CHARTER_COST,HLOOKUP(C$7,FIXED_CHARTER_COST,2,0)+1,0)+VLOOKUP($A280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0" s="10">
        <f>(+VLOOKUP($A280,FIXED_CHARTER_COST,HLOOKUP(D$7,FIXED_CHARTER_COST,2,0)+1,0)+VLOOKUP($A280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0.35064117921602767</v>
      </c>
      <c r="E280" s="10">
        <f>(+VLOOKUP($A280,FIXED_CHARTER_COST,HLOOKUP(E$7,FIXED_CHARTER_COST,2,0)+1,0)+VLOOKUP($A280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0.38256328560470915</v>
      </c>
      <c r="F280" s="10">
        <f>(+VLOOKUP($A280,FIXED_CHARTER_COST,HLOOKUP(F$7,FIXED_CHARTER_COST,2,0)+1,0)+VLOOKUP($A280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0.64144351912854736</v>
      </c>
      <c r="G280" s="10">
        <f>(+VLOOKUP($A280,FIXED_CHARTER_COST,HLOOKUP(G$7,FIXED_CHARTER_COST,2,0)+1,0)+VLOOKUP($A280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0.78034280554769786</v>
      </c>
      <c r="H280" s="10">
        <f>(+VLOOKUP($A280,FIXED_CHARTER_COST,HLOOKUP(H$7,FIXED_CHARTER_COST,2,0)+1,0)+VLOOKUP($A280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0" s="10">
        <f>(+VLOOKUP($A280,FIXED_CHARTER_COST,HLOOKUP(I$7,FIXED_CHARTER_COST,2,0)+1,0)+VLOOKUP($A280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1" spans="1:9" x14ac:dyDescent="0.2">
      <c r="A281" s="179">
        <f>+SHIPS!B297</f>
        <v>44958</v>
      </c>
      <c r="B281" s="10">
        <f>(+VLOOKUP($A281,FIXED_CHARTER_COST,HLOOKUP(B$7,FIXED_CHARTER_COST,2,0)+1,0)+VLOOKUP($A281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1" s="10">
        <f>(+VLOOKUP($A281,FIXED_CHARTER_COST,HLOOKUP(C$7,FIXED_CHARTER_COST,2,0)+1,0)+VLOOKUP($A281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1" s="10">
        <f>(+VLOOKUP($A281,FIXED_CHARTER_COST,HLOOKUP(D$7,FIXED_CHARTER_COST,2,0)+1,0)+VLOOKUP($A281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0.3507794236980144</v>
      </c>
      <c r="E281" s="10">
        <f>(+VLOOKUP($A281,FIXED_CHARTER_COST,HLOOKUP(E$7,FIXED_CHARTER_COST,2,0)+1,0)+VLOOKUP($A281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0.38271305046019483</v>
      </c>
      <c r="F281" s="10">
        <f>(+VLOOKUP($A281,FIXED_CHARTER_COST,HLOOKUP(F$7,FIXED_CHARTER_COST,2,0)+1,0)+VLOOKUP($A281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0.64168544697202412</v>
      </c>
      <c r="G281" s="10">
        <f>(+VLOOKUP($A281,FIXED_CHARTER_COST,HLOOKUP(G$7,FIXED_CHARTER_COST,2,0)+1,0)+VLOOKUP($A281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0.78064233525866922</v>
      </c>
      <c r="H281" s="10">
        <f>(+VLOOKUP($A281,FIXED_CHARTER_COST,HLOOKUP(H$7,FIXED_CHARTER_COST,2,0)+1,0)+VLOOKUP($A281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1" s="10">
        <f>(+VLOOKUP($A281,FIXED_CHARTER_COST,HLOOKUP(I$7,FIXED_CHARTER_COST,2,0)+1,0)+VLOOKUP($A281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2" spans="1:9" x14ac:dyDescent="0.2">
      <c r="A282" s="179">
        <f>+SHIPS!B298</f>
        <v>44986</v>
      </c>
      <c r="B282" s="10">
        <f>(+VLOOKUP($A282,FIXED_CHARTER_COST,HLOOKUP(B$7,FIXED_CHARTER_COST,2,0)+1,0)+VLOOKUP($A282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2" s="10">
        <f>(+VLOOKUP($A282,FIXED_CHARTER_COST,HLOOKUP(C$7,FIXED_CHARTER_COST,2,0)+1,0)+VLOOKUP($A282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2" s="10">
        <f>(+VLOOKUP($A282,FIXED_CHARTER_COST,HLOOKUP(D$7,FIXED_CHARTER_COST,2,0)+1,0)+VLOOKUP($A282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0.35091795618933869</v>
      </c>
      <c r="E282" s="10">
        <f>(+VLOOKUP($A282,FIXED_CHARTER_COST,HLOOKUP(E$7,FIXED_CHARTER_COST,2,0)+1,0)+VLOOKUP($A282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0.38286312732579603</v>
      </c>
      <c r="F282" s="10">
        <f>(+VLOOKUP($A282,FIXED_CHARTER_COST,HLOOKUP(F$7,FIXED_CHARTER_COST,2,0)+1,0)+VLOOKUP($A282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0.64192787883184166</v>
      </c>
      <c r="G282" s="10">
        <f>(+VLOOKUP($A282,FIXED_CHARTER_COST,HLOOKUP(G$7,FIXED_CHARTER_COST,2,0)+1,0)+VLOOKUP($A282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0.78094248898987173</v>
      </c>
      <c r="H282" s="10">
        <f>(+VLOOKUP($A282,FIXED_CHARTER_COST,HLOOKUP(H$7,FIXED_CHARTER_COST,2,0)+1,0)+VLOOKUP($A282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2" s="10">
        <f>(+VLOOKUP($A282,FIXED_CHARTER_COST,HLOOKUP(I$7,FIXED_CHARTER_COST,2,0)+1,0)+VLOOKUP($A282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3" spans="1:9" x14ac:dyDescent="0.2">
      <c r="A283" s="179">
        <f>+SHIPS!B299</f>
        <v>45017</v>
      </c>
      <c r="B283" s="10">
        <f>(+VLOOKUP($A283,FIXED_CHARTER_COST,HLOOKUP(B$7,FIXED_CHARTER_COST,2,0)+1,0)+VLOOKUP($A283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3" s="10">
        <f>(+VLOOKUP($A283,FIXED_CHARTER_COST,HLOOKUP(C$7,FIXED_CHARTER_COST,2,0)+1,0)+VLOOKUP($A283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3" s="10">
        <f>(+VLOOKUP($A283,FIXED_CHARTER_COST,HLOOKUP(D$7,FIXED_CHARTER_COST,2,0)+1,0)+VLOOKUP($A283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0.35105677729001988</v>
      </c>
      <c r="E283" s="10">
        <f>(+VLOOKUP($A283,FIXED_CHARTER_COST,HLOOKUP(E$7,FIXED_CHARTER_COST,2,0)+1,0)+VLOOKUP($A283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0.38301351685153401</v>
      </c>
      <c r="F283" s="10">
        <f>(+VLOOKUP($A283,FIXED_CHARTER_COST,HLOOKUP(F$7,FIXED_CHARTER_COST,2,0)+1,0)+VLOOKUP($A283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0.6421708157580337</v>
      </c>
      <c r="G283" s="10">
        <f>(+VLOOKUP($A283,FIXED_CHARTER_COST,HLOOKUP(G$7,FIXED_CHARTER_COST,2,0)+1,0)+VLOOKUP($A283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0.78124326804134769</v>
      </c>
      <c r="H283" s="10">
        <f>(+VLOOKUP($A283,FIXED_CHARTER_COST,HLOOKUP(H$7,FIXED_CHARTER_COST,2,0)+1,0)+VLOOKUP($A283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3" s="10">
        <f>(+VLOOKUP($A283,FIXED_CHARTER_COST,HLOOKUP(I$7,FIXED_CHARTER_COST,2,0)+1,0)+VLOOKUP($A283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4" spans="1:9" x14ac:dyDescent="0.2">
      <c r="A284" s="179">
        <f>+SHIPS!B300</f>
        <v>45047</v>
      </c>
      <c r="B284" s="10">
        <f>(+VLOOKUP($A284,FIXED_CHARTER_COST,HLOOKUP(B$7,FIXED_CHARTER_COST,2,0)+1,0)+VLOOKUP($A284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4" s="10">
        <f>(+VLOOKUP($A284,FIXED_CHARTER_COST,HLOOKUP(C$7,FIXED_CHARTER_COST,2,0)+1,0)+VLOOKUP($A284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4" s="10">
        <f>(+VLOOKUP($A284,FIXED_CHARTER_COST,HLOOKUP(D$7,FIXED_CHARTER_COST,2,0)+1,0)+VLOOKUP($A284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0.35119588760132747</v>
      </c>
      <c r="E284" s="10">
        <f>(+VLOOKUP($A284,FIXED_CHARTER_COST,HLOOKUP(E$7,FIXED_CHARTER_COST,2,0)+1,0)+VLOOKUP($A284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0.38316421968878395</v>
      </c>
      <c r="F284" s="10">
        <f>(+VLOOKUP($A284,FIXED_CHARTER_COST,HLOOKUP(F$7,FIXED_CHARTER_COST,2,0)+1,0)+VLOOKUP($A284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0.64241425880282199</v>
      </c>
      <c r="G284" s="10">
        <f>(+VLOOKUP($A284,FIXED_CHARTER_COST,HLOOKUP(G$7,FIXED_CHARTER_COST,2,0)+1,0)+VLOOKUP($A284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0.78154467371584746</v>
      </c>
      <c r="H284" s="10">
        <f>(+VLOOKUP($A284,FIXED_CHARTER_COST,HLOOKUP(H$7,FIXED_CHARTER_COST,2,0)+1,0)+VLOOKUP($A284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4" s="10">
        <f>(+VLOOKUP($A284,FIXED_CHARTER_COST,HLOOKUP(I$7,FIXED_CHARTER_COST,2,0)+1,0)+VLOOKUP($A284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5" spans="1:9" x14ac:dyDescent="0.2">
      <c r="A285" s="179">
        <f>+SHIPS!B301</f>
        <v>45078</v>
      </c>
      <c r="B285" s="10">
        <f>(+VLOOKUP($A285,FIXED_CHARTER_COST,HLOOKUP(B$7,FIXED_CHARTER_COST,2,0)+1,0)+VLOOKUP($A285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5" s="10">
        <f>(+VLOOKUP($A285,FIXED_CHARTER_COST,HLOOKUP(C$7,FIXED_CHARTER_COST,2,0)+1,0)+VLOOKUP($A285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5" s="10">
        <f>(+VLOOKUP($A285,FIXED_CHARTER_COST,HLOOKUP(D$7,FIXED_CHARTER_COST,2,0)+1,0)+VLOOKUP($A285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0.3513352877257836</v>
      </c>
      <c r="E285" s="10">
        <f>(+VLOOKUP($A285,FIXED_CHARTER_COST,HLOOKUP(E$7,FIXED_CHARTER_COST,2,0)+1,0)+VLOOKUP($A285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0.38331523649027804</v>
      </c>
      <c r="F285" s="10">
        <f>(+VLOOKUP($A285,FIXED_CHARTER_COST,HLOOKUP(F$7,FIXED_CHARTER_COST,2,0)+1,0)+VLOOKUP($A285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0.64265820902062032</v>
      </c>
      <c r="G285" s="10">
        <f>(+VLOOKUP($A285,FIXED_CHARTER_COST,HLOOKUP(G$7,FIXED_CHARTER_COST,2,0)+1,0)+VLOOKUP($A285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0.78184670731883577</v>
      </c>
      <c r="H285" s="10">
        <f>(+VLOOKUP($A285,FIXED_CHARTER_COST,HLOOKUP(H$7,FIXED_CHARTER_COST,2,0)+1,0)+VLOOKUP($A285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5" s="10">
        <f>(+VLOOKUP($A285,FIXED_CHARTER_COST,HLOOKUP(I$7,FIXED_CHARTER_COST,2,0)+1,0)+VLOOKUP($A285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6" spans="1:9" x14ac:dyDescent="0.2">
      <c r="A286" s="179">
        <f>+SHIPS!B302</f>
        <v>45108</v>
      </c>
      <c r="B286" s="10">
        <f>(+VLOOKUP($A286,FIXED_CHARTER_COST,HLOOKUP(B$7,FIXED_CHARTER_COST,2,0)+1,0)+VLOOKUP($A286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6" s="10">
        <f>(+VLOOKUP($A286,FIXED_CHARTER_COST,HLOOKUP(C$7,FIXED_CHARTER_COST,2,0)+1,0)+VLOOKUP($A286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6" s="10">
        <f>(+VLOOKUP($A286,FIXED_CHARTER_COST,HLOOKUP(D$7,FIXED_CHARTER_COST,2,0)+1,0)+VLOOKUP($A286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0.35147497826716567</v>
      </c>
      <c r="E286" s="10">
        <f>(+VLOOKUP($A286,FIXED_CHARTER_COST,HLOOKUP(E$7,FIXED_CHARTER_COST,2,0)+1,0)+VLOOKUP($A286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0.38346656791010864</v>
      </c>
      <c r="F286" s="10">
        <f>(+VLOOKUP($A286,FIXED_CHARTER_COST,HLOOKUP(F$7,FIXED_CHARTER_COST,2,0)+1,0)+VLOOKUP($A286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0.64290266746803892</v>
      </c>
      <c r="G286" s="10">
        <f>(+VLOOKUP($A286,FIXED_CHARTER_COST,HLOOKUP(G$7,FIXED_CHARTER_COST,2,0)+1,0)+VLOOKUP($A286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0.78214937015849695</v>
      </c>
      <c r="H286" s="10">
        <f>(+VLOOKUP($A286,FIXED_CHARTER_COST,HLOOKUP(H$7,FIXED_CHARTER_COST,2,0)+1,0)+VLOOKUP($A286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6" s="10">
        <f>(+VLOOKUP($A286,FIXED_CHARTER_COST,HLOOKUP(I$7,FIXED_CHARTER_COST,2,0)+1,0)+VLOOKUP($A286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7" spans="1:9" x14ac:dyDescent="0.2">
      <c r="A287" s="179">
        <f>+SHIPS!B303</f>
        <v>45139</v>
      </c>
      <c r="B287" s="10">
        <f>(+VLOOKUP($A287,FIXED_CHARTER_COST,HLOOKUP(B$7,FIXED_CHARTER_COST,2,0)+1,0)+VLOOKUP($A287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7" s="10">
        <f>(+VLOOKUP($A287,FIXED_CHARTER_COST,HLOOKUP(C$7,FIXED_CHARTER_COST,2,0)+1,0)+VLOOKUP($A287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7" s="10">
        <f>(+VLOOKUP($A287,FIXED_CHARTER_COST,HLOOKUP(D$7,FIXED_CHARTER_COST,2,0)+1,0)+VLOOKUP($A287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0.351614959830509</v>
      </c>
      <c r="E287" s="10">
        <f>(+VLOOKUP($A287,FIXED_CHARTER_COST,HLOOKUP(E$7,FIXED_CHARTER_COST,2,0)+1,0)+VLOOKUP($A287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0.38361821460373052</v>
      </c>
      <c r="F287" s="10">
        <f>(+VLOOKUP($A287,FIXED_CHARTER_COST,HLOOKUP(F$7,FIXED_CHARTER_COST,2,0)+1,0)+VLOOKUP($A287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0.64314763520388962</v>
      </c>
      <c r="G287" s="10">
        <f>(+VLOOKUP($A287,FIXED_CHARTER_COST,HLOOKUP(G$7,FIXED_CHARTER_COST,2,0)+1,0)+VLOOKUP($A287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0.78245266354574072</v>
      </c>
      <c r="H287" s="10">
        <f>(+VLOOKUP($A287,FIXED_CHARTER_COST,HLOOKUP(H$7,FIXED_CHARTER_COST,2,0)+1,0)+VLOOKUP($A287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7" s="10">
        <f>(+VLOOKUP($A287,FIXED_CHARTER_COST,HLOOKUP(I$7,FIXED_CHARTER_COST,2,0)+1,0)+VLOOKUP($A287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8" spans="1:9" x14ac:dyDescent="0.2">
      <c r="A288" s="179">
        <f>+SHIPS!B304</f>
        <v>45170</v>
      </c>
      <c r="B288" s="10">
        <f>(+VLOOKUP($A288,FIXED_CHARTER_COST,HLOOKUP(B$7,FIXED_CHARTER_COST,2,0)+1,0)+VLOOKUP($A288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8" s="10">
        <f>(+VLOOKUP($A288,FIXED_CHARTER_COST,HLOOKUP(C$7,FIXED_CHARTER_COST,2,0)+1,0)+VLOOKUP($A288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8" s="10">
        <f>(+VLOOKUP($A288,FIXED_CHARTER_COST,HLOOKUP(D$7,FIXED_CHARTER_COST,2,0)+1,0)+VLOOKUP($A288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0.35175523302210926</v>
      </c>
      <c r="E288" s="10">
        <f>(+VLOOKUP($A288,FIXED_CHARTER_COST,HLOOKUP(E$7,FIXED_CHARTER_COST,2,0)+1,0)+VLOOKUP($A288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0.38377017722796419</v>
      </c>
      <c r="F288" s="10">
        <f>(+VLOOKUP($A288,FIXED_CHARTER_COST,HLOOKUP(F$7,FIXED_CHARTER_COST,2,0)+1,0)+VLOOKUP($A288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0.64339311328919013</v>
      </c>
      <c r="G288" s="10">
        <f>(+VLOOKUP($A288,FIXED_CHARTER_COST,HLOOKUP(G$7,FIXED_CHARTER_COST,2,0)+1,0)+VLOOKUP($A288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0.78275658879420806</v>
      </c>
      <c r="H288" s="10">
        <f>(+VLOOKUP($A288,FIXED_CHARTER_COST,HLOOKUP(H$7,FIXED_CHARTER_COST,2,0)+1,0)+VLOOKUP($A288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8" s="10">
        <f>(+VLOOKUP($A288,FIXED_CHARTER_COST,HLOOKUP(I$7,FIXED_CHARTER_COST,2,0)+1,0)+VLOOKUP($A288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9" spans="1:9" x14ac:dyDescent="0.2">
      <c r="A289" s="179">
        <f>+SHIPS!B305</f>
        <v>45200</v>
      </c>
      <c r="B289" s="10">
        <f>(+VLOOKUP($A289,FIXED_CHARTER_COST,HLOOKUP(B$7,FIXED_CHARTER_COST,2,0)+1,0)+VLOOKUP($A289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9" s="10">
        <f>(+VLOOKUP($A289,FIXED_CHARTER_COST,HLOOKUP(C$7,FIXED_CHARTER_COST,2,0)+1,0)+VLOOKUP($A289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9" s="10">
        <f>(+VLOOKUP($A289,FIXED_CHARTER_COST,HLOOKUP(D$7,FIXED_CHARTER_COST,2,0)+1,0)+VLOOKUP($A289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0.35189579844952534</v>
      </c>
      <c r="E289" s="10">
        <f>(+VLOOKUP($A289,FIXED_CHARTER_COST,HLOOKUP(E$7,FIXED_CHARTER_COST,2,0)+1,0)+VLOOKUP($A289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0.38392245644099826</v>
      </c>
      <c r="F289" s="10">
        <f>(+VLOOKUP($A289,FIXED_CHARTER_COST,HLOOKUP(F$7,FIXED_CHARTER_COST,2,0)+1,0)+VLOOKUP($A289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0.64363910278716829</v>
      </c>
      <c r="G289" s="10">
        <f>(+VLOOKUP($A289,FIXED_CHARTER_COST,HLOOKUP(G$7,FIXED_CHARTER_COST,2,0)+1,0)+VLOOKUP($A289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0.7830611472202762</v>
      </c>
      <c r="H289" s="10">
        <f>(+VLOOKUP($A289,FIXED_CHARTER_COST,HLOOKUP(H$7,FIXED_CHARTER_COST,2,0)+1,0)+VLOOKUP($A289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9" s="10">
        <f>(+VLOOKUP($A289,FIXED_CHARTER_COST,HLOOKUP(I$7,FIXED_CHARTER_COST,2,0)+1,0)+VLOOKUP($A289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0" spans="1:9" x14ac:dyDescent="0.2">
      <c r="A290" s="179">
        <f>+SHIPS!B306</f>
        <v>45231</v>
      </c>
      <c r="B290" s="10">
        <f>(+VLOOKUP($A290,FIXED_CHARTER_COST,HLOOKUP(B$7,FIXED_CHARTER_COST,2,0)+1,0)+VLOOKUP($A290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0" s="10">
        <f>(+VLOOKUP($A290,FIXED_CHARTER_COST,HLOOKUP(C$7,FIXED_CHARTER_COST,2,0)+1,0)+VLOOKUP($A290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0" s="10">
        <f>(+VLOOKUP($A290,FIXED_CHARTER_COST,HLOOKUP(D$7,FIXED_CHARTER_COST,2,0)+1,0)+VLOOKUP($A290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0.35203665672158191</v>
      </c>
      <c r="E290" s="10">
        <f>(+VLOOKUP($A290,FIXED_CHARTER_COST,HLOOKUP(E$7,FIXED_CHARTER_COST,2,0)+1,0)+VLOOKUP($A290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0.38407505290239291</v>
      </c>
      <c r="F290" s="10">
        <f>(+VLOOKUP($A290,FIXED_CHARTER_COST,HLOOKUP(F$7,FIXED_CHARTER_COST,2,0)+1,0)+VLOOKUP($A290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0.64388560476326728</v>
      </c>
      <c r="G290" s="10">
        <f>(+VLOOKUP($A290,FIXED_CHARTER_COST,HLOOKUP(G$7,FIXED_CHARTER_COST,2,0)+1,0)+VLOOKUP($A290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0.7833663401430655</v>
      </c>
      <c r="H290" s="10">
        <f>(+VLOOKUP($A290,FIXED_CHARTER_COST,HLOOKUP(H$7,FIXED_CHARTER_COST,2,0)+1,0)+VLOOKUP($A290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0" s="10">
        <f>(+VLOOKUP($A290,FIXED_CHARTER_COST,HLOOKUP(I$7,FIXED_CHARTER_COST,2,0)+1,0)+VLOOKUP($A290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1" spans="1:9" x14ac:dyDescent="0.2">
      <c r="A291" s="179">
        <f>+SHIPS!B307</f>
        <v>45261</v>
      </c>
      <c r="B291" s="10">
        <f>(+VLOOKUP($A291,FIXED_CHARTER_COST,HLOOKUP(B$7,FIXED_CHARTER_COST,2,0)+1,0)+VLOOKUP($A291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1" s="10">
        <f>(+VLOOKUP($A291,FIXED_CHARTER_COST,HLOOKUP(C$7,FIXED_CHARTER_COST,2,0)+1,0)+VLOOKUP($A291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1" s="10">
        <f>(+VLOOKUP($A291,FIXED_CHARTER_COST,HLOOKUP(D$7,FIXED_CHARTER_COST,2,0)+1,0)+VLOOKUP($A291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0.35217780844837193</v>
      </c>
      <c r="E291" s="10">
        <f>(+VLOOKUP($A291,FIXED_CHARTER_COST,HLOOKUP(E$7,FIXED_CHARTER_COST,2,0)+1,0)+VLOOKUP($A291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0.38422796727308212</v>
      </c>
      <c r="F291" s="10">
        <f>(+VLOOKUP($A291,FIXED_CHARTER_COST,HLOOKUP(F$7,FIXED_CHARTER_COST,2,0)+1,0)+VLOOKUP($A291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0.64413262028514984</v>
      </c>
      <c r="G291" s="10">
        <f>(+VLOOKUP($A291,FIXED_CHARTER_COST,HLOOKUP(G$7,FIXED_CHARTER_COST,2,0)+1,0)+VLOOKUP($A291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0.7836721688844438</v>
      </c>
      <c r="H291" s="10">
        <f>(+VLOOKUP($A291,FIXED_CHARTER_COST,HLOOKUP(H$7,FIXED_CHARTER_COST,2,0)+1,0)+VLOOKUP($A291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1" s="10">
        <f>(+VLOOKUP($A291,FIXED_CHARTER_COST,HLOOKUP(I$7,FIXED_CHARTER_COST,2,0)+1,0)+VLOOKUP($A291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2" spans="1:9" x14ac:dyDescent="0.2">
      <c r="A292" s="179">
        <f>+SHIPS!B308</f>
        <v>45292</v>
      </c>
      <c r="B292" s="10">
        <f>(+VLOOKUP($A292,FIXED_CHARTER_COST,HLOOKUP(B$7,FIXED_CHARTER_COST,2,0)+1,0)+VLOOKUP($A292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2" s="10">
        <f>(+VLOOKUP($A292,FIXED_CHARTER_COST,HLOOKUP(C$7,FIXED_CHARTER_COST,2,0)+1,0)+VLOOKUP($A292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2" s="10">
        <f>(+VLOOKUP($A292,FIXED_CHARTER_COST,HLOOKUP(D$7,FIXED_CHARTER_COST,2,0)+1,0)+VLOOKUP($A292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0.35231925424125943</v>
      </c>
      <c r="E292" s="10">
        <f>(+VLOOKUP($A292,FIXED_CHARTER_COST,HLOOKUP(E$7,FIXED_CHARTER_COST,2,0)+1,0)+VLOOKUP($A292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0.38438120021537686</v>
      </c>
      <c r="F292" s="10">
        <f>(+VLOOKUP($A292,FIXED_CHARTER_COST,HLOOKUP(F$7,FIXED_CHARTER_COST,2,0)+1,0)+VLOOKUP($A292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0.64438015042270302</v>
      </c>
      <c r="G292" s="10">
        <f>(+VLOOKUP($A292,FIXED_CHARTER_COST,HLOOKUP(G$7,FIXED_CHARTER_COST,2,0)+1,0)+VLOOKUP($A292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0.7839786347690334</v>
      </c>
      <c r="H292" s="10">
        <f>(+VLOOKUP($A292,FIXED_CHARTER_COST,HLOOKUP(H$7,FIXED_CHARTER_COST,2,0)+1,0)+VLOOKUP($A292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2" s="10">
        <f>(+VLOOKUP($A292,FIXED_CHARTER_COST,HLOOKUP(I$7,FIXED_CHARTER_COST,2,0)+1,0)+VLOOKUP($A292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3" spans="1:9" x14ac:dyDescent="0.2">
      <c r="A293" s="179">
        <f>+SHIPS!B309</f>
        <v>45323</v>
      </c>
      <c r="B293" s="10">
        <f>(+VLOOKUP($A293,FIXED_CHARTER_COST,HLOOKUP(B$7,FIXED_CHARTER_COST,2,0)+1,0)+VLOOKUP($A293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3" s="10">
        <f>(+VLOOKUP($A293,FIXED_CHARTER_COST,HLOOKUP(C$7,FIXED_CHARTER_COST,2,0)+1,0)+VLOOKUP($A293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3" s="10">
        <f>(+VLOOKUP($A293,FIXED_CHARTER_COST,HLOOKUP(D$7,FIXED_CHARTER_COST,2,0)+1,0)+VLOOKUP($A293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0.35246099471288211</v>
      </c>
      <c r="E293" s="10">
        <f>(+VLOOKUP($A293,FIXED_CHARTER_COST,HLOOKUP(E$7,FIXED_CHARTER_COST,2,0)+1,0)+VLOOKUP($A293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0.38453475239296814</v>
      </c>
      <c r="F293" s="10">
        <f>(+VLOOKUP($A293,FIXED_CHARTER_COST,HLOOKUP(F$7,FIXED_CHARTER_COST,2,0)+1,0)+VLOOKUP($A293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0.64462819624804268</v>
      </c>
      <c r="G293" s="10">
        <f>(+VLOOKUP($A293,FIXED_CHARTER_COST,HLOOKUP(G$7,FIXED_CHARTER_COST,2,0)+1,0)+VLOOKUP($A293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0.78428573912421595</v>
      </c>
      <c r="H293" s="10">
        <f>(+VLOOKUP($A293,FIXED_CHARTER_COST,HLOOKUP(H$7,FIXED_CHARTER_COST,2,0)+1,0)+VLOOKUP($A293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3" s="10">
        <f>(+VLOOKUP($A293,FIXED_CHARTER_COST,HLOOKUP(I$7,FIXED_CHARTER_COST,2,0)+1,0)+VLOOKUP($A293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4" spans="1:9" x14ac:dyDescent="0.2">
      <c r="A294" s="179">
        <f>+SHIPS!B310</f>
        <v>45352</v>
      </c>
      <c r="B294" s="10">
        <f>(+VLOOKUP($A294,FIXED_CHARTER_COST,HLOOKUP(B$7,FIXED_CHARTER_COST,2,0)+1,0)+VLOOKUP($A294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4" s="10">
        <f>(+VLOOKUP($A294,FIXED_CHARTER_COST,HLOOKUP(C$7,FIXED_CHARTER_COST,2,0)+1,0)+VLOOKUP($A294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4" s="10">
        <f>(+VLOOKUP($A294,FIXED_CHARTER_COST,HLOOKUP(D$7,FIXED_CHARTER_COST,2,0)+1,0)+VLOOKUP($A294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0.35260303047715397</v>
      </c>
      <c r="E294" s="10">
        <f>(+VLOOKUP($A294,FIXED_CHARTER_COST,HLOOKUP(E$7,FIXED_CHARTER_COST,2,0)+1,0)+VLOOKUP($A294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0.38468862447092927</v>
      </c>
      <c r="F294" s="10">
        <f>(+VLOOKUP($A294,FIXED_CHARTER_COST,HLOOKUP(F$7,FIXED_CHARTER_COST,2,0)+1,0)+VLOOKUP($A294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0.64487675883551843</v>
      </c>
      <c r="G294" s="10">
        <f>(+VLOOKUP($A294,FIXED_CHARTER_COST,HLOOKUP(G$7,FIXED_CHARTER_COST,2,0)+1,0)+VLOOKUP($A294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0.78459348328013823</v>
      </c>
      <c r="H294" s="10">
        <f>(+VLOOKUP($A294,FIXED_CHARTER_COST,HLOOKUP(H$7,FIXED_CHARTER_COST,2,0)+1,0)+VLOOKUP($A294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4" s="10">
        <f>(+VLOOKUP($A294,FIXED_CHARTER_COST,HLOOKUP(I$7,FIXED_CHARTER_COST,2,0)+1,0)+VLOOKUP($A294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5" spans="1:9" x14ac:dyDescent="0.2">
      <c r="A295" s="179">
        <f>+SHIPS!B311</f>
        <v>45383</v>
      </c>
      <c r="B295" s="10">
        <f>(+VLOOKUP($A295,FIXED_CHARTER_COST,HLOOKUP(B$7,FIXED_CHARTER_COST,2,0)+1,0)+VLOOKUP($A295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5" s="10">
        <f>(+VLOOKUP($A295,FIXED_CHARTER_COST,HLOOKUP(C$7,FIXED_CHARTER_COST,2,0)+1,0)+VLOOKUP($A295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5" s="10">
        <f>(+VLOOKUP($A295,FIXED_CHARTER_COST,HLOOKUP(D$7,FIXED_CHARTER_COST,2,0)+1,0)+VLOOKUP($A295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0.3527453621492681</v>
      </c>
      <c r="E295" s="10">
        <f>(+VLOOKUP($A295,FIXED_CHARTER_COST,HLOOKUP(E$7,FIXED_CHARTER_COST,2,0)+1,0)+VLOOKUP($A295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0.3848428171157196</v>
      </c>
      <c r="F295" s="10">
        <f>(+VLOOKUP($A295,FIXED_CHARTER_COST,HLOOKUP(F$7,FIXED_CHARTER_COST,2,0)+1,0)+VLOOKUP($A295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0.64512583926171818</v>
      </c>
      <c r="G295" s="10">
        <f>(+VLOOKUP($A295,FIXED_CHARTER_COST,HLOOKUP(G$7,FIXED_CHARTER_COST,2,0)+1,0)+VLOOKUP($A295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0.78490186856971889</v>
      </c>
      <c r="H295" s="10">
        <f>(+VLOOKUP($A295,FIXED_CHARTER_COST,HLOOKUP(H$7,FIXED_CHARTER_COST,2,0)+1,0)+VLOOKUP($A295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5" s="10">
        <f>(+VLOOKUP($A295,FIXED_CHARTER_COST,HLOOKUP(I$7,FIXED_CHARTER_COST,2,0)+1,0)+VLOOKUP($A295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6" spans="1:9" x14ac:dyDescent="0.2">
      <c r="A296" s="179">
        <f>+SHIPS!B312</f>
        <v>45413</v>
      </c>
      <c r="B296" s="10">
        <f>(+VLOOKUP($A296,FIXED_CHARTER_COST,HLOOKUP(B$7,FIXED_CHARTER_COST,2,0)+1,0)+VLOOKUP($A296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6" s="10">
        <f>(+VLOOKUP($A296,FIXED_CHARTER_COST,HLOOKUP(C$7,FIXED_CHARTER_COST,2,0)+1,0)+VLOOKUP($A296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6" s="10">
        <f>(+VLOOKUP($A296,FIXED_CHARTER_COST,HLOOKUP(D$7,FIXED_CHARTER_COST,2,0)+1,0)+VLOOKUP($A296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0.35288799034569912</v>
      </c>
      <c r="E296" s="10">
        <f>(+VLOOKUP($A296,FIXED_CHARTER_COST,HLOOKUP(E$7,FIXED_CHARTER_COST,2,0)+1,0)+VLOOKUP($A296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0.38499733099518657</v>
      </c>
      <c r="F296" s="10">
        <f>(+VLOOKUP($A296,FIXED_CHARTER_COST,HLOOKUP(F$7,FIXED_CHARTER_COST,2,0)+1,0)+VLOOKUP($A296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0.64537543860547242</v>
      </c>
      <c r="G296" s="10">
        <f>(+VLOOKUP($A296,FIXED_CHARTER_COST,HLOOKUP(G$7,FIXED_CHARTER_COST,2,0)+1,0)+VLOOKUP($A296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0.78521089632865271</v>
      </c>
      <c r="H296" s="10">
        <f>(+VLOOKUP($A296,FIXED_CHARTER_COST,HLOOKUP(H$7,FIXED_CHARTER_COST,2,0)+1,0)+VLOOKUP($A296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6" s="10">
        <f>(+VLOOKUP($A296,FIXED_CHARTER_COST,HLOOKUP(I$7,FIXED_CHARTER_COST,2,0)+1,0)+VLOOKUP($A296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7" spans="1:9" x14ac:dyDescent="0.2">
      <c r="A297" s="179">
        <f>+SHIPS!B313</f>
        <v>45444</v>
      </c>
      <c r="B297" s="10">
        <f>(+VLOOKUP($A297,FIXED_CHARTER_COST,HLOOKUP(B$7,FIXED_CHARTER_COST,2,0)+1,0)+VLOOKUP($A297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7" s="10">
        <f>(+VLOOKUP($A297,FIXED_CHARTER_COST,HLOOKUP(C$7,FIXED_CHARTER_COST,2,0)+1,0)+VLOOKUP($A297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7" s="10">
        <f>(+VLOOKUP($A297,FIXED_CHARTER_COST,HLOOKUP(D$7,FIXED_CHARTER_COST,2,0)+1,0)+VLOOKUP($A297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0.35303091568420608</v>
      </c>
      <c r="E297" s="10">
        <f>(+VLOOKUP($A297,FIXED_CHARTER_COST,HLOOKUP(E$7,FIXED_CHARTER_COST,2,0)+1,0)+VLOOKUP($A297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0.38515216677856906</v>
      </c>
      <c r="F297" s="10">
        <f>(+VLOOKUP($A297,FIXED_CHARTER_COST,HLOOKUP(F$7,FIXED_CHARTER_COST,2,0)+1,0)+VLOOKUP($A297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0.64562555794785959</v>
      </c>
      <c r="G297" s="10">
        <f>(+VLOOKUP($A297,FIXED_CHARTER_COST,HLOOKUP(G$7,FIXED_CHARTER_COST,2,0)+1,0)+VLOOKUP($A297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0.7855205678954178</v>
      </c>
      <c r="H297" s="10">
        <f>(+VLOOKUP($A297,FIXED_CHARTER_COST,HLOOKUP(H$7,FIXED_CHARTER_COST,2,0)+1,0)+VLOOKUP($A297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7" s="10">
        <f>(+VLOOKUP($A297,FIXED_CHARTER_COST,HLOOKUP(I$7,FIXED_CHARTER_COST,2,0)+1,0)+VLOOKUP($A297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8" spans="1:9" x14ac:dyDescent="0.2">
      <c r="A298" s="179">
        <f>+SHIPS!B314</f>
        <v>45474</v>
      </c>
      <c r="B298" s="10">
        <f>(+VLOOKUP($A298,FIXED_CHARTER_COST,HLOOKUP(B$7,FIXED_CHARTER_COST,2,0)+1,0)+VLOOKUP($A298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8" s="10">
        <f>(+VLOOKUP($A298,FIXED_CHARTER_COST,HLOOKUP(C$7,FIXED_CHARTER_COST,2,0)+1,0)+VLOOKUP($A298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8" s="10">
        <f>(+VLOOKUP($A298,FIXED_CHARTER_COST,HLOOKUP(D$7,FIXED_CHARTER_COST,2,0)+1,0)+VLOOKUP($A298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0.35317413878383486</v>
      </c>
      <c r="E298" s="10">
        <f>(+VLOOKUP($A298,FIXED_CHARTER_COST,HLOOKUP(E$7,FIXED_CHARTER_COST,2,0)+1,0)+VLOOKUP($A298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0.38530732513650029</v>
      </c>
      <c r="F298" s="10">
        <f>(+VLOOKUP($A298,FIXED_CHARTER_COST,HLOOKUP(F$7,FIXED_CHARTER_COST,2,0)+1,0)+VLOOKUP($A298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0.64587619837220989</v>
      </c>
      <c r="G298" s="10">
        <f>(+VLOOKUP($A298,FIXED_CHARTER_COST,HLOOKUP(G$7,FIXED_CHARTER_COST,2,0)+1,0)+VLOOKUP($A298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0.78583088461128014</v>
      </c>
      <c r="H298" s="10">
        <f>(+VLOOKUP($A298,FIXED_CHARTER_COST,HLOOKUP(H$7,FIXED_CHARTER_COST,2,0)+1,0)+VLOOKUP($A298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8" s="10">
        <f>(+VLOOKUP($A298,FIXED_CHARTER_COST,HLOOKUP(I$7,FIXED_CHARTER_COST,2,0)+1,0)+VLOOKUP($A298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9" spans="1:9" x14ac:dyDescent="0.2">
      <c r="A299" s="179">
        <f>+SHIPS!B315</f>
        <v>45505</v>
      </c>
      <c r="B299" s="10">
        <f>(+VLOOKUP($A299,FIXED_CHARTER_COST,HLOOKUP(B$7,FIXED_CHARTER_COST,2,0)+1,0)+VLOOKUP($A299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9" s="10">
        <f>(+VLOOKUP($A299,FIXED_CHARTER_COST,HLOOKUP(C$7,FIXED_CHARTER_COST,2,0)+1,0)+VLOOKUP($A299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9" s="10">
        <f>(+VLOOKUP($A299,FIXED_CHARTER_COST,HLOOKUP(D$7,FIXED_CHARTER_COST,2,0)+1,0)+VLOOKUP($A299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0.35331766026492128</v>
      </c>
      <c r="E299" s="10">
        <f>(+VLOOKUP($A299,FIXED_CHARTER_COST,HLOOKUP(E$7,FIXED_CHARTER_COST,2,0)+1,0)+VLOOKUP($A299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0.38546280674101058</v>
      </c>
      <c r="F299" s="10">
        <f>(+VLOOKUP($A299,FIXED_CHARTER_COST,HLOOKUP(F$7,FIXED_CHARTER_COST,2,0)+1,0)+VLOOKUP($A299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0.64612736096411116</v>
      </c>
      <c r="G299" s="10">
        <f>(+VLOOKUP($A299,FIXED_CHARTER_COST,HLOOKUP(G$7,FIXED_CHARTER_COST,2,0)+1,0)+VLOOKUP($A299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0.78614184782030072</v>
      </c>
      <c r="H299" s="10">
        <f>(+VLOOKUP($A299,FIXED_CHARTER_COST,HLOOKUP(H$7,FIXED_CHARTER_COST,2,0)+1,0)+VLOOKUP($A299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9" s="10">
        <f>(+VLOOKUP($A299,FIXED_CHARTER_COST,HLOOKUP(I$7,FIXED_CHARTER_COST,2,0)+1,0)+VLOOKUP($A299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0" spans="1:9" x14ac:dyDescent="0.2">
      <c r="A300" s="179">
        <f>+SHIPS!B316</f>
        <v>45536</v>
      </c>
      <c r="B300" s="10">
        <f>(+VLOOKUP($A300,FIXED_CHARTER_COST,HLOOKUP(B$7,FIXED_CHARTER_COST,2,0)+1,0)+VLOOKUP($A300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0" s="10">
        <f>(+VLOOKUP($A300,FIXED_CHARTER_COST,HLOOKUP(C$7,FIXED_CHARTER_COST,2,0)+1,0)+VLOOKUP($A300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0" s="10">
        <f>(+VLOOKUP($A300,FIXED_CHARTER_COST,HLOOKUP(D$7,FIXED_CHARTER_COST,2,0)+1,0)+VLOOKUP($A300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0.35346148074909317</v>
      </c>
      <c r="E300" s="10">
        <f>(+VLOOKUP($A300,FIXED_CHARTER_COST,HLOOKUP(E$7,FIXED_CHARTER_COST,2,0)+1,0)+VLOOKUP($A300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0.38561861226553013</v>
      </c>
      <c r="F300" s="10">
        <f>(+VLOOKUP($A300,FIXED_CHARTER_COST,HLOOKUP(F$7,FIXED_CHARTER_COST,2,0)+1,0)+VLOOKUP($A300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0.64637904681141201</v>
      </c>
      <c r="G300" s="10">
        <f>(+VLOOKUP($A300,FIXED_CHARTER_COST,HLOOKUP(G$7,FIXED_CHARTER_COST,2,0)+1,0)+VLOOKUP($A300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0.78645345886933982</v>
      </c>
      <c r="H300" s="10">
        <f>(+VLOOKUP($A300,FIXED_CHARTER_COST,HLOOKUP(H$7,FIXED_CHARTER_COST,2,0)+1,0)+VLOOKUP($A300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0" s="10">
        <f>(+VLOOKUP($A300,FIXED_CHARTER_COST,HLOOKUP(I$7,FIXED_CHARTER_COST,2,0)+1,0)+VLOOKUP($A300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1" spans="1:9" x14ac:dyDescent="0.2">
      <c r="A301" s="179">
        <f>+SHIPS!B317</f>
        <v>45566</v>
      </c>
      <c r="B301" s="10">
        <f>(+VLOOKUP($A301,FIXED_CHARTER_COST,HLOOKUP(B$7,FIXED_CHARTER_COST,2,0)+1,0)+VLOOKUP($A301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1" s="10">
        <f>(+VLOOKUP($A301,FIXED_CHARTER_COST,HLOOKUP(C$7,FIXED_CHARTER_COST,2,0)+1,0)+VLOOKUP($A301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1" s="10">
        <f>(+VLOOKUP($A301,FIXED_CHARTER_COST,HLOOKUP(D$7,FIXED_CHARTER_COST,2,0)+1,0)+VLOOKUP($A301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0.35360560085927389</v>
      </c>
      <c r="E301" s="10">
        <f>(+VLOOKUP($A301,FIXED_CHARTER_COST,HLOOKUP(E$7,FIXED_CHARTER_COST,2,0)+1,0)+VLOOKUP($A301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0.38577474238489257</v>
      </c>
      <c r="F301" s="10">
        <f>(+VLOOKUP($A301,FIXED_CHARTER_COST,HLOOKUP(F$7,FIXED_CHARTER_COST,2,0)+1,0)+VLOOKUP($A301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0.6466312570042283</v>
      </c>
      <c r="G301" s="10">
        <f>(+VLOOKUP($A301,FIXED_CHARTER_COST,HLOOKUP(G$7,FIXED_CHARTER_COST,2,0)+1,0)+VLOOKUP($A301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0.78676571910806481</v>
      </c>
      <c r="H301" s="10">
        <f>(+VLOOKUP($A301,FIXED_CHARTER_COST,HLOOKUP(H$7,FIXED_CHARTER_COST,2,0)+1,0)+VLOOKUP($A301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1" s="10">
        <f>(+VLOOKUP($A301,FIXED_CHARTER_COST,HLOOKUP(I$7,FIXED_CHARTER_COST,2,0)+1,0)+VLOOKUP($A301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2" spans="1:9" x14ac:dyDescent="0.2">
      <c r="A302" s="179">
        <f>+SHIPS!B318</f>
        <v>45597</v>
      </c>
      <c r="B302" s="10">
        <f>(+VLOOKUP($A302,FIXED_CHARTER_COST,HLOOKUP(B$7,FIXED_CHARTER_COST,2,0)+1,0)+VLOOKUP($A302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2" s="10">
        <f>(+VLOOKUP($A302,FIXED_CHARTER_COST,HLOOKUP(C$7,FIXED_CHARTER_COST,2,0)+1,0)+VLOOKUP($A302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2" s="10">
        <f>(+VLOOKUP($A302,FIXED_CHARTER_COST,HLOOKUP(D$7,FIXED_CHARTER_COST,2,0)+1,0)+VLOOKUP($A302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0.35375002121968407</v>
      </c>
      <c r="E302" s="10">
        <f>(+VLOOKUP($A302,FIXED_CHARTER_COST,HLOOKUP(E$7,FIXED_CHARTER_COST,2,0)+1,0)+VLOOKUP($A302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0.38593119777533685</v>
      </c>
      <c r="F302" s="10">
        <f>(+VLOOKUP($A302,FIXED_CHARTER_COST,HLOOKUP(F$7,FIXED_CHARTER_COST,2,0)+1,0)+VLOOKUP($A302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0.646883992634946</v>
      </c>
      <c r="G302" s="10">
        <f>(+VLOOKUP($A302,FIXED_CHARTER_COST,HLOOKUP(G$7,FIXED_CHARTER_COST,2,0)+1,0)+VLOOKUP($A302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0.78707862988895338</v>
      </c>
      <c r="H302" s="10">
        <f>(+VLOOKUP($A302,FIXED_CHARTER_COST,HLOOKUP(H$7,FIXED_CHARTER_COST,2,0)+1,0)+VLOOKUP($A302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2" s="10">
        <f>(+VLOOKUP($A302,FIXED_CHARTER_COST,HLOOKUP(I$7,FIXED_CHARTER_COST,2,0)+1,0)+VLOOKUP($A302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3" spans="1:9" x14ac:dyDescent="0.2">
      <c r="A303" s="179">
        <f>+SHIPS!B319</f>
        <v>45627</v>
      </c>
      <c r="B303" s="10">
        <f>(+VLOOKUP($A303,FIXED_CHARTER_COST,HLOOKUP(B$7,FIXED_CHARTER_COST,2,0)+1,0)+VLOOKUP($A303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3" s="10">
        <f>(+VLOOKUP($A303,FIXED_CHARTER_COST,HLOOKUP(C$7,FIXED_CHARTER_COST,2,0)+1,0)+VLOOKUP($A303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3" s="10">
        <f>(+VLOOKUP($A303,FIXED_CHARTER_COST,HLOOKUP(D$7,FIXED_CHARTER_COST,2,0)+1,0)+VLOOKUP($A303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0.35389474245584518</v>
      </c>
      <c r="E303" s="10">
        <f>(+VLOOKUP($A303,FIXED_CHARTER_COST,HLOOKUP(E$7,FIXED_CHARTER_COST,2,0)+1,0)+VLOOKUP($A303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0.38608797911451148</v>
      </c>
      <c r="F303" s="10">
        <f>(+VLOOKUP($A303,FIXED_CHARTER_COST,HLOOKUP(F$7,FIXED_CHARTER_COST,2,0)+1,0)+VLOOKUP($A303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0.64713725479822803</v>
      </c>
      <c r="G303" s="10">
        <f>(+VLOOKUP($A303,FIXED_CHARTER_COST,HLOOKUP(G$7,FIXED_CHARTER_COST,2,0)+1,0)+VLOOKUP($A303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0.78739219256730253</v>
      </c>
      <c r="H303" s="10">
        <f>(+VLOOKUP($A303,FIXED_CHARTER_COST,HLOOKUP(H$7,FIXED_CHARTER_COST,2,0)+1,0)+VLOOKUP($A303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3" s="10">
        <f>(+VLOOKUP($A303,FIXED_CHARTER_COST,HLOOKUP(I$7,FIXED_CHARTER_COST,2,0)+1,0)+VLOOKUP($A303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4" spans="1:9" x14ac:dyDescent="0.2">
      <c r="A304" s="179">
        <f>+SHIPS!B320</f>
        <v>45658</v>
      </c>
      <c r="B304" s="10">
        <f>(+VLOOKUP($A304,FIXED_CHARTER_COST,HLOOKUP(B$7,FIXED_CHARTER_COST,2,0)+1,0)+VLOOKUP($A304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4" s="10">
        <f>(+VLOOKUP($A304,FIXED_CHARTER_COST,HLOOKUP(C$7,FIXED_CHARTER_COST,2,0)+1,0)+VLOOKUP($A304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4" s="10">
        <f>(+VLOOKUP($A304,FIXED_CHARTER_COST,HLOOKUP(D$7,FIXED_CHARTER_COST,2,0)+1,0)+VLOOKUP($A304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0.35403976519458152</v>
      </c>
      <c r="E304" s="10">
        <f>(+VLOOKUP($A304,FIXED_CHARTER_COST,HLOOKUP(E$7,FIXED_CHARTER_COST,2,0)+1,0)+VLOOKUP($A304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0.38624508708147581</v>
      </c>
      <c r="F304" s="10">
        <f>(+VLOOKUP($A304,FIXED_CHARTER_COST,HLOOKUP(F$7,FIXED_CHARTER_COST,2,0)+1,0)+VLOOKUP($A304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0.6473910445910166</v>
      </c>
      <c r="G304" s="10">
        <f>(+VLOOKUP($A304,FIXED_CHARTER_COST,HLOOKUP(G$7,FIXED_CHARTER_COST,2,0)+1,0)+VLOOKUP($A304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0.7877064085012313</v>
      </c>
      <c r="H304" s="10">
        <f>(+VLOOKUP($A304,FIXED_CHARTER_COST,HLOOKUP(H$7,FIXED_CHARTER_COST,2,0)+1,0)+VLOOKUP($A304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4" s="10">
        <f>(+VLOOKUP($A304,FIXED_CHARTER_COST,HLOOKUP(I$7,FIXED_CHARTER_COST,2,0)+1,0)+VLOOKUP($A304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5" spans="1:9" x14ac:dyDescent="0.2">
      <c r="A305" s="179">
        <f>+SHIPS!B321</f>
        <v>45689</v>
      </c>
      <c r="B305" s="10">
        <f>(+VLOOKUP($A305,FIXED_CHARTER_COST,HLOOKUP(B$7,FIXED_CHARTER_COST,2,0)+1,0)+VLOOKUP($A305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5" s="10">
        <f>(+VLOOKUP($A305,FIXED_CHARTER_COST,HLOOKUP(C$7,FIXED_CHARTER_COST,2,0)+1,0)+VLOOKUP($A305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5" s="10">
        <f>(+VLOOKUP($A305,FIXED_CHARTER_COST,HLOOKUP(D$7,FIXED_CHARTER_COST,2,0)+1,0)+VLOOKUP($A305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0.3541850900640236</v>
      </c>
      <c r="E305" s="10">
        <f>(+VLOOKUP($A305,FIXED_CHARTER_COST,HLOOKUP(E$7,FIXED_CHARTER_COST,2,0)+1,0)+VLOOKUP($A305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0.38640252235670475</v>
      </c>
      <c r="F305" s="10">
        <f>(+VLOOKUP($A305,FIXED_CHARTER_COST,HLOOKUP(F$7,FIXED_CHARTER_COST,2,0)+1,0)+VLOOKUP($A305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0.64764536311254028</v>
      </c>
      <c r="G305" s="10">
        <f>(+VLOOKUP($A305,FIXED_CHARTER_COST,HLOOKUP(G$7,FIXED_CHARTER_COST,2,0)+1,0)+VLOOKUP($A305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0.78802127905168917</v>
      </c>
      <c r="H305" s="10">
        <f>(+VLOOKUP($A305,FIXED_CHARTER_COST,HLOOKUP(H$7,FIXED_CHARTER_COST,2,0)+1,0)+VLOOKUP($A305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5" s="10">
        <f>(+VLOOKUP($A305,FIXED_CHARTER_COST,HLOOKUP(I$7,FIXED_CHARTER_COST,2,0)+1,0)+VLOOKUP($A305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6" spans="1:9" x14ac:dyDescent="0.2">
      <c r="A306" s="179">
        <f>+SHIPS!B322</f>
        <v>45717</v>
      </c>
      <c r="B306" s="10">
        <f>(+VLOOKUP($A306,FIXED_CHARTER_COST,HLOOKUP(B$7,FIXED_CHARTER_COST,2,0)+1,0)+VLOOKUP($A306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6" s="10">
        <f>(+VLOOKUP($A306,FIXED_CHARTER_COST,HLOOKUP(C$7,FIXED_CHARTER_COST,2,0)+1,0)+VLOOKUP($A306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6" s="10">
        <f>(+VLOOKUP($A306,FIXED_CHARTER_COST,HLOOKUP(D$7,FIXED_CHARTER_COST,2,0)+1,0)+VLOOKUP($A306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0.35433071769361041</v>
      </c>
      <c r="E306" s="10">
        <f>(+VLOOKUP($A306,FIXED_CHARTER_COST,HLOOKUP(E$7,FIXED_CHARTER_COST,2,0)+1,0)+VLOOKUP($A306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0.38656028562209038</v>
      </c>
      <c r="F306" s="10">
        <f>(+VLOOKUP($A306,FIXED_CHARTER_COST,HLOOKUP(F$7,FIXED_CHARTER_COST,2,0)+1,0)+VLOOKUP($A306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0.64790021146431709</v>
      </c>
      <c r="G306" s="10">
        <f>(+VLOOKUP($A306,FIXED_CHARTER_COST,HLOOKUP(G$7,FIXED_CHARTER_COST,2,0)+1,0)+VLOOKUP($A306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0.78833680558246044</v>
      </c>
      <c r="H306" s="10">
        <f>(+VLOOKUP($A306,FIXED_CHARTER_COST,HLOOKUP(H$7,FIXED_CHARTER_COST,2,0)+1,0)+VLOOKUP($A306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6" s="10">
        <f>(+VLOOKUP($A306,FIXED_CHARTER_COST,HLOOKUP(I$7,FIXED_CHARTER_COST,2,0)+1,0)+VLOOKUP($A306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7" spans="1:9" x14ac:dyDescent="0.2">
      <c r="A307" s="179">
        <f>+SHIPS!B323</f>
        <v>45748</v>
      </c>
      <c r="B307" s="10">
        <f>(+VLOOKUP($A307,FIXED_CHARTER_COST,HLOOKUP(B$7,FIXED_CHARTER_COST,2,0)+1,0)+VLOOKUP($A307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7" s="10">
        <f>(+VLOOKUP($A307,FIXED_CHARTER_COST,HLOOKUP(C$7,FIXED_CHARTER_COST,2,0)+1,0)+VLOOKUP($A307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7" s="10">
        <f>(+VLOOKUP($A307,FIXED_CHARTER_COST,HLOOKUP(D$7,FIXED_CHARTER_COST,2,0)+1,0)+VLOOKUP($A307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0.35447664871409212</v>
      </c>
      <c r="E307" s="10">
        <f>(+VLOOKUP($A307,FIXED_CHARTER_COST,HLOOKUP(E$7,FIXED_CHARTER_COST,2,0)+1,0)+VLOOKUP($A307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0.38671837756094557</v>
      </c>
      <c r="F307" s="10">
        <f>(+VLOOKUP($A307,FIXED_CHARTER_COST,HLOOKUP(F$7,FIXED_CHARTER_COST,2,0)+1,0)+VLOOKUP($A307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0.64815559075016016</v>
      </c>
      <c r="G307" s="10">
        <f>(+VLOOKUP($A307,FIXED_CHARTER_COST,HLOOKUP(G$7,FIXED_CHARTER_COST,2,0)+1,0)+VLOOKUP($A307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0.78865298946017082</v>
      </c>
      <c r="H307" s="10">
        <f>(+VLOOKUP($A307,FIXED_CHARTER_COST,HLOOKUP(H$7,FIXED_CHARTER_COST,2,0)+1,0)+VLOOKUP($A307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7" s="10">
        <f>(+VLOOKUP($A307,FIXED_CHARTER_COST,HLOOKUP(I$7,FIXED_CHARTER_COST,2,0)+1,0)+VLOOKUP($A307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8" spans="1:9" x14ac:dyDescent="0.2">
      <c r="A308" s="179">
        <f>+SHIPS!B324</f>
        <v>45778</v>
      </c>
      <c r="B308" s="10">
        <f>(+VLOOKUP($A308,FIXED_CHARTER_COST,HLOOKUP(B$7,FIXED_CHARTER_COST,2,0)+1,0)+VLOOKUP($A308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8" s="10">
        <f>(+VLOOKUP($A308,FIXED_CHARTER_COST,HLOOKUP(C$7,FIXED_CHARTER_COST,2,0)+1,0)+VLOOKUP($A308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8" s="10">
        <f>(+VLOOKUP($A308,FIXED_CHARTER_COST,HLOOKUP(D$7,FIXED_CHARTER_COST,2,0)+1,0)+VLOOKUP($A308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0.3546228837575332</v>
      </c>
      <c r="E308" s="10">
        <f>(+VLOOKUP($A308,FIXED_CHARTER_COST,HLOOKUP(E$7,FIXED_CHARTER_COST,2,0)+1,0)+VLOOKUP($A308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0.3868767988580068</v>
      </c>
      <c r="F308" s="10">
        <f>(+VLOOKUP($A308,FIXED_CHARTER_COST,HLOOKUP(F$7,FIXED_CHARTER_COST,2,0)+1,0)+VLOOKUP($A308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0.64841150207618203</v>
      </c>
      <c r="G308" s="10">
        <f>(+VLOOKUP($A308,FIXED_CHARTER_COST,HLOOKUP(G$7,FIXED_CHARTER_COST,2,0)+1,0)+VLOOKUP($A308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0.78896983205429327</v>
      </c>
      <c r="H308" s="10">
        <f>(+VLOOKUP($A308,FIXED_CHARTER_COST,HLOOKUP(H$7,FIXED_CHARTER_COST,2,0)+1,0)+VLOOKUP($A308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8" s="10">
        <f>(+VLOOKUP($A308,FIXED_CHARTER_COST,HLOOKUP(I$7,FIXED_CHARTER_COST,2,0)+1,0)+VLOOKUP($A308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9" spans="1:9" x14ac:dyDescent="0.2">
      <c r="A309" s="179">
        <f>+SHIPS!B325</f>
        <v>45809</v>
      </c>
      <c r="B309" s="10">
        <f>(+VLOOKUP($A309,FIXED_CHARTER_COST,HLOOKUP(B$7,FIXED_CHARTER_COST,2,0)+1,0)+VLOOKUP($A309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9" s="10">
        <f>(+VLOOKUP($A309,FIXED_CHARTER_COST,HLOOKUP(C$7,FIXED_CHARTER_COST,2,0)+1,0)+VLOOKUP($A309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9" s="10">
        <f>(+VLOOKUP($A309,FIXED_CHARTER_COST,HLOOKUP(D$7,FIXED_CHARTER_COST,2,0)+1,0)+VLOOKUP($A309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0.35476942345731477</v>
      </c>
      <c r="E309" s="10">
        <f>(+VLOOKUP($A309,FIXED_CHARTER_COST,HLOOKUP(E$7,FIXED_CHARTER_COST,2,0)+1,0)+VLOOKUP($A309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0.38703555019943686</v>
      </c>
      <c r="F309" s="10">
        <f>(+VLOOKUP($A309,FIXED_CHARTER_COST,HLOOKUP(F$7,FIXED_CHARTER_COST,2,0)+1,0)+VLOOKUP($A309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0.64866794655079985</v>
      </c>
      <c r="G309" s="10">
        <f>(+VLOOKUP($A309,FIXED_CHARTER_COST,HLOOKUP(G$7,FIXED_CHARTER_COST,2,0)+1,0)+VLOOKUP($A309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0.78928733473715329</v>
      </c>
      <c r="H309" s="10">
        <f>(+VLOOKUP($A309,FIXED_CHARTER_COST,HLOOKUP(H$7,FIXED_CHARTER_COST,2,0)+1,0)+VLOOKUP($A309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9" s="10">
        <f>(+VLOOKUP($A309,FIXED_CHARTER_COST,HLOOKUP(I$7,FIXED_CHARTER_COST,2,0)+1,0)+VLOOKUP($A309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0" spans="1:9" x14ac:dyDescent="0.2">
      <c r="A310" s="179">
        <f>+SHIPS!B326</f>
        <v>45839</v>
      </c>
      <c r="B310" s="10">
        <f>(+VLOOKUP($A310,FIXED_CHARTER_COST,HLOOKUP(B$7,FIXED_CHARTER_COST,2,0)+1,0)+VLOOKUP($A310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0" s="10">
        <f>(+VLOOKUP($A310,FIXED_CHARTER_COST,HLOOKUP(C$7,FIXED_CHARTER_COST,2,0)+1,0)+VLOOKUP($A310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0" s="10">
        <f>(+VLOOKUP($A310,FIXED_CHARTER_COST,HLOOKUP(D$7,FIXED_CHARTER_COST,2,0)+1,0)+VLOOKUP($A310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0.35491626844813756</v>
      </c>
      <c r="E310" s="10">
        <f>(+VLOOKUP($A310,FIXED_CHARTER_COST,HLOOKUP(E$7,FIXED_CHARTER_COST,2,0)+1,0)+VLOOKUP($A310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0.38719463227282819</v>
      </c>
      <c r="F310" s="10">
        <f>(+VLOOKUP($A310,FIXED_CHARTER_COST,HLOOKUP(F$7,FIXED_CHARTER_COST,2,0)+1,0)+VLOOKUP($A310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0.64892492528473966</v>
      </c>
      <c r="G310" s="10">
        <f>(+VLOOKUP($A310,FIXED_CHARTER_COST,HLOOKUP(G$7,FIXED_CHARTER_COST,2,0)+1,0)+VLOOKUP($A310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0.78960549888393605</v>
      </c>
      <c r="H310" s="10">
        <f>(+VLOOKUP($A310,FIXED_CHARTER_COST,HLOOKUP(H$7,FIXED_CHARTER_COST,2,0)+1,0)+VLOOKUP($A310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0" s="10">
        <f>(+VLOOKUP($A310,FIXED_CHARTER_COST,HLOOKUP(I$7,FIXED_CHARTER_COST,2,0)+1,0)+VLOOKUP($A310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1" spans="1:9" x14ac:dyDescent="0.2">
      <c r="A311" s="179">
        <f>+SHIPS!B327</f>
        <v>45870</v>
      </c>
      <c r="B311" s="10">
        <f>(+VLOOKUP($A311,FIXED_CHARTER_COST,HLOOKUP(B$7,FIXED_CHARTER_COST,2,0)+1,0)+VLOOKUP($A311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1" s="10">
        <f>(+VLOOKUP($A311,FIXED_CHARTER_COST,HLOOKUP(C$7,FIXED_CHARTER_COST,2,0)+1,0)+VLOOKUP($A311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1" s="10">
        <f>(+VLOOKUP($A311,FIXED_CHARTER_COST,HLOOKUP(D$7,FIXED_CHARTER_COST,2,0)+1,0)+VLOOKUP($A311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0.35506341936602459</v>
      </c>
      <c r="E311" s="10">
        <f>(+VLOOKUP($A311,FIXED_CHARTER_COST,HLOOKUP(E$7,FIXED_CHARTER_COST,2,0)+1,0)+VLOOKUP($A311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0.38735404576720583</v>
      </c>
      <c r="F311" s="10">
        <f>(+VLOOKUP($A311,FIXED_CHARTER_COST,HLOOKUP(F$7,FIXED_CHARTER_COST,2,0)+1,0)+VLOOKUP($A311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0.64918243939104192</v>
      </c>
      <c r="G311" s="10">
        <f>(+VLOOKUP($A311,FIXED_CHARTER_COST,HLOOKUP(G$7,FIXED_CHARTER_COST,2,0)+1,0)+VLOOKUP($A311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0.78992432587269124</v>
      </c>
      <c r="H311" s="10">
        <f>(+VLOOKUP($A311,FIXED_CHARTER_COST,HLOOKUP(H$7,FIXED_CHARTER_COST,2,0)+1,0)+VLOOKUP($A311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1" s="10">
        <f>(+VLOOKUP($A311,FIXED_CHARTER_COST,HLOOKUP(I$7,FIXED_CHARTER_COST,2,0)+1,0)+VLOOKUP($A311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2" spans="1:9" x14ac:dyDescent="0.2">
      <c r="A312" s="179">
        <f>+SHIPS!B328</f>
        <v>45901</v>
      </c>
      <c r="B312" s="10">
        <f>(+VLOOKUP($A312,FIXED_CHARTER_COST,HLOOKUP(B$7,FIXED_CHARTER_COST,2,0)+1,0)+VLOOKUP($A312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2" s="10">
        <f>(+VLOOKUP($A312,FIXED_CHARTER_COST,HLOOKUP(C$7,FIXED_CHARTER_COST,2,0)+1,0)+VLOOKUP($A312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2" s="10">
        <f>(+VLOOKUP($A312,FIXED_CHARTER_COST,HLOOKUP(D$7,FIXED_CHARTER_COST,2,0)+1,0)+VLOOKUP($A312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0.35521087684832386</v>
      </c>
      <c r="E312" s="10">
        <f>(+VLOOKUP($A312,FIXED_CHARTER_COST,HLOOKUP(E$7,FIXED_CHARTER_COST,2,0)+1,0)+VLOOKUP($A312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0.38751379137303005</v>
      </c>
      <c r="F312" s="10">
        <f>(+VLOOKUP($A312,FIXED_CHARTER_COST,HLOOKUP(F$7,FIXED_CHARTER_COST,2,0)+1,0)+VLOOKUP($A312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0.64944048998506565</v>
      </c>
      <c r="G312" s="10">
        <f>(+VLOOKUP($A312,FIXED_CHARTER_COST,HLOOKUP(G$7,FIXED_CHARTER_COST,2,0)+1,0)+VLOOKUP($A312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0.79024381708433966</v>
      </c>
      <c r="H312" s="10">
        <f>(+VLOOKUP($A312,FIXED_CHARTER_COST,HLOOKUP(H$7,FIXED_CHARTER_COST,2,0)+1,0)+VLOOKUP($A312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2" s="10">
        <f>(+VLOOKUP($A312,FIXED_CHARTER_COST,HLOOKUP(I$7,FIXED_CHARTER_COST,2,0)+1,0)+VLOOKUP($A312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3" spans="1:9" x14ac:dyDescent="0.2">
      <c r="A313" s="179">
        <f>+SHIPS!B329</f>
        <v>45931</v>
      </c>
      <c r="B313" s="10">
        <f>(+VLOOKUP($A313,FIXED_CHARTER_COST,HLOOKUP(B$7,FIXED_CHARTER_COST,2,0)+1,0)+VLOOKUP($A313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3" s="10">
        <f>(+VLOOKUP($A313,FIXED_CHARTER_COST,HLOOKUP(C$7,FIXED_CHARTER_COST,2,0)+1,0)+VLOOKUP($A313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3" s="10">
        <f>(+VLOOKUP($A313,FIXED_CHARTER_COST,HLOOKUP(D$7,FIXED_CHARTER_COST,2,0)+1,0)+VLOOKUP($A313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0.35535864153371122</v>
      </c>
      <c r="E313" s="10">
        <f>(+VLOOKUP($A313,FIXED_CHARTER_COST,HLOOKUP(E$7,FIXED_CHARTER_COST,2,0)+1,0)+VLOOKUP($A313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0.3876738697821997</v>
      </c>
      <c r="F313" s="10">
        <f>(+VLOOKUP($A313,FIXED_CHARTER_COST,HLOOKUP(F$7,FIXED_CHARTER_COST,2,0)+1,0)+VLOOKUP($A313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0.64969907818449357</v>
      </c>
      <c r="G313" s="10">
        <f>(+VLOOKUP($A313,FIXED_CHARTER_COST,HLOOKUP(G$7,FIXED_CHARTER_COST,2,0)+1,0)+VLOOKUP($A313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0.79056397390267896</v>
      </c>
      <c r="H313" s="10">
        <f>(+VLOOKUP($A313,FIXED_CHARTER_COST,HLOOKUP(H$7,FIXED_CHARTER_COST,2,0)+1,0)+VLOOKUP($A313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3" s="10">
        <f>(+VLOOKUP($A313,FIXED_CHARTER_COST,HLOOKUP(I$7,FIXED_CHARTER_COST,2,0)+1,0)+VLOOKUP($A313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4" spans="1:9" x14ac:dyDescent="0.2">
      <c r="A314" s="179">
        <f>+SHIPS!B330</f>
        <v>45962</v>
      </c>
      <c r="B314" s="10">
        <f>(+VLOOKUP($A314,FIXED_CHARTER_COST,HLOOKUP(B$7,FIXED_CHARTER_COST,2,0)+1,0)+VLOOKUP($A314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4" s="10">
        <f>(+VLOOKUP($A314,FIXED_CHARTER_COST,HLOOKUP(C$7,FIXED_CHARTER_COST,2,0)+1,0)+VLOOKUP($A314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4" s="10">
        <f>(+VLOOKUP($A314,FIXED_CHARTER_COST,HLOOKUP(D$7,FIXED_CHARTER_COST,2,0)+1,0)+VLOOKUP($A314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0.3555067140621932</v>
      </c>
      <c r="E314" s="10">
        <f>(+VLOOKUP($A314,FIXED_CHARTER_COST,HLOOKUP(E$7,FIXED_CHARTER_COST,2,0)+1,0)+VLOOKUP($A314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0.38783428168805517</v>
      </c>
      <c r="F314" s="10">
        <f>(+VLOOKUP($A314,FIXED_CHARTER_COST,HLOOKUP(F$7,FIXED_CHARTER_COST,2,0)+1,0)+VLOOKUP($A314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0.64995820510933699</v>
      </c>
      <c r="G314" s="10">
        <f>(+VLOOKUP($A314,FIXED_CHARTER_COST,HLOOKUP(G$7,FIXED_CHARTER_COST,2,0)+1,0)+VLOOKUP($A314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0.79088479771438991</v>
      </c>
      <c r="H314" s="10">
        <f>(+VLOOKUP($A314,FIXED_CHARTER_COST,HLOOKUP(H$7,FIXED_CHARTER_COST,2,0)+1,0)+VLOOKUP($A314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4" s="10">
        <f>(+VLOOKUP($A314,FIXED_CHARTER_COST,HLOOKUP(I$7,FIXED_CHARTER_COST,2,0)+1,0)+VLOOKUP($A314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5" spans="1:9" x14ac:dyDescent="0.2">
      <c r="A315" s="179">
        <f>+SHIPS!B331</f>
        <v>45992</v>
      </c>
      <c r="B315" s="10">
        <f>(+VLOOKUP($A315,FIXED_CHARTER_COST,HLOOKUP(B$7,FIXED_CHARTER_COST,2,0)+1,0)+VLOOKUP($A315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5" s="10">
        <f>(+VLOOKUP($A315,FIXED_CHARTER_COST,HLOOKUP(C$7,FIXED_CHARTER_COST,2,0)+1,0)+VLOOKUP($A315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5" s="10">
        <f>(+VLOOKUP($A315,FIXED_CHARTER_COST,HLOOKUP(D$7,FIXED_CHARTER_COST,2,0)+1,0)+VLOOKUP($A315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0.35565509507510951</v>
      </c>
      <c r="E315" s="10">
        <f>(+VLOOKUP($A315,FIXED_CHARTER_COST,HLOOKUP(E$7,FIXED_CHARTER_COST,2,0)+1,0)+VLOOKUP($A315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0.38799502778538114</v>
      </c>
      <c r="F315" s="10">
        <f>(+VLOOKUP($A315,FIXED_CHARTER_COST,HLOOKUP(F$7,FIXED_CHARTER_COST,2,0)+1,0)+VLOOKUP($A315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0.65021787188194058</v>
      </c>
      <c r="G315" s="10">
        <f>(+VLOOKUP($A315,FIXED_CHARTER_COST,HLOOKUP(G$7,FIXED_CHARTER_COST,2,0)+1,0)+VLOOKUP($A315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0.79120628990904185</v>
      </c>
      <c r="H315" s="10">
        <f>(+VLOOKUP($A315,FIXED_CHARTER_COST,HLOOKUP(H$7,FIXED_CHARTER_COST,2,0)+1,0)+VLOOKUP($A315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5" s="10">
        <f>(+VLOOKUP($A315,FIXED_CHARTER_COST,HLOOKUP(I$7,FIXED_CHARTER_COST,2,0)+1,0)+VLOOKUP($A315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6" spans="1:9" x14ac:dyDescent="0.2">
      <c r="A316" s="180">
        <f>+SHIPS!B332</f>
        <v>46023</v>
      </c>
      <c r="B316" s="10">
        <f>(+VLOOKUP($A316,FIXED_CHARTER_COST,HLOOKUP(B$7,FIXED_CHARTER_COST,2,0)+1,0)+VLOOKUP($A316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6" s="10">
        <f>(+VLOOKUP($A316,FIXED_CHARTER_COST,HLOOKUP(C$7,FIXED_CHARTER_COST,2,0)+1,0)+VLOOKUP($A316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6" s="10">
        <f>(+VLOOKUP($A316,FIXED_CHARTER_COST,HLOOKUP(D$7,FIXED_CHARTER_COST,2,0)+1,0)+VLOOKUP($A316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16" s="10">
        <f>(+VLOOKUP($A316,FIXED_CHARTER_COST,HLOOKUP(E$7,FIXED_CHARTER_COST,2,0)+1,0)+VLOOKUP($A316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16" s="10">
        <f>(+VLOOKUP($A316,FIXED_CHARTER_COST,HLOOKUP(F$7,FIXED_CHARTER_COST,2,0)+1,0)+VLOOKUP($A316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16" s="10">
        <f>(+VLOOKUP($A316,FIXED_CHARTER_COST,HLOOKUP(G$7,FIXED_CHARTER_COST,2,0)+1,0)+VLOOKUP($A316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16" s="10">
        <f>(+VLOOKUP($A316,FIXED_CHARTER_COST,HLOOKUP(H$7,FIXED_CHARTER_COST,2,0)+1,0)+VLOOKUP($A316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6" s="10">
        <f>(+VLOOKUP($A316,FIXED_CHARTER_COST,HLOOKUP(I$7,FIXED_CHARTER_COST,2,0)+1,0)+VLOOKUP($A316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7" spans="1:9" x14ac:dyDescent="0.2">
      <c r="A317" s="9"/>
    </row>
    <row r="318" spans="1:9" x14ac:dyDescent="0.2">
      <c r="A318" s="9"/>
    </row>
    <row r="319" spans="1:9" x14ac:dyDescent="0.2">
      <c r="A319" s="9"/>
    </row>
    <row r="320" spans="1:9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F34"/>
  <sheetViews>
    <sheetView showGridLines="0" zoomScale="80" workbookViewId="0">
      <selection activeCell="A9" sqref="A9"/>
    </sheetView>
  </sheetViews>
  <sheetFormatPr defaultRowHeight="12.75" x14ac:dyDescent="0.2"/>
  <cols>
    <col min="1" max="1" width="27.28515625" bestFit="1" customWidth="1"/>
    <col min="2" max="2" width="16.42578125" customWidth="1"/>
    <col min="3" max="3" width="15" customWidth="1"/>
    <col min="4" max="4" width="20.5703125" customWidth="1"/>
    <col min="5" max="6" width="17.140625" customWidth="1"/>
  </cols>
  <sheetData>
    <row r="2" spans="1:6" x14ac:dyDescent="0.2">
      <c r="A2" s="437" t="s">
        <v>61</v>
      </c>
      <c r="B2" s="438"/>
      <c r="C2" s="438"/>
      <c r="D2" s="438"/>
      <c r="E2" s="437" t="s">
        <v>145</v>
      </c>
      <c r="F2" s="439"/>
    </row>
    <row r="3" spans="1:6" x14ac:dyDescent="0.2">
      <c r="A3" s="463" t="s">
        <v>146</v>
      </c>
      <c r="B3" s="459"/>
      <c r="C3" s="459"/>
      <c r="D3" s="458"/>
      <c r="E3" s="463" t="s">
        <v>146</v>
      </c>
      <c r="F3" s="457"/>
    </row>
    <row r="4" spans="1:6" x14ac:dyDescent="0.2">
      <c r="A4" s="444"/>
      <c r="B4" s="183"/>
      <c r="C4" s="183"/>
      <c r="D4" s="183"/>
      <c r="E4" s="444"/>
      <c r="F4" s="415"/>
    </row>
    <row r="5" spans="1:6" x14ac:dyDescent="0.2">
      <c r="A5" s="483" t="s">
        <v>150</v>
      </c>
      <c r="B5" s="481" t="str">
        <f>+'ELBA BOOK'!G6</f>
        <v>HG</v>
      </c>
      <c r="C5" s="481" t="str">
        <f>+'ELBA BOOK'!X6</f>
        <v>EXMAR</v>
      </c>
      <c r="D5" s="481" t="str">
        <f>+'ELBA BOOK'!AO6</f>
        <v>EXMAR</v>
      </c>
      <c r="E5" s="445"/>
      <c r="F5" s="446"/>
    </row>
    <row r="6" spans="1:6" x14ac:dyDescent="0.2">
      <c r="A6" s="484" t="s">
        <v>151</v>
      </c>
      <c r="B6" s="482" t="str">
        <f>+'ELBA BOOK'!G4</f>
        <v>ALGERIA</v>
      </c>
      <c r="C6" s="482" t="str">
        <f>+'ELBA BOOK'!X4</f>
        <v>ALGERIA</v>
      </c>
      <c r="D6" s="482" t="str">
        <f>+'ELBA BOOK'!AO4</f>
        <v>VENEZUELA</v>
      </c>
      <c r="E6" s="447"/>
      <c r="F6" s="449"/>
    </row>
    <row r="7" spans="1:6" x14ac:dyDescent="0.2">
      <c r="A7" s="484" t="s">
        <v>152</v>
      </c>
      <c r="B7" s="448" t="str">
        <f>+'ELBA BOOK'!G5</f>
        <v>ELBA</v>
      </c>
      <c r="C7" s="448" t="str">
        <f>+'ELBA BOOK'!X5</f>
        <v>ELBA</v>
      </c>
      <c r="D7" s="448" t="str">
        <f>+'ELBA BOOK'!AO5</f>
        <v>ELBA</v>
      </c>
      <c r="E7" s="447"/>
      <c r="F7" s="449"/>
    </row>
    <row r="8" spans="1:6" x14ac:dyDescent="0.2">
      <c r="A8" s="485" t="s">
        <v>20</v>
      </c>
      <c r="B8" s="450" t="str">
        <f>+IF('ELBA BOOK'!G7="","",'ELBA BOOK'!G7)</f>
        <v/>
      </c>
      <c r="C8" s="450" t="str">
        <f>+IF('ELBA BOOK'!X7="","",'ELBA BOOK'!X7)</f>
        <v/>
      </c>
      <c r="D8" s="450" t="str">
        <f>+IF('ELBA BOOK'!AO7="","",'ELBA BOOK'!AO7)</f>
        <v/>
      </c>
      <c r="E8" s="460" t="s">
        <v>22</v>
      </c>
      <c r="F8" s="451" t="s">
        <v>23</v>
      </c>
    </row>
    <row r="9" spans="1:6" x14ac:dyDescent="0.2">
      <c r="A9" s="42">
        <v>2000</v>
      </c>
      <c r="B9" s="442">
        <f>(1-(SUMIF('ELBA BOOK'!$D$18:$D$323,$A9,'ELBA BOOK'!$H$18:$H$323)/INDEX(UNLOAD_CAPACITY,MATCH(CONCATENATE(B$6,B$7,B$8),UNLOAD_CAPACITY_ROUTES,0),MATCH(B$5,UNLOAD_CAPACITY_SHIPS,0))))*365</f>
        <v>365</v>
      </c>
      <c r="C9" s="118">
        <f>(1-(SUMIF('ELBA BOOK'!$D$18:$D$323,$A9,'ELBA BOOK'!$Y$18:$Y$323)/INDEX(UNLOAD_CAPACITY,MATCH(CONCATENATE(C$6,C$7,C$8),UNLOAD_CAPACITY_ROUTES,0),MATCH(C$5,UNLOAD_CAPACITY_SHIPS,0))))*365</f>
        <v>365</v>
      </c>
      <c r="D9" s="118">
        <f>(1-(SUMIF('ELBA BOOK'!$D$18:$D$323,$A9,'ELBA BOOK'!$AP$18:$AP$323)/INDEX(UNLOAD_CAPACITY,MATCH(CONCATENATE(D$6,D$7,D$8),UNLOAD_CAPACITY_ROUTES,0),MATCH(D$5,UNLOAD_CAPACITY_SHIPS,0))))*365</f>
        <v>365</v>
      </c>
      <c r="E9" s="461">
        <f>ROUND(+B9,0)</f>
        <v>365</v>
      </c>
      <c r="F9" s="456">
        <f>ROUND(365.25-((365.25-C9)+365.25-D9),0)</f>
        <v>365</v>
      </c>
    </row>
    <row r="10" spans="1:6" x14ac:dyDescent="0.2">
      <c r="A10" s="358">
        <v>2001</v>
      </c>
      <c r="B10" s="359">
        <f>(1-(SUMIF('ELBA BOOK'!$D$18:$D$323,$A10,'ELBA BOOK'!$H$18:$H$323)/INDEX(UNLOAD_CAPACITY,MATCH(CONCATENATE(B$6,B$7,B$8),UNLOAD_CAPACITY_ROUTES,0),MATCH(B$5,UNLOAD_CAPACITY_SHIPS,0))))*365</f>
        <v>365</v>
      </c>
      <c r="C10" s="359">
        <f>(1-(SUMIF('ELBA BOOK'!$D$18:$D$323,$A10,'ELBA BOOK'!$Y$18:$Y$323)/INDEX(UNLOAD_CAPACITY,MATCH(CONCATENATE(C$6,C$7,C$8),UNLOAD_CAPACITY_ROUTES,0),MATCH(C$5,UNLOAD_CAPACITY_SHIPS,0))))*365</f>
        <v>365</v>
      </c>
      <c r="D10" s="359">
        <f>(1-(SUMIF('ELBA BOOK'!$D$18:$D$323,$A10,'ELBA BOOK'!$AP$18:$AP$323)/INDEX(UNLOAD_CAPACITY,MATCH(CONCATENATE(D$6,D$7,D$8),UNLOAD_CAPACITY_ROUTES,0),MATCH(D$5,UNLOAD_CAPACITY_SHIPS,0))))*365</f>
        <v>365</v>
      </c>
      <c r="E10" s="217">
        <f t="shared" ref="E10:E34" si="0">ROUND(+B10,0)</f>
        <v>365</v>
      </c>
      <c r="F10" s="452">
        <f t="shared" ref="F10:F34" si="1">ROUND(365.25-((365.25-C10)+365.25-D10),0)</f>
        <v>365</v>
      </c>
    </row>
    <row r="11" spans="1:6" x14ac:dyDescent="0.2">
      <c r="A11" s="224">
        <v>2002</v>
      </c>
      <c r="B11" s="360">
        <f>(1-(SUMIF('ELBA BOOK'!$D$18:$D$323,$A11,'ELBA BOOK'!$H$18:$H$323)/INDEX(UNLOAD_CAPACITY,MATCH(CONCATENATE(B$6,B$7,B$8),UNLOAD_CAPACITY_ROUTES,0),MATCH(B$5,UNLOAD_CAPACITY_SHIPS,0))))*365</f>
        <v>90.18822724161528</v>
      </c>
      <c r="C11" s="360">
        <f>(1-(SUMIF('ELBA BOOK'!$D$18:$D$323,$A11,'ELBA BOOK'!$Y$18:$Y$323)/INDEX(UNLOAD_CAPACITY,MATCH(CONCATENATE(C$6,C$7,C$8),UNLOAD_CAPACITY_ROUTES,0),MATCH(C$5,UNLOAD_CAPACITY_SHIPS,0))))*365</f>
        <v>365</v>
      </c>
      <c r="D11" s="360">
        <f>(1-(SUMIF('ELBA BOOK'!$D$18:$D$323,$A11,'ELBA BOOK'!$AP$18:$AP$323)/INDEX(UNLOAD_CAPACITY,MATCH(CONCATENATE(D$6,D$7,D$8),UNLOAD_CAPACITY_ROUTES,0),MATCH(D$5,UNLOAD_CAPACITY_SHIPS,0))))*365</f>
        <v>365</v>
      </c>
      <c r="E11" s="218">
        <f t="shared" si="0"/>
        <v>90</v>
      </c>
      <c r="F11" s="453">
        <f t="shared" si="1"/>
        <v>365</v>
      </c>
    </row>
    <row r="12" spans="1:6" x14ac:dyDescent="0.2">
      <c r="A12" s="224">
        <v>2003</v>
      </c>
      <c r="B12" s="360">
        <f>(1-(SUMIF('ELBA BOOK'!$D$18:$D$323,$A12,'ELBA BOOK'!$H$18:$H$323)/INDEX(UNLOAD_CAPACITY,MATCH(CONCATENATE(B$6,B$7,B$8),UNLOAD_CAPACITY_ROUTES,0),MATCH(B$5,UNLOAD_CAPACITY_SHIPS,0))))*365</f>
        <v>0.24982888432576067</v>
      </c>
      <c r="C12" s="360">
        <f>(1-(SUMIF('ELBA BOOK'!$D$18:$D$323,$A12,'ELBA BOOK'!$Y$18:$Y$323)/INDEX(UNLOAD_CAPACITY,MATCH(CONCATENATE(C$6,C$7,C$8),UNLOAD_CAPACITY_ROUTES,0),MATCH(C$5,UNLOAD_CAPACITY_SHIPS,0))))*365</f>
        <v>164.85011050721087</v>
      </c>
      <c r="D12" s="360">
        <f>(1-(SUMIF('ELBA BOOK'!$D$18:$D$323,$A12,'ELBA BOOK'!$AP$18:$AP$323)/INDEX(UNLOAD_CAPACITY,MATCH(CONCATENATE(D$6,D$7,D$8),UNLOAD_CAPACITY_ROUTES,0),MATCH(D$5,UNLOAD_CAPACITY_SHIPS,0))))*365</f>
        <v>365</v>
      </c>
      <c r="E12" s="218">
        <f t="shared" si="0"/>
        <v>0</v>
      </c>
      <c r="F12" s="453">
        <f t="shared" si="1"/>
        <v>165</v>
      </c>
    </row>
    <row r="13" spans="1:6" x14ac:dyDescent="0.2">
      <c r="A13" s="224">
        <v>2004</v>
      </c>
      <c r="B13" s="360">
        <f>(1-(SUMIF('ELBA BOOK'!$D$18:$D$323,$A13,'ELBA BOOK'!$H$18:$H$323)/INDEX(UNLOAD_CAPACITY,MATCH(CONCATENATE(B$6,B$7,B$8),UNLOAD_CAPACITY_ROUTES,0),MATCH(B$5,UNLOAD_CAPACITY_SHIPS,0))))*365</f>
        <v>365</v>
      </c>
      <c r="C13" s="360">
        <f>(1-(SUMIF('ELBA BOOK'!$D$18:$D$323,$A13,'ELBA BOOK'!$Y$18:$Y$323)/INDEX(UNLOAD_CAPACITY,MATCH(CONCATENATE(C$6,C$7,C$8),UNLOAD_CAPACITY_ROUTES,0),MATCH(C$5,UNLOAD_CAPACITY_SHIPS,0))))*365</f>
        <v>365</v>
      </c>
      <c r="D13" s="360">
        <f>(1-(SUMIF('ELBA BOOK'!$D$18:$D$323,$A13,'ELBA BOOK'!$AP$18:$AP$323)/INDEX(UNLOAD_CAPACITY,MATCH(CONCATENATE(D$6,D$7,D$8),UNLOAD_CAPACITY_ROUTES,0),MATCH(D$5,UNLOAD_CAPACITY_SHIPS,0))))*365</f>
        <v>127.41390841499089</v>
      </c>
      <c r="E13" s="218">
        <f t="shared" si="0"/>
        <v>365</v>
      </c>
      <c r="F13" s="453">
        <f t="shared" si="1"/>
        <v>127</v>
      </c>
    </row>
    <row r="14" spans="1:6" x14ac:dyDescent="0.2">
      <c r="A14" s="361">
        <v>2005</v>
      </c>
      <c r="B14" s="362">
        <f>(1-(SUMIF('ELBA BOOK'!$D$18:$D$323,$A14,'ELBA BOOK'!$H$18:$H$323)/INDEX(UNLOAD_CAPACITY,MATCH(CONCATENATE(B$6,B$7,B$8),UNLOAD_CAPACITY_ROUTES,0),MATCH(B$5,UNLOAD_CAPACITY_SHIPS,0))))*365</f>
        <v>365</v>
      </c>
      <c r="C14" s="362">
        <f>(1-(SUMIF('ELBA BOOK'!$D$18:$D$323,$A14,'ELBA BOOK'!$Y$18:$Y$323)/INDEX(UNLOAD_CAPACITY,MATCH(CONCATENATE(C$6,C$7,C$8),UNLOAD_CAPACITY_ROUTES,0),MATCH(C$5,UNLOAD_CAPACITY_SHIPS,0))))*365</f>
        <v>365</v>
      </c>
      <c r="D14" s="362">
        <f>(1-(SUMIF('ELBA BOOK'!$D$18:$D$323,$A14,'ELBA BOOK'!$AP$18:$AP$323)/INDEX(UNLOAD_CAPACITY,MATCH(CONCATENATE(D$6,D$7,D$8),UNLOAD_CAPACITY_ROUTES,0),MATCH(D$5,UNLOAD_CAPACITY_SHIPS,0))))*365</f>
        <v>128.06305074172587</v>
      </c>
      <c r="E14" s="219">
        <f t="shared" si="0"/>
        <v>365</v>
      </c>
      <c r="F14" s="454">
        <f t="shared" si="1"/>
        <v>128</v>
      </c>
    </row>
    <row r="15" spans="1:6" x14ac:dyDescent="0.2">
      <c r="A15" s="42">
        <v>2006</v>
      </c>
      <c r="B15" s="118">
        <f>(1-(SUMIF('ELBA BOOK'!$D$18:$D$323,$A15,'ELBA BOOK'!$H$18:$H$323)/INDEX(UNLOAD_CAPACITY,MATCH(CONCATENATE(B$6,B$7,B$8),UNLOAD_CAPACITY_ROUTES,0),MATCH(B$5,UNLOAD_CAPACITY_SHIPS,0))))*365</f>
        <v>365</v>
      </c>
      <c r="C15" s="118">
        <f>(1-(SUMIF('ELBA BOOK'!$D$18:$D$323,$A15,'ELBA BOOK'!$Y$18:$Y$323)/INDEX(UNLOAD_CAPACITY,MATCH(CONCATENATE(C$6,C$7,C$8),UNLOAD_CAPACITY_ROUTES,0),MATCH(C$5,UNLOAD_CAPACITY_SHIPS,0))))*365</f>
        <v>365</v>
      </c>
      <c r="D15" s="118">
        <f>(1-(SUMIF('ELBA BOOK'!$D$18:$D$323,$A15,'ELBA BOOK'!$AP$18:$AP$323)/INDEX(UNLOAD_CAPACITY,MATCH(CONCATENATE(D$6,D$7,D$8),UNLOAD_CAPACITY_ROUTES,0),MATCH(D$5,UNLOAD_CAPACITY_SHIPS,0))))*365</f>
        <v>128.06305074172587</v>
      </c>
      <c r="E15" s="461">
        <f t="shared" si="0"/>
        <v>365</v>
      </c>
      <c r="F15" s="443">
        <f t="shared" si="1"/>
        <v>128</v>
      </c>
    </row>
    <row r="16" spans="1:6" x14ac:dyDescent="0.2">
      <c r="A16" s="42">
        <v>2007</v>
      </c>
      <c r="B16" s="118">
        <f>(1-(SUMIF('ELBA BOOK'!$D$18:$D$323,$A16,'ELBA BOOK'!$H$18:$H$323)/INDEX(UNLOAD_CAPACITY,MATCH(CONCATENATE(B$6,B$7,B$8),UNLOAD_CAPACITY_ROUTES,0),MATCH(B$5,UNLOAD_CAPACITY_SHIPS,0))))*365</f>
        <v>365</v>
      </c>
      <c r="C16" s="118">
        <f>(1-(SUMIF('ELBA BOOK'!$D$18:$D$323,$A16,'ELBA BOOK'!$Y$18:$Y$323)/INDEX(UNLOAD_CAPACITY,MATCH(CONCATENATE(C$6,C$7,C$8),UNLOAD_CAPACITY_ROUTES,0),MATCH(C$5,UNLOAD_CAPACITY_SHIPS,0))))*365</f>
        <v>365</v>
      </c>
      <c r="D16" s="118">
        <f>(1-(SUMIF('ELBA BOOK'!$D$18:$D$323,$A16,'ELBA BOOK'!$AP$18:$AP$323)/INDEX(UNLOAD_CAPACITY,MATCH(CONCATENATE(D$6,D$7,D$8),UNLOAD_CAPACITY_ROUTES,0),MATCH(D$5,UNLOAD_CAPACITY_SHIPS,0))))*365</f>
        <v>128.06305074172587</v>
      </c>
      <c r="E16" s="461">
        <f t="shared" si="0"/>
        <v>365</v>
      </c>
      <c r="F16" s="443">
        <f t="shared" si="1"/>
        <v>128</v>
      </c>
    </row>
    <row r="17" spans="1:6" x14ac:dyDescent="0.2">
      <c r="A17" s="42">
        <v>2008</v>
      </c>
      <c r="B17" s="118">
        <f>(1-(SUMIF('ELBA BOOK'!$D$18:$D$323,$A17,'ELBA BOOK'!$H$18:$H$323)/INDEX(UNLOAD_CAPACITY,MATCH(CONCATENATE(B$6,B$7,B$8),UNLOAD_CAPACITY_ROUTES,0),MATCH(B$5,UNLOAD_CAPACITY_SHIPS,0))))*365</f>
        <v>365</v>
      </c>
      <c r="C17" s="118">
        <f>(1-(SUMIF('ELBA BOOK'!$D$18:$D$323,$A17,'ELBA BOOK'!$Y$18:$Y$323)/INDEX(UNLOAD_CAPACITY,MATCH(CONCATENATE(C$6,C$7,C$8),UNLOAD_CAPACITY_ROUTES,0),MATCH(C$5,UNLOAD_CAPACITY_SHIPS,0))))*365</f>
        <v>365</v>
      </c>
      <c r="D17" s="118">
        <f>(1-(SUMIF('ELBA BOOK'!$D$18:$D$323,$A17,'ELBA BOOK'!$AP$18:$AP$323)/INDEX(UNLOAD_CAPACITY,MATCH(CONCATENATE(D$6,D$7,D$8),UNLOAD_CAPACITY_ROUTES,0),MATCH(D$5,UNLOAD_CAPACITY_SHIPS,0))))*365</f>
        <v>127.41390841499089</v>
      </c>
      <c r="E17" s="461">
        <f t="shared" si="0"/>
        <v>365</v>
      </c>
      <c r="F17" s="443">
        <f t="shared" si="1"/>
        <v>127</v>
      </c>
    </row>
    <row r="18" spans="1:6" x14ac:dyDescent="0.2">
      <c r="A18" s="42">
        <v>2009</v>
      </c>
      <c r="B18" s="118">
        <f>(1-(SUMIF('ELBA BOOK'!$D$18:$D$323,$A18,'ELBA BOOK'!$H$18:$H$323)/INDEX(UNLOAD_CAPACITY,MATCH(CONCATENATE(B$6,B$7,B$8),UNLOAD_CAPACITY_ROUTES,0),MATCH(B$5,UNLOAD_CAPACITY_SHIPS,0))))*365</f>
        <v>365</v>
      </c>
      <c r="C18" s="118">
        <f>(1-(SUMIF('ELBA BOOK'!$D$18:$D$323,$A18,'ELBA BOOK'!$Y$18:$Y$323)/INDEX(UNLOAD_CAPACITY,MATCH(CONCATENATE(C$6,C$7,C$8),UNLOAD_CAPACITY_ROUTES,0),MATCH(C$5,UNLOAD_CAPACITY_SHIPS,0))))*365</f>
        <v>365</v>
      </c>
      <c r="D18" s="118">
        <f>(1-(SUMIF('ELBA BOOK'!$D$18:$D$323,$A18,'ELBA BOOK'!$AP$18:$AP$323)/INDEX(UNLOAD_CAPACITY,MATCH(CONCATENATE(D$6,D$7,D$8),UNLOAD_CAPACITY_ROUTES,0),MATCH(D$5,UNLOAD_CAPACITY_SHIPS,0))))*365</f>
        <v>128.06305074172587</v>
      </c>
      <c r="E18" s="461">
        <f t="shared" si="0"/>
        <v>365</v>
      </c>
      <c r="F18" s="443">
        <f t="shared" si="1"/>
        <v>128</v>
      </c>
    </row>
    <row r="19" spans="1:6" x14ac:dyDescent="0.2">
      <c r="A19" s="79">
        <v>2010</v>
      </c>
      <c r="B19" s="193">
        <f>(1-(SUMIF('ELBA BOOK'!$D$18:$D$323,$A19,'ELBA BOOK'!$H$18:$H$323)/INDEX(UNLOAD_CAPACITY,MATCH(CONCATENATE(B$6,B$7,B$8),UNLOAD_CAPACITY_ROUTES,0),MATCH(B$5,UNLOAD_CAPACITY_SHIPS,0))))*365</f>
        <v>365</v>
      </c>
      <c r="C19" s="193">
        <f>(1-(SUMIF('ELBA BOOK'!$D$18:$D$323,$A19,'ELBA BOOK'!$Y$18:$Y$323)/INDEX(UNLOAD_CAPACITY,MATCH(CONCATENATE(C$6,C$7,C$8),UNLOAD_CAPACITY_ROUTES,0),MATCH(C$5,UNLOAD_CAPACITY_SHIPS,0))))*365</f>
        <v>365</v>
      </c>
      <c r="D19" s="193">
        <f>(1-(SUMIF('ELBA BOOK'!$D$18:$D$323,$A19,'ELBA BOOK'!$AP$18:$AP$323)/INDEX(UNLOAD_CAPACITY,MATCH(CONCATENATE(D$6,D$7,D$8),UNLOAD_CAPACITY_ROUTES,0),MATCH(D$5,UNLOAD_CAPACITY_SHIPS,0))))*365</f>
        <v>128.06305074172587</v>
      </c>
      <c r="E19" s="462">
        <f t="shared" si="0"/>
        <v>365</v>
      </c>
      <c r="F19" s="455">
        <f t="shared" si="1"/>
        <v>128</v>
      </c>
    </row>
    <row r="20" spans="1:6" x14ac:dyDescent="0.2">
      <c r="A20" s="358">
        <v>2011</v>
      </c>
      <c r="B20" s="359">
        <f>(1-(SUMIF('ELBA BOOK'!$D$18:$D$323,$A20,'ELBA BOOK'!$H$18:$H$323)/INDEX(UNLOAD_CAPACITY,MATCH(CONCATENATE(B$6,B$7,B$8),UNLOAD_CAPACITY_ROUTES,0),MATCH(B$5,UNLOAD_CAPACITY_SHIPS,0))))*365</f>
        <v>365</v>
      </c>
      <c r="C20" s="359">
        <f>(1-(SUMIF('ELBA BOOK'!$D$18:$D$323,$A20,'ELBA BOOK'!$Y$18:$Y$323)/INDEX(UNLOAD_CAPACITY,MATCH(CONCATENATE(C$6,C$7,C$8),UNLOAD_CAPACITY_ROUTES,0),MATCH(C$5,UNLOAD_CAPACITY_SHIPS,0))))*365</f>
        <v>365</v>
      </c>
      <c r="D20" s="359">
        <f>(1-(SUMIF('ELBA BOOK'!$D$18:$D$323,$A20,'ELBA BOOK'!$AP$18:$AP$323)/INDEX(UNLOAD_CAPACITY,MATCH(CONCATENATE(D$6,D$7,D$8),UNLOAD_CAPACITY_ROUTES,0),MATCH(D$5,UNLOAD_CAPACITY_SHIPS,0))))*365</f>
        <v>128.06305074172587</v>
      </c>
      <c r="E20" s="217">
        <f t="shared" si="0"/>
        <v>365</v>
      </c>
      <c r="F20" s="452">
        <f t="shared" si="1"/>
        <v>128</v>
      </c>
    </row>
    <row r="21" spans="1:6" x14ac:dyDescent="0.2">
      <c r="A21" s="224">
        <v>2012</v>
      </c>
      <c r="B21" s="360">
        <f>(1-(SUMIF('ELBA BOOK'!$D$18:$D$323,$A21,'ELBA BOOK'!$H$18:$H$323)/INDEX(UNLOAD_CAPACITY,MATCH(CONCATENATE(B$6,B$7,B$8),UNLOAD_CAPACITY_ROUTES,0),MATCH(B$5,UNLOAD_CAPACITY_SHIPS,0))))*365</f>
        <v>365</v>
      </c>
      <c r="C21" s="360">
        <f>(1-(SUMIF('ELBA BOOK'!$D$18:$D$323,$A21,'ELBA BOOK'!$Y$18:$Y$323)/INDEX(UNLOAD_CAPACITY,MATCH(CONCATENATE(C$6,C$7,C$8),UNLOAD_CAPACITY_ROUTES,0),MATCH(C$5,UNLOAD_CAPACITY_SHIPS,0))))*365</f>
        <v>365</v>
      </c>
      <c r="D21" s="360">
        <f>(1-(SUMIF('ELBA BOOK'!$D$18:$D$323,$A21,'ELBA BOOK'!$AP$18:$AP$323)/INDEX(UNLOAD_CAPACITY,MATCH(CONCATENATE(D$6,D$7,D$8),UNLOAD_CAPACITY_ROUTES,0),MATCH(D$5,UNLOAD_CAPACITY_SHIPS,0))))*365</f>
        <v>127.41390841499089</v>
      </c>
      <c r="E21" s="218">
        <f t="shared" si="0"/>
        <v>365</v>
      </c>
      <c r="F21" s="453">
        <f t="shared" si="1"/>
        <v>127</v>
      </c>
    </row>
    <row r="22" spans="1:6" x14ac:dyDescent="0.2">
      <c r="A22" s="224">
        <v>2013</v>
      </c>
      <c r="B22" s="360">
        <f>(1-(SUMIF('ELBA BOOK'!$D$18:$D$323,$A22,'ELBA BOOK'!$H$18:$H$323)/INDEX(UNLOAD_CAPACITY,MATCH(CONCATENATE(B$6,B$7,B$8),UNLOAD_CAPACITY_ROUTES,0),MATCH(B$5,UNLOAD_CAPACITY_SHIPS,0))))*365</f>
        <v>365</v>
      </c>
      <c r="C22" s="360">
        <f>(1-(SUMIF('ELBA BOOK'!$D$18:$D$323,$A22,'ELBA BOOK'!$Y$18:$Y$323)/INDEX(UNLOAD_CAPACITY,MATCH(CONCATENATE(C$6,C$7,C$8),UNLOAD_CAPACITY_ROUTES,0),MATCH(C$5,UNLOAD_CAPACITY_SHIPS,0))))*365</f>
        <v>365</v>
      </c>
      <c r="D22" s="360">
        <f>(1-(SUMIF('ELBA BOOK'!$D$18:$D$323,$A22,'ELBA BOOK'!$AP$18:$AP$323)/INDEX(UNLOAD_CAPACITY,MATCH(CONCATENATE(D$6,D$7,D$8),UNLOAD_CAPACITY_ROUTES,0),MATCH(D$5,UNLOAD_CAPACITY_SHIPS,0))))*365</f>
        <v>128.06305074172587</v>
      </c>
      <c r="E22" s="218">
        <f t="shared" si="0"/>
        <v>365</v>
      </c>
      <c r="F22" s="453">
        <f t="shared" si="1"/>
        <v>128</v>
      </c>
    </row>
    <row r="23" spans="1:6" x14ac:dyDescent="0.2">
      <c r="A23" s="224">
        <v>2014</v>
      </c>
      <c r="B23" s="360">
        <f>(1-(SUMIF('ELBA BOOK'!$D$18:$D$323,$A23,'ELBA BOOK'!$H$18:$H$323)/INDEX(UNLOAD_CAPACITY,MATCH(CONCATENATE(B$6,B$7,B$8),UNLOAD_CAPACITY_ROUTES,0),MATCH(B$5,UNLOAD_CAPACITY_SHIPS,0))))*365</f>
        <v>365</v>
      </c>
      <c r="C23" s="360">
        <f>(1-(SUMIF('ELBA BOOK'!$D$18:$D$323,$A23,'ELBA BOOK'!$Y$18:$Y$323)/INDEX(UNLOAD_CAPACITY,MATCH(CONCATENATE(C$6,C$7,C$8),UNLOAD_CAPACITY_ROUTES,0),MATCH(C$5,UNLOAD_CAPACITY_SHIPS,0))))*365</f>
        <v>365</v>
      </c>
      <c r="D23" s="360">
        <f>(1-(SUMIF('ELBA BOOK'!$D$18:$D$323,$A23,'ELBA BOOK'!$AP$18:$AP$323)/INDEX(UNLOAD_CAPACITY,MATCH(CONCATENATE(D$6,D$7,D$8),UNLOAD_CAPACITY_ROUTES,0),MATCH(D$5,UNLOAD_CAPACITY_SHIPS,0))))*365</f>
        <v>128.06305074172587</v>
      </c>
      <c r="E23" s="218">
        <f t="shared" si="0"/>
        <v>365</v>
      </c>
      <c r="F23" s="453">
        <f t="shared" si="1"/>
        <v>128</v>
      </c>
    </row>
    <row r="24" spans="1:6" x14ac:dyDescent="0.2">
      <c r="A24" s="361">
        <v>2015</v>
      </c>
      <c r="B24" s="362">
        <f>(1-(SUMIF('ELBA BOOK'!$D$18:$D$323,$A24,'ELBA BOOK'!$H$18:$H$323)/INDEX(UNLOAD_CAPACITY,MATCH(CONCATENATE(B$6,B$7,B$8),UNLOAD_CAPACITY_ROUTES,0),MATCH(B$5,UNLOAD_CAPACITY_SHIPS,0))))*365</f>
        <v>365</v>
      </c>
      <c r="C24" s="362">
        <f>(1-(SUMIF('ELBA BOOK'!$D$18:$D$323,$A24,'ELBA BOOK'!$Y$18:$Y$323)/INDEX(UNLOAD_CAPACITY,MATCH(CONCATENATE(C$6,C$7,C$8),UNLOAD_CAPACITY_ROUTES,0),MATCH(C$5,UNLOAD_CAPACITY_SHIPS,0))))*365</f>
        <v>365</v>
      </c>
      <c r="D24" s="362">
        <f>(1-(SUMIF('ELBA BOOK'!$D$18:$D$323,$A24,'ELBA BOOK'!$AP$18:$AP$323)/INDEX(UNLOAD_CAPACITY,MATCH(CONCATENATE(D$6,D$7,D$8),UNLOAD_CAPACITY_ROUTES,0),MATCH(D$5,UNLOAD_CAPACITY_SHIPS,0))))*365</f>
        <v>128.06305074172587</v>
      </c>
      <c r="E24" s="219">
        <f t="shared" si="0"/>
        <v>365</v>
      </c>
      <c r="F24" s="454">
        <f t="shared" si="1"/>
        <v>128</v>
      </c>
    </row>
    <row r="25" spans="1:6" x14ac:dyDescent="0.2">
      <c r="A25" s="42">
        <v>2016</v>
      </c>
      <c r="B25" s="118">
        <f>(1-(SUMIF('ELBA BOOK'!$D$18:$D$323,$A25,'ELBA BOOK'!$H$18:$H$323)/INDEX(UNLOAD_CAPACITY,MATCH(CONCATENATE(B$6,B$7,B$8),UNLOAD_CAPACITY_ROUTES,0),MATCH(B$5,UNLOAD_CAPACITY_SHIPS,0))))*365</f>
        <v>365</v>
      </c>
      <c r="C25" s="118">
        <f>(1-(SUMIF('ELBA BOOK'!$D$18:$D$323,$A25,'ELBA BOOK'!$Y$18:$Y$323)/INDEX(UNLOAD_CAPACITY,MATCH(CONCATENATE(C$6,C$7,C$8),UNLOAD_CAPACITY_ROUTES,0),MATCH(C$5,UNLOAD_CAPACITY_SHIPS,0))))*365</f>
        <v>365</v>
      </c>
      <c r="D25" s="118">
        <f>(1-(SUMIF('ELBA BOOK'!$D$18:$D$323,$A25,'ELBA BOOK'!$AP$18:$AP$323)/INDEX(UNLOAD_CAPACITY,MATCH(CONCATENATE(D$6,D$7,D$8),UNLOAD_CAPACITY_ROUTES,0),MATCH(D$5,UNLOAD_CAPACITY_SHIPS,0))))*365</f>
        <v>127.41390841499089</v>
      </c>
      <c r="E25" s="461">
        <f t="shared" si="0"/>
        <v>365</v>
      </c>
      <c r="F25" s="443">
        <f t="shared" si="1"/>
        <v>127</v>
      </c>
    </row>
    <row r="26" spans="1:6" x14ac:dyDescent="0.2">
      <c r="A26" s="42">
        <v>2017</v>
      </c>
      <c r="B26" s="118">
        <f>(1-(SUMIF('ELBA BOOK'!$D$18:$D$323,$A26,'ELBA BOOK'!$H$18:$H$323)/INDEX(UNLOAD_CAPACITY,MATCH(CONCATENATE(B$6,B$7,B$8),UNLOAD_CAPACITY_ROUTES,0),MATCH(B$5,UNLOAD_CAPACITY_SHIPS,0))))*365</f>
        <v>365</v>
      </c>
      <c r="C26" s="118">
        <f>(1-(SUMIF('ELBA BOOK'!$D$18:$D$323,$A26,'ELBA BOOK'!$Y$18:$Y$323)/INDEX(UNLOAD_CAPACITY,MATCH(CONCATENATE(C$6,C$7,C$8),UNLOAD_CAPACITY_ROUTES,0),MATCH(C$5,UNLOAD_CAPACITY_SHIPS,0))))*365</f>
        <v>365</v>
      </c>
      <c r="D26" s="118">
        <f>(1-(SUMIF('ELBA BOOK'!$D$18:$D$323,$A26,'ELBA BOOK'!$AP$18:$AP$323)/INDEX(UNLOAD_CAPACITY,MATCH(CONCATENATE(D$6,D$7,D$8),UNLOAD_CAPACITY_ROUTES,0),MATCH(D$5,UNLOAD_CAPACITY_SHIPS,0))))*365</f>
        <v>128.06305074172587</v>
      </c>
      <c r="E26" s="461">
        <f t="shared" si="0"/>
        <v>365</v>
      </c>
      <c r="F26" s="443">
        <f t="shared" si="1"/>
        <v>128</v>
      </c>
    </row>
    <row r="27" spans="1:6" x14ac:dyDescent="0.2">
      <c r="A27" s="42">
        <v>2018</v>
      </c>
      <c r="B27" s="118">
        <f>(1-(SUMIF('ELBA BOOK'!$D$18:$D$323,$A27,'ELBA BOOK'!$H$18:$H$323)/INDEX(UNLOAD_CAPACITY,MATCH(CONCATENATE(B$6,B$7,B$8),UNLOAD_CAPACITY_ROUTES,0),MATCH(B$5,UNLOAD_CAPACITY_SHIPS,0))))*365</f>
        <v>365</v>
      </c>
      <c r="C27" s="118">
        <f>(1-(SUMIF('ELBA BOOK'!$D$18:$D$323,$A27,'ELBA BOOK'!$Y$18:$Y$323)/INDEX(UNLOAD_CAPACITY,MATCH(CONCATENATE(C$6,C$7,C$8),UNLOAD_CAPACITY_ROUTES,0),MATCH(C$5,UNLOAD_CAPACITY_SHIPS,0))))*365</f>
        <v>365</v>
      </c>
      <c r="D27" s="118">
        <f>(1-(SUMIF('ELBA BOOK'!$D$18:$D$323,$A27,'ELBA BOOK'!$AP$18:$AP$323)/INDEX(UNLOAD_CAPACITY,MATCH(CONCATENATE(D$6,D$7,D$8),UNLOAD_CAPACITY_ROUTES,0),MATCH(D$5,UNLOAD_CAPACITY_SHIPS,0))))*365</f>
        <v>128.06305074172587</v>
      </c>
      <c r="E27" s="461">
        <f t="shared" si="0"/>
        <v>365</v>
      </c>
      <c r="F27" s="443">
        <f t="shared" si="1"/>
        <v>128</v>
      </c>
    </row>
    <row r="28" spans="1:6" x14ac:dyDescent="0.2">
      <c r="A28" s="42">
        <v>2019</v>
      </c>
      <c r="B28" s="118">
        <f>(1-(SUMIF('ELBA BOOK'!$D$18:$D$323,$A28,'ELBA BOOK'!$H$18:$H$323)/INDEX(UNLOAD_CAPACITY,MATCH(CONCATENATE(B$6,B$7,B$8),UNLOAD_CAPACITY_ROUTES,0),MATCH(B$5,UNLOAD_CAPACITY_SHIPS,0))))*365</f>
        <v>365</v>
      </c>
      <c r="C28" s="118">
        <f>(1-(SUMIF('ELBA BOOK'!$D$18:$D$323,$A28,'ELBA BOOK'!$Y$18:$Y$323)/INDEX(UNLOAD_CAPACITY,MATCH(CONCATENATE(C$6,C$7,C$8),UNLOAD_CAPACITY_ROUTES,0),MATCH(C$5,UNLOAD_CAPACITY_SHIPS,0))))*365</f>
        <v>365</v>
      </c>
      <c r="D28" s="118">
        <f>(1-(SUMIF('ELBA BOOK'!$D$18:$D$323,$A28,'ELBA BOOK'!$AP$18:$AP$323)/INDEX(UNLOAD_CAPACITY,MATCH(CONCATENATE(D$6,D$7,D$8),UNLOAD_CAPACITY_ROUTES,0),MATCH(D$5,UNLOAD_CAPACITY_SHIPS,0))))*365</f>
        <v>306.57719059385022</v>
      </c>
      <c r="E28" s="461">
        <f t="shared" si="0"/>
        <v>365</v>
      </c>
      <c r="F28" s="443">
        <f t="shared" si="1"/>
        <v>306</v>
      </c>
    </row>
    <row r="29" spans="1:6" x14ac:dyDescent="0.2">
      <c r="A29" s="79">
        <v>2020</v>
      </c>
      <c r="B29" s="193">
        <f>(1-(SUMIF('ELBA BOOK'!$D$18:$D$323,$A29,'ELBA BOOK'!$H$18:$H$323)/INDEX(UNLOAD_CAPACITY,MATCH(CONCATENATE(B$6,B$7,B$8),UNLOAD_CAPACITY_ROUTES,0),MATCH(B$5,UNLOAD_CAPACITY_SHIPS,0))))*365</f>
        <v>365</v>
      </c>
      <c r="C29" s="193">
        <f>(1-(SUMIF('ELBA BOOK'!$D$18:$D$323,$A29,'ELBA BOOK'!$Y$18:$Y$323)/INDEX(UNLOAD_CAPACITY,MATCH(CONCATENATE(C$6,C$7,C$8),UNLOAD_CAPACITY_ROUTES,0),MATCH(C$5,UNLOAD_CAPACITY_SHIPS,0))))*365</f>
        <v>365</v>
      </c>
      <c r="D29" s="193">
        <f>(1-(SUMIF('ELBA BOOK'!$D$18:$D$323,$A29,'ELBA BOOK'!$AP$18:$AP$323)/INDEX(UNLOAD_CAPACITY,MATCH(CONCATENATE(D$6,D$7,D$8),UNLOAD_CAPACITY_ROUTES,0),MATCH(D$5,UNLOAD_CAPACITY_SHIPS,0))))*365</f>
        <v>365</v>
      </c>
      <c r="E29" s="462">
        <f t="shared" si="0"/>
        <v>365</v>
      </c>
      <c r="F29" s="455">
        <f t="shared" si="1"/>
        <v>365</v>
      </c>
    </row>
    <row r="30" spans="1:6" x14ac:dyDescent="0.2">
      <c r="A30" s="224">
        <v>2021</v>
      </c>
      <c r="B30" s="360">
        <f>(1-(SUMIF('ELBA BOOK'!$D$18:$D$323,$A30,'ELBA BOOK'!$H$18:$H$323)/INDEX(UNLOAD_CAPACITY,MATCH(CONCATENATE(B$6,B$7,B$8),UNLOAD_CAPACITY_ROUTES,0),MATCH(B$5,UNLOAD_CAPACITY_SHIPS,0))))*365</f>
        <v>365</v>
      </c>
      <c r="C30" s="360">
        <f>(1-(SUMIF('ELBA BOOK'!$D$18:$D$323,$A30,'ELBA BOOK'!$Y$18:$Y$323)/INDEX(UNLOAD_CAPACITY,MATCH(CONCATENATE(C$6,C$7,C$8),UNLOAD_CAPACITY_ROUTES,0),MATCH(C$5,UNLOAD_CAPACITY_SHIPS,0))))*365</f>
        <v>365</v>
      </c>
      <c r="D30" s="360">
        <f>(1-(SUMIF('ELBA BOOK'!$D$18:$D$323,$A30,'ELBA BOOK'!$AP$18:$AP$323)/INDEX(UNLOAD_CAPACITY,MATCH(CONCATENATE(D$6,D$7,D$8),UNLOAD_CAPACITY_ROUTES,0),MATCH(D$5,UNLOAD_CAPACITY_SHIPS,0))))*365</f>
        <v>365</v>
      </c>
      <c r="E30" s="218">
        <f t="shared" si="0"/>
        <v>365</v>
      </c>
      <c r="F30" s="453">
        <f t="shared" si="1"/>
        <v>365</v>
      </c>
    </row>
    <row r="31" spans="1:6" x14ac:dyDescent="0.2">
      <c r="A31" s="224">
        <v>2022</v>
      </c>
      <c r="B31" s="360">
        <f>(1-(SUMIF('ELBA BOOK'!$D$18:$D$323,$A31,'ELBA BOOK'!$H$18:$H$323)/INDEX(UNLOAD_CAPACITY,MATCH(CONCATENATE(B$6,B$7,B$8),UNLOAD_CAPACITY_ROUTES,0),MATCH(B$5,UNLOAD_CAPACITY_SHIPS,0))))*365</f>
        <v>365</v>
      </c>
      <c r="C31" s="360">
        <f>(1-(SUMIF('ELBA BOOK'!$D$18:$D$323,$A31,'ELBA BOOK'!$Y$18:$Y$323)/INDEX(UNLOAD_CAPACITY,MATCH(CONCATENATE(C$6,C$7,C$8),UNLOAD_CAPACITY_ROUTES,0),MATCH(C$5,UNLOAD_CAPACITY_SHIPS,0))))*365</f>
        <v>365</v>
      </c>
      <c r="D31" s="360">
        <f>(1-(SUMIF('ELBA BOOK'!$D$18:$D$323,$A31,'ELBA BOOK'!$AP$18:$AP$323)/INDEX(UNLOAD_CAPACITY,MATCH(CONCATENATE(D$6,D$7,D$8),UNLOAD_CAPACITY_ROUTES,0),MATCH(D$5,UNLOAD_CAPACITY_SHIPS,0))))*365</f>
        <v>365</v>
      </c>
      <c r="E31" s="218">
        <f t="shared" si="0"/>
        <v>365</v>
      </c>
      <c r="F31" s="453">
        <f t="shared" si="1"/>
        <v>365</v>
      </c>
    </row>
    <row r="32" spans="1:6" x14ac:dyDescent="0.2">
      <c r="A32" s="224">
        <v>2023</v>
      </c>
      <c r="B32" s="360">
        <f>(1-(SUMIF('ELBA BOOK'!$D$18:$D$323,$A32,'ELBA BOOK'!$H$18:$H$323)/INDEX(UNLOAD_CAPACITY,MATCH(CONCATENATE(B$6,B$7,B$8),UNLOAD_CAPACITY_ROUTES,0),MATCH(B$5,UNLOAD_CAPACITY_SHIPS,0))))*365</f>
        <v>365</v>
      </c>
      <c r="C32" s="360">
        <f>(1-(SUMIF('ELBA BOOK'!$D$18:$D$323,$A32,'ELBA BOOK'!$Y$18:$Y$323)/INDEX(UNLOAD_CAPACITY,MATCH(CONCATENATE(C$6,C$7,C$8),UNLOAD_CAPACITY_ROUTES,0),MATCH(C$5,UNLOAD_CAPACITY_SHIPS,0))))*365</f>
        <v>365</v>
      </c>
      <c r="D32" s="360">
        <f>(1-(SUMIF('ELBA BOOK'!$D$18:$D$323,$A32,'ELBA BOOK'!$AP$18:$AP$323)/INDEX(UNLOAD_CAPACITY,MATCH(CONCATENATE(D$6,D$7,D$8),UNLOAD_CAPACITY_ROUTES,0),MATCH(D$5,UNLOAD_CAPACITY_SHIPS,0))))*365</f>
        <v>365</v>
      </c>
      <c r="E32" s="218">
        <f t="shared" si="0"/>
        <v>365</v>
      </c>
      <c r="F32" s="453">
        <f t="shared" si="1"/>
        <v>365</v>
      </c>
    </row>
    <row r="33" spans="1:6" x14ac:dyDescent="0.2">
      <c r="A33" s="224">
        <v>2024</v>
      </c>
      <c r="B33" s="360">
        <f>(1-(SUMIF('ELBA BOOK'!$D$18:$D$323,$A33,'ELBA BOOK'!$H$18:$H$323)/INDEX(UNLOAD_CAPACITY,MATCH(CONCATENATE(B$6,B$7,B$8),UNLOAD_CAPACITY_ROUTES,0),MATCH(B$5,UNLOAD_CAPACITY_SHIPS,0))))*365</f>
        <v>365</v>
      </c>
      <c r="C33" s="360">
        <f>(1-(SUMIF('ELBA BOOK'!$D$18:$D$323,$A33,'ELBA BOOK'!$Y$18:$Y$323)/INDEX(UNLOAD_CAPACITY,MATCH(CONCATENATE(C$6,C$7,C$8),UNLOAD_CAPACITY_ROUTES,0),MATCH(C$5,UNLOAD_CAPACITY_SHIPS,0))))*365</f>
        <v>365</v>
      </c>
      <c r="D33" s="360">
        <f>(1-(SUMIF('ELBA BOOK'!$D$18:$D$323,$A33,'ELBA BOOK'!$AP$18:$AP$323)/INDEX(UNLOAD_CAPACITY,MATCH(CONCATENATE(D$6,D$7,D$8),UNLOAD_CAPACITY_ROUTES,0),MATCH(D$5,UNLOAD_CAPACITY_SHIPS,0))))*365</f>
        <v>365</v>
      </c>
      <c r="E33" s="218">
        <f t="shared" si="0"/>
        <v>365</v>
      </c>
      <c r="F33" s="453">
        <f t="shared" si="1"/>
        <v>365</v>
      </c>
    </row>
    <row r="34" spans="1:6" x14ac:dyDescent="0.2">
      <c r="A34" s="361">
        <v>2025</v>
      </c>
      <c r="B34" s="362">
        <f>(1-(SUMIF('ELBA BOOK'!$D$18:$D$323,$A34,'ELBA BOOK'!$H$18:$H$323)/INDEX(UNLOAD_CAPACITY,MATCH(CONCATENATE(B$6,B$7,B$8),UNLOAD_CAPACITY_ROUTES,0),MATCH(B$5,UNLOAD_CAPACITY_SHIPS,0))))*365</f>
        <v>365</v>
      </c>
      <c r="C34" s="362">
        <f>(1-(SUMIF('ELBA BOOK'!$D$18:$D$323,$A34,'ELBA BOOK'!$Y$18:$Y$323)/INDEX(UNLOAD_CAPACITY,MATCH(CONCATENATE(C$6,C$7,C$8),UNLOAD_CAPACITY_ROUTES,0),MATCH(C$5,UNLOAD_CAPACITY_SHIPS,0))))*365</f>
        <v>365</v>
      </c>
      <c r="D34" s="362">
        <f>(1-(SUMIF('ELBA BOOK'!$D$18:$D$323,$A34,'ELBA BOOK'!$AP$18:$AP$323)/INDEX(UNLOAD_CAPACITY,MATCH(CONCATENATE(D$6,D$7,D$8),UNLOAD_CAPACITY_ROUTES,0),MATCH(D$5,UNLOAD_CAPACITY_SHIPS,0))))*365</f>
        <v>365</v>
      </c>
      <c r="E34" s="219">
        <f t="shared" si="0"/>
        <v>365</v>
      </c>
      <c r="F34" s="454">
        <f t="shared" si="1"/>
        <v>365</v>
      </c>
    </row>
  </sheetData>
  <pageMargins left="0.5" right="0.5" top="0.5" bottom="0.5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HD958"/>
  <sheetViews>
    <sheetView showGridLines="0" zoomScale="75" workbookViewId="0">
      <selection activeCell="A15" sqref="A15"/>
    </sheetView>
  </sheetViews>
  <sheetFormatPr defaultRowHeight="12.75" x14ac:dyDescent="0.2"/>
  <cols>
    <col min="1" max="1" width="30.5703125" style="1" bestFit="1" customWidth="1"/>
    <col min="2" max="2" width="13.28515625" bestFit="1" customWidth="1"/>
    <col min="3" max="3" width="19.7109375" bestFit="1" customWidth="1"/>
    <col min="4" max="4" width="19.7109375" customWidth="1"/>
    <col min="5" max="5" width="15.85546875" bestFit="1" customWidth="1"/>
    <col min="6" max="6" width="17.42578125" bestFit="1" customWidth="1"/>
    <col min="7" max="7" width="17.28515625" bestFit="1" customWidth="1"/>
    <col min="8" max="9" width="16.85546875" bestFit="1" customWidth="1"/>
    <col min="10" max="11" width="17.28515625" bestFit="1" customWidth="1"/>
    <col min="12" max="13" width="16.7109375" bestFit="1" customWidth="1"/>
    <col min="14" max="15" width="16.42578125" bestFit="1" customWidth="1"/>
    <col min="16" max="16" width="19.7109375" bestFit="1" customWidth="1"/>
    <col min="17" max="17" width="14.85546875" bestFit="1" customWidth="1"/>
    <col min="18" max="18" width="19.140625" bestFit="1" customWidth="1"/>
    <col min="19" max="20" width="17.42578125" bestFit="1" customWidth="1"/>
    <col min="21" max="21" width="16.85546875" bestFit="1" customWidth="1"/>
    <col min="22" max="23" width="19.28515625" bestFit="1" customWidth="1"/>
    <col min="24" max="25" width="16.7109375" bestFit="1" customWidth="1"/>
    <col min="26" max="26" width="18.140625" bestFit="1" customWidth="1"/>
    <col min="27" max="28" width="18.85546875" bestFit="1" customWidth="1"/>
    <col min="29" max="30" width="17.140625" bestFit="1" customWidth="1"/>
    <col min="31" max="31" width="19.28515625" bestFit="1" customWidth="1"/>
    <col min="32" max="32" width="13.7109375" bestFit="1" customWidth="1"/>
    <col min="33" max="34" width="13.42578125" bestFit="1" customWidth="1"/>
    <col min="35" max="36" width="19.5703125" bestFit="1" customWidth="1"/>
    <col min="37" max="38" width="16.28515625" bestFit="1" customWidth="1"/>
    <col min="39" max="40" width="16.42578125" bestFit="1" customWidth="1"/>
    <col min="41" max="42" width="17.85546875" bestFit="1" customWidth="1"/>
    <col min="43" max="44" width="16.7109375" bestFit="1" customWidth="1"/>
    <col min="45" max="46" width="17.140625" bestFit="1" customWidth="1"/>
    <col min="47" max="47" width="12.85546875" bestFit="1" customWidth="1"/>
    <col min="48" max="48" width="13.140625" bestFit="1" customWidth="1"/>
    <col min="49" max="49" width="15.85546875" bestFit="1" customWidth="1"/>
    <col min="50" max="50" width="15.7109375" bestFit="1" customWidth="1"/>
    <col min="51" max="51" width="17.7109375" bestFit="1" customWidth="1"/>
    <col min="52" max="53" width="18.5703125" bestFit="1" customWidth="1"/>
    <col min="54" max="54" width="18.85546875" bestFit="1" customWidth="1"/>
    <col min="55" max="56" width="20.140625" bestFit="1" customWidth="1"/>
    <col min="57" max="57" width="15.42578125" bestFit="1" customWidth="1"/>
    <col min="58" max="58" width="12.85546875" bestFit="1" customWidth="1"/>
    <col min="59" max="60" width="13.5703125" bestFit="1" customWidth="1"/>
    <col min="61" max="61" width="17.42578125" bestFit="1" customWidth="1"/>
    <col min="62" max="62" width="15" bestFit="1" customWidth="1"/>
    <col min="63" max="63" width="15.42578125" bestFit="1" customWidth="1"/>
    <col min="64" max="64" width="11.7109375" bestFit="1" customWidth="1"/>
    <col min="65" max="65" width="14.28515625" bestFit="1" customWidth="1"/>
    <col min="66" max="68" width="8.28515625" customWidth="1"/>
    <col min="69" max="69" width="20.140625" bestFit="1" customWidth="1"/>
    <col min="70" max="74" width="8.28515625" customWidth="1"/>
  </cols>
  <sheetData>
    <row r="2" spans="1:212" x14ac:dyDescent="0.2">
      <c r="A2" s="1" t="s">
        <v>3</v>
      </c>
      <c r="B2" s="1">
        <v>7</v>
      </c>
    </row>
    <row r="3" spans="1:212" ht="13.5" thickBot="1" x14ac:dyDescent="0.25">
      <c r="B3" s="1"/>
    </row>
    <row r="4" spans="1:212" ht="13.5" thickBot="1" x14ac:dyDescent="0.25">
      <c r="A4" s="1" t="s">
        <v>4</v>
      </c>
      <c r="B4" s="6">
        <v>36731</v>
      </c>
    </row>
    <row r="5" spans="1:212" x14ac:dyDescent="0.2">
      <c r="A5" s="1" t="s">
        <v>5</v>
      </c>
      <c r="B5" s="2">
        <f>EOMONTH(CurveDate,-1)</f>
        <v>36707</v>
      </c>
    </row>
    <row r="7" spans="1:212" x14ac:dyDescent="0.2">
      <c r="A7" s="1" t="s">
        <v>0</v>
      </c>
      <c r="B7" s="3" t="s">
        <v>10</v>
      </c>
      <c r="C7" s="7" t="s">
        <v>12</v>
      </c>
      <c r="D7" s="7" t="s">
        <v>12</v>
      </c>
      <c r="E7" s="7" t="s">
        <v>34</v>
      </c>
      <c r="F7" s="7" t="s">
        <v>34</v>
      </c>
      <c r="G7" s="3" t="s">
        <v>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</row>
    <row r="8" spans="1:212" x14ac:dyDescent="0.2">
      <c r="A8" s="1" t="s">
        <v>1</v>
      </c>
      <c r="B8" s="3" t="s">
        <v>9</v>
      </c>
      <c r="C8" s="3" t="s">
        <v>7</v>
      </c>
      <c r="D8" s="3" t="s">
        <v>11</v>
      </c>
      <c r="E8" s="3" t="s">
        <v>7</v>
      </c>
      <c r="F8" s="3" t="s">
        <v>7</v>
      </c>
      <c r="G8" s="3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</row>
    <row r="9" spans="1:212" x14ac:dyDescent="0.2">
      <c r="A9" s="1" t="s">
        <v>2</v>
      </c>
      <c r="B9" s="3" t="s">
        <v>8</v>
      </c>
      <c r="C9" s="3" t="s">
        <v>6</v>
      </c>
      <c r="D9" s="3" t="s">
        <v>6</v>
      </c>
      <c r="E9" s="3" t="s">
        <v>13</v>
      </c>
      <c r="F9" s="3" t="s">
        <v>14</v>
      </c>
      <c r="G9" s="3" t="s">
        <v>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</row>
    <row r="10" spans="1:212" x14ac:dyDescent="0.2">
      <c r="A10" s="4">
        <f>+FirstMonth</f>
        <v>36707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212" x14ac:dyDescent="0.2">
      <c r="A11" s="2">
        <f t="shared" ref="A11:A74" si="0">EOMONTH(A10,0)+1</f>
        <v>36708</v>
      </c>
      <c r="B11" s="5">
        <v>1</v>
      </c>
      <c r="C11" s="5">
        <v>4.3690000000000007</v>
      </c>
      <c r="D11" s="5">
        <v>0.6</v>
      </c>
      <c r="E11" s="5">
        <v>-9.0000000000000011E-3</v>
      </c>
      <c r="F11" s="5">
        <v>5.0000000000000001E-3</v>
      </c>
      <c r="G11" s="5">
        <v>122.5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spans="1:212" x14ac:dyDescent="0.2">
      <c r="A12" s="2">
        <f t="shared" si="0"/>
        <v>36739</v>
      </c>
      <c r="B12" s="5">
        <v>6.774134807203501E-2</v>
      </c>
      <c r="C12" s="5">
        <v>3.7149999999999999</v>
      </c>
      <c r="D12" s="5">
        <v>0.57999999999999996</v>
      </c>
      <c r="E12" s="5">
        <v>0</v>
      </c>
      <c r="F12" s="5">
        <v>0</v>
      </c>
      <c r="G12" s="5">
        <v>123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spans="1:212" x14ac:dyDescent="0.2">
      <c r="A13" s="2">
        <f t="shared" si="0"/>
        <v>36770</v>
      </c>
      <c r="B13" s="5">
        <v>6.804881271445401E-2</v>
      </c>
      <c r="C13" s="5">
        <v>3.7250000000000001</v>
      </c>
      <c r="D13" s="5">
        <v>0.63</v>
      </c>
      <c r="E13" s="5">
        <v>0</v>
      </c>
      <c r="F13" s="5">
        <v>0</v>
      </c>
      <c r="G13" s="5">
        <v>122.75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</row>
    <row r="14" spans="1:212" x14ac:dyDescent="0.2">
      <c r="A14" s="2">
        <f t="shared" si="0"/>
        <v>36800</v>
      </c>
      <c r="B14" s="5">
        <v>6.8307378972657012E-2</v>
      </c>
      <c r="C14" s="5">
        <v>3.7319999999999998</v>
      </c>
      <c r="D14" s="5">
        <v>0.63</v>
      </c>
      <c r="E14" s="5">
        <v>0</v>
      </c>
      <c r="F14" s="5">
        <v>0</v>
      </c>
      <c r="G14" s="5">
        <v>123.75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</row>
    <row r="15" spans="1:212" x14ac:dyDescent="0.2">
      <c r="A15" s="2">
        <f t="shared" si="0"/>
        <v>36831</v>
      </c>
      <c r="B15" s="5">
        <v>6.8694480919292006E-2</v>
      </c>
      <c r="C15" s="5">
        <v>3.81</v>
      </c>
      <c r="D15" s="5">
        <v>0.64249999999999996</v>
      </c>
      <c r="E15" s="5">
        <v>5.0000000000000001E-3</v>
      </c>
      <c r="F15" s="5">
        <v>0</v>
      </c>
      <c r="G15" s="5">
        <v>123.75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212" x14ac:dyDescent="0.2">
      <c r="A16" s="2">
        <f t="shared" si="0"/>
        <v>36861</v>
      </c>
      <c r="B16" s="5">
        <v>6.8881816359694009E-2</v>
      </c>
      <c r="C16" s="5">
        <v>3.8919999999999999</v>
      </c>
      <c r="D16" s="5">
        <v>0.65249999999999997</v>
      </c>
      <c r="E16" s="5">
        <v>5.0000000000000001E-3</v>
      </c>
      <c r="F16" s="5">
        <v>0</v>
      </c>
      <c r="G16" s="5">
        <v>123.75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  <row r="17" spans="1:70" x14ac:dyDescent="0.2">
      <c r="A17" s="2">
        <f t="shared" si="0"/>
        <v>36892</v>
      </c>
      <c r="B17" s="5">
        <v>6.9111166945366023E-2</v>
      </c>
      <c r="C17" s="5">
        <v>3.89</v>
      </c>
      <c r="D17" s="5">
        <v>0.66</v>
      </c>
      <c r="E17" s="5">
        <v>5.0000000000000001E-3</v>
      </c>
      <c r="F17" s="5">
        <v>0</v>
      </c>
      <c r="G17" s="5">
        <v>123.31700000000001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spans="1:70" x14ac:dyDescent="0.2">
      <c r="A18" s="2">
        <f t="shared" si="0"/>
        <v>36923</v>
      </c>
      <c r="B18" s="5">
        <v>6.9397154366051012E-2</v>
      </c>
      <c r="C18" s="5">
        <v>3.7349999999999999</v>
      </c>
      <c r="D18" s="5">
        <v>0.63500000000000001</v>
      </c>
      <c r="E18" s="5">
        <v>5.0000000000000001E-3</v>
      </c>
      <c r="F18" s="5">
        <v>0</v>
      </c>
      <c r="G18" s="5">
        <v>121.18300000000001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</row>
    <row r="19" spans="1:70" x14ac:dyDescent="0.2">
      <c r="A19" s="2">
        <f t="shared" si="0"/>
        <v>36951</v>
      </c>
      <c r="B19" s="5">
        <v>6.9655465607987008E-2</v>
      </c>
      <c r="C19" s="5">
        <v>3.585</v>
      </c>
      <c r="D19" s="5">
        <v>0.5675</v>
      </c>
      <c r="E19" s="5">
        <v>5.0000000000000001E-3</v>
      </c>
      <c r="F19" s="5">
        <v>0</v>
      </c>
      <c r="G19" s="5">
        <v>119.444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</row>
    <row r="20" spans="1:70" x14ac:dyDescent="0.2">
      <c r="A20" s="2">
        <f t="shared" si="0"/>
        <v>36982</v>
      </c>
      <c r="B20" s="5">
        <v>6.988007102226701E-2</v>
      </c>
      <c r="C20" s="5">
        <v>3.44</v>
      </c>
      <c r="D20" s="5">
        <v>0.48</v>
      </c>
      <c r="E20" s="5">
        <v>5.0000000000000001E-3</v>
      </c>
      <c r="F20" s="5">
        <v>0</v>
      </c>
      <c r="G20" s="5">
        <v>116.33499999999999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70" x14ac:dyDescent="0.2">
      <c r="A21" s="2">
        <f t="shared" si="0"/>
        <v>37012</v>
      </c>
      <c r="B21" s="5">
        <v>6.9993204989047014E-2</v>
      </c>
      <c r="C21" s="5">
        <v>3.4090000000000003</v>
      </c>
      <c r="D21" s="5">
        <v>0.42499999999999999</v>
      </c>
      <c r="E21" s="5">
        <v>5.0000000000000001E-3</v>
      </c>
      <c r="F21" s="5">
        <v>0</v>
      </c>
      <c r="G21" s="5">
        <v>114.67300000000002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70" x14ac:dyDescent="0.2">
      <c r="A22" s="2">
        <f t="shared" si="0"/>
        <v>37043</v>
      </c>
      <c r="B22" s="5">
        <v>7.0110110092498013E-2</v>
      </c>
      <c r="C22" s="5">
        <v>3.3990000000000005</v>
      </c>
      <c r="D22" s="5">
        <v>0.42</v>
      </c>
      <c r="E22" s="5">
        <v>5.0000000000000001E-3</v>
      </c>
      <c r="F22" s="5">
        <v>0</v>
      </c>
      <c r="G22" s="5">
        <v>113.02700000000002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70" x14ac:dyDescent="0.2">
      <c r="A23" s="2">
        <f t="shared" si="0"/>
        <v>37073</v>
      </c>
      <c r="B23" s="5">
        <v>7.0214788903499997E-2</v>
      </c>
      <c r="C23" s="5">
        <v>3.3890000000000002</v>
      </c>
      <c r="D23" s="5">
        <v>0.41749999999999998</v>
      </c>
      <c r="E23" s="5">
        <v>5.0000000000000001E-3</v>
      </c>
      <c r="F23" s="5">
        <v>0</v>
      </c>
      <c r="G23" s="5">
        <v>112.48700000000001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70" x14ac:dyDescent="0.2">
      <c r="A24" s="2">
        <f t="shared" si="0"/>
        <v>37104</v>
      </c>
      <c r="B24" s="5">
        <v>7.0307065970443006E-2</v>
      </c>
      <c r="C24" s="5">
        <v>3.3890000000000002</v>
      </c>
      <c r="D24" s="5">
        <v>0.41749999999999998</v>
      </c>
      <c r="E24" s="5">
        <v>5.0000000000000001E-3</v>
      </c>
      <c r="F24" s="5">
        <v>0</v>
      </c>
      <c r="G24" s="5">
        <v>111.32700000000001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70" x14ac:dyDescent="0.2">
      <c r="A25" s="2">
        <f t="shared" si="0"/>
        <v>37135</v>
      </c>
      <c r="B25" s="5">
        <v>7.0399343040201026E-2</v>
      </c>
      <c r="C25" s="5">
        <v>3.3790000000000004</v>
      </c>
      <c r="D25" s="5">
        <v>0.41749999999999998</v>
      </c>
      <c r="E25" s="5">
        <v>5.0000000000000001E-3</v>
      </c>
      <c r="F25" s="5">
        <v>0</v>
      </c>
      <c r="G25" s="5">
        <v>110.3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70" x14ac:dyDescent="0.2">
      <c r="A26" s="2">
        <f t="shared" si="0"/>
        <v>37165</v>
      </c>
      <c r="B26" s="5">
        <v>7.047840408317102E-2</v>
      </c>
      <c r="C26" s="5">
        <v>3.4040000000000004</v>
      </c>
      <c r="D26" s="5">
        <v>0.42</v>
      </c>
      <c r="E26" s="5">
        <v>5.0000000000000001E-3</v>
      </c>
      <c r="F26" s="5">
        <v>0</v>
      </c>
      <c r="G26" s="5">
        <v>112.97800000000001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70" x14ac:dyDescent="0.2">
      <c r="A27" s="2">
        <f t="shared" si="0"/>
        <v>37196</v>
      </c>
      <c r="B27" s="5">
        <v>7.0543334070211017E-2</v>
      </c>
      <c r="C27" s="5">
        <v>3.52</v>
      </c>
      <c r="D27" s="5">
        <v>0.45</v>
      </c>
      <c r="E27" s="5">
        <v>5.0000000000000001E-3</v>
      </c>
      <c r="F27" s="5">
        <v>0</v>
      </c>
      <c r="G27" s="5">
        <v>111.864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70" x14ac:dyDescent="0.2">
      <c r="A28" s="2">
        <f t="shared" si="0"/>
        <v>37226</v>
      </c>
      <c r="B28" s="5">
        <v>7.0606169542866026E-2</v>
      </c>
      <c r="C28" s="5">
        <v>3.63</v>
      </c>
      <c r="D28" s="5">
        <v>0.45250000000000001</v>
      </c>
      <c r="E28" s="5">
        <v>5.0000000000000001E-3</v>
      </c>
      <c r="F28" s="5">
        <v>0</v>
      </c>
      <c r="G28" s="5">
        <v>110.59200000000001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Q28" s="3"/>
      <c r="BR28" s="3"/>
    </row>
    <row r="29" spans="1:70" x14ac:dyDescent="0.2">
      <c r="A29" s="2">
        <f t="shared" si="0"/>
        <v>37257</v>
      </c>
      <c r="B29" s="5">
        <v>7.0674686513092028E-2</v>
      </c>
      <c r="C29" s="5">
        <v>3.65</v>
      </c>
      <c r="D29" s="5">
        <v>0.45500000000000002</v>
      </c>
      <c r="E29" s="5">
        <v>5.0000000000000001E-3</v>
      </c>
      <c r="F29" s="5">
        <v>0</v>
      </c>
      <c r="G29" s="5">
        <v>120.881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Q29" s="3"/>
      <c r="BR29" s="3"/>
    </row>
    <row r="30" spans="1:70" x14ac:dyDescent="0.2">
      <c r="A30" s="2">
        <f t="shared" si="0"/>
        <v>37288</v>
      </c>
      <c r="B30" s="5">
        <v>7.0748170073293024E-2</v>
      </c>
      <c r="C30" s="5">
        <v>3.5150000000000001</v>
      </c>
      <c r="D30" s="5">
        <v>0.44500000000000001</v>
      </c>
      <c r="E30" s="5">
        <v>5.0000000000000001E-3</v>
      </c>
      <c r="F30" s="5">
        <v>0</v>
      </c>
      <c r="G30" s="5">
        <v>119.60899999999999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70" x14ac:dyDescent="0.2">
      <c r="A31" s="2">
        <f t="shared" si="0"/>
        <v>37316</v>
      </c>
      <c r="B31" s="5">
        <v>7.0814542322751015E-2</v>
      </c>
      <c r="C31" s="5">
        <v>3.38</v>
      </c>
      <c r="D31" s="5">
        <v>0.41749999999999998</v>
      </c>
      <c r="E31" s="5">
        <v>5.0000000000000001E-3</v>
      </c>
      <c r="F31" s="5">
        <v>0</v>
      </c>
      <c r="G31" s="5">
        <v>118.43700000000001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70" x14ac:dyDescent="0.2">
      <c r="A32" s="2">
        <f t="shared" si="0"/>
        <v>37347</v>
      </c>
      <c r="B32" s="5">
        <v>7.0867490101350017E-2</v>
      </c>
      <c r="C32" s="5">
        <v>3.24</v>
      </c>
      <c r="D32" s="5">
        <v>0.35</v>
      </c>
      <c r="E32" s="5">
        <v>6.0000000000000001E-3</v>
      </c>
      <c r="F32" s="5">
        <v>0</v>
      </c>
      <c r="G32" s="5">
        <v>117.26100000000001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">
      <c r="A33" s="2">
        <f t="shared" si="0"/>
        <v>37377</v>
      </c>
      <c r="B33" s="5">
        <v>7.0888552750499018E-2</v>
      </c>
      <c r="C33" s="5">
        <v>3.2050000000000001</v>
      </c>
      <c r="D33" s="5">
        <v>0.33500000000000002</v>
      </c>
      <c r="E33" s="5">
        <v>6.0000000000000001E-3</v>
      </c>
      <c r="F33" s="5">
        <v>0</v>
      </c>
      <c r="G33" s="5">
        <v>116.32600000000001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">
      <c r="A34" s="2">
        <f t="shared" si="0"/>
        <v>37408</v>
      </c>
      <c r="B34" s="5">
        <v>7.0910317488107999E-2</v>
      </c>
      <c r="C34" s="5">
        <v>3.1949999999999998</v>
      </c>
      <c r="D34" s="5">
        <v>0.33250000000000002</v>
      </c>
      <c r="E34" s="5">
        <v>6.0000000000000001E-3</v>
      </c>
      <c r="F34" s="5">
        <v>0</v>
      </c>
      <c r="G34" s="5">
        <v>115.52800000000002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spans="1:64" x14ac:dyDescent="0.2">
      <c r="A35" s="2">
        <f t="shared" si="0"/>
        <v>37438</v>
      </c>
      <c r="B35" s="5">
        <v>7.092964762038001E-2</v>
      </c>
      <c r="C35" s="5">
        <v>3.1949999999999998</v>
      </c>
      <c r="D35" s="5">
        <v>0.33</v>
      </c>
      <c r="E35" s="5">
        <v>6.0000000000000001E-3</v>
      </c>
      <c r="F35" s="5">
        <v>0</v>
      </c>
      <c r="G35" s="5">
        <v>114.845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spans="1:64" x14ac:dyDescent="0.2">
      <c r="A36" s="2">
        <f t="shared" si="0"/>
        <v>37469</v>
      </c>
      <c r="B36" s="5">
        <v>7.0946770197311007E-2</v>
      </c>
      <c r="C36" s="5">
        <v>3.1949999999999998</v>
      </c>
      <c r="D36" s="5">
        <v>0.33</v>
      </c>
      <c r="E36" s="5">
        <v>6.0000000000000001E-3</v>
      </c>
      <c r="F36" s="5">
        <v>0</v>
      </c>
      <c r="G36" s="5">
        <v>114.12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spans="1:64" x14ac:dyDescent="0.2">
      <c r="A37" s="2">
        <f t="shared" si="0"/>
        <v>37500</v>
      </c>
      <c r="B37" s="5">
        <v>7.0963892774338011E-2</v>
      </c>
      <c r="C37" s="5">
        <v>3.1850000000000001</v>
      </c>
      <c r="D37" s="5">
        <v>0.33</v>
      </c>
      <c r="E37" s="5">
        <v>6.0000000000000001E-3</v>
      </c>
      <c r="F37" s="5">
        <v>0</v>
      </c>
      <c r="G37" s="5">
        <v>113.29100000000001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spans="1:64" x14ac:dyDescent="0.2">
      <c r="A38" s="2">
        <f t="shared" si="0"/>
        <v>37530</v>
      </c>
      <c r="B38" s="5">
        <v>7.0978377180669017E-2</v>
      </c>
      <c r="C38" s="5">
        <v>3.2050000000000001</v>
      </c>
      <c r="D38" s="5">
        <v>0.33500000000000002</v>
      </c>
      <c r="E38" s="5">
        <v>6.0000000000000001E-3</v>
      </c>
      <c r="F38" s="5">
        <v>0</v>
      </c>
      <c r="G38" s="5">
        <v>112.62200000000001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4" x14ac:dyDescent="0.2">
      <c r="A39" s="2">
        <f t="shared" si="0"/>
        <v>37561</v>
      </c>
      <c r="B39" s="5">
        <v>7.0990350597544008E-2</v>
      </c>
      <c r="C39" s="5">
        <v>3.3140000000000005</v>
      </c>
      <c r="D39" s="5">
        <v>0.34</v>
      </c>
      <c r="E39" s="5">
        <v>6.0000000000000001E-3</v>
      </c>
      <c r="F39" s="5">
        <v>0</v>
      </c>
      <c r="G39" s="5">
        <v>111.92399999999999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">
      <c r="A40" s="2">
        <f t="shared" si="0"/>
        <v>37591</v>
      </c>
      <c r="B40" s="5">
        <v>7.1001937775211021E-2</v>
      </c>
      <c r="C40" s="5">
        <v>3.4190000000000005</v>
      </c>
      <c r="D40" s="5">
        <v>0.34250000000000003</v>
      </c>
      <c r="E40" s="5">
        <v>6.0000000000000001E-3</v>
      </c>
      <c r="F40" s="5">
        <v>0</v>
      </c>
      <c r="G40" s="5">
        <v>111.26800000000001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">
      <c r="A41" s="2">
        <f t="shared" si="0"/>
        <v>37622</v>
      </c>
      <c r="B41" s="5">
        <v>7.1018838879749996E-2</v>
      </c>
      <c r="C41" s="5">
        <v>3.44</v>
      </c>
      <c r="D41" s="5">
        <v>0.33500000000000002</v>
      </c>
      <c r="E41" s="5">
        <v>5.0000000000000001E-3</v>
      </c>
      <c r="F41" s="5">
        <v>0</v>
      </c>
      <c r="G41" s="5">
        <v>113.74300000000001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spans="1:64" x14ac:dyDescent="0.2">
      <c r="A42" s="2">
        <f t="shared" si="0"/>
        <v>37653</v>
      </c>
      <c r="B42" s="5">
        <v>7.1041723605048013E-2</v>
      </c>
      <c r="C42" s="5">
        <v>3.31</v>
      </c>
      <c r="D42" s="5">
        <v>0.33500000000000002</v>
      </c>
      <c r="E42" s="5">
        <v>5.0000000000000001E-3</v>
      </c>
      <c r="F42" s="5">
        <v>0</v>
      </c>
      <c r="G42" s="5">
        <v>113.146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x14ac:dyDescent="0.2">
      <c r="A43" s="2">
        <f t="shared" si="0"/>
        <v>37681</v>
      </c>
      <c r="B43" s="5">
        <v>7.1062393679659011E-2</v>
      </c>
      <c r="C43" s="5">
        <v>3.17</v>
      </c>
      <c r="D43" s="5">
        <v>0.32750000000000001</v>
      </c>
      <c r="E43" s="5">
        <v>5.0000000000000001E-3</v>
      </c>
      <c r="F43" s="5">
        <v>0</v>
      </c>
      <c r="G43" s="5">
        <v>112.47499999999999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">
      <c r="A44" s="2">
        <f t="shared" si="0"/>
        <v>37712</v>
      </c>
      <c r="B44" s="5">
        <v>7.1076451505119001E-2</v>
      </c>
      <c r="C44" s="5">
        <v>3.03</v>
      </c>
      <c r="D44" s="5">
        <v>0.315</v>
      </c>
      <c r="E44" s="5">
        <v>5.0000000000000001E-3</v>
      </c>
      <c r="F44" s="5">
        <v>0</v>
      </c>
      <c r="G44" s="5">
        <v>111.804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">
      <c r="A45" s="2">
        <f t="shared" si="0"/>
        <v>37742</v>
      </c>
      <c r="B45" s="5">
        <v>7.1078281380432026E-2</v>
      </c>
      <c r="C45" s="5">
        <v>3.0150000000000001</v>
      </c>
      <c r="D45" s="5">
        <v>0.31</v>
      </c>
      <c r="E45" s="5">
        <v>5.0000000000000001E-3</v>
      </c>
      <c r="F45" s="5">
        <v>0</v>
      </c>
      <c r="G45" s="5">
        <v>107.46800000000002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spans="1:64" x14ac:dyDescent="0.2">
      <c r="A46" s="2">
        <f t="shared" si="0"/>
        <v>37773</v>
      </c>
      <c r="B46" s="5">
        <v>7.108017225159001E-2</v>
      </c>
      <c r="C46" s="5">
        <v>3.0449999999999999</v>
      </c>
      <c r="D46" s="5">
        <v>0.3075</v>
      </c>
      <c r="E46" s="5">
        <v>5.0000000000000001E-3</v>
      </c>
      <c r="F46" s="5">
        <v>0</v>
      </c>
      <c r="G46" s="5">
        <v>106.697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64" x14ac:dyDescent="0.2">
      <c r="A47" s="2">
        <f t="shared" si="0"/>
        <v>37803</v>
      </c>
      <c r="B47" s="5">
        <v>7.1082674655184017E-2</v>
      </c>
      <c r="C47" s="5">
        <v>3.0449999999999999</v>
      </c>
      <c r="D47" s="5">
        <v>0.3075</v>
      </c>
      <c r="E47" s="5">
        <v>5.0000000000000001E-3</v>
      </c>
      <c r="F47" s="5">
        <v>0</v>
      </c>
      <c r="G47" s="5">
        <v>105.905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64" x14ac:dyDescent="0.2">
      <c r="A48" s="2">
        <f t="shared" si="0"/>
        <v>37834</v>
      </c>
      <c r="B48" s="5">
        <v>7.1086227545837016E-2</v>
      </c>
      <c r="C48" s="5">
        <v>3.105</v>
      </c>
      <c r="D48" s="5">
        <v>0.3075</v>
      </c>
      <c r="E48" s="5">
        <v>5.0000000000000001E-3</v>
      </c>
      <c r="F48" s="5">
        <v>0</v>
      </c>
      <c r="G48" s="5">
        <v>105.13300000000001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1:64" x14ac:dyDescent="0.2">
      <c r="A49" s="2">
        <f t="shared" si="0"/>
        <v>37865</v>
      </c>
      <c r="B49" s="5">
        <v>7.1089780436495012E-2</v>
      </c>
      <c r="C49" s="5">
        <v>3.0950000000000002</v>
      </c>
      <c r="D49" s="5">
        <v>0.3075</v>
      </c>
      <c r="E49" s="5">
        <v>5.0000000000000001E-3</v>
      </c>
      <c r="F49" s="5">
        <v>0</v>
      </c>
      <c r="G49" s="5">
        <v>104.309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1:64" x14ac:dyDescent="0.2">
      <c r="A50" s="2">
        <f t="shared" si="0"/>
        <v>37895</v>
      </c>
      <c r="B50" s="5">
        <v>7.1093404512285019E-2</v>
      </c>
      <c r="C50" s="5">
        <v>3.1150000000000002</v>
      </c>
      <c r="D50" s="5">
        <v>0.3075</v>
      </c>
      <c r="E50" s="5">
        <v>5.0000000000000001E-3</v>
      </c>
      <c r="F50" s="5">
        <v>0</v>
      </c>
      <c r="G50" s="5">
        <v>103.854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spans="1:64" x14ac:dyDescent="0.2">
      <c r="A51" s="2">
        <f t="shared" si="0"/>
        <v>37926</v>
      </c>
      <c r="B51" s="5">
        <v>7.1097382802968026E-2</v>
      </c>
      <c r="C51" s="5">
        <v>3.2240000000000002</v>
      </c>
      <c r="D51" s="5">
        <v>0.3175</v>
      </c>
      <c r="E51" s="5">
        <v>5.0000000000000001E-3</v>
      </c>
      <c r="F51" s="5">
        <v>0</v>
      </c>
      <c r="G51" s="5">
        <v>103.242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1:64" x14ac:dyDescent="0.2">
      <c r="A52" s="2">
        <f t="shared" si="0"/>
        <v>37956</v>
      </c>
      <c r="B52" s="5">
        <v>7.1101232761700009E-2</v>
      </c>
      <c r="C52" s="5">
        <v>3.3290000000000006</v>
      </c>
      <c r="D52" s="5">
        <v>0.32</v>
      </c>
      <c r="E52" s="5">
        <v>5.0000000000000001E-3</v>
      </c>
      <c r="F52" s="5">
        <v>0</v>
      </c>
      <c r="G52" s="5">
        <v>102.89200000000001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x14ac:dyDescent="0.2">
      <c r="A53" s="2">
        <f t="shared" si="0"/>
        <v>37987</v>
      </c>
      <c r="B53" s="5">
        <v>7.1110992920143015E-2</v>
      </c>
      <c r="C53" s="5">
        <v>3.407</v>
      </c>
      <c r="D53" s="5">
        <v>0.34</v>
      </c>
      <c r="E53" s="5">
        <v>5.0000000000000001E-3</v>
      </c>
      <c r="F53" s="5">
        <v>0</v>
      </c>
      <c r="G53" s="5">
        <v>108.07100000000001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x14ac:dyDescent="0.2">
      <c r="A54" s="2">
        <f t="shared" si="0"/>
        <v>38018</v>
      </c>
      <c r="B54" s="5">
        <v>7.112692040424802E-2</v>
      </c>
      <c r="C54" s="5">
        <v>3.2810000000000001</v>
      </c>
      <c r="D54" s="5">
        <v>0.33</v>
      </c>
      <c r="E54" s="5">
        <v>5.0000000000000001E-3</v>
      </c>
      <c r="F54" s="5">
        <v>0</v>
      </c>
      <c r="G54" s="5">
        <v>107.77200000000001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">
      <c r="A55" s="2">
        <f t="shared" si="0"/>
        <v>38047</v>
      </c>
      <c r="B55" s="5">
        <v>7.114182030881E-2</v>
      </c>
      <c r="C55" s="5">
        <v>3.1440000000000006</v>
      </c>
      <c r="D55" s="5">
        <v>0.32500000000000001</v>
      </c>
      <c r="E55" s="5">
        <v>5.0000000000000001E-3</v>
      </c>
      <c r="F55" s="5">
        <v>0</v>
      </c>
      <c r="G55" s="5">
        <v>107.39400000000001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">
      <c r="A56" s="2">
        <f t="shared" si="0"/>
        <v>38078</v>
      </c>
      <c r="B56" s="5">
        <v>7.1151464422330002E-2</v>
      </c>
      <c r="C56" s="5">
        <v>3.0070000000000001</v>
      </c>
      <c r="D56" s="5">
        <v>0.30499999999999999</v>
      </c>
      <c r="E56" s="5">
        <v>5.0000000000000001E-3</v>
      </c>
      <c r="F56" s="5">
        <v>0</v>
      </c>
      <c r="G56" s="5">
        <v>106.30800000000001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">
      <c r="A57" s="2">
        <f t="shared" si="0"/>
        <v>38108</v>
      </c>
      <c r="B57" s="5">
        <v>7.1154311375311016E-2</v>
      </c>
      <c r="C57" s="5">
        <v>2.9930000000000003</v>
      </c>
      <c r="D57" s="5">
        <v>0.30499999999999999</v>
      </c>
      <c r="E57" s="5">
        <v>5.0000000000000001E-3</v>
      </c>
      <c r="F57" s="5">
        <v>0</v>
      </c>
      <c r="G57" s="5">
        <v>105.97499999999999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:64" x14ac:dyDescent="0.2">
      <c r="A58" s="2">
        <f t="shared" si="0"/>
        <v>38139</v>
      </c>
      <c r="B58" s="5">
        <v>7.1157253226729E-2</v>
      </c>
      <c r="C58" s="5">
        <v>3.0240000000000005</v>
      </c>
      <c r="D58" s="5">
        <v>0.30499999999999999</v>
      </c>
      <c r="E58" s="5">
        <v>5.0000000000000001E-3</v>
      </c>
      <c r="F58" s="5">
        <v>0</v>
      </c>
      <c r="G58" s="5">
        <v>105.62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:64" x14ac:dyDescent="0.2">
      <c r="A59" s="2">
        <f t="shared" si="0"/>
        <v>38169</v>
      </c>
      <c r="B59" s="5">
        <v>7.1171966017142027E-2</v>
      </c>
      <c r="C59" s="5">
        <v>3.0240000000000005</v>
      </c>
      <c r="D59" s="5">
        <v>0.30249999999999999</v>
      </c>
      <c r="E59" s="5">
        <v>5.0000000000000001E-3</v>
      </c>
      <c r="F59" s="5">
        <v>0</v>
      </c>
      <c r="G59" s="5">
        <v>105.42399999999999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:64" x14ac:dyDescent="0.2">
      <c r="A60" s="2">
        <f t="shared" si="0"/>
        <v>38200</v>
      </c>
      <c r="B60" s="5">
        <v>7.1201182223066997E-2</v>
      </c>
      <c r="C60" s="5">
        <v>3.0840000000000005</v>
      </c>
      <c r="D60" s="5">
        <v>0.30249999999999999</v>
      </c>
      <c r="E60" s="5">
        <v>5.0000000000000001E-3</v>
      </c>
      <c r="F60" s="5">
        <v>0</v>
      </c>
      <c r="G60" s="5">
        <v>105.095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x14ac:dyDescent="0.2">
      <c r="A61" s="2">
        <f t="shared" si="0"/>
        <v>38231</v>
      </c>
      <c r="B61" s="5">
        <v>7.1230398429276004E-2</v>
      </c>
      <c r="C61" s="5">
        <v>3.0730000000000004</v>
      </c>
      <c r="D61" s="5">
        <v>0.30249999999999999</v>
      </c>
      <c r="E61" s="5">
        <v>5.0000000000000001E-3</v>
      </c>
      <c r="F61" s="5">
        <v>0</v>
      </c>
      <c r="G61" s="5">
        <v>104.736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">
      <c r="A62" s="2">
        <f t="shared" si="0"/>
        <v>38261</v>
      </c>
      <c r="B62" s="5">
        <v>7.1258672177487006E-2</v>
      </c>
      <c r="C62" s="5">
        <v>3.0920000000000001</v>
      </c>
      <c r="D62" s="5">
        <v>0.30249999999999999</v>
      </c>
      <c r="E62" s="5">
        <v>5.0000000000000001E-3</v>
      </c>
      <c r="F62" s="5">
        <v>0</v>
      </c>
      <c r="G62" s="5">
        <v>104.84399999999999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">
      <c r="A63" s="2">
        <f t="shared" si="0"/>
        <v>38292</v>
      </c>
      <c r="B63" s="5">
        <v>7.1287888384250014E-2</v>
      </c>
      <c r="C63" s="5">
        <v>3.1960000000000002</v>
      </c>
      <c r="D63" s="5">
        <v>0.30499999999999999</v>
      </c>
      <c r="E63" s="5">
        <v>5.0000000000000001E-3</v>
      </c>
      <c r="F63" s="5">
        <v>0</v>
      </c>
      <c r="G63" s="5">
        <v>104.539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x14ac:dyDescent="0.2">
      <c r="A64" s="2">
        <f t="shared" si="0"/>
        <v>38322</v>
      </c>
      <c r="B64" s="5">
        <v>7.1316162133000016E-2</v>
      </c>
      <c r="C64" s="5">
        <v>3.298</v>
      </c>
      <c r="D64" s="5">
        <v>0.3075</v>
      </c>
      <c r="E64" s="5">
        <v>5.0000000000000001E-3</v>
      </c>
      <c r="F64" s="5">
        <v>0</v>
      </c>
      <c r="G64" s="5">
        <v>104.28399999999999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x14ac:dyDescent="0.2">
      <c r="A65" s="2">
        <f t="shared" si="0"/>
        <v>38353</v>
      </c>
      <c r="B65" s="5">
        <v>7.1345378340317012E-2</v>
      </c>
      <c r="C65" s="5">
        <v>3.4090000000000003</v>
      </c>
      <c r="D65" s="5">
        <v>0.3125</v>
      </c>
      <c r="E65" s="5">
        <v>5.0000000000000001E-3</v>
      </c>
      <c r="F65" s="5">
        <v>0</v>
      </c>
      <c r="G65" s="5">
        <v>104.146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x14ac:dyDescent="0.2">
      <c r="A66" s="2">
        <f t="shared" si="0"/>
        <v>38384</v>
      </c>
      <c r="B66" s="5">
        <v>7.1374594547918016E-2</v>
      </c>
      <c r="C66" s="5">
        <v>3.2869999999999999</v>
      </c>
      <c r="D66" s="5">
        <v>0.29749999999999999</v>
      </c>
      <c r="E66" s="5">
        <v>5.0000000000000001E-3</v>
      </c>
      <c r="F66" s="5">
        <v>0</v>
      </c>
      <c r="G66" s="5">
        <v>103.91600000000001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x14ac:dyDescent="0.2">
      <c r="A67" s="2">
        <f t="shared" si="0"/>
        <v>38412</v>
      </c>
      <c r="B67" s="5">
        <v>7.1400983380831021E-2</v>
      </c>
      <c r="C67" s="5">
        <v>3.153</v>
      </c>
      <c r="D67" s="5">
        <v>0.29249999999999998</v>
      </c>
      <c r="E67" s="5">
        <v>5.0000000000000001E-3</v>
      </c>
      <c r="F67" s="5">
        <v>0</v>
      </c>
      <c r="G67" s="5">
        <v>103.65600000000001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">
      <c r="A68" s="2">
        <f t="shared" si="0"/>
        <v>38443</v>
      </c>
      <c r="B68" s="5">
        <v>7.1430199588968013E-2</v>
      </c>
      <c r="C68" s="5">
        <v>3.0190000000000006</v>
      </c>
      <c r="D68" s="5">
        <v>0.27</v>
      </c>
      <c r="E68" s="5">
        <v>5.0000000000000001E-3</v>
      </c>
      <c r="F68" s="5">
        <v>0</v>
      </c>
      <c r="G68" s="5">
        <v>102.68899999999999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">
      <c r="A69" s="2">
        <f t="shared" si="0"/>
        <v>38473</v>
      </c>
      <c r="B69" s="5">
        <v>7.1458473339046008E-2</v>
      </c>
      <c r="C69" s="5">
        <v>3.0060000000000002</v>
      </c>
      <c r="D69" s="5">
        <v>0.27</v>
      </c>
      <c r="E69" s="5">
        <v>5.0000000000000001E-3</v>
      </c>
      <c r="F69" s="5">
        <v>0</v>
      </c>
      <c r="G69" s="5">
        <v>102.455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">
      <c r="A70" s="2">
        <f t="shared" si="0"/>
        <v>38504</v>
      </c>
      <c r="B70" s="5">
        <v>7.1487689547738001E-2</v>
      </c>
      <c r="C70" s="5">
        <v>3.0380000000000003</v>
      </c>
      <c r="D70" s="5">
        <v>0.27</v>
      </c>
      <c r="E70" s="5">
        <v>5.0000000000000001E-3</v>
      </c>
      <c r="F70" s="5">
        <v>0</v>
      </c>
      <c r="G70" s="5">
        <v>102.206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">
      <c r="A71" s="2">
        <f t="shared" si="0"/>
        <v>38534</v>
      </c>
      <c r="B71" s="5">
        <v>7.151596329835401E-2</v>
      </c>
      <c r="C71" s="5">
        <v>3.0380000000000003</v>
      </c>
      <c r="D71" s="5">
        <v>0.27</v>
      </c>
      <c r="E71" s="5">
        <v>5.0000000000000001E-3</v>
      </c>
      <c r="F71" s="5">
        <v>0</v>
      </c>
      <c r="G71" s="5">
        <v>102.119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">
      <c r="A72" s="2">
        <f t="shared" si="0"/>
        <v>38565</v>
      </c>
      <c r="B72" s="5">
        <v>7.1546853272663996E-2</v>
      </c>
      <c r="C72" s="5">
        <v>3.0980000000000003</v>
      </c>
      <c r="D72" s="5">
        <v>0.27</v>
      </c>
      <c r="E72" s="5">
        <v>5.0000000000000001E-3</v>
      </c>
      <c r="F72" s="5">
        <v>0</v>
      </c>
      <c r="G72" s="5">
        <v>101.88200000000001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">
      <c r="A73" s="2">
        <f t="shared" si="0"/>
        <v>38596</v>
      </c>
      <c r="B73" s="5">
        <v>7.1584717268468004E-2</v>
      </c>
      <c r="C73" s="5">
        <v>3.0860000000000003</v>
      </c>
      <c r="D73" s="5">
        <v>0.27</v>
      </c>
      <c r="E73" s="5">
        <v>5.0000000000000001E-3</v>
      </c>
      <c r="F73" s="5">
        <v>0</v>
      </c>
      <c r="G73" s="5">
        <v>101.64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">
      <c r="A74" s="2">
        <f t="shared" si="0"/>
        <v>38626</v>
      </c>
      <c r="B74" s="5">
        <v>7.1621359845503024E-2</v>
      </c>
      <c r="C74" s="5">
        <v>3.1040000000000005</v>
      </c>
      <c r="D74" s="5">
        <v>0.27</v>
      </c>
      <c r="E74" s="5">
        <v>5.0000000000000001E-3</v>
      </c>
      <c r="F74" s="5">
        <v>0</v>
      </c>
      <c r="G74" s="5">
        <v>101.855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">
      <c r="A75" s="2">
        <f t="shared" ref="A75:A138" si="1">EOMONTH(A74,0)+1</f>
        <v>38657</v>
      </c>
      <c r="B75" s="5">
        <v>7.1659223842238995E-2</v>
      </c>
      <c r="C75" s="5">
        <v>3.2030000000000003</v>
      </c>
      <c r="D75" s="5">
        <v>0.27</v>
      </c>
      <c r="E75" s="5">
        <v>5.0000000000000001E-3</v>
      </c>
      <c r="F75" s="5">
        <v>0</v>
      </c>
      <c r="G75" s="5">
        <v>101.63800000000002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">
      <c r="A76" s="2">
        <f t="shared" si="1"/>
        <v>38687</v>
      </c>
      <c r="B76" s="5">
        <v>7.1695866420177015E-2</v>
      </c>
      <c r="C76" s="5">
        <v>3.302</v>
      </c>
      <c r="D76" s="5">
        <v>0.27250000000000002</v>
      </c>
      <c r="E76" s="5">
        <v>5.0000000000000001E-3</v>
      </c>
      <c r="F76" s="5">
        <v>0</v>
      </c>
      <c r="G76" s="5">
        <v>101.479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">
      <c r="A77" s="2">
        <f t="shared" si="1"/>
        <v>38718</v>
      </c>
      <c r="B77" s="5">
        <v>7.1733730417844019E-2</v>
      </c>
      <c r="C77" s="5">
        <v>3.4260000000000002</v>
      </c>
      <c r="D77" s="5">
        <v>0.27250000000000002</v>
      </c>
      <c r="E77" s="5">
        <v>5.0000000000000001E-3</v>
      </c>
      <c r="F77" s="5">
        <v>0</v>
      </c>
      <c r="G77" s="5">
        <v>101.73399999999999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">
      <c r="A78" s="2">
        <f t="shared" si="1"/>
        <v>38749</v>
      </c>
      <c r="B78" s="5">
        <v>7.1771594415986031E-2</v>
      </c>
      <c r="C78" s="5">
        <v>3.3080000000000003</v>
      </c>
      <c r="D78" s="5">
        <v>0.26750000000000002</v>
      </c>
      <c r="E78" s="5">
        <v>5.0000000000000001E-3</v>
      </c>
      <c r="F78" s="5">
        <v>0</v>
      </c>
      <c r="G78" s="5">
        <v>101.57800000000002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">
      <c r="A79" s="2">
        <f t="shared" si="1"/>
        <v>38777</v>
      </c>
      <c r="B79" s="5">
        <v>7.1805794156650005E-2</v>
      </c>
      <c r="C79" s="5">
        <v>3.177</v>
      </c>
      <c r="D79" s="5">
        <v>0.26</v>
      </c>
      <c r="E79" s="5">
        <v>5.0000000000000001E-3</v>
      </c>
      <c r="F79" s="5">
        <v>0</v>
      </c>
      <c r="G79" s="5">
        <v>101.405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">
      <c r="A80" s="2">
        <f t="shared" si="1"/>
        <v>38808</v>
      </c>
      <c r="B80" s="5">
        <v>7.1843658155693005E-2</v>
      </c>
      <c r="C80" s="5">
        <v>3.0460000000000003</v>
      </c>
      <c r="D80" s="5">
        <v>0.1575</v>
      </c>
      <c r="E80" s="5">
        <v>5.0000000000000001E-3</v>
      </c>
      <c r="F80" s="5">
        <v>0</v>
      </c>
      <c r="G80" s="5">
        <v>100.51100000000001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:64" x14ac:dyDescent="0.2">
      <c r="A81" s="2">
        <f t="shared" si="1"/>
        <v>38838</v>
      </c>
      <c r="B81" s="5">
        <v>7.1880300735863017E-2</v>
      </c>
      <c r="C81" s="5">
        <v>3.0340000000000003</v>
      </c>
      <c r="D81" s="5">
        <v>0.1575</v>
      </c>
      <c r="E81" s="5">
        <v>5.0000000000000001E-3</v>
      </c>
      <c r="F81" s="5">
        <v>0</v>
      </c>
      <c r="G81" s="5">
        <v>100.345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:64" x14ac:dyDescent="0.2">
      <c r="A82" s="2">
        <f t="shared" si="1"/>
        <v>38869</v>
      </c>
      <c r="B82" s="5">
        <v>7.1918164735837994E-2</v>
      </c>
      <c r="C82" s="5">
        <v>3.0670000000000002</v>
      </c>
      <c r="D82" s="5">
        <v>0.1575</v>
      </c>
      <c r="E82" s="5">
        <v>5.0000000000000001E-3</v>
      </c>
      <c r="F82" s="5">
        <v>0</v>
      </c>
      <c r="G82" s="5">
        <v>100.18300000000001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:64" x14ac:dyDescent="0.2">
      <c r="A83" s="2">
        <f t="shared" si="1"/>
        <v>38899</v>
      </c>
      <c r="B83" s="5">
        <v>7.1954807316910008E-2</v>
      </c>
      <c r="C83" s="5">
        <v>3.0670000000000002</v>
      </c>
      <c r="D83" s="5">
        <v>0.1575</v>
      </c>
      <c r="E83" s="5">
        <v>5.0000000000000001E-3</v>
      </c>
      <c r="F83" s="5">
        <v>0</v>
      </c>
      <c r="G83" s="5">
        <v>100.17700000000001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:64" x14ac:dyDescent="0.2">
      <c r="A84" s="2">
        <f t="shared" si="1"/>
        <v>38930</v>
      </c>
      <c r="B84" s="5">
        <v>7.1992671317817017E-2</v>
      </c>
      <c r="C84" s="5">
        <v>3.1269999999999998</v>
      </c>
      <c r="D84" s="5">
        <v>0.1575</v>
      </c>
      <c r="E84" s="5">
        <v>5.0000000000000001E-3</v>
      </c>
      <c r="F84" s="5">
        <v>0</v>
      </c>
      <c r="G84" s="5">
        <v>100.01100000000001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:64" x14ac:dyDescent="0.2">
      <c r="A85" s="2">
        <f t="shared" si="1"/>
        <v>38961</v>
      </c>
      <c r="B85" s="5">
        <v>7.2030535319197994E-2</v>
      </c>
      <c r="C85" s="5">
        <v>3.1140000000000003</v>
      </c>
      <c r="D85" s="5">
        <v>0.1575</v>
      </c>
      <c r="E85" s="5">
        <v>5.0000000000000001E-3</v>
      </c>
      <c r="F85" s="5">
        <v>0</v>
      </c>
      <c r="G85" s="5">
        <v>99.862000000000009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:64" x14ac:dyDescent="0.2">
      <c r="A86" s="2">
        <f t="shared" si="1"/>
        <v>38991</v>
      </c>
      <c r="B86" s="5">
        <v>7.2067177901630017E-2</v>
      </c>
      <c r="C86" s="5">
        <v>3.1310000000000002</v>
      </c>
      <c r="D86" s="5">
        <v>0.1575</v>
      </c>
      <c r="E86" s="5">
        <v>5.0000000000000001E-3</v>
      </c>
      <c r="F86" s="5">
        <v>0</v>
      </c>
      <c r="G86" s="5">
        <v>100.155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:64" x14ac:dyDescent="0.2">
      <c r="A87" s="2">
        <f t="shared" si="1"/>
        <v>39022</v>
      </c>
      <c r="B87" s="5">
        <v>7.2105041903943012E-2</v>
      </c>
      <c r="C87" s="5">
        <v>3.2250000000000001</v>
      </c>
      <c r="D87" s="5">
        <v>0.1575</v>
      </c>
      <c r="E87" s="5">
        <v>5.0000000000000001E-3</v>
      </c>
      <c r="F87" s="5">
        <v>0</v>
      </c>
      <c r="G87" s="5">
        <v>100.13300000000001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:64" x14ac:dyDescent="0.2">
      <c r="A88" s="2">
        <f t="shared" si="1"/>
        <v>39052</v>
      </c>
      <c r="B88" s="5">
        <v>7.2141684487275995E-2</v>
      </c>
      <c r="C88" s="5">
        <v>3.3210000000000002</v>
      </c>
      <c r="D88" s="5">
        <v>0.1575</v>
      </c>
      <c r="E88" s="5">
        <v>5.0000000000000001E-3</v>
      </c>
      <c r="F88" s="5">
        <v>0</v>
      </c>
      <c r="G88" s="5">
        <v>100.35600000000001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:64" x14ac:dyDescent="0.2">
      <c r="A89" s="2">
        <f t="shared" si="1"/>
        <v>39083</v>
      </c>
      <c r="B89" s="5">
        <v>7.2179548490521023E-2</v>
      </c>
      <c r="C89" s="5">
        <v>3.4530000000000003</v>
      </c>
      <c r="D89" s="5">
        <v>0.1575</v>
      </c>
      <c r="E89" s="5">
        <v>5.0000000000000001E-3</v>
      </c>
      <c r="F89" s="5">
        <v>5.0000000000000001E-3</v>
      </c>
      <c r="G89" s="5">
        <v>100.699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:64" x14ac:dyDescent="0.2">
      <c r="A90" s="2">
        <f t="shared" si="1"/>
        <v>39114</v>
      </c>
      <c r="B90" s="5">
        <v>7.2217412494239006E-2</v>
      </c>
      <c r="C90" s="5">
        <v>3.3390000000000004</v>
      </c>
      <c r="D90" s="5">
        <v>0.1575</v>
      </c>
      <c r="E90" s="5">
        <v>5.0000000000000001E-3</v>
      </c>
      <c r="F90" s="5">
        <v>5.0000000000000001E-3</v>
      </c>
      <c r="G90" s="5">
        <v>100.92200000000001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:64" x14ac:dyDescent="0.2">
      <c r="A91" s="2">
        <f t="shared" si="1"/>
        <v>39142</v>
      </c>
      <c r="B91" s="5">
        <v>7.2251612239940005E-2</v>
      </c>
      <c r="C91" s="5">
        <v>3.2110000000000003</v>
      </c>
      <c r="D91" s="5">
        <v>0.1575</v>
      </c>
      <c r="E91" s="5">
        <v>5.0000000000000001E-3</v>
      </c>
      <c r="F91" s="5">
        <v>5.0000000000000001E-3</v>
      </c>
      <c r="G91" s="5">
        <v>101.175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:64" x14ac:dyDescent="0.2">
      <c r="A92" s="2">
        <f t="shared" si="1"/>
        <v>39173</v>
      </c>
      <c r="B92" s="5">
        <v>7.2289476244559003E-2</v>
      </c>
      <c r="C92" s="5">
        <v>3.0830000000000002</v>
      </c>
      <c r="D92" s="5">
        <v>0.1575</v>
      </c>
      <c r="E92" s="5">
        <v>5.0000000000000001E-3</v>
      </c>
      <c r="F92" s="5">
        <v>5.0000000000000001E-3</v>
      </c>
      <c r="G92" s="5">
        <v>100.639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:64" x14ac:dyDescent="0.2">
      <c r="A93" s="2">
        <f t="shared" si="1"/>
        <v>39203</v>
      </c>
      <c r="B93" s="5">
        <v>7.2326118830125005E-2</v>
      </c>
      <c r="C93" s="5">
        <v>3.0720000000000001</v>
      </c>
      <c r="D93" s="5">
        <v>0.1575</v>
      </c>
      <c r="E93" s="5">
        <v>5.0000000000000001E-3</v>
      </c>
      <c r="F93" s="5">
        <v>5.0000000000000001E-3</v>
      </c>
      <c r="G93" s="5">
        <v>100.90300000000002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:64" x14ac:dyDescent="0.2">
      <c r="A94" s="2">
        <f t="shared" si="1"/>
        <v>39234</v>
      </c>
      <c r="B94" s="5">
        <v>7.2363982835676022E-2</v>
      </c>
      <c r="C94" s="5">
        <v>3.1060000000000003</v>
      </c>
      <c r="D94" s="5">
        <v>0.1575</v>
      </c>
      <c r="E94" s="5">
        <v>5.0000000000000001E-3</v>
      </c>
      <c r="F94" s="5">
        <v>5.0000000000000001E-3</v>
      </c>
      <c r="G94" s="5">
        <v>101.12700000000001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:64" x14ac:dyDescent="0.2">
      <c r="A95" s="2">
        <f t="shared" si="1"/>
        <v>39264</v>
      </c>
      <c r="B95" s="5">
        <v>7.240062542214401E-2</v>
      </c>
      <c r="C95" s="5">
        <v>3.1060000000000003</v>
      </c>
      <c r="D95" s="5">
        <v>0.1575</v>
      </c>
      <c r="E95" s="5">
        <v>5.0000000000000001E-3</v>
      </c>
      <c r="F95" s="5">
        <v>5.0000000000000001E-3</v>
      </c>
      <c r="G95" s="5">
        <v>101.51600000000001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:64" x14ac:dyDescent="0.2">
      <c r="A96" s="2">
        <f t="shared" si="1"/>
        <v>39295</v>
      </c>
      <c r="B96" s="5">
        <v>7.2430391560766999E-2</v>
      </c>
      <c r="C96" s="5">
        <v>3.1660000000000004</v>
      </c>
      <c r="D96" s="5">
        <v>0.1575</v>
      </c>
      <c r="E96" s="5">
        <v>5.0000000000000001E-3</v>
      </c>
      <c r="F96" s="5">
        <v>5.0000000000000001E-3</v>
      </c>
      <c r="G96" s="5">
        <v>101.76800000000001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:64" x14ac:dyDescent="0.2">
      <c r="A97" s="2">
        <f t="shared" si="1"/>
        <v>39326</v>
      </c>
      <c r="B97" s="5">
        <v>7.2426416583505016E-2</v>
      </c>
      <c r="C97" s="5">
        <v>3.1520000000000001</v>
      </c>
      <c r="D97" s="5">
        <v>0.1575</v>
      </c>
      <c r="E97" s="5">
        <v>5.0000000000000001E-3</v>
      </c>
      <c r="F97" s="5">
        <v>5.0000000000000001E-3</v>
      </c>
      <c r="G97" s="5">
        <v>101.98399999999999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:64" x14ac:dyDescent="0.2">
      <c r="A98" s="2">
        <f t="shared" si="1"/>
        <v>39356</v>
      </c>
      <c r="B98" s="5">
        <v>7.2422569831320019E-2</v>
      </c>
      <c r="C98" s="5">
        <v>3.1680000000000001</v>
      </c>
      <c r="D98" s="5">
        <v>0.1575</v>
      </c>
      <c r="E98" s="5">
        <v>5.0000000000000001E-3</v>
      </c>
      <c r="F98" s="5">
        <v>5.0000000000000001E-3</v>
      </c>
      <c r="G98" s="5">
        <v>102.68700000000001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:64" x14ac:dyDescent="0.2">
      <c r="A99" s="2">
        <f t="shared" si="1"/>
        <v>39387</v>
      </c>
      <c r="B99" s="5">
        <v>7.2418594854068E-2</v>
      </c>
      <c r="C99" s="5">
        <v>3.2570000000000001</v>
      </c>
      <c r="D99" s="5">
        <v>0.1575</v>
      </c>
      <c r="E99" s="5">
        <v>5.0000000000000001E-3</v>
      </c>
      <c r="F99" s="5">
        <v>5.0000000000000001E-3</v>
      </c>
      <c r="G99" s="5">
        <v>102.929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:64" x14ac:dyDescent="0.2">
      <c r="A100" s="2">
        <f t="shared" si="1"/>
        <v>39417</v>
      </c>
      <c r="B100" s="5">
        <v>7.2414748101893009E-2</v>
      </c>
      <c r="C100" s="5">
        <v>3.35</v>
      </c>
      <c r="D100" s="5">
        <v>0.1575</v>
      </c>
      <c r="E100" s="5">
        <v>5.0000000000000001E-3</v>
      </c>
      <c r="F100" s="5">
        <v>5.0000000000000001E-3</v>
      </c>
      <c r="G100" s="5">
        <v>103.15200000000002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:64" x14ac:dyDescent="0.2">
      <c r="A101" s="2">
        <f t="shared" si="1"/>
        <v>39448</v>
      </c>
      <c r="B101" s="5">
        <v>7.2410773124651009E-2</v>
      </c>
      <c r="C101" s="5">
        <v>3.4950000000000001</v>
      </c>
      <c r="D101" s="5">
        <v>0.1575</v>
      </c>
      <c r="E101" s="5">
        <v>5.0000000000000001E-3</v>
      </c>
      <c r="F101" s="5">
        <v>5.0000000000000001E-3</v>
      </c>
      <c r="G101" s="5">
        <v>103.70399999999999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:64" x14ac:dyDescent="0.2">
      <c r="A102" s="2">
        <f t="shared" si="1"/>
        <v>39479</v>
      </c>
      <c r="B102" s="5">
        <v>7.2406798147414006E-2</v>
      </c>
      <c r="C102" s="5">
        <v>3.3849999999999998</v>
      </c>
      <c r="D102" s="5">
        <v>0.1575</v>
      </c>
      <c r="E102" s="5">
        <v>5.0000000000000001E-3</v>
      </c>
      <c r="F102" s="5">
        <v>5.0000000000000001E-3</v>
      </c>
      <c r="G102" s="5">
        <v>103.92399999999999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:64" x14ac:dyDescent="0.2">
      <c r="A103" s="2">
        <f t="shared" si="1"/>
        <v>39508</v>
      </c>
      <c r="B103" s="5">
        <v>7.2403079620327007E-2</v>
      </c>
      <c r="C103" s="5">
        <v>3.26</v>
      </c>
      <c r="D103" s="5">
        <v>0.1575</v>
      </c>
      <c r="E103" s="5">
        <v>5.0000000000000001E-3</v>
      </c>
      <c r="F103" s="5">
        <v>5.0000000000000001E-3</v>
      </c>
      <c r="G103" s="5">
        <v>104.16200000000001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:64" x14ac:dyDescent="0.2">
      <c r="A104" s="2">
        <f t="shared" si="1"/>
        <v>39539</v>
      </c>
      <c r="B104" s="5">
        <v>7.2399104643100023E-2</v>
      </c>
      <c r="C104" s="5">
        <v>3.1349999999999998</v>
      </c>
      <c r="D104" s="5">
        <v>0.1575</v>
      </c>
      <c r="E104" s="5">
        <v>5.0000000000000001E-3</v>
      </c>
      <c r="F104" s="5">
        <v>5.0000000000000001E-3</v>
      </c>
      <c r="G104" s="5">
        <v>103.63300000000001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:64" x14ac:dyDescent="0.2">
      <c r="A105" s="2">
        <f t="shared" si="1"/>
        <v>39569</v>
      </c>
      <c r="B105" s="5">
        <v>7.2395257890950013E-2</v>
      </c>
      <c r="C105" s="5">
        <v>3.125</v>
      </c>
      <c r="D105" s="5">
        <v>0.1575</v>
      </c>
      <c r="E105" s="5">
        <v>5.0000000000000001E-3</v>
      </c>
      <c r="F105" s="5">
        <v>5.0000000000000001E-3</v>
      </c>
      <c r="G105" s="5">
        <v>103.87100000000001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:64" x14ac:dyDescent="0.2">
      <c r="A106" s="2">
        <f t="shared" si="1"/>
        <v>39600</v>
      </c>
      <c r="B106" s="5">
        <v>7.239128291373402E-2</v>
      </c>
      <c r="C106" s="5">
        <v>3.16</v>
      </c>
      <c r="D106" s="5">
        <v>0.1575</v>
      </c>
      <c r="E106" s="5">
        <v>5.0000000000000001E-3</v>
      </c>
      <c r="F106" s="5">
        <v>5.0000000000000001E-3</v>
      </c>
      <c r="G106" s="5">
        <v>104.09100000000001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:64" x14ac:dyDescent="0.2">
      <c r="A107" s="2">
        <f t="shared" si="1"/>
        <v>39630</v>
      </c>
      <c r="B107" s="5">
        <v>7.2387436161594029E-2</v>
      </c>
      <c r="C107" s="5">
        <v>3.16</v>
      </c>
      <c r="D107" s="5">
        <v>0.1575</v>
      </c>
      <c r="E107" s="5">
        <v>5.0000000000000001E-3</v>
      </c>
      <c r="F107" s="5">
        <v>5.0000000000000001E-3</v>
      </c>
      <c r="G107" s="5">
        <v>104.51300000000002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:64" x14ac:dyDescent="0.2">
      <c r="A108" s="2">
        <f t="shared" si="1"/>
        <v>39661</v>
      </c>
      <c r="B108" s="5">
        <v>7.2383461184387016E-2</v>
      </c>
      <c r="C108" s="5">
        <v>3.22</v>
      </c>
      <c r="D108" s="5">
        <v>0.1575</v>
      </c>
      <c r="E108" s="5">
        <v>5.0000000000000001E-3</v>
      </c>
      <c r="F108" s="5">
        <v>5.0000000000000001E-3</v>
      </c>
      <c r="G108" s="5">
        <v>104.73300000000002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:64" x14ac:dyDescent="0.2">
      <c r="A109" s="2">
        <f t="shared" si="1"/>
        <v>39692</v>
      </c>
      <c r="B109" s="5">
        <v>7.237948620718701E-2</v>
      </c>
      <c r="C109" s="5">
        <v>3.2050000000000001</v>
      </c>
      <c r="D109" s="5">
        <v>0.1575</v>
      </c>
      <c r="E109" s="5">
        <v>5.0000000000000001E-3</v>
      </c>
      <c r="F109" s="5">
        <v>5.0000000000000001E-3</v>
      </c>
      <c r="G109" s="5">
        <v>104.96800000000002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:64" x14ac:dyDescent="0.2">
      <c r="A110" s="2">
        <f t="shared" si="1"/>
        <v>39722</v>
      </c>
      <c r="B110" s="5">
        <v>7.2375639455062007E-2</v>
      </c>
      <c r="C110" s="5">
        <v>3.22</v>
      </c>
      <c r="D110" s="5">
        <v>0.1575</v>
      </c>
      <c r="E110" s="5">
        <v>5.0000000000000001E-3</v>
      </c>
      <c r="F110" s="5">
        <v>5.0000000000000001E-3</v>
      </c>
      <c r="G110" s="5">
        <v>105.68800000000002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:64" x14ac:dyDescent="0.2">
      <c r="A111" s="2">
        <f t="shared" si="1"/>
        <v>39753</v>
      </c>
      <c r="B111" s="5">
        <v>7.2371664477871009E-2</v>
      </c>
      <c r="C111" s="5">
        <v>3.3040000000000003</v>
      </c>
      <c r="D111" s="5">
        <v>0.1575</v>
      </c>
      <c r="E111" s="5">
        <v>5.0000000000000001E-3</v>
      </c>
      <c r="F111" s="5">
        <v>5.0000000000000001E-3</v>
      </c>
      <c r="G111" s="5">
        <v>105.904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:64" x14ac:dyDescent="0.2">
      <c r="A112" s="2">
        <f t="shared" si="1"/>
        <v>39783</v>
      </c>
      <c r="B112" s="5">
        <v>7.2367817725756012E-2</v>
      </c>
      <c r="C112" s="5">
        <v>3.3940000000000006</v>
      </c>
      <c r="D112" s="5">
        <v>0.1575</v>
      </c>
      <c r="E112" s="5">
        <v>5.0000000000000001E-3</v>
      </c>
      <c r="F112" s="5">
        <v>5.0000000000000001E-3</v>
      </c>
      <c r="G112" s="5">
        <v>106.14700000000001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:64" x14ac:dyDescent="0.2">
      <c r="A113" s="2">
        <f t="shared" si="1"/>
        <v>39814</v>
      </c>
      <c r="B113" s="5">
        <v>7.2363842748576018E-2</v>
      </c>
      <c r="C113" s="5">
        <v>3.5470000000000002</v>
      </c>
      <c r="D113" s="5">
        <v>0.1575</v>
      </c>
      <c r="E113" s="5">
        <v>5.0000000000000001E-3</v>
      </c>
      <c r="F113" s="5">
        <v>5.0000000000000001E-3</v>
      </c>
      <c r="G113" s="5">
        <v>106.494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:64" x14ac:dyDescent="0.2">
      <c r="A114" s="2">
        <f t="shared" si="1"/>
        <v>39845</v>
      </c>
      <c r="B114" s="5">
        <v>7.2359867771401007E-2</v>
      </c>
      <c r="C114" s="5">
        <v>3.4410000000000003</v>
      </c>
      <c r="D114" s="5">
        <v>0.1575</v>
      </c>
      <c r="E114" s="5">
        <v>5.0000000000000001E-3</v>
      </c>
      <c r="F114" s="5">
        <v>5.0000000000000001E-3</v>
      </c>
      <c r="G114" s="5">
        <v>106.70100000000001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:64" x14ac:dyDescent="0.2">
      <c r="A115" s="2">
        <f t="shared" si="1"/>
        <v>39873</v>
      </c>
      <c r="B115" s="5">
        <v>7.235627746944101E-2</v>
      </c>
      <c r="C115" s="5">
        <v>3.3190000000000004</v>
      </c>
      <c r="D115" s="5">
        <v>0.1575</v>
      </c>
      <c r="E115" s="5">
        <v>5.0000000000000001E-3</v>
      </c>
      <c r="F115" s="5">
        <v>5.0000000000000001E-3</v>
      </c>
      <c r="G115" s="5">
        <v>106.956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:64" x14ac:dyDescent="0.2">
      <c r="A116" s="2">
        <f t="shared" si="1"/>
        <v>39904</v>
      </c>
      <c r="B116" s="5">
        <v>7.235230249227502E-2</v>
      </c>
      <c r="C116" s="5">
        <v>3.1970000000000001</v>
      </c>
      <c r="D116" s="5">
        <v>0.1575</v>
      </c>
      <c r="E116" s="5">
        <v>5.0000000000000001E-3</v>
      </c>
      <c r="F116" s="5">
        <v>5.0000000000000001E-3</v>
      </c>
      <c r="G116" s="5">
        <v>106.42399999999999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:64" x14ac:dyDescent="0.2">
      <c r="A117" s="2">
        <f t="shared" si="1"/>
        <v>39934</v>
      </c>
      <c r="B117" s="5">
        <v>7.2348455740185003E-2</v>
      </c>
      <c r="C117" s="5">
        <v>3.1880000000000002</v>
      </c>
      <c r="D117" s="5">
        <v>0.1575</v>
      </c>
      <c r="E117" s="5">
        <v>5.0000000000000001E-3</v>
      </c>
      <c r="F117" s="5">
        <v>5.0000000000000001E-3</v>
      </c>
      <c r="G117" s="5">
        <v>106.655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:64" x14ac:dyDescent="0.2">
      <c r="A118" s="2">
        <f t="shared" si="1"/>
        <v>39965</v>
      </c>
      <c r="B118" s="5">
        <v>7.2344480763029018E-2</v>
      </c>
      <c r="C118" s="5">
        <v>3.2240000000000002</v>
      </c>
      <c r="D118" s="5">
        <v>0.1575</v>
      </c>
      <c r="E118" s="5">
        <v>5.0000000000000001E-3</v>
      </c>
      <c r="F118" s="5">
        <v>5.0000000000000001E-3</v>
      </c>
      <c r="G118" s="5">
        <v>106.889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:64" x14ac:dyDescent="0.2">
      <c r="A119" s="2">
        <f t="shared" si="1"/>
        <v>39995</v>
      </c>
      <c r="B119" s="5">
        <v>7.2340634010949992E-2</v>
      </c>
      <c r="C119" s="5">
        <v>3.2240000000000002</v>
      </c>
      <c r="D119" s="5">
        <v>0.1575</v>
      </c>
      <c r="E119" s="5">
        <v>5.0000000000000001E-3</v>
      </c>
      <c r="F119" s="5">
        <v>5.0000000000000001E-3</v>
      </c>
      <c r="G119" s="5">
        <v>107.301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:64" x14ac:dyDescent="0.2">
      <c r="A120" s="2">
        <f t="shared" si="1"/>
        <v>40026</v>
      </c>
      <c r="B120" s="5">
        <v>7.2336659033804027E-2</v>
      </c>
      <c r="C120" s="5">
        <v>3.2840000000000003</v>
      </c>
      <c r="D120" s="5">
        <v>0.1575</v>
      </c>
      <c r="E120" s="5">
        <v>5.0000000000000001E-3</v>
      </c>
      <c r="F120" s="5">
        <v>5.0000000000000001E-3</v>
      </c>
      <c r="G120" s="5">
        <v>107.52500000000001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</row>
    <row r="121" spans="1:64" x14ac:dyDescent="0.2">
      <c r="A121" s="2">
        <f t="shared" si="1"/>
        <v>40057</v>
      </c>
      <c r="B121" s="5">
        <v>7.2332684056665028E-2</v>
      </c>
      <c r="C121" s="5">
        <v>3.2680000000000002</v>
      </c>
      <c r="D121" s="5">
        <v>0.1575</v>
      </c>
      <c r="E121" s="5">
        <v>5.0000000000000001E-3</v>
      </c>
      <c r="F121" s="5">
        <v>5.0000000000000001E-3</v>
      </c>
      <c r="G121" s="5">
        <v>107.771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</row>
    <row r="122" spans="1:64" x14ac:dyDescent="0.2">
      <c r="A122" s="2">
        <f t="shared" si="1"/>
        <v>40087</v>
      </c>
      <c r="B122" s="5">
        <v>7.2328837304600019E-2</v>
      </c>
      <c r="C122" s="5">
        <v>3.282</v>
      </c>
      <c r="D122" s="5">
        <v>0.1575</v>
      </c>
      <c r="E122" s="5">
        <v>5.0000000000000001E-3</v>
      </c>
      <c r="F122" s="5">
        <v>5.0000000000000001E-3</v>
      </c>
      <c r="G122" s="5">
        <v>108.477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</row>
    <row r="123" spans="1:64" x14ac:dyDescent="0.2">
      <c r="A123" s="2">
        <f t="shared" si="1"/>
        <v>40118</v>
      </c>
      <c r="B123" s="5">
        <v>7.2324862327470013E-2</v>
      </c>
      <c r="C123" s="5">
        <v>3.3610000000000002</v>
      </c>
      <c r="D123" s="5">
        <v>0.1575</v>
      </c>
      <c r="E123" s="5">
        <v>5.0000000000000001E-3</v>
      </c>
      <c r="F123" s="5">
        <v>5.0000000000000001E-3</v>
      </c>
      <c r="G123" s="5">
        <v>108.697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</row>
    <row r="124" spans="1:64" x14ac:dyDescent="0.2">
      <c r="A124" s="2">
        <f t="shared" si="1"/>
        <v>40148</v>
      </c>
      <c r="B124" s="5">
        <v>7.2321015575415024E-2</v>
      </c>
      <c r="C124" s="5">
        <v>3.4480000000000004</v>
      </c>
      <c r="D124" s="5">
        <v>0.155</v>
      </c>
      <c r="E124" s="5">
        <v>5.0000000000000001E-3</v>
      </c>
      <c r="F124" s="5">
        <v>5.0000000000000001E-3</v>
      </c>
      <c r="G124" s="5">
        <v>108.95399999999999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</row>
    <row r="125" spans="1:64" x14ac:dyDescent="0.2">
      <c r="A125" s="2">
        <f t="shared" si="1"/>
        <v>40179</v>
      </c>
      <c r="B125" s="5">
        <v>7.2317040598296009E-2</v>
      </c>
      <c r="C125" s="5">
        <v>3.6090000000000004</v>
      </c>
      <c r="D125" s="5">
        <v>0.15</v>
      </c>
      <c r="E125" s="5">
        <v>5.0000000000000001E-3</v>
      </c>
      <c r="F125" s="5">
        <v>5.0000000000000001E-3</v>
      </c>
      <c r="G125" s="5">
        <v>109.66200000000001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</row>
    <row r="126" spans="1:64" x14ac:dyDescent="0.2">
      <c r="A126" s="2">
        <f t="shared" si="1"/>
        <v>40210</v>
      </c>
      <c r="B126" s="5">
        <v>7.2313065621182032E-2</v>
      </c>
      <c r="C126" s="5">
        <v>3.5070000000000001</v>
      </c>
      <c r="D126" s="5">
        <v>0.15</v>
      </c>
      <c r="E126" s="5">
        <v>5.0000000000000001E-3</v>
      </c>
      <c r="F126" s="5">
        <v>5.0000000000000001E-3</v>
      </c>
      <c r="G126" s="5">
        <v>109.876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</row>
    <row r="127" spans="1:64" x14ac:dyDescent="0.2">
      <c r="A127" s="2">
        <f t="shared" si="1"/>
        <v>40238</v>
      </c>
      <c r="B127" s="5">
        <v>7.230947531927702E-2</v>
      </c>
      <c r="C127" s="5">
        <v>3.3880000000000003</v>
      </c>
      <c r="D127" s="5">
        <v>0.15</v>
      </c>
      <c r="E127" s="5">
        <v>5.0000000000000001E-3</v>
      </c>
      <c r="F127" s="5">
        <v>5.0000000000000001E-3</v>
      </c>
      <c r="G127" s="5">
        <v>110.13800000000002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</row>
    <row r="128" spans="1:64" x14ac:dyDescent="0.2">
      <c r="A128" s="2">
        <f t="shared" si="1"/>
        <v>40269</v>
      </c>
      <c r="B128" s="5">
        <v>7.230550034217402E-2</v>
      </c>
      <c r="C128" s="5">
        <v>3.2690000000000006</v>
      </c>
      <c r="D128" s="5">
        <v>0.15</v>
      </c>
      <c r="E128" s="5">
        <v>5.0000000000000001E-3</v>
      </c>
      <c r="F128" s="5">
        <v>5.0000000000000001E-3</v>
      </c>
      <c r="G128" s="5">
        <v>109.599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spans="1:64" x14ac:dyDescent="0.2">
      <c r="A129" s="2">
        <f t="shared" si="1"/>
        <v>40299</v>
      </c>
      <c r="B129" s="5">
        <v>7.2301653590143011E-2</v>
      </c>
      <c r="C129" s="5">
        <v>3.2610000000000001</v>
      </c>
      <c r="D129" s="5">
        <v>0.15</v>
      </c>
      <c r="E129" s="5">
        <v>5.0000000000000001E-3</v>
      </c>
      <c r="F129" s="5">
        <v>5.0000000000000001E-3</v>
      </c>
      <c r="G129" s="5">
        <v>109.83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spans="1:64" x14ac:dyDescent="0.2">
      <c r="A130" s="2">
        <f t="shared" si="1"/>
        <v>40330</v>
      </c>
      <c r="B130" s="5">
        <v>7.2297678613049032E-2</v>
      </c>
      <c r="C130" s="5">
        <v>3.298</v>
      </c>
      <c r="D130" s="5">
        <v>0.15</v>
      </c>
      <c r="E130" s="5">
        <v>5.0000000000000001E-3</v>
      </c>
      <c r="F130" s="5">
        <v>5.0000000000000001E-3</v>
      </c>
      <c r="G130" s="5">
        <v>110.075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</row>
    <row r="131" spans="1:64" x14ac:dyDescent="0.2">
      <c r="A131" s="2">
        <f t="shared" si="1"/>
        <v>40360</v>
      </c>
      <c r="B131" s="5">
        <v>7.2293831861028002E-2</v>
      </c>
      <c r="C131" s="5">
        <v>3.298</v>
      </c>
      <c r="D131" s="5">
        <v>0.15</v>
      </c>
      <c r="E131" s="5">
        <v>5.0000000000000001E-3</v>
      </c>
      <c r="F131" s="5">
        <v>5.0000000000000001E-3</v>
      </c>
      <c r="G131" s="5">
        <v>110.46899999999999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</row>
    <row r="132" spans="1:64" x14ac:dyDescent="0.2">
      <c r="A132" s="2">
        <f t="shared" si="1"/>
        <v>40391</v>
      </c>
      <c r="B132" s="5">
        <v>7.2290562622285018E-2</v>
      </c>
      <c r="C132" s="5">
        <v>3.3580000000000001</v>
      </c>
      <c r="D132" s="5">
        <v>0.15</v>
      </c>
      <c r="E132" s="5">
        <v>5.0000000000000001E-3</v>
      </c>
      <c r="F132" s="5">
        <v>5.0000000000000001E-3</v>
      </c>
      <c r="G132" s="5">
        <v>110.697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</row>
    <row r="133" spans="1:64" x14ac:dyDescent="0.2">
      <c r="A133" s="2">
        <f t="shared" si="1"/>
        <v>40422</v>
      </c>
      <c r="B133" s="5">
        <v>7.229023395995901E-2</v>
      </c>
      <c r="C133" s="5">
        <v>3.3410000000000002</v>
      </c>
      <c r="D133" s="5">
        <v>0.15</v>
      </c>
      <c r="E133" s="5">
        <v>5.0000000000000001E-3</v>
      </c>
      <c r="F133" s="5">
        <v>5.0000000000000001E-3</v>
      </c>
      <c r="G133" s="5">
        <v>110.94600000000001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</row>
    <row r="134" spans="1:64" x14ac:dyDescent="0.2">
      <c r="A134" s="2">
        <f t="shared" si="1"/>
        <v>40452</v>
      </c>
      <c r="B134" s="5">
        <v>7.2289915899645021E-2</v>
      </c>
      <c r="C134" s="5">
        <v>3.3540000000000005</v>
      </c>
      <c r="D134" s="5">
        <v>0.15</v>
      </c>
      <c r="E134" s="5">
        <v>5.0000000000000001E-3</v>
      </c>
      <c r="F134" s="5">
        <v>5.0000000000000001E-3</v>
      </c>
      <c r="G134" s="5">
        <v>111.645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</row>
    <row r="135" spans="1:64" x14ac:dyDescent="0.2">
      <c r="A135" s="2">
        <f t="shared" si="1"/>
        <v>40483</v>
      </c>
      <c r="B135" s="5">
        <v>7.2289587237320027E-2</v>
      </c>
      <c r="C135" s="5">
        <v>3.4280000000000004</v>
      </c>
      <c r="D135" s="5">
        <v>0.15</v>
      </c>
      <c r="E135" s="5">
        <v>5.0000000000000001E-3</v>
      </c>
      <c r="F135" s="5">
        <v>5.0000000000000001E-3</v>
      </c>
      <c r="G135" s="5">
        <v>111.88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spans="1:64" x14ac:dyDescent="0.2">
      <c r="A136" s="2">
        <f t="shared" si="1"/>
        <v>40513</v>
      </c>
      <c r="B136" s="5">
        <v>7.2289269177006024E-2</v>
      </c>
      <c r="C136" s="5">
        <v>3.512</v>
      </c>
      <c r="D136" s="5">
        <v>0.15</v>
      </c>
      <c r="E136" s="5">
        <v>5.0000000000000001E-3</v>
      </c>
      <c r="F136" s="5">
        <v>5.0000000000000001E-3</v>
      </c>
      <c r="G136" s="5">
        <v>112.13500000000001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</row>
    <row r="137" spans="1:64" x14ac:dyDescent="0.2">
      <c r="A137" s="2">
        <f t="shared" si="1"/>
        <v>40544</v>
      </c>
      <c r="B137" s="5">
        <v>7.2288940514681016E-2</v>
      </c>
      <c r="C137" s="5">
        <v>3.6810000000000005</v>
      </c>
      <c r="D137" s="5">
        <v>0.15</v>
      </c>
      <c r="E137" s="5">
        <v>5.0000000000000001E-3</v>
      </c>
      <c r="F137" s="5">
        <v>5.0000000000000001E-3</v>
      </c>
      <c r="G137" s="5">
        <v>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</row>
    <row r="138" spans="1:64" x14ac:dyDescent="0.2">
      <c r="A138" s="2">
        <f t="shared" si="1"/>
        <v>40575</v>
      </c>
      <c r="B138" s="5">
        <v>7.2288611852357007E-2</v>
      </c>
      <c r="C138" s="5">
        <v>3.5830000000000002</v>
      </c>
      <c r="D138" s="5">
        <v>0.15</v>
      </c>
      <c r="E138" s="5">
        <v>5.0000000000000001E-3</v>
      </c>
      <c r="F138" s="5">
        <v>5.0000000000000001E-3</v>
      </c>
      <c r="G138" s="5">
        <v>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</row>
    <row r="139" spans="1:64" x14ac:dyDescent="0.2">
      <c r="A139" s="2">
        <f t="shared" ref="A139:A202" si="2">EOMONTH(A138,0)+1</f>
        <v>40603</v>
      </c>
      <c r="B139" s="5">
        <v>7.2288314996063016E-2</v>
      </c>
      <c r="C139" s="5">
        <v>3.4670000000000001</v>
      </c>
      <c r="D139" s="5">
        <v>0.15</v>
      </c>
      <c r="E139" s="5">
        <v>5.0000000000000001E-3</v>
      </c>
      <c r="F139" s="5">
        <v>5.0000000000000001E-3</v>
      </c>
      <c r="G139" s="5">
        <v>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</row>
    <row r="140" spans="1:64" x14ac:dyDescent="0.2">
      <c r="A140" s="2">
        <f t="shared" si="2"/>
        <v>40634</v>
      </c>
      <c r="B140" s="5">
        <v>7.2287986333738022E-2</v>
      </c>
      <c r="C140" s="5">
        <v>3.3510000000000004</v>
      </c>
      <c r="D140" s="5">
        <v>0.15</v>
      </c>
      <c r="E140" s="5">
        <v>5.0000000000000001E-3</v>
      </c>
      <c r="F140" s="5">
        <v>5.0000000000000001E-3</v>
      </c>
      <c r="G140" s="5">
        <v>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</row>
    <row r="141" spans="1:64" x14ac:dyDescent="0.2">
      <c r="A141" s="2">
        <f t="shared" si="2"/>
        <v>40664</v>
      </c>
      <c r="B141" s="5">
        <v>7.2287668273424019E-2</v>
      </c>
      <c r="C141" s="5">
        <v>3.3440000000000003</v>
      </c>
      <c r="D141" s="5">
        <v>0.15</v>
      </c>
      <c r="E141" s="5">
        <v>5.0000000000000001E-3</v>
      </c>
      <c r="F141" s="5">
        <v>5.0000000000000001E-3</v>
      </c>
      <c r="G141" s="5">
        <v>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</row>
    <row r="142" spans="1:64" x14ac:dyDescent="0.2">
      <c r="A142" s="2">
        <f t="shared" si="2"/>
        <v>40695</v>
      </c>
      <c r="B142" s="5">
        <v>7.2287339611099025E-2</v>
      </c>
      <c r="C142" s="5">
        <v>3.3820000000000001</v>
      </c>
      <c r="D142" s="5">
        <v>0.15</v>
      </c>
      <c r="E142" s="5">
        <v>5.0000000000000001E-3</v>
      </c>
      <c r="F142" s="5">
        <v>5.0000000000000001E-3</v>
      </c>
      <c r="G142" s="5">
        <v>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</row>
    <row r="143" spans="1:64" x14ac:dyDescent="0.2">
      <c r="A143" s="2">
        <f t="shared" si="2"/>
        <v>40725</v>
      </c>
      <c r="B143" s="5">
        <v>7.2287021550785008E-2</v>
      </c>
      <c r="C143" s="5">
        <v>3.3820000000000001</v>
      </c>
      <c r="D143" s="5">
        <v>0.15</v>
      </c>
      <c r="E143" s="5">
        <v>5.0000000000000001E-3</v>
      </c>
      <c r="F143" s="5">
        <v>5.0000000000000001E-3</v>
      </c>
      <c r="G143" s="5">
        <v>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</row>
    <row r="144" spans="1:64" x14ac:dyDescent="0.2">
      <c r="A144" s="2">
        <f t="shared" si="2"/>
        <v>40756</v>
      </c>
      <c r="B144" s="5">
        <v>7.228669288846E-2</v>
      </c>
      <c r="C144" s="5">
        <v>3.4420000000000002</v>
      </c>
      <c r="D144" s="5">
        <v>0.15</v>
      </c>
      <c r="E144" s="5">
        <v>5.0000000000000001E-3</v>
      </c>
      <c r="F144" s="5">
        <v>5.0000000000000001E-3</v>
      </c>
      <c r="G144" s="5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</row>
    <row r="145" spans="1:64" x14ac:dyDescent="0.2">
      <c r="A145" s="2">
        <f t="shared" si="2"/>
        <v>40787</v>
      </c>
      <c r="B145" s="5">
        <v>7.2286364226136005E-2</v>
      </c>
      <c r="C145" s="5">
        <v>3.4240000000000004</v>
      </c>
      <c r="D145" s="5">
        <v>0.15</v>
      </c>
      <c r="E145" s="5">
        <v>5.0000000000000001E-3</v>
      </c>
      <c r="F145" s="5">
        <v>5.0000000000000001E-3</v>
      </c>
      <c r="G145" s="5">
        <v>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</row>
    <row r="146" spans="1:64" x14ac:dyDescent="0.2">
      <c r="A146" s="2">
        <f t="shared" si="2"/>
        <v>40817</v>
      </c>
      <c r="B146" s="5">
        <v>7.2286046165822015E-2</v>
      </c>
      <c r="C146" s="5">
        <v>3.4360000000000004</v>
      </c>
      <c r="D146" s="5">
        <v>0.15</v>
      </c>
      <c r="E146" s="5">
        <v>5.0000000000000001E-3</v>
      </c>
      <c r="F146" s="5">
        <v>5.0000000000000001E-3</v>
      </c>
      <c r="G146" s="5">
        <v>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</row>
    <row r="147" spans="1:64" x14ac:dyDescent="0.2">
      <c r="A147" s="2">
        <f t="shared" si="2"/>
        <v>40848</v>
      </c>
      <c r="B147" s="5">
        <v>7.228571750349802E-2</v>
      </c>
      <c r="C147" s="5">
        <v>3.5049999999999999</v>
      </c>
      <c r="D147" s="5">
        <v>0.15</v>
      </c>
      <c r="E147" s="5">
        <v>5.0000000000000001E-3</v>
      </c>
      <c r="F147" s="5">
        <v>5.0000000000000001E-3</v>
      </c>
      <c r="G147" s="5">
        <v>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</row>
    <row r="148" spans="1:64" x14ac:dyDescent="0.2">
      <c r="A148" s="2">
        <f t="shared" si="2"/>
        <v>40878</v>
      </c>
      <c r="B148" s="5">
        <v>7.2285399443184004E-2</v>
      </c>
      <c r="C148" s="5">
        <v>3.5860000000000003</v>
      </c>
      <c r="D148" s="5">
        <v>0.15</v>
      </c>
      <c r="E148" s="5">
        <v>5.0000000000000001E-3</v>
      </c>
      <c r="F148" s="5">
        <v>5.0000000000000001E-3</v>
      </c>
      <c r="G148" s="5">
        <v>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</row>
    <row r="149" spans="1:64" x14ac:dyDescent="0.2">
      <c r="A149" s="2">
        <f t="shared" si="2"/>
        <v>40909</v>
      </c>
      <c r="B149" s="5">
        <v>7.2285070780859009E-2</v>
      </c>
      <c r="C149" s="5">
        <v>3.7630000000000003</v>
      </c>
      <c r="D149" s="5">
        <v>0.15</v>
      </c>
      <c r="E149" s="5">
        <v>5.0000000000000001E-3</v>
      </c>
      <c r="F149" s="5">
        <v>5.0000000000000001E-3</v>
      </c>
      <c r="G149" s="5">
        <v>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</row>
    <row r="150" spans="1:64" x14ac:dyDescent="0.2">
      <c r="A150" s="2">
        <f t="shared" si="2"/>
        <v>40940</v>
      </c>
      <c r="B150" s="5">
        <v>7.2284742118535014E-2</v>
      </c>
      <c r="C150" s="5">
        <v>3.6690000000000005</v>
      </c>
      <c r="D150" s="5">
        <v>0.15</v>
      </c>
      <c r="E150" s="5">
        <v>5.0000000000000001E-3</v>
      </c>
      <c r="F150" s="5">
        <v>5.0000000000000001E-3</v>
      </c>
      <c r="G150" s="5">
        <v>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</row>
    <row r="151" spans="1:64" x14ac:dyDescent="0.2">
      <c r="A151" s="2">
        <f t="shared" si="2"/>
        <v>40969</v>
      </c>
      <c r="B151" s="5">
        <v>7.2284434660232016E-2</v>
      </c>
      <c r="C151" s="5">
        <v>3.5560000000000005</v>
      </c>
      <c r="D151" s="5">
        <v>0.15</v>
      </c>
      <c r="E151" s="5">
        <v>5.0000000000000001E-3</v>
      </c>
      <c r="F151" s="5">
        <v>5.0000000000000001E-3</v>
      </c>
      <c r="G151" s="5">
        <v>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</row>
    <row r="152" spans="1:64" x14ac:dyDescent="0.2">
      <c r="A152" s="2">
        <f t="shared" si="2"/>
        <v>41000</v>
      </c>
      <c r="B152" s="5">
        <v>7.2284105997907008E-2</v>
      </c>
      <c r="C152" s="5">
        <v>3.4430000000000001</v>
      </c>
      <c r="D152" s="5">
        <v>0.15</v>
      </c>
      <c r="E152" s="5">
        <v>5.0000000000000001E-3</v>
      </c>
      <c r="F152" s="5">
        <v>5.0000000000000001E-3</v>
      </c>
      <c r="G152" s="5">
        <v>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</row>
    <row r="153" spans="1:64" x14ac:dyDescent="0.2">
      <c r="A153" s="2">
        <f t="shared" si="2"/>
        <v>41030</v>
      </c>
      <c r="B153" s="5">
        <v>7.2283787937593033E-2</v>
      </c>
      <c r="C153" s="5">
        <v>3.4369999999999998</v>
      </c>
      <c r="D153" s="5">
        <v>0.15</v>
      </c>
      <c r="E153" s="5">
        <v>5.0000000000000001E-3</v>
      </c>
      <c r="F153" s="5">
        <v>5.0000000000000001E-3</v>
      </c>
      <c r="G153" s="5">
        <v>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</row>
    <row r="154" spans="1:64" x14ac:dyDescent="0.2">
      <c r="A154" s="2">
        <f t="shared" si="2"/>
        <v>41061</v>
      </c>
      <c r="B154" s="5">
        <v>7.2283459275269024E-2</v>
      </c>
      <c r="C154" s="5">
        <v>3.4760000000000004</v>
      </c>
      <c r="D154" s="5">
        <v>0.15</v>
      </c>
      <c r="E154" s="5">
        <v>5.0000000000000001E-3</v>
      </c>
      <c r="F154" s="5">
        <v>5.0000000000000001E-3</v>
      </c>
      <c r="G154" s="5">
        <v>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</row>
    <row r="155" spans="1:64" x14ac:dyDescent="0.2">
      <c r="A155" s="2">
        <f t="shared" si="2"/>
        <v>41091</v>
      </c>
      <c r="B155" s="5">
        <v>7.2283141214955021E-2</v>
      </c>
      <c r="C155" s="5">
        <v>3.4760000000000004</v>
      </c>
      <c r="D155" s="5">
        <v>0.15</v>
      </c>
      <c r="E155" s="5">
        <v>5.0000000000000001E-3</v>
      </c>
      <c r="F155" s="5">
        <v>5.0000000000000001E-3</v>
      </c>
      <c r="G155" s="5">
        <v>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</row>
    <row r="156" spans="1:64" x14ac:dyDescent="0.2">
      <c r="A156" s="2">
        <f t="shared" si="2"/>
        <v>41122</v>
      </c>
      <c r="B156" s="5">
        <v>7.2282812552631012E-2</v>
      </c>
      <c r="C156" s="5">
        <v>3.5360000000000005</v>
      </c>
      <c r="D156" s="5">
        <v>0.15</v>
      </c>
      <c r="E156" s="5">
        <v>5.0000000000000001E-3</v>
      </c>
      <c r="F156" s="5">
        <v>5.0000000000000001E-3</v>
      </c>
      <c r="G156" s="5">
        <v>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</row>
    <row r="157" spans="1:64" x14ac:dyDescent="0.2">
      <c r="A157" s="2">
        <f t="shared" si="2"/>
        <v>41153</v>
      </c>
      <c r="B157" s="5">
        <v>7.2282483890307031E-2</v>
      </c>
      <c r="C157" s="5">
        <v>3.5169999999999999</v>
      </c>
      <c r="D157" s="5">
        <v>0.15</v>
      </c>
      <c r="E157" s="5">
        <v>5.0000000000000001E-3</v>
      </c>
      <c r="F157" s="5">
        <v>5.0000000000000001E-3</v>
      </c>
      <c r="G157" s="5">
        <v>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</row>
    <row r="158" spans="1:64" x14ac:dyDescent="0.2">
      <c r="A158" s="2">
        <f t="shared" si="2"/>
        <v>41183</v>
      </c>
      <c r="B158" s="5">
        <v>7.2282165830000022E-2</v>
      </c>
      <c r="C158" s="5">
        <v>3.528</v>
      </c>
      <c r="D158" s="5">
        <v>0.15</v>
      </c>
      <c r="E158" s="5">
        <v>5.0000000000000001E-3</v>
      </c>
      <c r="F158" s="5">
        <v>5.0000000000000001E-3</v>
      </c>
      <c r="G158" s="5">
        <v>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</row>
    <row r="159" spans="1:64" x14ac:dyDescent="0.2">
      <c r="A159" s="2">
        <f t="shared" si="2"/>
        <v>41214</v>
      </c>
      <c r="B159" s="5">
        <v>7.2281837167669019E-2</v>
      </c>
      <c r="C159" s="5">
        <v>3.5920000000000001</v>
      </c>
      <c r="D159" s="5">
        <v>0.15</v>
      </c>
      <c r="E159" s="5">
        <v>5.0000000000000001E-3</v>
      </c>
      <c r="F159" s="5">
        <v>5.0000000000000001E-3</v>
      </c>
      <c r="G159" s="5">
        <v>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</row>
    <row r="160" spans="1:64" x14ac:dyDescent="0.2">
      <c r="A160" s="2">
        <f t="shared" si="2"/>
        <v>41244</v>
      </c>
      <c r="B160" s="5">
        <v>7.2281519107356001E-2</v>
      </c>
      <c r="C160" s="5">
        <v>3.67</v>
      </c>
      <c r="D160" s="5">
        <v>0.15</v>
      </c>
      <c r="E160" s="5">
        <v>5.0000000000000001E-3</v>
      </c>
      <c r="F160" s="5">
        <v>5.0000000000000001E-3</v>
      </c>
      <c r="G160" s="5">
        <v>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</row>
    <row r="161" spans="1:64" x14ac:dyDescent="0.2">
      <c r="A161" s="2">
        <f t="shared" si="2"/>
        <v>41275</v>
      </c>
      <c r="B161" s="5">
        <v>7.2281190445031993E-2</v>
      </c>
      <c r="C161" s="5">
        <v>3.85</v>
      </c>
      <c r="D161" s="5">
        <v>0.15</v>
      </c>
      <c r="E161" s="5">
        <v>5.0000000000000001E-3</v>
      </c>
      <c r="F161" s="5">
        <v>5.0000000000000001E-3</v>
      </c>
      <c r="G161" s="5">
        <v>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</row>
    <row r="162" spans="1:64" x14ac:dyDescent="0.2">
      <c r="A162" s="2">
        <f t="shared" si="2"/>
        <v>41306</v>
      </c>
      <c r="B162" s="5">
        <v>7.2280861782707984E-2</v>
      </c>
      <c r="C162" s="5">
        <v>3.76</v>
      </c>
      <c r="D162" s="5">
        <v>0.15</v>
      </c>
      <c r="E162" s="5">
        <v>5.0000000000000001E-3</v>
      </c>
      <c r="F162" s="5">
        <v>5.0000000000000001E-3</v>
      </c>
      <c r="G162" s="5">
        <v>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</row>
    <row r="163" spans="1:64" x14ac:dyDescent="0.2">
      <c r="A163" s="2">
        <f t="shared" si="2"/>
        <v>41334</v>
      </c>
      <c r="B163" s="5">
        <v>7.228056492641502E-2</v>
      </c>
      <c r="C163" s="5">
        <v>3.65</v>
      </c>
      <c r="D163" s="5">
        <v>0.15</v>
      </c>
      <c r="E163" s="5">
        <v>5.0000000000000001E-3</v>
      </c>
      <c r="F163" s="5">
        <v>5.0000000000000001E-3</v>
      </c>
      <c r="G163" s="5">
        <v>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</row>
    <row r="164" spans="1:64" x14ac:dyDescent="0.2">
      <c r="A164" s="2">
        <f t="shared" si="2"/>
        <v>41365</v>
      </c>
      <c r="B164" s="5">
        <v>7.2280236264090997E-2</v>
      </c>
      <c r="C164" s="5">
        <v>3.54</v>
      </c>
      <c r="D164" s="5">
        <v>0.15</v>
      </c>
      <c r="E164" s="5">
        <v>5.0000000000000001E-3</v>
      </c>
      <c r="F164" s="5">
        <v>5.0000000000000001E-3</v>
      </c>
      <c r="G164" s="5">
        <v>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</row>
    <row r="165" spans="1:64" x14ac:dyDescent="0.2">
      <c r="A165" s="2">
        <f t="shared" si="2"/>
        <v>41395</v>
      </c>
      <c r="B165" s="5">
        <v>7.2279918203778021E-2</v>
      </c>
      <c r="C165" s="5">
        <v>3.5350000000000001</v>
      </c>
      <c r="D165" s="5">
        <v>0.15</v>
      </c>
      <c r="E165" s="5">
        <v>5.0000000000000001E-3</v>
      </c>
      <c r="F165" s="5">
        <v>5.0000000000000001E-3</v>
      </c>
      <c r="G165" s="5">
        <v>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</row>
    <row r="166" spans="1:64" x14ac:dyDescent="0.2">
      <c r="A166" s="2">
        <f t="shared" si="2"/>
        <v>41426</v>
      </c>
      <c r="B166" s="5">
        <v>7.2279589541454026E-2</v>
      </c>
      <c r="C166" s="5">
        <v>3.5750000000000002</v>
      </c>
      <c r="D166" s="5">
        <v>0.15</v>
      </c>
      <c r="E166" s="5">
        <v>5.0000000000000001E-3</v>
      </c>
      <c r="F166" s="5">
        <v>5.0000000000000001E-3</v>
      </c>
      <c r="G166" s="5">
        <v>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</row>
    <row r="167" spans="1:64" x14ac:dyDescent="0.2">
      <c r="A167" s="2">
        <f t="shared" si="2"/>
        <v>41456</v>
      </c>
      <c r="B167" s="5">
        <v>7.2279271481141022E-2</v>
      </c>
      <c r="C167" s="5">
        <v>3.5750000000000002</v>
      </c>
      <c r="D167" s="5">
        <v>0.15</v>
      </c>
      <c r="E167" s="5">
        <v>5.0000000000000001E-3</v>
      </c>
      <c r="F167" s="5">
        <v>5.0000000000000001E-3</v>
      </c>
      <c r="G167" s="5">
        <v>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</row>
    <row r="168" spans="1:64" x14ac:dyDescent="0.2">
      <c r="A168" s="2">
        <f t="shared" si="2"/>
        <v>41487</v>
      </c>
      <c r="B168" s="5">
        <v>7.2278942818817027E-2</v>
      </c>
      <c r="C168" s="5">
        <v>3.6349999999999998</v>
      </c>
      <c r="D168" s="5">
        <v>0.15</v>
      </c>
      <c r="E168" s="5">
        <v>5.0000000000000001E-3</v>
      </c>
      <c r="F168" s="5">
        <v>5.0000000000000001E-3</v>
      </c>
      <c r="G168" s="5">
        <v>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</row>
    <row r="169" spans="1:64" x14ac:dyDescent="0.2">
      <c r="A169" s="2">
        <f t="shared" si="2"/>
        <v>41518</v>
      </c>
      <c r="B169" s="5">
        <v>7.2278614156494017E-2</v>
      </c>
      <c r="C169" s="5">
        <v>3.6150000000000002</v>
      </c>
      <c r="D169" s="5">
        <v>0.15</v>
      </c>
      <c r="E169" s="5">
        <v>5.0000000000000001E-3</v>
      </c>
      <c r="F169" s="5">
        <v>5.0000000000000001E-3</v>
      </c>
      <c r="G169" s="5">
        <v>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</row>
    <row r="170" spans="1:64" x14ac:dyDescent="0.2">
      <c r="A170" s="2">
        <f t="shared" si="2"/>
        <v>41548</v>
      </c>
      <c r="B170" s="5">
        <v>7.2278296096180014E-2</v>
      </c>
      <c r="C170" s="5">
        <v>3.625</v>
      </c>
      <c r="D170" s="5">
        <v>0.15</v>
      </c>
      <c r="E170" s="5">
        <v>5.0000000000000001E-3</v>
      </c>
      <c r="F170" s="5">
        <v>5.0000000000000001E-3</v>
      </c>
      <c r="G170" s="5">
        <v>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</row>
    <row r="171" spans="1:64" x14ac:dyDescent="0.2">
      <c r="A171" s="2">
        <f t="shared" si="2"/>
        <v>41579</v>
      </c>
      <c r="B171" s="5">
        <v>7.2277967433856005E-2</v>
      </c>
      <c r="C171" s="5">
        <v>3.6840000000000006</v>
      </c>
      <c r="D171" s="5">
        <v>0.15</v>
      </c>
      <c r="E171" s="5">
        <v>5.0000000000000001E-3</v>
      </c>
      <c r="F171" s="5">
        <v>5.0000000000000001E-3</v>
      </c>
      <c r="G171" s="5">
        <v>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</row>
    <row r="172" spans="1:64" x14ac:dyDescent="0.2">
      <c r="A172" s="2">
        <f t="shared" si="2"/>
        <v>41609</v>
      </c>
      <c r="B172" s="5">
        <v>7.2277649373543001E-2</v>
      </c>
      <c r="C172" s="5">
        <v>3.7590000000000003</v>
      </c>
      <c r="D172" s="5">
        <v>0.15</v>
      </c>
      <c r="E172" s="5">
        <v>5.0000000000000001E-3</v>
      </c>
      <c r="F172" s="5">
        <v>5.0000000000000001E-3</v>
      </c>
      <c r="G172" s="5">
        <v>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</row>
    <row r="173" spans="1:64" x14ac:dyDescent="0.2">
      <c r="A173" s="2">
        <f t="shared" si="2"/>
        <v>41640</v>
      </c>
      <c r="B173" s="5">
        <v>7.2277320711220006E-2</v>
      </c>
      <c r="C173" s="5">
        <v>3.9470000000000001</v>
      </c>
      <c r="D173" s="5">
        <v>0.15</v>
      </c>
      <c r="E173" s="5">
        <v>5.0000000000000001E-3</v>
      </c>
      <c r="F173" s="5">
        <v>5.0000000000000001E-3</v>
      </c>
      <c r="G173" s="5">
        <v>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</row>
    <row r="174" spans="1:64" x14ac:dyDescent="0.2">
      <c r="A174" s="2">
        <f t="shared" si="2"/>
        <v>41671</v>
      </c>
      <c r="B174" s="5">
        <v>7.2276992048896024E-2</v>
      </c>
      <c r="C174" s="5">
        <v>3.8610000000000002</v>
      </c>
      <c r="D174" s="5">
        <v>0.15</v>
      </c>
      <c r="E174" s="5">
        <v>5.0000000000000001E-3</v>
      </c>
      <c r="F174" s="5">
        <v>5.0000000000000001E-3</v>
      </c>
      <c r="G174" s="5">
        <v>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</row>
    <row r="175" spans="1:64" x14ac:dyDescent="0.2">
      <c r="A175" s="2">
        <f t="shared" si="2"/>
        <v>41699</v>
      </c>
      <c r="B175" s="5">
        <v>7.2276695192604004E-2</v>
      </c>
      <c r="C175" s="5">
        <v>3.7540000000000004</v>
      </c>
      <c r="D175" s="5">
        <v>0.15</v>
      </c>
      <c r="E175" s="5">
        <v>5.0000000000000001E-3</v>
      </c>
      <c r="F175" s="5">
        <v>5.0000000000000001E-3</v>
      </c>
      <c r="G175" s="5">
        <v>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</row>
    <row r="176" spans="1:64" x14ac:dyDescent="0.2">
      <c r="A176" s="2">
        <f t="shared" si="2"/>
        <v>41730</v>
      </c>
      <c r="B176" s="5">
        <v>7.2276366530281022E-2</v>
      </c>
      <c r="C176" s="5">
        <v>3.6469999999999998</v>
      </c>
      <c r="D176" s="5">
        <v>0.15</v>
      </c>
      <c r="E176" s="5">
        <v>5.0000000000000001E-3</v>
      </c>
      <c r="F176" s="5">
        <v>5.0000000000000001E-3</v>
      </c>
      <c r="G176" s="5">
        <v>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</row>
    <row r="177" spans="1:64" x14ac:dyDescent="0.2">
      <c r="A177" s="2">
        <f t="shared" si="2"/>
        <v>41760</v>
      </c>
      <c r="B177" s="5">
        <v>7.2276048469968018E-2</v>
      </c>
      <c r="C177" s="5">
        <v>3.6430000000000002</v>
      </c>
      <c r="D177" s="5">
        <v>0.15</v>
      </c>
      <c r="E177" s="5">
        <v>5.0000000000000001E-3</v>
      </c>
      <c r="F177" s="5">
        <v>5.0000000000000001E-3</v>
      </c>
      <c r="G177" s="5">
        <v>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</row>
    <row r="178" spans="1:64" x14ac:dyDescent="0.2">
      <c r="A178" s="2">
        <f t="shared" si="2"/>
        <v>41791</v>
      </c>
      <c r="B178" s="5">
        <v>7.2275719807644009E-2</v>
      </c>
      <c r="C178" s="5">
        <v>3.6840000000000006</v>
      </c>
      <c r="D178" s="5">
        <v>0.15</v>
      </c>
      <c r="E178" s="5">
        <v>5.0000000000000001E-3</v>
      </c>
      <c r="F178" s="5">
        <v>5.0000000000000001E-3</v>
      </c>
      <c r="G178" s="5">
        <v>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</row>
    <row r="179" spans="1:64" x14ac:dyDescent="0.2">
      <c r="A179" s="2">
        <f t="shared" si="2"/>
        <v>41821</v>
      </c>
      <c r="B179" s="5">
        <v>7.227540174733102E-2</v>
      </c>
      <c r="C179" s="5">
        <v>3.6840000000000006</v>
      </c>
      <c r="D179" s="5">
        <v>0.15</v>
      </c>
      <c r="E179" s="5">
        <v>5.0000000000000001E-3</v>
      </c>
      <c r="F179" s="5">
        <v>5.0000000000000001E-3</v>
      </c>
      <c r="G179" s="5">
        <v>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</row>
    <row r="180" spans="1:64" x14ac:dyDescent="0.2">
      <c r="A180" s="2">
        <f t="shared" si="2"/>
        <v>41852</v>
      </c>
      <c r="B180" s="5">
        <v>7.227507308500801E-2</v>
      </c>
      <c r="C180" s="5">
        <v>3.7440000000000002</v>
      </c>
      <c r="D180" s="5">
        <v>0.15</v>
      </c>
      <c r="E180" s="5">
        <v>5.0000000000000001E-3</v>
      </c>
      <c r="F180" s="5">
        <v>5.0000000000000001E-3</v>
      </c>
      <c r="G180" s="5">
        <v>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</row>
    <row r="181" spans="1:64" x14ac:dyDescent="0.2">
      <c r="A181" s="2">
        <f t="shared" si="2"/>
        <v>41883</v>
      </c>
      <c r="B181" s="5">
        <v>7.2274744422684001E-2</v>
      </c>
      <c r="C181" s="5">
        <v>3.7230000000000003</v>
      </c>
      <c r="D181" s="5">
        <v>0.15</v>
      </c>
      <c r="E181" s="5">
        <v>5.0000000000000001E-3</v>
      </c>
      <c r="F181" s="5">
        <v>5.0000000000000001E-3</v>
      </c>
      <c r="G181" s="5">
        <v>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</row>
    <row r="182" spans="1:64" x14ac:dyDescent="0.2">
      <c r="A182" s="2">
        <f t="shared" si="2"/>
        <v>41913</v>
      </c>
      <c r="B182" s="5">
        <v>7.2274426362371011E-2</v>
      </c>
      <c r="C182" s="5">
        <v>3.7319999999999998</v>
      </c>
      <c r="D182" s="5">
        <v>0.15</v>
      </c>
      <c r="E182" s="5">
        <v>5.0000000000000001E-3</v>
      </c>
      <c r="F182" s="5">
        <v>5.0000000000000001E-3</v>
      </c>
      <c r="G182" s="5">
        <v>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</row>
    <row r="183" spans="1:64" x14ac:dyDescent="0.2">
      <c r="A183" s="2">
        <f t="shared" si="2"/>
        <v>41944</v>
      </c>
      <c r="B183" s="5">
        <v>7.2274097700049014E-2</v>
      </c>
      <c r="C183" s="5">
        <v>3.7860000000000005</v>
      </c>
      <c r="D183" s="5">
        <v>0.15</v>
      </c>
      <c r="E183" s="5">
        <v>5.0000000000000001E-3</v>
      </c>
      <c r="F183" s="5">
        <v>5.0000000000000001E-3</v>
      </c>
      <c r="G183" s="5">
        <v>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</row>
    <row r="184" spans="1:64" x14ac:dyDescent="0.2">
      <c r="A184" s="2">
        <f t="shared" si="2"/>
        <v>41974</v>
      </c>
      <c r="B184" s="5">
        <v>7.2273779639736024E-2</v>
      </c>
      <c r="C184" s="5">
        <v>3.8580000000000001</v>
      </c>
      <c r="D184" s="5">
        <v>0.15</v>
      </c>
      <c r="E184" s="5">
        <v>5.0000000000000001E-3</v>
      </c>
      <c r="F184" s="5">
        <v>5.0000000000000001E-3</v>
      </c>
      <c r="G184" s="5">
        <v>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</row>
    <row r="185" spans="1:64" x14ac:dyDescent="0.2">
      <c r="A185" s="2">
        <f t="shared" si="2"/>
        <v>42005</v>
      </c>
      <c r="B185" s="5">
        <v>7.2273450977412987E-2</v>
      </c>
      <c r="C185" s="5">
        <v>4.0490000000000004</v>
      </c>
      <c r="D185" s="5">
        <v>0.15</v>
      </c>
      <c r="E185" s="5">
        <v>5.0000000000000001E-3</v>
      </c>
      <c r="F185" s="5">
        <v>5.0000000000000001E-3</v>
      </c>
      <c r="G185" s="5">
        <v>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</row>
    <row r="186" spans="1:64" x14ac:dyDescent="0.2">
      <c r="A186" s="2">
        <f t="shared" si="2"/>
        <v>42036</v>
      </c>
      <c r="B186" s="5">
        <v>7.2273122315090005E-2</v>
      </c>
      <c r="C186" s="5">
        <v>3.9670000000000001</v>
      </c>
      <c r="D186" s="5">
        <v>0.15</v>
      </c>
      <c r="E186" s="5">
        <v>5.0000000000000001E-3</v>
      </c>
      <c r="F186" s="5">
        <v>5.0000000000000001E-3</v>
      </c>
      <c r="G186" s="5">
        <v>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</row>
    <row r="187" spans="1:64" x14ac:dyDescent="0.2">
      <c r="A187" s="2">
        <f t="shared" si="2"/>
        <v>42064</v>
      </c>
      <c r="B187" s="5">
        <v>7.2272825458798012E-2</v>
      </c>
      <c r="C187" s="5">
        <v>3.863</v>
      </c>
      <c r="D187" s="5">
        <v>0.15</v>
      </c>
      <c r="E187" s="5">
        <v>5.0000000000000001E-3</v>
      </c>
      <c r="F187" s="5">
        <v>5.0000000000000001E-3</v>
      </c>
      <c r="G187" s="5">
        <v>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</row>
    <row r="188" spans="1:64" x14ac:dyDescent="0.2">
      <c r="A188" s="2">
        <f t="shared" si="2"/>
        <v>42095</v>
      </c>
      <c r="B188" s="5">
        <v>7.2272496796475016E-2</v>
      </c>
      <c r="C188" s="5">
        <v>3.7590000000000003</v>
      </c>
      <c r="D188" s="5">
        <v>0.15</v>
      </c>
      <c r="E188" s="5">
        <v>5.0000000000000001E-3</v>
      </c>
      <c r="F188" s="5">
        <v>5.0000000000000001E-3</v>
      </c>
      <c r="G188" s="5">
        <v>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</row>
    <row r="189" spans="1:64" x14ac:dyDescent="0.2">
      <c r="A189" s="2">
        <f t="shared" si="2"/>
        <v>42125</v>
      </c>
      <c r="B189" s="5">
        <v>7.2272178736161999E-2</v>
      </c>
      <c r="C189" s="5">
        <v>3.7560000000000002</v>
      </c>
      <c r="D189" s="5">
        <v>0.15</v>
      </c>
      <c r="E189" s="5">
        <v>5.0000000000000001E-3</v>
      </c>
      <c r="F189" s="5">
        <v>5.0000000000000001E-3</v>
      </c>
      <c r="G189" s="5">
        <v>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</row>
    <row r="190" spans="1:64" x14ac:dyDescent="0.2">
      <c r="A190" s="2">
        <f t="shared" si="2"/>
        <v>42156</v>
      </c>
      <c r="B190" s="5">
        <v>7.2271850073839017E-2</v>
      </c>
      <c r="C190" s="5">
        <v>3.798</v>
      </c>
      <c r="D190" s="5">
        <v>0.15</v>
      </c>
      <c r="E190" s="5">
        <v>5.0000000000000001E-3</v>
      </c>
      <c r="F190" s="5">
        <v>5.0000000000000001E-3</v>
      </c>
      <c r="G190" s="5">
        <v>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</row>
    <row r="191" spans="1:64" x14ac:dyDescent="0.2">
      <c r="A191" s="2">
        <f t="shared" si="2"/>
        <v>42186</v>
      </c>
      <c r="B191" s="5">
        <v>7.2271532013525999E-2</v>
      </c>
      <c r="C191" s="5">
        <v>3.798</v>
      </c>
      <c r="D191" s="5">
        <v>0.15</v>
      </c>
      <c r="E191" s="5">
        <v>5.0000000000000001E-3</v>
      </c>
      <c r="F191" s="5">
        <v>5.0000000000000001E-3</v>
      </c>
      <c r="G191" s="5">
        <v>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</row>
    <row r="192" spans="1:64" x14ac:dyDescent="0.2">
      <c r="A192" s="2">
        <f t="shared" si="2"/>
        <v>42217</v>
      </c>
      <c r="B192" s="5">
        <v>7.2271203351204016E-2</v>
      </c>
      <c r="C192" s="5">
        <v>3.8580000000000001</v>
      </c>
      <c r="D192" s="5">
        <v>0.15</v>
      </c>
      <c r="E192" s="5">
        <v>5.0000000000000001E-3</v>
      </c>
      <c r="F192" s="5">
        <v>5.0000000000000001E-3</v>
      </c>
      <c r="G192" s="5">
        <v>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</row>
    <row r="193" spans="1:64" x14ac:dyDescent="0.2">
      <c r="A193" s="2">
        <f t="shared" si="2"/>
        <v>42248</v>
      </c>
      <c r="B193" s="5">
        <v>7.2270874688881034E-2</v>
      </c>
      <c r="C193" s="5">
        <v>3.8360000000000003</v>
      </c>
      <c r="D193" s="5">
        <v>0.15</v>
      </c>
      <c r="E193" s="5">
        <v>5.0000000000000001E-3</v>
      </c>
      <c r="F193" s="5">
        <v>5.0000000000000001E-3</v>
      </c>
      <c r="G193" s="5">
        <v>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</row>
    <row r="194" spans="1:64" x14ac:dyDescent="0.2">
      <c r="A194" s="2">
        <f t="shared" si="2"/>
        <v>42278</v>
      </c>
      <c r="B194" s="5">
        <v>7.2270556628569016E-2</v>
      </c>
      <c r="C194" s="5">
        <v>3.8440000000000003</v>
      </c>
      <c r="D194" s="5">
        <v>0.15</v>
      </c>
      <c r="E194" s="5">
        <v>5.0000000000000001E-3</v>
      </c>
      <c r="F194" s="5">
        <v>5.0000000000000001E-3</v>
      </c>
      <c r="G194" s="5">
        <v>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</row>
    <row r="195" spans="1:64" x14ac:dyDescent="0.2">
      <c r="A195" s="2">
        <f t="shared" si="2"/>
        <v>42309</v>
      </c>
      <c r="B195" s="5">
        <v>7.2270227966245007E-2</v>
      </c>
      <c r="C195" s="5">
        <v>3.8930000000000002</v>
      </c>
      <c r="D195" s="5">
        <v>0.15</v>
      </c>
      <c r="E195" s="5">
        <v>5.0000000000000001E-3</v>
      </c>
      <c r="F195" s="5">
        <v>5.0000000000000001E-3</v>
      </c>
      <c r="G195" s="5">
        <v>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</row>
    <row r="196" spans="1:64" x14ac:dyDescent="0.2">
      <c r="A196" s="2">
        <f t="shared" si="2"/>
        <v>42339</v>
      </c>
      <c r="B196" s="5">
        <v>7.2269909905933002E-2</v>
      </c>
      <c r="C196" s="5">
        <v>3.9620000000000002</v>
      </c>
      <c r="D196" s="5">
        <v>0.15</v>
      </c>
      <c r="E196" s="5">
        <v>5.0000000000000001E-3</v>
      </c>
      <c r="F196" s="5">
        <v>5.0000000000000001E-3</v>
      </c>
      <c r="G196" s="5">
        <v>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</row>
    <row r="197" spans="1:64" x14ac:dyDescent="0.2">
      <c r="A197" s="2">
        <f t="shared" si="2"/>
        <v>42370</v>
      </c>
      <c r="B197" s="5">
        <v>7.2269581243609993E-2</v>
      </c>
      <c r="C197" s="5">
        <v>4.1560000000000006</v>
      </c>
      <c r="D197" s="5">
        <v>0.15</v>
      </c>
      <c r="E197" s="5">
        <v>5.0000000000000001E-3</v>
      </c>
      <c r="F197" s="5">
        <v>5.0000000000000001E-3</v>
      </c>
      <c r="G197" s="5">
        <v>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</row>
    <row r="198" spans="1:64" x14ac:dyDescent="0.2">
      <c r="A198" s="2">
        <f t="shared" si="2"/>
        <v>42401</v>
      </c>
      <c r="B198" s="5">
        <v>7.2269252581287996E-2</v>
      </c>
      <c r="C198" s="5">
        <v>4.0780000000000003</v>
      </c>
      <c r="D198" s="5">
        <v>0.15</v>
      </c>
      <c r="E198" s="5">
        <v>5.0000000000000001E-3</v>
      </c>
      <c r="F198" s="5">
        <v>5.0000000000000001E-3</v>
      </c>
      <c r="G198" s="5">
        <v>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</row>
    <row r="199" spans="1:64" x14ac:dyDescent="0.2">
      <c r="A199" s="2">
        <f t="shared" si="2"/>
        <v>42430</v>
      </c>
      <c r="B199" s="5">
        <v>7.2268945122986025E-2</v>
      </c>
      <c r="C199" s="5">
        <v>3.9769999999999999</v>
      </c>
      <c r="D199" s="5">
        <v>0.15</v>
      </c>
      <c r="E199" s="5">
        <v>5.0000000000000001E-3</v>
      </c>
      <c r="F199" s="5">
        <v>0</v>
      </c>
      <c r="G199" s="5">
        <v>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</row>
    <row r="200" spans="1:64" x14ac:dyDescent="0.2">
      <c r="A200" s="2">
        <f t="shared" si="2"/>
        <v>42461</v>
      </c>
      <c r="B200" s="5">
        <v>7.2268616460663015E-2</v>
      </c>
      <c r="C200" s="5">
        <v>3.8760000000000003</v>
      </c>
      <c r="D200" s="5">
        <v>0.15</v>
      </c>
      <c r="E200" s="5">
        <v>5.0000000000000001E-3</v>
      </c>
      <c r="F200" s="5">
        <v>0</v>
      </c>
      <c r="G200" s="5">
        <v>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</row>
    <row r="201" spans="1:64" x14ac:dyDescent="0.2">
      <c r="A201" s="2">
        <f t="shared" si="2"/>
        <v>42491</v>
      </c>
      <c r="B201" s="5">
        <v>7.2268298400351025E-2</v>
      </c>
      <c r="C201" s="5">
        <v>3.8740000000000006</v>
      </c>
      <c r="D201" s="5">
        <v>0.15</v>
      </c>
      <c r="E201" s="5">
        <v>5.0000000000000001E-3</v>
      </c>
      <c r="F201" s="5">
        <v>0</v>
      </c>
      <c r="G201" s="5">
        <v>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</row>
    <row r="202" spans="1:64" x14ac:dyDescent="0.2">
      <c r="A202" s="2">
        <f t="shared" si="2"/>
        <v>42522</v>
      </c>
      <c r="B202" s="5">
        <v>7.2267969738028001E-2</v>
      </c>
      <c r="C202" s="5">
        <v>3.9169999999999998</v>
      </c>
      <c r="D202" s="5">
        <v>0.15</v>
      </c>
      <c r="E202" s="5">
        <v>5.0000000000000001E-3</v>
      </c>
      <c r="F202" s="5">
        <v>0</v>
      </c>
      <c r="G202" s="5">
        <v>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</row>
    <row r="203" spans="1:64" x14ac:dyDescent="0.2">
      <c r="A203" s="2">
        <f t="shared" ref="A203:A266" si="3">EOMONTH(A202,0)+1</f>
        <v>42552</v>
      </c>
      <c r="B203" s="5">
        <v>7.226765167771701E-2</v>
      </c>
      <c r="C203" s="5">
        <v>3.9169999999999998</v>
      </c>
      <c r="D203" s="5">
        <v>0.15</v>
      </c>
      <c r="E203" s="5">
        <v>5.0000000000000001E-3</v>
      </c>
      <c r="F203" s="5">
        <v>0</v>
      </c>
      <c r="G203" s="5">
        <v>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</row>
    <row r="204" spans="1:64" x14ac:dyDescent="0.2">
      <c r="A204" s="2">
        <f t="shared" si="3"/>
        <v>42583</v>
      </c>
      <c r="B204" s="5">
        <v>7.2267323015394014E-2</v>
      </c>
      <c r="C204" s="5">
        <v>3.9769999999999999</v>
      </c>
      <c r="D204" s="5">
        <v>0.15</v>
      </c>
      <c r="E204" s="5">
        <v>5.0000000000000001E-3</v>
      </c>
      <c r="F204" s="5">
        <v>0</v>
      </c>
      <c r="G204" s="5">
        <v>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</row>
    <row r="205" spans="1:64" x14ac:dyDescent="0.2">
      <c r="A205" s="2">
        <f t="shared" si="3"/>
        <v>42614</v>
      </c>
      <c r="B205" s="5">
        <v>7.2266994353071018E-2</v>
      </c>
      <c r="C205" s="5">
        <v>3.9540000000000006</v>
      </c>
      <c r="D205" s="5">
        <v>0.15</v>
      </c>
      <c r="E205" s="5">
        <v>5.0000000000000001E-3</v>
      </c>
      <c r="F205" s="5">
        <v>0</v>
      </c>
      <c r="G205" s="5">
        <v>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</row>
    <row r="206" spans="1:64" x14ac:dyDescent="0.2">
      <c r="A206" s="2">
        <f t="shared" si="3"/>
        <v>42644</v>
      </c>
      <c r="B206" s="5">
        <v>7.2266676292759999E-2</v>
      </c>
      <c r="C206" s="5">
        <v>3.9610000000000003</v>
      </c>
      <c r="D206" s="5">
        <v>0.15</v>
      </c>
      <c r="E206" s="5">
        <v>5.0000000000000001E-3</v>
      </c>
      <c r="F206" s="5">
        <v>0</v>
      </c>
      <c r="G206" s="5">
        <v>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</row>
    <row r="207" spans="1:64" x14ac:dyDescent="0.2">
      <c r="A207" s="2">
        <f t="shared" si="3"/>
        <v>42675</v>
      </c>
      <c r="B207" s="5">
        <v>7.2266347630437003E-2</v>
      </c>
      <c r="C207" s="5">
        <v>4.0049999999999999</v>
      </c>
      <c r="D207" s="5">
        <v>0.15</v>
      </c>
      <c r="E207" s="5">
        <v>5.0000000000000001E-3</v>
      </c>
      <c r="F207" s="5">
        <v>0</v>
      </c>
      <c r="G207" s="5">
        <v>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</row>
    <row r="208" spans="1:64" x14ac:dyDescent="0.2">
      <c r="A208" s="2">
        <f t="shared" si="3"/>
        <v>42705</v>
      </c>
      <c r="B208" s="5">
        <v>7.2266029570124998E-2</v>
      </c>
      <c r="C208" s="5">
        <v>4.0710000000000006</v>
      </c>
      <c r="D208" s="5">
        <v>0.15</v>
      </c>
      <c r="E208" s="5">
        <v>5.0000000000000001E-3</v>
      </c>
      <c r="F208" s="5">
        <v>0</v>
      </c>
      <c r="G208" s="5">
        <v>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</row>
    <row r="209" spans="1:64" x14ac:dyDescent="0.2">
      <c r="A209" s="2">
        <f t="shared" si="3"/>
        <v>42736</v>
      </c>
      <c r="B209" s="5">
        <v>7.2265700907803015E-2</v>
      </c>
      <c r="C209" s="5">
        <v>4.2679999999999998</v>
      </c>
      <c r="D209" s="5">
        <v>0.15</v>
      </c>
      <c r="E209" s="5">
        <v>5.0000000000000001E-3</v>
      </c>
      <c r="F209" s="5">
        <v>0</v>
      </c>
      <c r="G209" s="5">
        <v>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</row>
    <row r="210" spans="1:64" x14ac:dyDescent="0.2">
      <c r="A210" s="2">
        <f t="shared" si="3"/>
        <v>42767</v>
      </c>
      <c r="B210" s="5">
        <v>7.2265372245480006E-2</v>
      </c>
      <c r="C210" s="5">
        <v>4.1940000000000008</v>
      </c>
      <c r="D210" s="5">
        <v>0.15</v>
      </c>
      <c r="E210" s="5">
        <v>5.0000000000000001E-3</v>
      </c>
      <c r="F210" s="5">
        <v>0</v>
      </c>
      <c r="G210" s="5">
        <v>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</row>
    <row r="211" spans="1:64" x14ac:dyDescent="0.2">
      <c r="A211" s="2">
        <f t="shared" si="3"/>
        <v>42795</v>
      </c>
      <c r="B211" s="5">
        <v>7.2265075389189026E-2</v>
      </c>
      <c r="C211" s="5">
        <v>4.0960000000000001</v>
      </c>
      <c r="D211" s="5">
        <v>0.15</v>
      </c>
      <c r="E211" s="5">
        <v>0</v>
      </c>
      <c r="F211" s="5">
        <v>0</v>
      </c>
      <c r="G211" s="5">
        <v>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</row>
    <row r="212" spans="1:64" x14ac:dyDescent="0.2">
      <c r="A212" s="2">
        <f t="shared" si="3"/>
        <v>42826</v>
      </c>
      <c r="B212" s="5">
        <v>7.2264746726868015E-2</v>
      </c>
      <c r="C212" s="5">
        <v>3.9980000000000002</v>
      </c>
      <c r="D212" s="5">
        <v>0.15</v>
      </c>
      <c r="E212" s="5">
        <v>0</v>
      </c>
      <c r="F212" s="5">
        <v>0</v>
      </c>
      <c r="G212" s="5">
        <v>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</row>
    <row r="213" spans="1:64" x14ac:dyDescent="0.2">
      <c r="A213" s="2">
        <f t="shared" si="3"/>
        <v>42856</v>
      </c>
      <c r="B213" s="5">
        <v>7.226442866655601E-2</v>
      </c>
      <c r="C213" s="5">
        <v>3.9969999999999999</v>
      </c>
      <c r="D213" s="5">
        <v>0.15</v>
      </c>
      <c r="E213" s="5">
        <v>0</v>
      </c>
      <c r="F213" s="5">
        <v>0</v>
      </c>
      <c r="G213" s="5">
        <v>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</row>
    <row r="214" spans="1:64" x14ac:dyDescent="0.2">
      <c r="A214" s="2">
        <f t="shared" si="3"/>
        <v>42887</v>
      </c>
      <c r="B214" s="5">
        <v>7.2264100004233001E-2</v>
      </c>
      <c r="C214" s="5">
        <v>4.0410000000000004</v>
      </c>
      <c r="D214" s="5">
        <v>0.15</v>
      </c>
      <c r="E214" s="5">
        <v>0</v>
      </c>
      <c r="F214" s="5">
        <v>0</v>
      </c>
      <c r="G214" s="5">
        <v>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</row>
    <row r="215" spans="1:64" x14ac:dyDescent="0.2">
      <c r="A215" s="2">
        <f t="shared" si="3"/>
        <v>42917</v>
      </c>
      <c r="B215" s="5">
        <v>7.2263781943921024E-2</v>
      </c>
      <c r="C215" s="5">
        <v>4.0410000000000004</v>
      </c>
      <c r="D215" s="5">
        <v>0.15</v>
      </c>
      <c r="E215" s="5">
        <v>0</v>
      </c>
      <c r="F215" s="5">
        <v>0</v>
      </c>
      <c r="G215" s="5">
        <v>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</row>
    <row r="216" spans="1:64" x14ac:dyDescent="0.2">
      <c r="A216" s="2">
        <f t="shared" si="3"/>
        <v>42948</v>
      </c>
      <c r="B216" s="5">
        <v>7.2263453281600012E-2</v>
      </c>
      <c r="C216" s="5">
        <v>4.101</v>
      </c>
      <c r="D216" s="5">
        <v>0.15</v>
      </c>
      <c r="E216" s="5">
        <v>0</v>
      </c>
      <c r="F216" s="5">
        <v>0</v>
      </c>
      <c r="G216" s="5">
        <v>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</row>
    <row r="217" spans="1:64" x14ac:dyDescent="0.2">
      <c r="A217" s="2">
        <f t="shared" si="3"/>
        <v>42979</v>
      </c>
      <c r="B217" s="5">
        <v>7.2263124619278016E-2</v>
      </c>
      <c r="C217" s="5">
        <v>4.077</v>
      </c>
      <c r="D217" s="5">
        <v>0.15</v>
      </c>
      <c r="E217" s="5">
        <v>0</v>
      </c>
      <c r="F217" s="5">
        <v>0</v>
      </c>
      <c r="G217" s="5">
        <v>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</row>
    <row r="218" spans="1:64" x14ac:dyDescent="0.2">
      <c r="A218" s="2">
        <f t="shared" si="3"/>
        <v>43009</v>
      </c>
      <c r="B218" s="5">
        <v>7.2262806558966011E-2</v>
      </c>
      <c r="C218" s="5">
        <v>4.0830000000000002</v>
      </c>
      <c r="D218" s="5">
        <v>0.15</v>
      </c>
      <c r="E218" s="5">
        <v>0</v>
      </c>
      <c r="F218" s="5">
        <v>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</row>
    <row r="219" spans="1:64" x14ac:dyDescent="0.2">
      <c r="A219" s="2">
        <f t="shared" si="3"/>
        <v>43040</v>
      </c>
      <c r="B219" s="5">
        <v>7.2262477896644015E-2</v>
      </c>
      <c r="C219" s="5">
        <v>4.1219999999999999</v>
      </c>
      <c r="D219" s="5">
        <v>0.15</v>
      </c>
      <c r="E219" s="5">
        <v>0</v>
      </c>
      <c r="F219" s="5">
        <v>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</row>
    <row r="220" spans="1:64" x14ac:dyDescent="0.2">
      <c r="A220" s="2">
        <f t="shared" si="3"/>
        <v>43070</v>
      </c>
      <c r="B220" s="5">
        <v>7.226215983633201E-2</v>
      </c>
      <c r="C220" s="5">
        <v>4.1849999999999996</v>
      </c>
      <c r="D220" s="5">
        <v>0.15</v>
      </c>
      <c r="E220" s="5">
        <v>0</v>
      </c>
      <c r="F220" s="5">
        <v>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</row>
    <row r="221" spans="1:64" x14ac:dyDescent="0.2">
      <c r="A221" s="2">
        <f t="shared" si="3"/>
        <v>43101</v>
      </c>
      <c r="B221" s="5">
        <v>7.2261831174011013E-2</v>
      </c>
      <c r="C221" s="5">
        <v>4.3849999999999998</v>
      </c>
      <c r="D221" s="5"/>
      <c r="E221" s="5">
        <v>0</v>
      </c>
      <c r="F221" s="5">
        <v>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</row>
    <row r="222" spans="1:64" x14ac:dyDescent="0.2">
      <c r="A222" s="2">
        <f t="shared" si="3"/>
        <v>43132</v>
      </c>
      <c r="B222" s="5">
        <v>7.2261502511689016E-2</v>
      </c>
      <c r="C222" s="5">
        <v>4.3150000000000004</v>
      </c>
      <c r="D222" s="5"/>
      <c r="E222" s="5">
        <v>0</v>
      </c>
      <c r="F222" s="5">
        <v>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</row>
    <row r="223" spans="1:64" x14ac:dyDescent="0.2">
      <c r="A223" s="2">
        <f t="shared" si="3"/>
        <v>43160</v>
      </c>
      <c r="B223" s="5">
        <v>7.2261205655397995E-2</v>
      </c>
      <c r="C223" s="5">
        <v>4.22</v>
      </c>
      <c r="D223" s="5"/>
      <c r="E223" s="5">
        <v>0</v>
      </c>
      <c r="F223" s="5">
        <v>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</row>
    <row r="224" spans="1:64" x14ac:dyDescent="0.2">
      <c r="A224" s="2">
        <f t="shared" si="3"/>
        <v>43191</v>
      </c>
      <c r="B224" s="5">
        <v>7.2260876993075998E-2</v>
      </c>
      <c r="C224" s="5">
        <v>4.125</v>
      </c>
      <c r="D224" s="5"/>
      <c r="E224" s="5">
        <v>0</v>
      </c>
      <c r="F224" s="5">
        <v>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</row>
    <row r="225" spans="1:64" x14ac:dyDescent="0.2">
      <c r="A225" s="2">
        <f t="shared" si="3"/>
        <v>43221</v>
      </c>
      <c r="B225" s="5">
        <v>7.2260558932764993E-2</v>
      </c>
      <c r="C225" s="5">
        <v>4.125</v>
      </c>
      <c r="D225" s="5"/>
      <c r="E225" s="5">
        <v>0</v>
      </c>
      <c r="F225" s="5">
        <v>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</row>
    <row r="226" spans="1:64" x14ac:dyDescent="0.2">
      <c r="A226" s="2">
        <f t="shared" si="3"/>
        <v>43252</v>
      </c>
      <c r="B226" s="5">
        <v>7.226023027044301E-2</v>
      </c>
      <c r="C226" s="5">
        <v>4.17</v>
      </c>
      <c r="D226" s="5"/>
      <c r="E226" s="5">
        <v>0</v>
      </c>
      <c r="F226" s="5">
        <v>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</row>
    <row r="227" spans="1:64" x14ac:dyDescent="0.2">
      <c r="A227" s="2">
        <f t="shared" si="3"/>
        <v>43282</v>
      </c>
      <c r="B227" s="5">
        <v>7.2259912210132018E-2</v>
      </c>
      <c r="C227" s="5">
        <v>4.17</v>
      </c>
      <c r="D227" s="5"/>
      <c r="E227" s="5">
        <v>0</v>
      </c>
      <c r="F227" s="5">
        <v>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</row>
    <row r="228" spans="1:64" x14ac:dyDescent="0.2">
      <c r="A228" s="2">
        <f t="shared" si="3"/>
        <v>43313</v>
      </c>
      <c r="B228" s="5">
        <v>7.2259583547810008E-2</v>
      </c>
      <c r="C228" s="5">
        <v>4.2300000000000004</v>
      </c>
      <c r="D228" s="5"/>
      <c r="E228" s="5">
        <v>0</v>
      </c>
      <c r="F228" s="5">
        <v>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</row>
    <row r="229" spans="1:64" x14ac:dyDescent="0.2">
      <c r="A229" s="2">
        <f t="shared" si="3"/>
        <v>43344</v>
      </c>
      <c r="B229" s="5">
        <v>7.2259254885488025E-2</v>
      </c>
      <c r="C229" s="5">
        <v>4.2050000000000001</v>
      </c>
      <c r="D229" s="5"/>
      <c r="E229" s="5">
        <v>0</v>
      </c>
      <c r="F229" s="5">
        <v>0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</row>
    <row r="230" spans="1:64" x14ac:dyDescent="0.2">
      <c r="A230" s="2">
        <f t="shared" si="3"/>
        <v>43374</v>
      </c>
      <c r="B230" s="5">
        <v>7.225893682517702E-2</v>
      </c>
      <c r="C230" s="5">
        <v>4.21</v>
      </c>
      <c r="D230" s="5"/>
      <c r="E230" s="5">
        <v>0</v>
      </c>
      <c r="F230" s="5">
        <v>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</row>
    <row r="231" spans="1:64" x14ac:dyDescent="0.2">
      <c r="A231" s="2">
        <f t="shared" si="3"/>
        <v>43405</v>
      </c>
      <c r="B231" s="5">
        <v>7.2258608162856022E-2</v>
      </c>
      <c r="C231" s="5">
        <v>4.2440000000000007</v>
      </c>
      <c r="D231" s="5"/>
      <c r="E231" s="5">
        <v>0</v>
      </c>
      <c r="F231" s="5">
        <v>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</row>
    <row r="232" spans="1:64" x14ac:dyDescent="0.2">
      <c r="A232" s="2">
        <f t="shared" si="3"/>
        <v>43435</v>
      </c>
      <c r="B232" s="5">
        <v>7.2258290102545017E-2</v>
      </c>
      <c r="C232" s="5">
        <v>4.3040000000000003</v>
      </c>
      <c r="D232" s="5"/>
      <c r="E232" s="5">
        <v>0</v>
      </c>
      <c r="F232" s="5">
        <v>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</row>
    <row r="233" spans="1:64" x14ac:dyDescent="0.2">
      <c r="A233" s="2">
        <f t="shared" si="3"/>
        <v>43466</v>
      </c>
      <c r="B233" s="5">
        <v>7.2257961440222992E-2</v>
      </c>
      <c r="C233" s="5">
        <v>4.5069999999999997</v>
      </c>
      <c r="D233" s="5"/>
      <c r="E233" s="5">
        <v>0</v>
      </c>
      <c r="F233" s="5">
        <v>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</row>
    <row r="234" spans="1:64" x14ac:dyDescent="0.2">
      <c r="A234" s="2">
        <f t="shared" si="3"/>
        <v>43497</v>
      </c>
      <c r="B234" s="5">
        <v>7.2257632777902009E-2</v>
      </c>
      <c r="C234" s="5">
        <v>4.4410000000000007</v>
      </c>
      <c r="D234" s="5"/>
      <c r="E234" s="5">
        <v>0</v>
      </c>
      <c r="F234" s="5">
        <v>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</row>
    <row r="235" spans="1:64" x14ac:dyDescent="0.2">
      <c r="A235" s="2">
        <f t="shared" si="3"/>
        <v>43525</v>
      </c>
      <c r="B235" s="5">
        <v>7.2257335921611016E-2</v>
      </c>
      <c r="C235" s="5">
        <v>4.3490000000000002</v>
      </c>
      <c r="D235" s="5"/>
      <c r="E235" s="5">
        <v>0</v>
      </c>
      <c r="F235" s="5">
        <v>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</row>
    <row r="236" spans="1:64" x14ac:dyDescent="0.2">
      <c r="A236" s="2">
        <f t="shared" si="3"/>
        <v>43556</v>
      </c>
      <c r="B236" s="5">
        <v>7.2257007259290018E-2</v>
      </c>
      <c r="C236" s="5">
        <v>4.2569999999999997</v>
      </c>
      <c r="D236" s="5"/>
      <c r="E236" s="5">
        <v>0</v>
      </c>
      <c r="F236" s="5">
        <v>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</row>
    <row r="237" spans="1:64" x14ac:dyDescent="0.2">
      <c r="A237" s="2">
        <f t="shared" si="3"/>
        <v>43586</v>
      </c>
      <c r="B237" s="5">
        <v>7.2256689198979013E-2</v>
      </c>
      <c r="C237" s="5">
        <v>4.258</v>
      </c>
      <c r="D237" s="5"/>
      <c r="E237" s="5">
        <v>0</v>
      </c>
      <c r="F237" s="5">
        <v>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</row>
    <row r="238" spans="1:64" x14ac:dyDescent="0.2">
      <c r="A238" s="2">
        <f t="shared" si="3"/>
        <v>43617</v>
      </c>
      <c r="B238" s="5">
        <v>7.2256360536658015E-2</v>
      </c>
      <c r="C238" s="5">
        <v>4.3040000000000003</v>
      </c>
      <c r="D238" s="5"/>
      <c r="E238" s="5">
        <v>0</v>
      </c>
      <c r="F238" s="5">
        <v>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</row>
    <row r="239" spans="1:64" x14ac:dyDescent="0.2">
      <c r="A239" s="2">
        <f t="shared" si="3"/>
        <v>43647</v>
      </c>
      <c r="B239" s="5">
        <v>7.225604247634701E-2</v>
      </c>
      <c r="C239" s="5">
        <v>4.3040000000000003</v>
      </c>
      <c r="D239" s="5"/>
      <c r="E239" s="5">
        <v>0</v>
      </c>
      <c r="F239" s="5">
        <v>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</row>
    <row r="240" spans="1:64" x14ac:dyDescent="0.2">
      <c r="A240" s="2">
        <f t="shared" si="3"/>
        <v>43678</v>
      </c>
      <c r="B240" s="5">
        <v>7.2255713814024999E-2</v>
      </c>
      <c r="C240" s="5">
        <v>4.3640000000000008</v>
      </c>
      <c r="D240" s="5"/>
      <c r="E240" s="5">
        <v>0</v>
      </c>
      <c r="F240" s="5">
        <v>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</row>
    <row r="241" spans="1:64" x14ac:dyDescent="0.2">
      <c r="A241" s="2">
        <f t="shared" si="3"/>
        <v>43709</v>
      </c>
      <c r="B241" s="5">
        <v>7.2255385151704016E-2</v>
      </c>
      <c r="C241" s="5">
        <v>4.3380000000000001</v>
      </c>
      <c r="D241" s="5"/>
      <c r="E241" s="5">
        <v>0</v>
      </c>
      <c r="F241" s="5">
        <v>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</row>
    <row r="242" spans="1:64" x14ac:dyDescent="0.2">
      <c r="A242" s="2">
        <f t="shared" si="3"/>
        <v>43739</v>
      </c>
      <c r="B242" s="5">
        <v>7.2255067091394024E-2</v>
      </c>
      <c r="C242" s="5">
        <v>4.3419999999999996</v>
      </c>
      <c r="D242" s="5"/>
      <c r="E242" s="5">
        <v>0</v>
      </c>
      <c r="F242" s="5">
        <v>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</row>
    <row r="243" spans="1:64" x14ac:dyDescent="0.2">
      <c r="A243" s="2">
        <f t="shared" si="3"/>
        <v>43770</v>
      </c>
      <c r="B243" s="5">
        <v>7.2254738429072027E-2</v>
      </c>
      <c r="C243" s="5">
        <v>4.3710000000000004</v>
      </c>
      <c r="D243" s="5"/>
      <c r="E243" s="5">
        <v>0</v>
      </c>
      <c r="F243" s="5">
        <v>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</row>
    <row r="244" spans="1:64" x14ac:dyDescent="0.2">
      <c r="A244" s="2">
        <f t="shared" si="3"/>
        <v>43800</v>
      </c>
      <c r="B244" s="5">
        <v>7.2254420368762007E-2</v>
      </c>
      <c r="C244" s="5">
        <v>4.4279999999999999</v>
      </c>
      <c r="D244" s="5"/>
      <c r="E244" s="5">
        <v>0</v>
      </c>
      <c r="F244" s="5">
        <v>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</row>
    <row r="245" spans="1:64" x14ac:dyDescent="0.2">
      <c r="A245" s="2">
        <f t="shared" si="3"/>
        <v>43831</v>
      </c>
      <c r="B245" s="5">
        <v>7.2254091706440995E-2</v>
      </c>
      <c r="C245" s="5">
        <v>4.6340000000000003</v>
      </c>
      <c r="D245" s="5"/>
      <c r="E245" s="5">
        <v>0</v>
      </c>
      <c r="F245" s="5">
        <v>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</row>
    <row r="246" spans="1:64" x14ac:dyDescent="0.2">
      <c r="A246" s="2">
        <f t="shared" si="3"/>
        <v>43862</v>
      </c>
      <c r="B246" s="5">
        <v>7.2253763044119998E-2</v>
      </c>
      <c r="C246" s="5">
        <v>4.5720000000000001</v>
      </c>
      <c r="D246" s="5"/>
      <c r="E246" s="5">
        <v>0</v>
      </c>
      <c r="F246" s="5">
        <v>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</row>
    <row r="247" spans="1:64" x14ac:dyDescent="0.2">
      <c r="A247" s="2">
        <f t="shared" si="3"/>
        <v>43891</v>
      </c>
      <c r="B247" s="5">
        <v>7.2253455585820012E-2</v>
      </c>
      <c r="C247" s="5">
        <v>4.4830000000000005</v>
      </c>
      <c r="D247" s="5"/>
      <c r="E247" s="5">
        <v>0</v>
      </c>
      <c r="F247" s="5">
        <v>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</row>
    <row r="248" spans="1:64" x14ac:dyDescent="0.2">
      <c r="A248" s="2">
        <f t="shared" si="3"/>
        <v>43922</v>
      </c>
      <c r="B248" s="5">
        <v>7.2253126923498001E-2</v>
      </c>
      <c r="C248" s="5">
        <v>4.3940000000000001</v>
      </c>
      <c r="D248" s="5"/>
      <c r="E248" s="5">
        <v>0</v>
      </c>
      <c r="F248" s="5">
        <v>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</row>
    <row r="249" spans="1:64" x14ac:dyDescent="0.2">
      <c r="A249" s="2">
        <f t="shared" si="3"/>
        <v>43952</v>
      </c>
      <c r="B249" s="5">
        <v>7.2252808863188009E-2</v>
      </c>
      <c r="C249" s="5">
        <v>4.3959999999999999</v>
      </c>
      <c r="D249" s="5"/>
      <c r="E249" s="5">
        <v>0</v>
      </c>
      <c r="F249" s="5">
        <v>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</row>
    <row r="250" spans="1:64" x14ac:dyDescent="0.2">
      <c r="A250" s="2">
        <f t="shared" si="3"/>
        <v>43983</v>
      </c>
      <c r="B250" s="5">
        <v>7.2252480200867025E-2</v>
      </c>
      <c r="C250" s="5">
        <v>4.4430000000000005</v>
      </c>
      <c r="D250" s="5"/>
      <c r="E250" s="5">
        <v>0</v>
      </c>
      <c r="F250" s="5">
        <v>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</row>
    <row r="251" spans="1:64" x14ac:dyDescent="0.2">
      <c r="A251" s="2">
        <f t="shared" si="3"/>
        <v>44013</v>
      </c>
      <c r="B251" s="5">
        <v>7.2252162140557005E-2</v>
      </c>
      <c r="C251" s="5">
        <v>4.4430000000000005</v>
      </c>
      <c r="D251" s="5"/>
      <c r="E251" s="5">
        <v>0</v>
      </c>
      <c r="F251" s="5">
        <v>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</row>
    <row r="252" spans="1:64" x14ac:dyDescent="0.2">
      <c r="A252" s="2">
        <f t="shared" si="3"/>
        <v>44044</v>
      </c>
      <c r="B252" s="5">
        <v>7.2251212003724016E-2</v>
      </c>
      <c r="C252" s="5">
        <v>4.5030000000000001</v>
      </c>
      <c r="D252" s="5"/>
      <c r="E252" s="5">
        <v>0</v>
      </c>
      <c r="F252" s="5">
        <v>0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</row>
    <row r="253" spans="1:64" x14ac:dyDescent="0.2">
      <c r="A253" s="2">
        <f t="shared" si="3"/>
        <v>44075</v>
      </c>
      <c r="B253" s="5">
        <v>7.2247030199431003E-2</v>
      </c>
      <c r="C253" s="5">
        <v>4.476</v>
      </c>
      <c r="D253" s="5"/>
      <c r="E253" s="5">
        <v>0</v>
      </c>
      <c r="F253" s="5">
        <v>0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</row>
    <row r="254" spans="1:64" x14ac:dyDescent="0.2">
      <c r="A254" s="2">
        <f t="shared" si="3"/>
        <v>44105</v>
      </c>
      <c r="B254" s="5">
        <v>7.2242983292057014E-2</v>
      </c>
      <c r="C254" s="5">
        <v>4.4790000000000001</v>
      </c>
      <c r="D254" s="5"/>
      <c r="E254" s="5">
        <v>0</v>
      </c>
      <c r="F254" s="5">
        <v>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</row>
    <row r="255" spans="1:64" x14ac:dyDescent="0.2">
      <c r="A255" s="2">
        <f t="shared" si="3"/>
        <v>44136</v>
      </c>
      <c r="B255" s="5">
        <v>7.2238801487776005E-2</v>
      </c>
      <c r="C255" s="5">
        <v>4.5030000000000001</v>
      </c>
      <c r="D255" s="5"/>
      <c r="E255" s="5">
        <v>0</v>
      </c>
      <c r="F255" s="5">
        <v>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</row>
    <row r="256" spans="1:64" x14ac:dyDescent="0.2">
      <c r="A256" s="2">
        <f t="shared" si="3"/>
        <v>44166</v>
      </c>
      <c r="B256" s="5">
        <v>7.2234754580412008E-2</v>
      </c>
      <c r="C256" s="5">
        <v>4.5570000000000004</v>
      </c>
      <c r="D256" s="5"/>
      <c r="E256" s="5">
        <v>0</v>
      </c>
      <c r="F256" s="5">
        <v>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</row>
    <row r="257" spans="1:64" x14ac:dyDescent="0.2">
      <c r="A257" s="2">
        <f t="shared" si="3"/>
        <v>44197</v>
      </c>
      <c r="B257" s="5">
        <v>7.2230572776142019E-2</v>
      </c>
      <c r="C257" s="5">
        <v>4.766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</row>
    <row r="258" spans="1:64" x14ac:dyDescent="0.2">
      <c r="A258" s="2">
        <f t="shared" si="3"/>
        <v>44228</v>
      </c>
      <c r="B258" s="5">
        <v>7.222639097187801E-2</v>
      </c>
      <c r="C258" s="5">
        <v>4.7080000000000002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</row>
    <row r="259" spans="1:64" x14ac:dyDescent="0.2">
      <c r="A259" s="2">
        <f t="shared" si="3"/>
        <v>44256</v>
      </c>
      <c r="B259" s="5">
        <v>7.2222613858354032E-2</v>
      </c>
      <c r="C259" s="5">
        <v>4.6219999999999999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</row>
    <row r="260" spans="1:64" x14ac:dyDescent="0.2">
      <c r="A260" s="2">
        <f t="shared" si="3"/>
        <v>44287</v>
      </c>
      <c r="B260" s="5">
        <v>7.2218432054101028E-2</v>
      </c>
      <c r="C260" s="5">
        <v>4.5360000000000005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</row>
    <row r="261" spans="1:64" x14ac:dyDescent="0.2">
      <c r="A261" s="2">
        <f t="shared" si="3"/>
        <v>44317</v>
      </c>
      <c r="B261" s="5">
        <v>7.2214385146765009E-2</v>
      </c>
      <c r="C261" s="5">
        <v>4.5390000000000006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</row>
    <row r="262" spans="1:64" x14ac:dyDescent="0.2">
      <c r="A262" s="2">
        <f t="shared" si="3"/>
        <v>44348</v>
      </c>
      <c r="B262" s="5">
        <v>7.2210203342522997E-2</v>
      </c>
      <c r="C262" s="5">
        <v>4.5869999999999997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</row>
    <row r="263" spans="1:64" x14ac:dyDescent="0.2">
      <c r="A263" s="2">
        <f t="shared" si="3"/>
        <v>44378</v>
      </c>
      <c r="B263" s="5">
        <v>7.220615643519801E-2</v>
      </c>
      <c r="C263" s="5">
        <v>4.5869999999999997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</row>
    <row r="264" spans="1:64" x14ac:dyDescent="0.2">
      <c r="A264" s="2">
        <f t="shared" si="3"/>
        <v>44409</v>
      </c>
      <c r="B264" s="5">
        <v>7.2201974630968002E-2</v>
      </c>
      <c r="C264" s="5">
        <v>4.6470000000000002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</row>
    <row r="265" spans="1:64" x14ac:dyDescent="0.2">
      <c r="A265" s="2">
        <f t="shared" si="3"/>
        <v>44440</v>
      </c>
      <c r="B265" s="5">
        <v>7.2197792826743004E-2</v>
      </c>
      <c r="C265" s="5">
        <v>4.6190000000000007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</row>
    <row r="266" spans="1:64" x14ac:dyDescent="0.2">
      <c r="A266" s="2">
        <f t="shared" si="3"/>
        <v>44470</v>
      </c>
      <c r="B266" s="5">
        <v>7.2193745919435018E-2</v>
      </c>
      <c r="C266" s="5">
        <v>4.6210000000000004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</row>
    <row r="267" spans="1:64" x14ac:dyDescent="0.2">
      <c r="A267" s="2">
        <f t="shared" ref="A267:A334" si="4">EOMONTH(A266,0)+1</f>
        <v>44501</v>
      </c>
      <c r="B267" s="5">
        <v>7.2189564115221011E-2</v>
      </c>
      <c r="C267" s="5">
        <v>4.6399999999999997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</row>
    <row r="268" spans="1:64" x14ac:dyDescent="0.2">
      <c r="A268" s="2">
        <f t="shared" si="4"/>
        <v>44531</v>
      </c>
      <c r="B268" s="5">
        <v>7.2185517207924016E-2</v>
      </c>
      <c r="C268" s="5">
        <v>4.6910000000000007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</row>
    <row r="269" spans="1:64" x14ac:dyDescent="0.2">
      <c r="A269" s="2">
        <f t="shared" si="4"/>
        <v>44562</v>
      </c>
      <c r="B269" s="5">
        <v>7.2181335403722E-2</v>
      </c>
      <c r="C269" s="5">
        <v>4.9030000000000005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</row>
    <row r="270" spans="1:64" x14ac:dyDescent="0.2">
      <c r="A270" s="2">
        <f t="shared" si="4"/>
        <v>44593</v>
      </c>
      <c r="B270" s="5">
        <v>7.2177153599526006E-2</v>
      </c>
      <c r="C270" s="5">
        <v>4.8490000000000002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</row>
    <row r="271" spans="1:64" x14ac:dyDescent="0.2">
      <c r="A271" s="2">
        <f t="shared" si="4"/>
        <v>44621</v>
      </c>
      <c r="B271" s="5">
        <v>7.2173376486063007E-2</v>
      </c>
      <c r="C271" s="5">
        <v>4.766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</row>
    <row r="272" spans="1:64" x14ac:dyDescent="0.2">
      <c r="A272" s="2">
        <f t="shared" si="4"/>
        <v>44652</v>
      </c>
      <c r="B272" s="5">
        <v>7.2169194681878018E-2</v>
      </c>
      <c r="C272" s="5">
        <v>4.6829999999999998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</row>
    <row r="273" spans="1:64" x14ac:dyDescent="0.2">
      <c r="A273" s="2">
        <f t="shared" si="4"/>
        <v>44682</v>
      </c>
      <c r="B273" s="5">
        <v>7.2165147774608016E-2</v>
      </c>
      <c r="C273" s="5">
        <v>4.6870000000000003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</row>
    <row r="274" spans="1:64" x14ac:dyDescent="0.2">
      <c r="A274" s="2">
        <f t="shared" si="4"/>
        <v>44713</v>
      </c>
      <c r="B274" s="5">
        <v>7.2160965970435018E-2</v>
      </c>
      <c r="C274" s="5">
        <v>4.7360000000000007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</row>
    <row r="275" spans="1:64" x14ac:dyDescent="0.2">
      <c r="A275" s="2">
        <f t="shared" si="4"/>
        <v>44743</v>
      </c>
      <c r="B275" s="5">
        <v>7.2156919063175007E-2</v>
      </c>
      <c r="C275" s="5">
        <v>4.7360000000000007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</row>
    <row r="276" spans="1:64" x14ac:dyDescent="0.2">
      <c r="A276" s="2">
        <f t="shared" si="4"/>
        <v>44774</v>
      </c>
      <c r="B276" s="5">
        <v>7.2152737259013E-2</v>
      </c>
      <c r="C276" s="5">
        <v>4.7960000000000003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</row>
    <row r="277" spans="1:64" x14ac:dyDescent="0.2">
      <c r="A277" s="2">
        <f t="shared" si="4"/>
        <v>44805</v>
      </c>
      <c r="B277" s="5">
        <v>7.2148555454856003E-2</v>
      </c>
      <c r="C277" s="5">
        <v>4.7670000000000003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</row>
    <row r="278" spans="1:64" x14ac:dyDescent="0.2">
      <c r="A278" s="2">
        <f t="shared" si="4"/>
        <v>44835</v>
      </c>
      <c r="B278" s="5">
        <v>7.214450854761302E-2</v>
      </c>
      <c r="C278" s="5">
        <v>4.7679999999999998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</row>
    <row r="279" spans="1:64" x14ac:dyDescent="0.2">
      <c r="A279" s="2">
        <f t="shared" si="4"/>
        <v>44866</v>
      </c>
      <c r="B279" s="5">
        <v>7.2140326743468014E-2</v>
      </c>
      <c r="C279" s="5">
        <v>4.782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</row>
    <row r="280" spans="1:64" x14ac:dyDescent="0.2">
      <c r="A280" s="2">
        <f t="shared" si="4"/>
        <v>44896</v>
      </c>
      <c r="B280" s="5">
        <v>7.2136279836236022E-2</v>
      </c>
      <c r="C280" s="5">
        <v>4.83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</row>
    <row r="281" spans="1:64" x14ac:dyDescent="0.2">
      <c r="A281" s="2">
        <f t="shared" si="4"/>
        <v>44927</v>
      </c>
      <c r="B281" s="5">
        <v>7.2132098032103006E-2</v>
      </c>
      <c r="C281" s="5">
        <v>5.0449999999999999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</row>
    <row r="282" spans="1:64" x14ac:dyDescent="0.2">
      <c r="A282" s="2">
        <f t="shared" si="4"/>
        <v>44958</v>
      </c>
      <c r="B282" s="5">
        <v>7.2127916227974001E-2</v>
      </c>
      <c r="C282" s="5">
        <v>4.9950000000000001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</row>
    <row r="283" spans="1:64" x14ac:dyDescent="0.2">
      <c r="A283" s="2">
        <f t="shared" si="4"/>
        <v>44986</v>
      </c>
      <c r="B283" s="5">
        <v>7.2124139114574007E-2</v>
      </c>
      <c r="C283" s="5">
        <v>4.915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</row>
    <row r="284" spans="1:64" x14ac:dyDescent="0.2">
      <c r="A284" s="2">
        <f t="shared" si="4"/>
        <v>45017</v>
      </c>
      <c r="B284" s="5">
        <v>7.2119957310457006E-2</v>
      </c>
      <c r="C284" s="5">
        <v>4.835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</row>
    <row r="285" spans="1:64" x14ac:dyDescent="0.2">
      <c r="A285" s="2">
        <f t="shared" si="4"/>
        <v>45047</v>
      </c>
      <c r="B285" s="5">
        <v>7.211591040325202E-2</v>
      </c>
      <c r="C285" s="5">
        <v>4.84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</row>
    <row r="286" spans="1:64" x14ac:dyDescent="0.2">
      <c r="A286" s="2">
        <f t="shared" si="4"/>
        <v>45078</v>
      </c>
      <c r="B286" s="5">
        <v>7.2111728599146011E-2</v>
      </c>
      <c r="C286" s="5">
        <v>4.8899999999999997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</row>
    <row r="287" spans="1:64" x14ac:dyDescent="0.2">
      <c r="A287" s="2">
        <f t="shared" si="4"/>
        <v>45108</v>
      </c>
      <c r="B287" s="5">
        <v>7.2107681691953016E-2</v>
      </c>
      <c r="C287" s="5">
        <v>4.8899999999999997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</row>
    <row r="288" spans="1:64" x14ac:dyDescent="0.2">
      <c r="A288" s="2">
        <f t="shared" si="4"/>
        <v>45139</v>
      </c>
      <c r="B288" s="5">
        <v>7.2103499887857997E-2</v>
      </c>
      <c r="C288" s="5">
        <v>4.95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</row>
    <row r="289" spans="1:64" x14ac:dyDescent="0.2">
      <c r="A289" s="2">
        <f t="shared" si="4"/>
        <v>45170</v>
      </c>
      <c r="B289" s="5">
        <v>7.209931808377E-2</v>
      </c>
      <c r="C289" s="5">
        <v>4.92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</row>
    <row r="290" spans="1:64" x14ac:dyDescent="0.2">
      <c r="A290" s="2">
        <f t="shared" si="4"/>
        <v>45200</v>
      </c>
      <c r="B290" s="5">
        <v>7.209527117659302E-2</v>
      </c>
      <c r="C290" s="5">
        <v>4.92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</row>
    <row r="291" spans="1:64" x14ac:dyDescent="0.2">
      <c r="A291" s="2">
        <f t="shared" si="4"/>
        <v>45231</v>
      </c>
      <c r="B291" s="5">
        <v>7.2091089372516015E-2</v>
      </c>
      <c r="C291" s="5">
        <v>4.9290000000000003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</row>
    <row r="292" spans="1:64" x14ac:dyDescent="0.2">
      <c r="A292" s="2">
        <f t="shared" si="4"/>
        <v>45261</v>
      </c>
      <c r="B292" s="5">
        <v>7.2087042465350012E-2</v>
      </c>
      <c r="C292" s="5">
        <v>4.9740000000000002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</row>
    <row r="293" spans="1:64" x14ac:dyDescent="0.2">
      <c r="A293" s="2">
        <f t="shared" si="4"/>
        <v>45292</v>
      </c>
      <c r="B293" s="5">
        <v>7.2082860661284012E-2</v>
      </c>
      <c r="C293" s="5">
        <v>5.1920000000000002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</row>
    <row r="294" spans="1:64" x14ac:dyDescent="0.2">
      <c r="A294" s="2">
        <f t="shared" si="4"/>
        <v>45323</v>
      </c>
      <c r="B294" s="5">
        <v>7.2078678857224007E-2</v>
      </c>
      <c r="C294" s="5">
        <v>5.1459999999999999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</row>
    <row r="295" spans="1:64" x14ac:dyDescent="0.2">
      <c r="A295" s="2">
        <f t="shared" si="4"/>
        <v>45352</v>
      </c>
      <c r="B295" s="5">
        <v>7.2074766846979013E-2</v>
      </c>
      <c r="C295" s="5">
        <v>5.0690000000000008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</row>
    <row r="296" spans="1:64" x14ac:dyDescent="0.2">
      <c r="A296" s="2">
        <f t="shared" si="4"/>
        <v>45383</v>
      </c>
      <c r="B296" s="5">
        <v>7.2070585042931012E-2</v>
      </c>
      <c r="C296" s="5">
        <v>4.992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</row>
    <row r="297" spans="1:64" x14ac:dyDescent="0.2">
      <c r="A297" s="2">
        <f t="shared" si="4"/>
        <v>45413</v>
      </c>
      <c r="B297" s="5">
        <v>7.2066538135792016E-2</v>
      </c>
      <c r="C297" s="5">
        <v>4.9980000000000002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</row>
    <row r="298" spans="1:64" x14ac:dyDescent="0.2">
      <c r="A298" s="2">
        <f t="shared" si="4"/>
        <v>45444</v>
      </c>
      <c r="B298" s="5">
        <v>7.2062356331754007E-2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</row>
    <row r="299" spans="1:64" x14ac:dyDescent="0.2">
      <c r="A299" s="2">
        <f t="shared" si="4"/>
        <v>45474</v>
      </c>
      <c r="B299" s="5">
        <v>7.2058309424627015E-2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</row>
    <row r="300" spans="1:64" x14ac:dyDescent="0.2">
      <c r="A300" s="2">
        <f t="shared" si="4"/>
        <v>45505</v>
      </c>
      <c r="B300" s="5">
        <v>7.2054127620601011E-2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</row>
    <row r="301" spans="1:64" x14ac:dyDescent="0.2">
      <c r="A301" s="2">
        <f t="shared" si="4"/>
        <v>45536</v>
      </c>
      <c r="B301" s="5">
        <v>7.2049945816581029E-2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</row>
    <row r="302" spans="1:64" x14ac:dyDescent="0.2">
      <c r="A302" s="2">
        <f t="shared" si="4"/>
        <v>45566</v>
      </c>
      <c r="B302" s="5">
        <v>7.204589890947001E-2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</row>
    <row r="303" spans="1:64" x14ac:dyDescent="0.2">
      <c r="A303" s="2">
        <f t="shared" si="4"/>
        <v>45597</v>
      </c>
      <c r="B303" s="5">
        <v>7.2041717105460021E-2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</row>
    <row r="304" spans="1:64" x14ac:dyDescent="0.2">
      <c r="A304" s="2">
        <f t="shared" si="4"/>
        <v>45627</v>
      </c>
      <c r="B304" s="5">
        <v>7.203767019836102E-2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</row>
    <row r="305" spans="1:64" x14ac:dyDescent="0.2">
      <c r="A305" s="2">
        <f t="shared" si="4"/>
        <v>45658</v>
      </c>
      <c r="B305" s="5">
        <v>7.2033488394363021E-2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</row>
    <row r="306" spans="1:64" x14ac:dyDescent="0.2">
      <c r="A306" s="2">
        <f t="shared" si="4"/>
        <v>45689</v>
      </c>
      <c r="B306" s="5">
        <v>7.2029306590371003E-2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</row>
    <row r="307" spans="1:64" x14ac:dyDescent="0.2">
      <c r="A307" s="2">
        <f t="shared" si="4"/>
        <v>45717</v>
      </c>
      <c r="B307" s="5">
        <v>7.2025529477093009E-2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</row>
    <row r="308" spans="1:64" x14ac:dyDescent="0.2">
      <c r="A308" s="2">
        <f t="shared" si="4"/>
        <v>45748</v>
      </c>
      <c r="B308" s="5">
        <v>7.202134767311201E-2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</row>
    <row r="309" spans="1:64" x14ac:dyDescent="0.2">
      <c r="A309" s="2">
        <f t="shared" si="4"/>
        <v>45778</v>
      </c>
      <c r="B309" s="5">
        <v>7.2017300766040029E-2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</row>
    <row r="310" spans="1:64" x14ac:dyDescent="0.2">
      <c r="A310" s="2">
        <f t="shared" si="4"/>
        <v>45809</v>
      </c>
      <c r="B310" s="5">
        <v>7.2013118962070022E-2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</row>
    <row r="311" spans="1:64" x14ac:dyDescent="0.2">
      <c r="A311" s="2">
        <f t="shared" si="4"/>
        <v>45839</v>
      </c>
      <c r="B311" s="5">
        <v>7.2009072055009005E-2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</row>
    <row r="312" spans="1:64" x14ac:dyDescent="0.2">
      <c r="A312" s="2">
        <f t="shared" si="4"/>
        <v>45870</v>
      </c>
      <c r="B312" s="5">
        <v>7.2004890251050016E-2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</row>
    <row r="313" spans="1:64" x14ac:dyDescent="0.2">
      <c r="A313" s="2">
        <f t="shared" si="4"/>
        <v>45901</v>
      </c>
      <c r="B313" s="5">
        <v>7.2000708447098008E-2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</row>
    <row r="314" spans="1:64" x14ac:dyDescent="0.2">
      <c r="A314" s="2">
        <f t="shared" si="4"/>
        <v>45931</v>
      </c>
      <c r="B314" s="5">
        <v>7.1996661540053006E-2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</row>
    <row r="315" spans="1:64" x14ac:dyDescent="0.2">
      <c r="A315" s="2">
        <f t="shared" si="4"/>
        <v>45962</v>
      </c>
      <c r="B315" s="5">
        <v>7.1992479736112003E-2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</row>
    <row r="316" spans="1:64" x14ac:dyDescent="0.2">
      <c r="A316" s="2">
        <f t="shared" si="4"/>
        <v>45992</v>
      </c>
      <c r="B316" s="5">
        <v>7.198843282907802E-2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</row>
    <row r="317" spans="1:64" x14ac:dyDescent="0.2">
      <c r="A317" s="2">
        <f t="shared" si="4"/>
        <v>46023</v>
      </c>
      <c r="B317" s="5">
        <v>7.1984251025148008E-2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</row>
    <row r="318" spans="1:64" x14ac:dyDescent="0.2">
      <c r="A318" s="2">
        <f t="shared" si="4"/>
        <v>46054</v>
      </c>
      <c r="B318" s="5">
        <v>7.1980069221225018E-2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</row>
    <row r="319" spans="1:64" x14ac:dyDescent="0.2">
      <c r="A319" s="2">
        <f t="shared" si="4"/>
        <v>46082</v>
      </c>
      <c r="B319" s="5">
        <v>7.1976292108008003E-2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</row>
    <row r="320" spans="1:64" x14ac:dyDescent="0.2">
      <c r="A320" s="2">
        <f t="shared" si="4"/>
        <v>46113</v>
      </c>
      <c r="B320" s="5">
        <v>7.1972110304095005E-2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</row>
    <row r="321" spans="1:64" x14ac:dyDescent="0.2">
      <c r="A321" s="2">
        <f t="shared" si="4"/>
        <v>46143</v>
      </c>
      <c r="B321" s="5">
        <v>7.1968063397088E-2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</row>
    <row r="322" spans="1:64" x14ac:dyDescent="0.2">
      <c r="A322" s="2">
        <f t="shared" si="4"/>
        <v>46174</v>
      </c>
      <c r="B322" s="5">
        <v>7.1963881593187007E-2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</row>
    <row r="323" spans="1:64" x14ac:dyDescent="0.2">
      <c r="A323" s="2">
        <f t="shared" si="4"/>
        <v>46204</v>
      </c>
      <c r="B323" s="5">
        <v>7.1959834686191021E-2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</row>
    <row r="324" spans="1:64" x14ac:dyDescent="0.2">
      <c r="A324" s="2">
        <f t="shared" si="4"/>
        <v>46235</v>
      </c>
      <c r="B324" s="5">
        <v>7.1955652882301005E-2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</row>
    <row r="325" spans="1:64" x14ac:dyDescent="0.2">
      <c r="A325" s="2">
        <f t="shared" si="4"/>
        <v>46266</v>
      </c>
      <c r="B325" s="5">
        <v>7.1951471078416013E-2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</row>
    <row r="326" spans="1:64" x14ac:dyDescent="0.2">
      <c r="A326" s="2">
        <f t="shared" si="4"/>
        <v>46296</v>
      </c>
      <c r="B326" s="5">
        <v>7.1947424171437013E-2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</row>
    <row r="327" spans="1:64" x14ac:dyDescent="0.2">
      <c r="A327" s="2">
        <f t="shared" si="4"/>
        <v>46327</v>
      </c>
      <c r="B327" s="5">
        <v>7.1943242367564025E-2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</row>
    <row r="328" spans="1:64" x14ac:dyDescent="0.2">
      <c r="A328" s="2">
        <f t="shared" si="4"/>
        <v>46357</v>
      </c>
      <c r="B328" s="5">
        <v>7.1939195460596017E-2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</row>
    <row r="329" spans="1:64" x14ac:dyDescent="0.2">
      <c r="A329" s="2">
        <f t="shared" si="4"/>
        <v>46388</v>
      </c>
      <c r="B329" s="5">
        <v>7.193501365673402E-2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</row>
    <row r="330" spans="1:64" x14ac:dyDescent="0.2">
      <c r="A330" s="2">
        <f t="shared" si="4"/>
        <v>46419</v>
      </c>
      <c r="B330" s="5">
        <v>7.1930831852879018E-2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</row>
    <row r="331" spans="1:64" x14ac:dyDescent="0.2">
      <c r="A331" s="2">
        <f t="shared" si="4"/>
        <v>46447</v>
      </c>
      <c r="B331" s="5">
        <v>7.1927054739722995E-2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</row>
    <row r="332" spans="1:64" x14ac:dyDescent="0.2">
      <c r="A332" s="2">
        <f t="shared" si="4"/>
        <v>46478</v>
      </c>
      <c r="B332" s="5">
        <v>7.1922872935879026E-2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</row>
    <row r="333" spans="1:64" x14ac:dyDescent="0.2">
      <c r="A333" s="2">
        <f t="shared" si="4"/>
        <v>46508</v>
      </c>
      <c r="B333" s="5">
        <v>7.1918826028936997E-2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</row>
    <row r="334" spans="1:64" x14ac:dyDescent="0.2">
      <c r="A334" s="2">
        <f t="shared" si="4"/>
        <v>46539</v>
      </c>
      <c r="B334" s="5">
        <v>7.1914644225104019E-2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</row>
    <row r="335" spans="1:64" x14ac:dyDescent="0.2">
      <c r="A335" s="2"/>
      <c r="B335" s="5">
        <v>7.1910597318174035E-2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</row>
    <row r="336" spans="1:64" x14ac:dyDescent="0.2">
      <c r="A336" s="2"/>
      <c r="B336" s="5">
        <v>7.1906415514352034E-2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</row>
    <row r="337" spans="1:64" x14ac:dyDescent="0.2">
      <c r="A337" s="2"/>
      <c r="B337" s="5">
        <v>7.1902233710535002E-2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</row>
    <row r="338" spans="1:64" x14ac:dyDescent="0.2">
      <c r="A338" s="2"/>
      <c r="B338" s="5">
        <v>7.1898186803622019E-2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</row>
    <row r="339" spans="1:64" x14ac:dyDescent="0.2">
      <c r="A339" s="2"/>
      <c r="B339" s="5">
        <v>7.1894004999817004E-2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</row>
    <row r="340" spans="1:64" x14ac:dyDescent="0.2">
      <c r="A340" s="2"/>
      <c r="B340" s="5">
        <v>7.1889958092915013E-2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</row>
    <row r="341" spans="1:64" x14ac:dyDescent="0.2">
      <c r="A341" s="2"/>
      <c r="B341" s="5">
        <v>7.1885776289121003E-2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</row>
    <row r="342" spans="1:64" x14ac:dyDescent="0.2">
      <c r="A342" s="2"/>
      <c r="B342" s="5">
        <v>7.1881594485333017E-2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</row>
    <row r="343" spans="1:64" x14ac:dyDescent="0.2">
      <c r="A343" s="2"/>
      <c r="B343" s="5">
        <v>7.1877682475344026E-2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</row>
    <row r="344" spans="1:64" x14ac:dyDescent="0.2">
      <c r="A344" s="2"/>
      <c r="B344" s="5">
        <v>7.1873500671567003E-2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</row>
    <row r="345" spans="1:64" x14ac:dyDescent="0.2">
      <c r="A345" s="2"/>
      <c r="B345" s="5">
        <v>7.1869453764692032E-2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</row>
    <row r="346" spans="1:64" x14ac:dyDescent="0.2">
      <c r="A346" s="2"/>
      <c r="B346" s="5">
        <v>7.1865271960926999E-2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</row>
    <row r="347" spans="1:64" x14ac:dyDescent="0.2">
      <c r="A347" s="2"/>
      <c r="B347" s="5">
        <v>7.1861225054063019E-2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</row>
    <row r="348" spans="1:64" x14ac:dyDescent="0.2">
      <c r="A348" s="2"/>
      <c r="B348" s="5">
        <v>7.1857043250309019E-2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</row>
    <row r="349" spans="1:64" x14ac:dyDescent="0.2">
      <c r="A349" s="2"/>
      <c r="B349" s="5">
        <v>7.1852861446561014E-2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</row>
    <row r="350" spans="1:64" x14ac:dyDescent="0.2">
      <c r="A350" s="2"/>
      <c r="B350" s="5">
        <v>7.1848814539713007E-2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</row>
    <row r="351" spans="1:64" x14ac:dyDescent="0.2">
      <c r="A351" s="2"/>
      <c r="B351" s="5">
        <v>7.1844632735976022E-2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</row>
    <row r="352" spans="1:64" x14ac:dyDescent="0.2">
      <c r="A352" s="2"/>
      <c r="B352" s="5">
        <v>7.1840585829139991E-2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</row>
    <row r="353" spans="1:64" x14ac:dyDescent="0.2">
      <c r="A353" s="2"/>
      <c r="B353" s="5">
        <v>7.1836404025415024E-2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</row>
    <row r="354" spans="1:64" x14ac:dyDescent="0.2">
      <c r="A354" s="2"/>
      <c r="B354" s="5">
        <v>7.1832222221695011E-2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</row>
    <row r="355" spans="1:64" x14ac:dyDescent="0.2">
      <c r="A355" s="2"/>
      <c r="B355" s="5">
        <v>7.1828445108663014E-2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</row>
    <row r="356" spans="1:64" x14ac:dyDescent="0.2">
      <c r="A356" s="2"/>
      <c r="B356" s="5">
        <v>7.1824263304954047E-2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</row>
    <row r="357" spans="1:64" x14ac:dyDescent="0.2">
      <c r="A357" s="2"/>
      <c r="B357" s="5">
        <v>7.1820216398145009E-2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</row>
    <row r="358" spans="1:64" x14ac:dyDescent="0.2">
      <c r="A358" s="2"/>
      <c r="B358" s="5">
        <v>7.1816034594447992E-2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</row>
    <row r="359" spans="1:64" x14ac:dyDescent="0.2">
      <c r="A359" s="2"/>
      <c r="B359" s="5">
        <v>7.181198768765E-2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</row>
    <row r="360" spans="1:64" x14ac:dyDescent="0.2">
      <c r="A360" s="2"/>
      <c r="B360" s="5">
        <v>7.1807805883964002E-2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</row>
    <row r="361" spans="1:64" x14ac:dyDescent="0.2">
      <c r="A361" s="2"/>
      <c r="B361" s="5">
        <v>7.1803624080284026E-2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</row>
    <row r="362" spans="1:64" x14ac:dyDescent="0.2">
      <c r="A362" s="2"/>
      <c r="B362" s="5">
        <v>7.1799577173502008E-2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</row>
    <row r="363" spans="1:64" x14ac:dyDescent="0.2">
      <c r="A363" s="2"/>
      <c r="B363" s="5">
        <v>7.1795395369832996E-2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</row>
    <row r="364" spans="1:64" x14ac:dyDescent="0.2">
      <c r="A364" s="2"/>
      <c r="B364" s="5">
        <v>7.179134846306201E-2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</row>
    <row r="365" spans="1:64" x14ac:dyDescent="0.2">
      <c r="A365" s="2"/>
      <c r="B365" s="5">
        <v>7.1787166659405002E-2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</row>
    <row r="366" spans="1:64" x14ac:dyDescent="0.2">
      <c r="A366" s="2"/>
      <c r="B366" s="5">
        <v>7.1782984855754003E-2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</row>
    <row r="367" spans="1:64" x14ac:dyDescent="0.2">
      <c r="A367" s="2"/>
      <c r="B367" s="5">
        <v>7.1779207742783013E-2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</row>
    <row r="368" spans="1:64" x14ac:dyDescent="0.2">
      <c r="A368" s="2"/>
      <c r="B368" s="5">
        <v>7.1775025939143006E-2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</row>
    <row r="369" spans="1:64" x14ac:dyDescent="0.2">
      <c r="A369" s="2"/>
      <c r="B369" s="5">
        <v>7.1770979032398999E-2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</row>
    <row r="370" spans="1:64" x14ac:dyDescent="0.2">
      <c r="A370" s="2"/>
      <c r="B370" s="5">
        <v>7.176679722877001E-2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</row>
    <row r="371" spans="1:64" x14ac:dyDescent="0.2">
      <c r="A371" s="2"/>
      <c r="B371" s="5">
        <v>7.1762750322037022E-2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</row>
    <row r="372" spans="1:64" x14ac:dyDescent="0.2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</row>
    <row r="373" spans="1:64" x14ac:dyDescent="0.2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</row>
    <row r="374" spans="1:64" x14ac:dyDescent="0.2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</row>
    <row r="375" spans="1:64" x14ac:dyDescent="0.2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</row>
    <row r="376" spans="1:64" x14ac:dyDescent="0.2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</row>
    <row r="377" spans="1:64" x14ac:dyDescent="0.2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</row>
    <row r="378" spans="1:64" x14ac:dyDescent="0.2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</row>
    <row r="379" spans="1:64" x14ac:dyDescent="0.2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</row>
    <row r="380" spans="1:64" x14ac:dyDescent="0.2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</row>
    <row r="381" spans="1:64" x14ac:dyDescent="0.2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</row>
    <row r="382" spans="1:64" x14ac:dyDescent="0.2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</row>
    <row r="383" spans="1:64" x14ac:dyDescent="0.2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</row>
    <row r="384" spans="1:64" x14ac:dyDescent="0.2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</row>
    <row r="385" spans="1:64" x14ac:dyDescent="0.2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</row>
    <row r="386" spans="1:64" x14ac:dyDescent="0.2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</row>
    <row r="387" spans="1:64" x14ac:dyDescent="0.2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</row>
    <row r="388" spans="1:64" x14ac:dyDescent="0.2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</row>
    <row r="389" spans="1:64" x14ac:dyDescent="0.2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</row>
    <row r="390" spans="1:64" x14ac:dyDescent="0.2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</row>
    <row r="391" spans="1:64" x14ac:dyDescent="0.2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</row>
    <row r="392" spans="1:64" x14ac:dyDescent="0.2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</row>
    <row r="393" spans="1:64" x14ac:dyDescent="0.2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</row>
    <row r="394" spans="1:64" x14ac:dyDescent="0.2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</row>
    <row r="395" spans="1:64" x14ac:dyDescent="0.2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</row>
    <row r="396" spans="1:64" x14ac:dyDescent="0.2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</row>
    <row r="397" spans="1:64" x14ac:dyDescent="0.2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</row>
    <row r="398" spans="1:64" x14ac:dyDescent="0.2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</row>
    <row r="399" spans="1:64" x14ac:dyDescent="0.2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</row>
    <row r="400" spans="1:64" x14ac:dyDescent="0.2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</row>
    <row r="401" spans="1:64" x14ac:dyDescent="0.2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</row>
    <row r="402" spans="1:64" x14ac:dyDescent="0.2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</row>
    <row r="403" spans="1:64" x14ac:dyDescent="0.2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</row>
    <row r="404" spans="1:64" x14ac:dyDescent="0.2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spans="1:64" x14ac:dyDescent="0.2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</row>
    <row r="406" spans="1:64" x14ac:dyDescent="0.2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</row>
    <row r="407" spans="1:64" x14ac:dyDescent="0.2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</row>
    <row r="408" spans="1:64" x14ac:dyDescent="0.2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</row>
    <row r="409" spans="1:64" x14ac:dyDescent="0.2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</row>
    <row r="410" spans="1:64" x14ac:dyDescent="0.2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</row>
    <row r="411" spans="1:64" x14ac:dyDescent="0.2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</row>
    <row r="412" spans="1:64" x14ac:dyDescent="0.2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</row>
    <row r="413" spans="1:64" x14ac:dyDescent="0.2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</row>
    <row r="414" spans="1:64" x14ac:dyDescent="0.2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</row>
    <row r="415" spans="1:64" x14ac:dyDescent="0.2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</row>
    <row r="416" spans="1:64" x14ac:dyDescent="0.2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</row>
    <row r="417" spans="1:64" x14ac:dyDescent="0.2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</row>
    <row r="418" spans="1:64" x14ac:dyDescent="0.2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</row>
    <row r="419" spans="1:64" x14ac:dyDescent="0.2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</row>
    <row r="420" spans="1:64" x14ac:dyDescent="0.2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</row>
    <row r="421" spans="1:64" x14ac:dyDescent="0.2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</row>
    <row r="422" spans="1:64" x14ac:dyDescent="0.2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</row>
    <row r="423" spans="1:64" x14ac:dyDescent="0.2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</row>
    <row r="424" spans="1:64" x14ac:dyDescent="0.2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</row>
    <row r="425" spans="1:64" x14ac:dyDescent="0.2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</row>
    <row r="426" spans="1:64" x14ac:dyDescent="0.2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</row>
    <row r="427" spans="1:64" x14ac:dyDescent="0.2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</row>
    <row r="428" spans="1:64" x14ac:dyDescent="0.2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</row>
    <row r="429" spans="1:64" x14ac:dyDescent="0.2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</row>
    <row r="430" spans="1:64" x14ac:dyDescent="0.2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</row>
    <row r="431" spans="1:64" x14ac:dyDescent="0.2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</row>
    <row r="432" spans="1:64" x14ac:dyDescent="0.2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</row>
    <row r="433" spans="1:64" x14ac:dyDescent="0.2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</row>
    <row r="434" spans="1:64" x14ac:dyDescent="0.2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</row>
    <row r="435" spans="1:64" x14ac:dyDescent="0.2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</row>
    <row r="436" spans="1:64" x14ac:dyDescent="0.2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</row>
    <row r="437" spans="1:64" x14ac:dyDescent="0.2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</row>
    <row r="438" spans="1:64" x14ac:dyDescent="0.2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</row>
    <row r="439" spans="1:64" x14ac:dyDescent="0.2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</row>
    <row r="440" spans="1:64" x14ac:dyDescent="0.2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</row>
    <row r="441" spans="1:64" x14ac:dyDescent="0.2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</row>
    <row r="442" spans="1:64" x14ac:dyDescent="0.2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</row>
    <row r="443" spans="1:64" x14ac:dyDescent="0.2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</row>
    <row r="444" spans="1:64" x14ac:dyDescent="0.2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</row>
    <row r="445" spans="1:64" x14ac:dyDescent="0.2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</row>
    <row r="446" spans="1:64" x14ac:dyDescent="0.2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</row>
    <row r="447" spans="1:64" x14ac:dyDescent="0.2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</row>
    <row r="448" spans="1:64" x14ac:dyDescent="0.2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</row>
    <row r="449" spans="1:64" x14ac:dyDescent="0.2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</row>
    <row r="450" spans="1:64" x14ac:dyDescent="0.2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</row>
    <row r="451" spans="1:64" x14ac:dyDescent="0.2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</row>
    <row r="452" spans="1:64" x14ac:dyDescent="0.2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</row>
    <row r="453" spans="1:64" x14ac:dyDescent="0.2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</row>
    <row r="454" spans="1:64" x14ac:dyDescent="0.2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</row>
    <row r="455" spans="1:64" x14ac:dyDescent="0.2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</row>
    <row r="456" spans="1:64" x14ac:dyDescent="0.2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</row>
    <row r="457" spans="1:64" x14ac:dyDescent="0.2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</row>
    <row r="458" spans="1:64" x14ac:dyDescent="0.2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</row>
    <row r="459" spans="1:64" x14ac:dyDescent="0.2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</row>
    <row r="460" spans="1:64" x14ac:dyDescent="0.2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</row>
    <row r="461" spans="1:64" x14ac:dyDescent="0.2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</row>
    <row r="462" spans="1:64" x14ac:dyDescent="0.2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</row>
    <row r="463" spans="1:64" x14ac:dyDescent="0.2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</row>
    <row r="464" spans="1:64" x14ac:dyDescent="0.2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</row>
    <row r="465" spans="1:64" x14ac:dyDescent="0.2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</row>
    <row r="466" spans="1:64" x14ac:dyDescent="0.2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</row>
    <row r="467" spans="1:64" x14ac:dyDescent="0.2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</row>
    <row r="468" spans="1:64" x14ac:dyDescent="0.2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</row>
    <row r="469" spans="1:64" x14ac:dyDescent="0.2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</row>
    <row r="470" spans="1:64" x14ac:dyDescent="0.2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</row>
    <row r="471" spans="1:64" x14ac:dyDescent="0.2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</row>
    <row r="472" spans="1:64" x14ac:dyDescent="0.2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</row>
    <row r="473" spans="1:64" x14ac:dyDescent="0.2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</row>
    <row r="474" spans="1:64" x14ac:dyDescent="0.2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</row>
    <row r="475" spans="1:64" x14ac:dyDescent="0.2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</row>
    <row r="476" spans="1:64" x14ac:dyDescent="0.2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</row>
    <row r="477" spans="1:64" x14ac:dyDescent="0.2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</row>
    <row r="478" spans="1:64" x14ac:dyDescent="0.2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</row>
    <row r="479" spans="1:64" x14ac:dyDescent="0.2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</row>
    <row r="480" spans="1:64" x14ac:dyDescent="0.2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</row>
    <row r="481" spans="1:64" x14ac:dyDescent="0.2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</row>
    <row r="482" spans="1:64" x14ac:dyDescent="0.2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</row>
    <row r="483" spans="1:64" x14ac:dyDescent="0.2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</row>
    <row r="484" spans="1:64" x14ac:dyDescent="0.2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</row>
    <row r="485" spans="1:64" x14ac:dyDescent="0.2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</row>
    <row r="486" spans="1:64" x14ac:dyDescent="0.2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</row>
    <row r="487" spans="1:64" x14ac:dyDescent="0.2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</row>
    <row r="488" spans="1:64" x14ac:dyDescent="0.2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</row>
    <row r="489" spans="1:64" x14ac:dyDescent="0.2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</row>
    <row r="490" spans="1:64" x14ac:dyDescent="0.2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</row>
    <row r="491" spans="1:64" x14ac:dyDescent="0.2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</row>
    <row r="492" spans="1:64" x14ac:dyDescent="0.2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</row>
    <row r="493" spans="1:64" x14ac:dyDescent="0.2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</row>
    <row r="494" spans="1:64" x14ac:dyDescent="0.2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</row>
    <row r="495" spans="1:64" x14ac:dyDescent="0.2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</row>
    <row r="496" spans="1:64" x14ac:dyDescent="0.2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</row>
    <row r="497" spans="1:64" x14ac:dyDescent="0.2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</row>
    <row r="498" spans="1:64" x14ac:dyDescent="0.2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</row>
    <row r="499" spans="1:64" x14ac:dyDescent="0.2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</row>
    <row r="500" spans="1:64" x14ac:dyDescent="0.2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</row>
    <row r="501" spans="1:64" x14ac:dyDescent="0.2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</row>
    <row r="502" spans="1:64" x14ac:dyDescent="0.2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</row>
    <row r="503" spans="1:64" x14ac:dyDescent="0.2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</row>
    <row r="504" spans="1:64" x14ac:dyDescent="0.2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</row>
    <row r="505" spans="1:64" x14ac:dyDescent="0.2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</row>
    <row r="506" spans="1:64" x14ac:dyDescent="0.2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</row>
    <row r="507" spans="1:64" x14ac:dyDescent="0.2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</row>
    <row r="508" spans="1:64" x14ac:dyDescent="0.2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</row>
    <row r="509" spans="1:64" x14ac:dyDescent="0.2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</row>
    <row r="510" spans="1:64" x14ac:dyDescent="0.2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</row>
    <row r="511" spans="1:64" x14ac:dyDescent="0.2">
      <c r="A511" s="2"/>
    </row>
    <row r="512" spans="1:64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19050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318"/>
  <sheetViews>
    <sheetView showGridLines="0" workbookViewId="0">
      <selection activeCell="F6" sqref="F6"/>
    </sheetView>
  </sheetViews>
  <sheetFormatPr defaultRowHeight="12.75" x14ac:dyDescent="0.2"/>
  <cols>
    <col min="1" max="1" width="3.7109375" customWidth="1"/>
    <col min="2" max="2" width="6.5703125" customWidth="1"/>
    <col min="4" max="4" width="12.140625" customWidth="1"/>
    <col min="5" max="9" width="12.42578125" customWidth="1"/>
    <col min="10" max="10" width="4.42578125" customWidth="1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/>
      <c r="B2" s="425" t="s">
        <v>143</v>
      </c>
      <c r="C2" s="426"/>
      <c r="D2" s="427"/>
      <c r="E2" s="424">
        <v>0</v>
      </c>
      <c r="F2" s="464"/>
      <c r="G2" s="464"/>
      <c r="H2" s="464"/>
      <c r="I2" s="4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4" t="s">
        <v>140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4" t="s">
        <v>137</v>
      </c>
      <c r="F4" s="14" t="s">
        <v>147</v>
      </c>
      <c r="G4" s="14"/>
      <c r="H4" s="14"/>
      <c r="I4" s="14"/>
      <c r="J4" s="14"/>
      <c r="K4" s="1"/>
      <c r="L4" s="14" t="s">
        <v>139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422"/>
      <c r="B5" s="184" t="s">
        <v>142</v>
      </c>
      <c r="C5" s="184" t="s">
        <v>141</v>
      </c>
      <c r="D5" s="184" t="s">
        <v>136</v>
      </c>
      <c r="E5" s="184" t="s">
        <v>138</v>
      </c>
      <c r="F5" s="183" t="s">
        <v>148</v>
      </c>
      <c r="G5" s="183"/>
      <c r="H5" s="183"/>
      <c r="I5" s="183"/>
      <c r="J5" s="14"/>
      <c r="K5" s="422"/>
      <c r="L5" s="184" t="s">
        <v>137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>
        <v>1</v>
      </c>
      <c r="B6" s="3">
        <f>+YEAR(C6)</f>
        <v>2000</v>
      </c>
      <c r="C6" s="423">
        <f>+CURVELOAD!A11</f>
        <v>36708</v>
      </c>
      <c r="D6" s="465">
        <f>+IF($E$2&gt;0,$E$2,CURVELOAD!B11)</f>
        <v>1</v>
      </c>
      <c r="E6" s="466">
        <f ca="1">+IF(C6&lt;TODAY(),1,1/(1+D6/2)^((C7-TODAY())/182.625))</f>
        <v>1</v>
      </c>
      <c r="F6" s="471">
        <f>+CURVELOAD!C11+CURVELOAD!E11+CURVELOAD!F11</f>
        <v>4.3650000000000002</v>
      </c>
      <c r="G6" s="421"/>
      <c r="H6" s="421"/>
      <c r="I6" s="421"/>
      <c r="J6" s="421"/>
      <c r="K6">
        <v>2000</v>
      </c>
      <c r="L6" s="421">
        <f ca="1">+SUMIF($B$6:$B$312,K6,$E$6:$E$311)/SUMIF($B$6:$B$312,K6,$A$6:$A$312)</f>
        <v>0.98709279824509577</v>
      </c>
    </row>
    <row r="7" spans="1:21" x14ac:dyDescent="0.2">
      <c r="A7">
        <v>1</v>
      </c>
      <c r="B7" s="3">
        <f t="shared" ref="B7:B70" si="0">+YEAR(C7)</f>
        <v>2000</v>
      </c>
      <c r="C7" s="423">
        <f>+CURVELOAD!A12</f>
        <v>36739</v>
      </c>
      <c r="D7" s="467">
        <f>+IF($E$2&gt;0,$E$2,CURVELOAD!B12)</f>
        <v>6.774134807203501E-2</v>
      </c>
      <c r="E7" s="468">
        <f t="shared" ref="E7:E70" ca="1" si="1">+IF(C7&lt;TODAY(),1,1/(1+D7/2)^((C8-TODAY())/182.625))</f>
        <v>1</v>
      </c>
      <c r="F7" s="472">
        <f>+CURVELOAD!C12+CURVELOAD!E12+CURVELOAD!F12</f>
        <v>3.7149999999999999</v>
      </c>
      <c r="G7" s="421"/>
      <c r="H7" s="421"/>
      <c r="I7" s="421"/>
      <c r="J7" s="421"/>
      <c r="K7">
        <v>2001</v>
      </c>
      <c r="L7" s="421">
        <f t="shared" ref="L7:L31" ca="1" si="2">+SUMIF($B$6:$B$312,K7,$E$6:$E$311)/SUMIF($B$6:$B$312,K7,$A$6:$A$312)</f>
        <v>0.93641487601405426</v>
      </c>
    </row>
    <row r="8" spans="1:21" x14ac:dyDescent="0.2">
      <c r="A8">
        <v>1</v>
      </c>
      <c r="B8" s="3">
        <f t="shared" si="0"/>
        <v>2000</v>
      </c>
      <c r="C8" s="423">
        <f>+CURVELOAD!A13</f>
        <v>36770</v>
      </c>
      <c r="D8" s="467">
        <f>+IF($E$2&gt;0,$E$2,CURVELOAD!B13)</f>
        <v>6.804881271445401E-2</v>
      </c>
      <c r="E8" s="468">
        <f t="shared" ca="1" si="1"/>
        <v>0.98906771048125319</v>
      </c>
      <c r="F8" s="472">
        <f>+CURVELOAD!C13+CURVELOAD!E13+CURVELOAD!F13</f>
        <v>3.7250000000000001</v>
      </c>
      <c r="G8" s="421"/>
      <c r="H8" s="421"/>
      <c r="I8" s="421"/>
      <c r="J8" s="421"/>
      <c r="K8">
        <v>2002</v>
      </c>
      <c r="L8" s="421">
        <f t="shared" ca="1" si="2"/>
        <v>0.87285272473133979</v>
      </c>
    </row>
    <row r="9" spans="1:21" x14ac:dyDescent="0.2">
      <c r="A9">
        <v>1</v>
      </c>
      <c r="B9" s="3">
        <f t="shared" si="0"/>
        <v>2000</v>
      </c>
      <c r="C9" s="423">
        <f>+CURVELOAD!A14</f>
        <v>36800</v>
      </c>
      <c r="D9" s="467">
        <f>+IF($E$2&gt;0,$E$2,CURVELOAD!B14)</f>
        <v>6.8307378972657012E-2</v>
      </c>
      <c r="E9" s="468">
        <f t="shared" ca="1" si="1"/>
        <v>0.98340500553176036</v>
      </c>
      <c r="F9" s="472">
        <f>+CURVELOAD!C14+CURVELOAD!E14+CURVELOAD!F14</f>
        <v>3.7319999999999998</v>
      </c>
      <c r="G9" s="421"/>
      <c r="H9" s="421"/>
      <c r="I9" s="421"/>
      <c r="J9" s="421"/>
      <c r="K9">
        <v>2003</v>
      </c>
      <c r="L9" s="421">
        <f t="shared" ca="1" si="2"/>
        <v>0.81374430741475268</v>
      </c>
    </row>
    <row r="10" spans="1:21" x14ac:dyDescent="0.2">
      <c r="A10">
        <v>1</v>
      </c>
      <c r="B10" s="3">
        <f t="shared" si="0"/>
        <v>2000</v>
      </c>
      <c r="C10" s="423">
        <f>+CURVELOAD!A15</f>
        <v>36831</v>
      </c>
      <c r="D10" s="467">
        <f>+IF($E$2&gt;0,$E$2,CURVELOAD!B15)</f>
        <v>6.8694480919292006E-2</v>
      </c>
      <c r="E10" s="468">
        <f t="shared" ca="1" si="1"/>
        <v>0.97787345714103346</v>
      </c>
      <c r="F10" s="472">
        <f>+CURVELOAD!C15+CURVELOAD!E15+CURVELOAD!F15</f>
        <v>3.8149999999999999</v>
      </c>
      <c r="G10" s="421"/>
      <c r="H10" s="421"/>
      <c r="I10" s="421"/>
      <c r="J10" s="421"/>
      <c r="K10">
        <v>2004</v>
      </c>
      <c r="L10" s="421">
        <f t="shared" ca="1" si="2"/>
        <v>0.75841029339734034</v>
      </c>
    </row>
    <row r="11" spans="1:21" x14ac:dyDescent="0.2">
      <c r="A11">
        <v>1</v>
      </c>
      <c r="B11" s="3">
        <f t="shared" si="0"/>
        <v>2000</v>
      </c>
      <c r="C11" s="423">
        <f>+CURVELOAD!A16</f>
        <v>36861</v>
      </c>
      <c r="D11" s="467">
        <f>+IF($E$2&gt;0,$E$2,CURVELOAD!B16)</f>
        <v>6.8881816359694009E-2</v>
      </c>
      <c r="E11" s="468">
        <f t="shared" ca="1" si="1"/>
        <v>0.97221061631652694</v>
      </c>
      <c r="F11" s="472">
        <f>+CURVELOAD!C16+CURVELOAD!E16+CURVELOAD!F16</f>
        <v>3.8969999999999998</v>
      </c>
      <c r="G11" s="421"/>
      <c r="H11" s="421"/>
      <c r="I11" s="421"/>
      <c r="J11" s="421"/>
      <c r="K11">
        <v>2005</v>
      </c>
      <c r="L11" s="421">
        <f t="shared" ca="1" si="2"/>
        <v>0.70611333047564051</v>
      </c>
    </row>
    <row r="12" spans="1:21" x14ac:dyDescent="0.2">
      <c r="A12">
        <v>1</v>
      </c>
      <c r="B12" s="3">
        <f t="shared" si="0"/>
        <v>2001</v>
      </c>
      <c r="C12" s="423">
        <f>+CURVELOAD!A17</f>
        <v>36892</v>
      </c>
      <c r="D12" s="467">
        <f>+IF($E$2&gt;0,$E$2,CURVELOAD!B17)</f>
        <v>6.9111166945366023E-2</v>
      </c>
      <c r="E12" s="468">
        <f t="shared" ca="1" si="1"/>
        <v>0.96653119543957822</v>
      </c>
      <c r="F12" s="472">
        <f>+CURVELOAD!C17+CURVELOAD!E17+CURVELOAD!F17</f>
        <v>3.895</v>
      </c>
      <c r="G12" s="421"/>
      <c r="H12" s="421"/>
      <c r="I12" s="421"/>
      <c r="J12" s="421"/>
      <c r="K12">
        <v>2006</v>
      </c>
      <c r="L12" s="421">
        <f t="shared" ca="1" si="2"/>
        <v>0.65662270324973249</v>
      </c>
    </row>
    <row r="13" spans="1:21" x14ac:dyDescent="0.2">
      <c r="A13">
        <v>1</v>
      </c>
      <c r="B13" s="3">
        <f t="shared" si="0"/>
        <v>2001</v>
      </c>
      <c r="C13" s="423">
        <f>+CURVELOAD!A18</f>
        <v>36923</v>
      </c>
      <c r="D13" s="467">
        <f>+IF($E$2&gt;0,$E$2,CURVELOAD!B18)</f>
        <v>6.9397154366051012E-2</v>
      </c>
      <c r="E13" s="468">
        <f t="shared" ca="1" si="1"/>
        <v>0.96135651768700092</v>
      </c>
      <c r="F13" s="472">
        <f>+CURVELOAD!C18+CURVELOAD!E18+CURVELOAD!F18</f>
        <v>3.7399999999999998</v>
      </c>
      <c r="G13" s="421"/>
      <c r="H13" s="421"/>
      <c r="I13" s="421"/>
      <c r="J13" s="421"/>
      <c r="K13">
        <v>2007</v>
      </c>
      <c r="L13" s="421">
        <f t="shared" ca="1" si="2"/>
        <v>0.61018200056478034</v>
      </c>
    </row>
    <row r="14" spans="1:21" x14ac:dyDescent="0.2">
      <c r="A14">
        <v>1</v>
      </c>
      <c r="B14" s="3">
        <f t="shared" si="0"/>
        <v>2001</v>
      </c>
      <c r="C14" s="423">
        <f>+CURVELOAD!A19</f>
        <v>36951</v>
      </c>
      <c r="D14" s="467">
        <f>+IF($E$2&gt;0,$E$2,CURVELOAD!B19)</f>
        <v>6.9655465607987008E-2</v>
      </c>
      <c r="E14" s="468">
        <f t="shared" ca="1" si="1"/>
        <v>0.95564818838304555</v>
      </c>
      <c r="F14" s="472">
        <f>+CURVELOAD!C19+CURVELOAD!E19+CURVELOAD!F19</f>
        <v>3.59</v>
      </c>
      <c r="G14" s="421"/>
      <c r="H14" s="421"/>
      <c r="I14" s="421"/>
      <c r="J14" s="421"/>
      <c r="K14">
        <v>2008</v>
      </c>
      <c r="L14" s="421">
        <f t="shared" ca="1" si="2"/>
        <v>0.56806421793741613</v>
      </c>
    </row>
    <row r="15" spans="1:21" x14ac:dyDescent="0.2">
      <c r="A15">
        <v>1</v>
      </c>
      <c r="B15" s="3">
        <f t="shared" si="0"/>
        <v>2001</v>
      </c>
      <c r="C15" s="423">
        <f>+CURVELOAD!A20</f>
        <v>36982</v>
      </c>
      <c r="D15" s="467">
        <f>+IF($E$2&gt;0,$E$2,CURVELOAD!B20)</f>
        <v>6.988007102226701E-2</v>
      </c>
      <c r="E15" s="468">
        <f t="shared" ca="1" si="1"/>
        <v>0.95013530659556977</v>
      </c>
      <c r="F15" s="472">
        <f>+CURVELOAD!C20+CURVELOAD!E20+CURVELOAD!F20</f>
        <v>3.4449999999999998</v>
      </c>
      <c r="G15" s="421"/>
      <c r="H15" s="421"/>
      <c r="I15" s="421"/>
      <c r="J15" s="421"/>
      <c r="K15">
        <v>2009</v>
      </c>
      <c r="L15" s="421">
        <f t="shared" ca="1" si="2"/>
        <v>0.52930270455463302</v>
      </c>
    </row>
    <row r="16" spans="1:21" x14ac:dyDescent="0.2">
      <c r="A16">
        <v>1</v>
      </c>
      <c r="B16" s="3">
        <f t="shared" si="0"/>
        <v>2001</v>
      </c>
      <c r="C16" s="423">
        <f>+CURVELOAD!A21</f>
        <v>37012</v>
      </c>
      <c r="D16" s="467">
        <f>+IF($E$2&gt;0,$E$2,CURVELOAD!B21)</f>
        <v>6.9993204989047014E-2</v>
      </c>
      <c r="E16" s="468">
        <f t="shared" ca="1" si="1"/>
        <v>0.94452676617611309</v>
      </c>
      <c r="F16" s="472">
        <f>+CURVELOAD!C21+CURVELOAD!E21+CURVELOAD!F21</f>
        <v>3.4140000000000001</v>
      </c>
      <c r="G16" s="421"/>
      <c r="H16" s="421"/>
      <c r="I16" s="421"/>
      <c r="J16" s="421"/>
      <c r="K16">
        <v>2010</v>
      </c>
      <c r="L16" s="421">
        <f t="shared" ca="1" si="2"/>
        <v>0.49322301019235937</v>
      </c>
    </row>
    <row r="17" spans="1:12" x14ac:dyDescent="0.2">
      <c r="A17">
        <v>1</v>
      </c>
      <c r="B17" s="3">
        <f t="shared" si="0"/>
        <v>2001</v>
      </c>
      <c r="C17" s="423">
        <f>+CURVELOAD!A22</f>
        <v>37043</v>
      </c>
      <c r="D17" s="467">
        <f>+IF($E$2&gt;0,$E$2,CURVELOAD!B22)</f>
        <v>7.0110110092498013E-2</v>
      </c>
      <c r="E17" s="468">
        <f t="shared" ca="1" si="1"/>
        <v>0.93910794529001762</v>
      </c>
      <c r="F17" s="472">
        <f>+CURVELOAD!C22+CURVELOAD!E22+CURVELOAD!F22</f>
        <v>3.4040000000000004</v>
      </c>
      <c r="G17" s="421"/>
      <c r="H17" s="421"/>
      <c r="I17" s="421"/>
      <c r="J17" s="421"/>
      <c r="K17">
        <v>2011</v>
      </c>
      <c r="L17" s="421">
        <f t="shared" ca="1" si="2"/>
        <v>0.45948727814711526</v>
      </c>
    </row>
    <row r="18" spans="1:12" x14ac:dyDescent="0.2">
      <c r="A18">
        <v>1</v>
      </c>
      <c r="B18" s="3">
        <f t="shared" si="0"/>
        <v>2001</v>
      </c>
      <c r="C18" s="423">
        <f>+CURVELOAD!A23</f>
        <v>37073</v>
      </c>
      <c r="D18" s="467">
        <f>+IF($E$2&gt;0,$E$2,CURVELOAD!B23)</f>
        <v>7.0214788903499997E-2</v>
      </c>
      <c r="E18" s="468">
        <f t="shared" ca="1" si="1"/>
        <v>0.93353745551083955</v>
      </c>
      <c r="F18" s="472">
        <f>+CURVELOAD!C23+CURVELOAD!E23+CURVELOAD!F23</f>
        <v>3.3940000000000001</v>
      </c>
      <c r="G18" s="421"/>
      <c r="H18" s="421"/>
      <c r="I18" s="421"/>
      <c r="J18" s="421"/>
      <c r="K18">
        <v>2012</v>
      </c>
      <c r="L18" s="421">
        <f t="shared" ca="1" si="2"/>
        <v>0.42795387313999794</v>
      </c>
    </row>
    <row r="19" spans="1:12" x14ac:dyDescent="0.2">
      <c r="A19">
        <v>1</v>
      </c>
      <c r="B19" s="3">
        <f t="shared" si="0"/>
        <v>2001</v>
      </c>
      <c r="C19" s="423">
        <f>+CURVELOAD!A24</f>
        <v>37104</v>
      </c>
      <c r="D19" s="467">
        <f>+IF($E$2&gt;0,$E$2,CURVELOAD!B24)</f>
        <v>7.0307065970443006E-2</v>
      </c>
      <c r="E19" s="468">
        <f t="shared" ca="1" si="1"/>
        <v>0.92799610610284611</v>
      </c>
      <c r="F19" s="472">
        <f>+CURVELOAD!C24+CURVELOAD!E24+CURVELOAD!F24</f>
        <v>3.3940000000000001</v>
      </c>
      <c r="G19" s="421"/>
      <c r="H19" s="421"/>
      <c r="I19" s="421"/>
      <c r="J19" s="421"/>
      <c r="K19">
        <v>2013</v>
      </c>
      <c r="L19" s="421">
        <f t="shared" ca="1" si="2"/>
        <v>0.39865163108705653</v>
      </c>
    </row>
    <row r="20" spans="1:12" x14ac:dyDescent="0.2">
      <c r="A20">
        <v>1</v>
      </c>
      <c r="B20" s="3">
        <f t="shared" si="0"/>
        <v>2001</v>
      </c>
      <c r="C20" s="423">
        <f>+CURVELOAD!A25</f>
        <v>37135</v>
      </c>
      <c r="D20" s="467">
        <f>+IF($E$2&gt;0,$E$2,CURVELOAD!B25)</f>
        <v>7.0399343040201026E-2</v>
      </c>
      <c r="E20" s="468">
        <f t="shared" ca="1" si="1"/>
        <v>0.92264845364655979</v>
      </c>
      <c r="F20" s="472">
        <f>+CURVELOAD!C25+CURVELOAD!E25+CURVELOAD!F25</f>
        <v>3.3840000000000003</v>
      </c>
      <c r="G20" s="421"/>
      <c r="H20" s="421"/>
      <c r="I20" s="421"/>
      <c r="J20" s="421"/>
      <c r="K20">
        <v>2014</v>
      </c>
      <c r="L20" s="421">
        <f t="shared" ca="1" si="2"/>
        <v>0.37136470730098542</v>
      </c>
    </row>
    <row r="21" spans="1:12" x14ac:dyDescent="0.2">
      <c r="A21">
        <v>1</v>
      </c>
      <c r="B21" s="3">
        <f t="shared" si="0"/>
        <v>2001</v>
      </c>
      <c r="C21" s="423">
        <f>+CURVELOAD!A26</f>
        <v>37165</v>
      </c>
      <c r="D21" s="467">
        <f>+IF($E$2&gt;0,$E$2,CURVELOAD!B26)</f>
        <v>7.047840408317102E-2</v>
      </c>
      <c r="E21" s="468">
        <f t="shared" ca="1" si="1"/>
        <v>0.91715883353653005</v>
      </c>
      <c r="F21" s="472">
        <f>+CURVELOAD!C26+CURVELOAD!E26+CURVELOAD!F26</f>
        <v>3.4090000000000003</v>
      </c>
      <c r="G21" s="421"/>
      <c r="H21" s="421"/>
      <c r="I21" s="421"/>
      <c r="J21" s="421"/>
      <c r="K21">
        <v>2015</v>
      </c>
      <c r="L21" s="421">
        <f t="shared" ca="1" si="2"/>
        <v>0.34594810236222512</v>
      </c>
    </row>
    <row r="22" spans="1:12" x14ac:dyDescent="0.2">
      <c r="A22">
        <v>1</v>
      </c>
      <c r="B22" s="3">
        <f t="shared" si="0"/>
        <v>2001</v>
      </c>
      <c r="C22" s="423">
        <f>+CURVELOAD!A27</f>
        <v>37196</v>
      </c>
      <c r="D22" s="467">
        <f>+IF($E$2&gt;0,$E$2,CURVELOAD!B27)</f>
        <v>7.0543334070211017E-2</v>
      </c>
      <c r="E22" s="468">
        <f t="shared" ca="1" si="1"/>
        <v>0.91187971931741929</v>
      </c>
      <c r="F22" s="472">
        <f>+CURVELOAD!C27+CURVELOAD!E27+CURVELOAD!F27</f>
        <v>3.5249999999999999</v>
      </c>
      <c r="G22" s="421"/>
      <c r="H22" s="421"/>
      <c r="I22" s="421"/>
      <c r="J22" s="421"/>
      <c r="K22">
        <v>2016</v>
      </c>
      <c r="L22" s="421">
        <f t="shared" ca="1" si="2"/>
        <v>0.32221624286749423</v>
      </c>
    </row>
    <row r="23" spans="1:12" x14ac:dyDescent="0.2">
      <c r="A23">
        <v>1</v>
      </c>
      <c r="B23" s="3">
        <f t="shared" si="0"/>
        <v>2001</v>
      </c>
      <c r="C23" s="423">
        <f>+CURVELOAD!A28</f>
        <v>37226</v>
      </c>
      <c r="D23" s="467">
        <f>+IF($E$2&gt;0,$E$2,CURVELOAD!B28)</f>
        <v>7.0606169542866026E-2</v>
      </c>
      <c r="E23" s="468">
        <f t="shared" ca="1" si="1"/>
        <v>0.90645202448313378</v>
      </c>
      <c r="F23" s="472">
        <f>+CURVELOAD!C28+CURVELOAD!E28+CURVELOAD!F28</f>
        <v>3.6349999999999998</v>
      </c>
      <c r="G23" s="421"/>
      <c r="H23" s="421"/>
      <c r="I23" s="421"/>
      <c r="J23" s="421"/>
      <c r="K23">
        <v>2017</v>
      </c>
      <c r="L23" s="421">
        <f t="shared" ca="1" si="2"/>
        <v>0.30016288728962087</v>
      </c>
    </row>
    <row r="24" spans="1:12" x14ac:dyDescent="0.2">
      <c r="A24">
        <v>1</v>
      </c>
      <c r="B24" s="3">
        <f t="shared" si="0"/>
        <v>2002</v>
      </c>
      <c r="C24" s="423">
        <f>+CURVELOAD!A29</f>
        <v>37257</v>
      </c>
      <c r="D24" s="467">
        <f>+IF($E$2&gt;0,$E$2,CURVELOAD!B29)</f>
        <v>7.0674686513092028E-2</v>
      </c>
      <c r="E24" s="468">
        <f t="shared" ca="1" si="1"/>
        <v>0.90103993721431963</v>
      </c>
      <c r="F24" s="472">
        <f>+CURVELOAD!C29+CURVELOAD!E29+CURVELOAD!F29</f>
        <v>3.6549999999999998</v>
      </c>
      <c r="G24" s="421"/>
      <c r="H24" s="421"/>
      <c r="I24" s="421"/>
      <c r="J24" s="421"/>
      <c r="K24">
        <v>2018</v>
      </c>
      <c r="L24" s="421">
        <f t="shared" ca="1" si="2"/>
        <v>0.27962567994409077</v>
      </c>
    </row>
    <row r="25" spans="1:12" x14ac:dyDescent="0.2">
      <c r="A25">
        <v>1</v>
      </c>
      <c r="B25" s="3">
        <f t="shared" si="0"/>
        <v>2002</v>
      </c>
      <c r="C25" s="423">
        <f>+CURVELOAD!A30</f>
        <v>37288</v>
      </c>
      <c r="D25" s="467">
        <f>+IF($E$2&gt;0,$E$2,CURVELOAD!B30)</f>
        <v>7.0748170073293024E-2</v>
      </c>
      <c r="E25" s="468">
        <f t="shared" ca="1" si="1"/>
        <v>0.89615489946348226</v>
      </c>
      <c r="F25" s="472">
        <f>+CURVELOAD!C30+CURVELOAD!E30+CURVELOAD!F30</f>
        <v>3.52</v>
      </c>
      <c r="G25" s="421"/>
      <c r="H25" s="421"/>
      <c r="I25" s="421"/>
      <c r="J25" s="421"/>
      <c r="K25">
        <v>2019</v>
      </c>
      <c r="L25" s="421">
        <f t="shared" ca="1" si="2"/>
        <v>0.26049557709816112</v>
      </c>
    </row>
    <row r="26" spans="1:12" x14ac:dyDescent="0.2">
      <c r="A26">
        <v>1</v>
      </c>
      <c r="B26" s="3">
        <f t="shared" si="0"/>
        <v>2002</v>
      </c>
      <c r="C26" s="423">
        <f>+CURVELOAD!A31</f>
        <v>37316</v>
      </c>
      <c r="D26" s="467">
        <f>+IF($E$2&gt;0,$E$2,CURVELOAD!B31)</f>
        <v>7.0814542322751015E-2</v>
      </c>
      <c r="E26" s="468">
        <f t="shared" ca="1" si="1"/>
        <v>0.89078747340063824</v>
      </c>
      <c r="F26" s="472">
        <f>+CURVELOAD!C31+CURVELOAD!E31+CURVELOAD!F31</f>
        <v>3.3849999999999998</v>
      </c>
      <c r="G26" s="421"/>
      <c r="H26" s="421"/>
      <c r="I26" s="421"/>
      <c r="J26" s="421"/>
      <c r="K26">
        <v>2020</v>
      </c>
      <c r="L26" s="421">
        <f t="shared" ca="1" si="2"/>
        <v>0.24264887761889622</v>
      </c>
    </row>
    <row r="27" spans="1:12" x14ac:dyDescent="0.2">
      <c r="A27">
        <v>1</v>
      </c>
      <c r="B27" s="3">
        <f t="shared" si="0"/>
        <v>2002</v>
      </c>
      <c r="C27" s="423">
        <f>+CURVELOAD!A32</f>
        <v>37347</v>
      </c>
      <c r="D27" s="467">
        <f>+IF($E$2&gt;0,$E$2,CURVELOAD!B32)</f>
        <v>7.0867490101350017E-2</v>
      </c>
      <c r="E27" s="468">
        <f t="shared" ca="1" si="1"/>
        <v>0.8856314596957422</v>
      </c>
      <c r="F27" s="472">
        <f>+CURVELOAD!C32+CURVELOAD!E32+CURVELOAD!F32</f>
        <v>3.246</v>
      </c>
      <c r="G27" s="421"/>
      <c r="H27" s="421"/>
      <c r="I27" s="421"/>
      <c r="J27" s="421"/>
      <c r="K27">
        <v>2021</v>
      </c>
      <c r="L27" s="421">
        <f t="shared" ca="1" si="2"/>
        <v>0.22621729697459511</v>
      </c>
    </row>
    <row r="28" spans="1:12" x14ac:dyDescent="0.2">
      <c r="A28">
        <v>1</v>
      </c>
      <c r="B28" s="3">
        <f t="shared" si="0"/>
        <v>2002</v>
      </c>
      <c r="C28" s="423">
        <f>+CURVELOAD!A33</f>
        <v>37377</v>
      </c>
      <c r="D28" s="467">
        <f>+IF($E$2&gt;0,$E$2,CURVELOAD!B33)</f>
        <v>7.0888552750499018E-2</v>
      </c>
      <c r="E28" s="468">
        <f t="shared" ca="1" si="1"/>
        <v>0.88037948650583364</v>
      </c>
      <c r="F28" s="472">
        <f>+CURVELOAD!C33+CURVELOAD!E33+CURVELOAD!F33</f>
        <v>3.2109999999999999</v>
      </c>
      <c r="G28" s="421"/>
      <c r="H28" s="421"/>
      <c r="I28" s="421"/>
      <c r="J28" s="421"/>
      <c r="K28">
        <v>2022</v>
      </c>
      <c r="L28" s="421">
        <f t="shared" ca="1" si="2"/>
        <v>0.21095655309107428</v>
      </c>
    </row>
    <row r="29" spans="1:12" x14ac:dyDescent="0.2">
      <c r="A29">
        <v>1</v>
      </c>
      <c r="B29" s="3">
        <f t="shared" si="0"/>
        <v>2002</v>
      </c>
      <c r="C29" s="423">
        <f>+CURVELOAD!A34</f>
        <v>37408</v>
      </c>
      <c r="D29" s="467">
        <f>+IF($E$2&gt;0,$E$2,CURVELOAD!B34)</f>
        <v>7.0910317488107999E-2</v>
      </c>
      <c r="E29" s="468">
        <f t="shared" ca="1" si="1"/>
        <v>0.87532147885393963</v>
      </c>
      <c r="F29" s="472">
        <f>+CURVELOAD!C34+CURVELOAD!E34+CURVELOAD!F34</f>
        <v>3.2009999999999996</v>
      </c>
      <c r="G29" s="421"/>
      <c r="H29" s="421"/>
      <c r="I29" s="421"/>
      <c r="J29" s="421"/>
      <c r="K29">
        <v>2023</v>
      </c>
      <c r="L29" s="421">
        <f t="shared" ca="1" si="2"/>
        <v>0.19674399839716264</v>
      </c>
    </row>
    <row r="30" spans="1:12" x14ac:dyDescent="0.2">
      <c r="A30">
        <v>1</v>
      </c>
      <c r="B30" s="3">
        <f t="shared" si="0"/>
        <v>2002</v>
      </c>
      <c r="C30" s="423">
        <f>+CURVELOAD!A35</f>
        <v>37438</v>
      </c>
      <c r="D30" s="467">
        <f>+IF($E$2&gt;0,$E$2,CURVELOAD!B35)</f>
        <v>7.092964762038001E-2</v>
      </c>
      <c r="E30" s="468">
        <f t="shared" ca="1" si="1"/>
        <v>0.87012754182303431</v>
      </c>
      <c r="F30" s="472">
        <f>+CURVELOAD!C35+CURVELOAD!E35+CURVELOAD!F35</f>
        <v>3.2009999999999996</v>
      </c>
      <c r="G30" s="421"/>
      <c r="H30" s="421"/>
      <c r="I30" s="421"/>
      <c r="J30" s="421"/>
      <c r="K30">
        <v>2024</v>
      </c>
      <c r="L30" s="421">
        <f t="shared" ca="1" si="2"/>
        <v>0.18347437636300387</v>
      </c>
    </row>
    <row r="31" spans="1:12" x14ac:dyDescent="0.2">
      <c r="A31">
        <v>1</v>
      </c>
      <c r="B31" s="3">
        <f t="shared" si="0"/>
        <v>2002</v>
      </c>
      <c r="C31" s="423">
        <f>+CURVELOAD!A36</f>
        <v>37469</v>
      </c>
      <c r="D31" s="467">
        <f>+IF($E$2&gt;0,$E$2,CURVELOAD!B36)</f>
        <v>7.0946770197311007E-2</v>
      </c>
      <c r="E31" s="468">
        <f t="shared" ca="1" si="1"/>
        <v>0.86496552068881849</v>
      </c>
      <c r="F31" s="472">
        <f>+CURVELOAD!C36+CURVELOAD!E36+CURVELOAD!F36</f>
        <v>3.2009999999999996</v>
      </c>
      <c r="G31" s="421"/>
      <c r="H31" s="421"/>
      <c r="I31" s="421"/>
      <c r="J31" s="421"/>
      <c r="K31">
        <v>2025</v>
      </c>
      <c r="L31" s="421">
        <f t="shared" ca="1" si="2"/>
        <v>0.17114314881859141</v>
      </c>
    </row>
    <row r="32" spans="1:12" x14ac:dyDescent="0.2">
      <c r="A32">
        <v>1</v>
      </c>
      <c r="B32" s="3">
        <f t="shared" si="0"/>
        <v>2002</v>
      </c>
      <c r="C32" s="423">
        <f>+CURVELOAD!A37</f>
        <v>37500</v>
      </c>
      <c r="D32" s="467">
        <f>+IF($E$2&gt;0,$E$2,CURVELOAD!B37)</f>
        <v>7.0963892774338011E-2</v>
      </c>
      <c r="E32" s="468">
        <f t="shared" ca="1" si="1"/>
        <v>0.85999588562890239</v>
      </c>
      <c r="F32" s="472">
        <f>+CURVELOAD!C37+CURVELOAD!E37+CURVELOAD!F37</f>
        <v>3.1909999999999998</v>
      </c>
      <c r="G32" s="421"/>
      <c r="H32" s="421"/>
      <c r="I32" s="421"/>
      <c r="J32" s="421"/>
    </row>
    <row r="33" spans="1:10" x14ac:dyDescent="0.2">
      <c r="A33">
        <v>1</v>
      </c>
      <c r="B33" s="3">
        <f t="shared" si="0"/>
        <v>2002</v>
      </c>
      <c r="C33" s="423">
        <f>+CURVELOAD!A38</f>
        <v>37530</v>
      </c>
      <c r="D33" s="467">
        <f>+IF($E$2&gt;0,$E$2,CURVELOAD!B38)</f>
        <v>7.0978377180669017E-2</v>
      </c>
      <c r="E33" s="468">
        <f t="shared" ca="1" si="1"/>
        <v>0.85489410616989447</v>
      </c>
      <c r="F33" s="472">
        <f>+CURVELOAD!C38+CURVELOAD!E38+CURVELOAD!F38</f>
        <v>3.2109999999999999</v>
      </c>
      <c r="G33" s="421"/>
      <c r="H33" s="421"/>
      <c r="I33" s="421"/>
      <c r="J33" s="421"/>
    </row>
    <row r="34" spans="1:10" x14ac:dyDescent="0.2">
      <c r="A34">
        <v>1</v>
      </c>
      <c r="B34" s="3">
        <f t="shared" si="0"/>
        <v>2002</v>
      </c>
      <c r="C34" s="423">
        <f>+CURVELOAD!A39</f>
        <v>37561</v>
      </c>
      <c r="D34" s="467">
        <f>+IF($E$2&gt;0,$E$2,CURVELOAD!B39)</f>
        <v>7.0990350597544008E-2</v>
      </c>
      <c r="E34" s="468">
        <f t="shared" ca="1" si="1"/>
        <v>0.84998770606365259</v>
      </c>
      <c r="F34" s="472">
        <f>+CURVELOAD!C39+CURVELOAD!E39+CURVELOAD!F39</f>
        <v>3.3200000000000003</v>
      </c>
      <c r="G34" s="421"/>
      <c r="H34" s="421"/>
      <c r="I34" s="421"/>
      <c r="J34" s="421"/>
    </row>
    <row r="35" spans="1:10" x14ac:dyDescent="0.2">
      <c r="A35">
        <v>1</v>
      </c>
      <c r="B35" s="3">
        <f t="shared" si="0"/>
        <v>2002</v>
      </c>
      <c r="C35" s="423">
        <f>+CURVELOAD!A40</f>
        <v>37591</v>
      </c>
      <c r="D35" s="467">
        <f>+IF($E$2&gt;0,$E$2,CURVELOAD!B40)</f>
        <v>7.1001937775211021E-2</v>
      </c>
      <c r="E35" s="468">
        <f t="shared" ca="1" si="1"/>
        <v>0.84494720126782019</v>
      </c>
      <c r="F35" s="472">
        <f>+CURVELOAD!C40+CURVELOAD!E40+CURVELOAD!F40</f>
        <v>3.4250000000000003</v>
      </c>
      <c r="G35" s="421"/>
      <c r="H35" s="421"/>
      <c r="I35" s="421"/>
      <c r="J35" s="421"/>
    </row>
    <row r="36" spans="1:10" x14ac:dyDescent="0.2">
      <c r="A36">
        <v>1</v>
      </c>
      <c r="B36" s="3">
        <f t="shared" si="0"/>
        <v>2003</v>
      </c>
      <c r="C36" s="423">
        <f>+CURVELOAD!A41</f>
        <v>37622</v>
      </c>
      <c r="D36" s="467">
        <f>+IF($E$2&gt;0,$E$2,CURVELOAD!B41)</f>
        <v>7.1018838879749996E-2</v>
      </c>
      <c r="E36" s="468">
        <f t="shared" ca="1" si="1"/>
        <v>0.8399242176223104</v>
      </c>
      <c r="F36" s="472">
        <f>+CURVELOAD!C41+CURVELOAD!E41+CURVELOAD!F41</f>
        <v>3.4449999999999998</v>
      </c>
      <c r="G36" s="421"/>
      <c r="H36" s="421"/>
      <c r="I36" s="421"/>
      <c r="J36" s="421"/>
    </row>
    <row r="37" spans="1:10" x14ac:dyDescent="0.2">
      <c r="A37">
        <v>1</v>
      </c>
      <c r="B37" s="3">
        <f t="shared" si="0"/>
        <v>2003</v>
      </c>
      <c r="C37" s="423">
        <f>+CURVELOAD!A42</f>
        <v>37653</v>
      </c>
      <c r="D37" s="467">
        <f>+IF($E$2&gt;0,$E$2,CURVELOAD!B42)</f>
        <v>7.1041723605048013E-2</v>
      </c>
      <c r="E37" s="468">
        <f t="shared" ca="1" si="1"/>
        <v>0.8353951744275786</v>
      </c>
      <c r="F37" s="472">
        <f>+CURVELOAD!C42+CURVELOAD!E42+CURVELOAD!F42</f>
        <v>3.3149999999999999</v>
      </c>
      <c r="G37" s="421"/>
      <c r="H37" s="421"/>
      <c r="I37" s="421"/>
      <c r="J37" s="421"/>
    </row>
    <row r="38" spans="1:10" x14ac:dyDescent="0.2">
      <c r="A38">
        <v>1</v>
      </c>
      <c r="B38" s="3">
        <f t="shared" si="0"/>
        <v>2003</v>
      </c>
      <c r="C38" s="423">
        <f>+CURVELOAD!A43</f>
        <v>37681</v>
      </c>
      <c r="D38" s="467">
        <f>+IF($E$2&gt;0,$E$2,CURVELOAD!B43)</f>
        <v>7.1062393679659011E-2</v>
      </c>
      <c r="E38" s="468">
        <f t="shared" ca="1" si="1"/>
        <v>0.8304160350227916</v>
      </c>
      <c r="F38" s="472">
        <f>+CURVELOAD!C43+CURVELOAD!E43+CURVELOAD!F43</f>
        <v>3.1749999999999998</v>
      </c>
      <c r="G38" s="421"/>
      <c r="H38" s="421"/>
      <c r="I38" s="421"/>
      <c r="J38" s="421"/>
    </row>
    <row r="39" spans="1:10" x14ac:dyDescent="0.2">
      <c r="A39">
        <v>1</v>
      </c>
      <c r="B39" s="3">
        <f t="shared" si="0"/>
        <v>2003</v>
      </c>
      <c r="C39" s="423">
        <f>+CURVELOAD!A44</f>
        <v>37712</v>
      </c>
      <c r="D39" s="467">
        <f>+IF($E$2&gt;0,$E$2,CURVELOAD!B44)</f>
        <v>7.1076451505119001E-2</v>
      </c>
      <c r="E39" s="468">
        <f t="shared" ca="1" si="1"/>
        <v>0.82563611209851095</v>
      </c>
      <c r="F39" s="472">
        <f>+CURVELOAD!C44+CURVELOAD!E44+CURVELOAD!F44</f>
        <v>3.0349999999999997</v>
      </c>
      <c r="G39" s="421"/>
      <c r="H39" s="421"/>
      <c r="I39" s="421"/>
      <c r="J39" s="421"/>
    </row>
    <row r="40" spans="1:10" x14ac:dyDescent="0.2">
      <c r="A40">
        <v>1</v>
      </c>
      <c r="B40" s="3">
        <f t="shared" si="0"/>
        <v>2003</v>
      </c>
      <c r="C40" s="423">
        <f>+CURVELOAD!A45</f>
        <v>37742</v>
      </c>
      <c r="D40" s="467">
        <f>+IF($E$2&gt;0,$E$2,CURVELOAD!B45)</f>
        <v>7.1078281380432026E-2</v>
      </c>
      <c r="E40" s="468">
        <f t="shared" ca="1" si="1"/>
        <v>0.82075229830560015</v>
      </c>
      <c r="F40" s="472">
        <f>+CURVELOAD!C45+CURVELOAD!E45+CURVELOAD!F45</f>
        <v>3.02</v>
      </c>
      <c r="G40" s="421"/>
      <c r="H40" s="421"/>
      <c r="I40" s="421"/>
      <c r="J40" s="421"/>
    </row>
    <row r="41" spans="1:10" x14ac:dyDescent="0.2">
      <c r="A41">
        <v>1</v>
      </c>
      <c r="B41" s="3">
        <f t="shared" si="0"/>
        <v>2003</v>
      </c>
      <c r="C41" s="423">
        <f>+CURVELOAD!A46</f>
        <v>37773</v>
      </c>
      <c r="D41" s="467">
        <f>+IF($E$2&gt;0,$E$2,CURVELOAD!B46)</f>
        <v>7.108017225159001E-2</v>
      </c>
      <c r="E41" s="468">
        <f t="shared" ca="1" si="1"/>
        <v>0.81605302629961385</v>
      </c>
      <c r="F41" s="472">
        <f>+CURVELOAD!C46+CURVELOAD!E46+CURVELOAD!F46</f>
        <v>3.05</v>
      </c>
      <c r="G41" s="421"/>
      <c r="H41" s="421"/>
      <c r="I41" s="421"/>
      <c r="J41" s="421"/>
    </row>
    <row r="42" spans="1:10" x14ac:dyDescent="0.2">
      <c r="A42">
        <v>1</v>
      </c>
      <c r="B42" s="3">
        <f t="shared" si="0"/>
        <v>2003</v>
      </c>
      <c r="C42" s="423">
        <f>+CURVELOAD!A47</f>
        <v>37803</v>
      </c>
      <c r="D42" s="467">
        <f>+IF($E$2&gt;0,$E$2,CURVELOAD!B47)</f>
        <v>7.1082674655184017E-2</v>
      </c>
      <c r="E42" s="468">
        <f t="shared" ca="1" si="1"/>
        <v>0.8112238337022436</v>
      </c>
      <c r="F42" s="472">
        <f>+CURVELOAD!C47+CURVELOAD!E47+CURVELOAD!F47</f>
        <v>3.05</v>
      </c>
      <c r="G42" s="421"/>
      <c r="H42" s="421"/>
      <c r="I42" s="421"/>
      <c r="J42" s="421"/>
    </row>
    <row r="43" spans="1:10" x14ac:dyDescent="0.2">
      <c r="A43">
        <v>1</v>
      </c>
      <c r="B43" s="3">
        <f t="shared" si="0"/>
        <v>2003</v>
      </c>
      <c r="C43" s="423">
        <f>+CURVELOAD!A48</f>
        <v>37834</v>
      </c>
      <c r="D43" s="467">
        <f>+IF($E$2&gt;0,$E$2,CURVELOAD!B48)</f>
        <v>7.1086227545837016E-2</v>
      </c>
      <c r="E43" s="468">
        <f t="shared" ca="1" si="1"/>
        <v>0.8064203685542618</v>
      </c>
      <c r="F43" s="472">
        <f>+CURVELOAD!C48+CURVELOAD!E48+CURVELOAD!F48</f>
        <v>3.11</v>
      </c>
      <c r="G43" s="421"/>
      <c r="H43" s="421"/>
      <c r="I43" s="421"/>
      <c r="J43" s="421"/>
    </row>
    <row r="44" spans="1:10" x14ac:dyDescent="0.2">
      <c r="A44">
        <v>1</v>
      </c>
      <c r="B44" s="3">
        <f t="shared" si="0"/>
        <v>2003</v>
      </c>
      <c r="C44" s="423">
        <f>+CURVELOAD!A49</f>
        <v>37865</v>
      </c>
      <c r="D44" s="467">
        <f>+IF($E$2&gt;0,$E$2,CURVELOAD!B49)</f>
        <v>7.1089780436495012E-2</v>
      </c>
      <c r="E44" s="468">
        <f t="shared" ca="1" si="1"/>
        <v>0.80179821151294117</v>
      </c>
      <c r="F44" s="472">
        <f>+CURVELOAD!C49+CURVELOAD!E49+CURVELOAD!F49</f>
        <v>3.1</v>
      </c>
      <c r="G44" s="421"/>
      <c r="H44" s="421"/>
      <c r="I44" s="421"/>
      <c r="J44" s="421"/>
    </row>
    <row r="45" spans="1:10" x14ac:dyDescent="0.2">
      <c r="A45">
        <v>1</v>
      </c>
      <c r="B45" s="3">
        <f t="shared" si="0"/>
        <v>2003</v>
      </c>
      <c r="C45" s="423">
        <f>+CURVELOAD!A50</f>
        <v>37895</v>
      </c>
      <c r="D45" s="467">
        <f>+IF($E$2&gt;0,$E$2,CURVELOAD!B50)</f>
        <v>7.1093404512285019E-2</v>
      </c>
      <c r="E45" s="468">
        <f t="shared" ca="1" si="1"/>
        <v>0.7970494591171996</v>
      </c>
      <c r="F45" s="472">
        <f>+CURVELOAD!C50+CURVELOAD!E50+CURVELOAD!F50</f>
        <v>3.12</v>
      </c>
      <c r="G45" s="421"/>
      <c r="H45" s="421"/>
      <c r="I45" s="421"/>
      <c r="J45" s="421"/>
    </row>
    <row r="46" spans="1:10" x14ac:dyDescent="0.2">
      <c r="A46">
        <v>1</v>
      </c>
      <c r="B46" s="3">
        <f t="shared" si="0"/>
        <v>2003</v>
      </c>
      <c r="C46" s="423">
        <f>+CURVELOAD!A51</f>
        <v>37926</v>
      </c>
      <c r="D46" s="467">
        <f>+IF($E$2&gt;0,$E$2,CURVELOAD!B51)</f>
        <v>7.1097382802968026E-2</v>
      </c>
      <c r="E46" s="468">
        <f t="shared" ca="1" si="1"/>
        <v>0.79247902428651551</v>
      </c>
      <c r="F46" s="472">
        <f>+CURVELOAD!C51+CURVELOAD!E51+CURVELOAD!F51</f>
        <v>3.2290000000000001</v>
      </c>
      <c r="G46" s="421"/>
      <c r="H46" s="421"/>
      <c r="I46" s="421"/>
      <c r="J46" s="421"/>
    </row>
    <row r="47" spans="1:10" x14ac:dyDescent="0.2">
      <c r="A47">
        <v>1</v>
      </c>
      <c r="B47" s="3">
        <f t="shared" si="0"/>
        <v>2003</v>
      </c>
      <c r="C47" s="423">
        <f>+CURVELOAD!A52</f>
        <v>37956</v>
      </c>
      <c r="D47" s="467">
        <f>+IF($E$2&gt;0,$E$2,CURVELOAD!B52)</f>
        <v>7.1101232761700009E-2</v>
      </c>
      <c r="E47" s="468">
        <f t="shared" ca="1" si="1"/>
        <v>0.78778392802746355</v>
      </c>
      <c r="F47" s="472">
        <f>+CURVELOAD!C52+CURVELOAD!E52+CURVELOAD!F52</f>
        <v>3.3340000000000005</v>
      </c>
      <c r="G47" s="421"/>
      <c r="H47" s="421"/>
      <c r="I47" s="421"/>
      <c r="J47" s="421"/>
    </row>
    <row r="48" spans="1:10" x14ac:dyDescent="0.2">
      <c r="A48">
        <v>1</v>
      </c>
      <c r="B48" s="3">
        <f t="shared" si="0"/>
        <v>2004</v>
      </c>
      <c r="C48" s="423">
        <f>+CURVELOAD!A53</f>
        <v>37987</v>
      </c>
      <c r="D48" s="467">
        <f>+IF($E$2&gt;0,$E$2,CURVELOAD!B53)</f>
        <v>7.1110992920143015E-2</v>
      </c>
      <c r="E48" s="468">
        <f t="shared" ca="1" si="1"/>
        <v>0.78310051561111216</v>
      </c>
      <c r="F48" s="472">
        <f>+CURVELOAD!C53+CURVELOAD!E53+CURVELOAD!F53</f>
        <v>3.4119999999999999</v>
      </c>
      <c r="G48" s="421"/>
      <c r="H48" s="421"/>
      <c r="I48" s="421"/>
      <c r="J48" s="421"/>
    </row>
    <row r="49" spans="1:10" x14ac:dyDescent="0.2">
      <c r="A49">
        <v>1</v>
      </c>
      <c r="B49" s="3">
        <f t="shared" si="0"/>
        <v>2004</v>
      </c>
      <c r="C49" s="423">
        <f>+CURVELOAD!A54</f>
        <v>38018</v>
      </c>
      <c r="D49" s="467">
        <f>+IF($E$2&gt;0,$E$2,CURVELOAD!B54)</f>
        <v>7.112692040424802E-2</v>
      </c>
      <c r="E49" s="468">
        <f t="shared" ca="1" si="1"/>
        <v>0.7787250506904152</v>
      </c>
      <c r="F49" s="472">
        <f>+CURVELOAD!C54+CURVELOAD!E54+CURVELOAD!F54</f>
        <v>3.286</v>
      </c>
      <c r="G49" s="421"/>
      <c r="H49" s="421"/>
      <c r="I49" s="421"/>
      <c r="J49" s="421"/>
    </row>
    <row r="50" spans="1:10" x14ac:dyDescent="0.2">
      <c r="A50">
        <v>1</v>
      </c>
      <c r="B50" s="3">
        <f t="shared" si="0"/>
        <v>2004</v>
      </c>
      <c r="C50" s="423">
        <f>+CURVELOAD!A55</f>
        <v>38047</v>
      </c>
      <c r="D50" s="467">
        <f>+IF($E$2&gt;0,$E$2,CURVELOAD!B55)</f>
        <v>7.114182030881E-2</v>
      </c>
      <c r="E50" s="468">
        <f t="shared" ca="1" si="1"/>
        <v>0.77407859183313665</v>
      </c>
      <c r="F50" s="472">
        <f>+CURVELOAD!C55+CURVELOAD!E55+CURVELOAD!F55</f>
        <v>3.1490000000000005</v>
      </c>
      <c r="G50" s="421"/>
      <c r="H50" s="421"/>
      <c r="I50" s="421"/>
      <c r="J50" s="421"/>
    </row>
    <row r="51" spans="1:10" x14ac:dyDescent="0.2">
      <c r="A51">
        <v>1</v>
      </c>
      <c r="B51" s="3">
        <f t="shared" si="0"/>
        <v>2004</v>
      </c>
      <c r="C51" s="423">
        <f>+CURVELOAD!A56</f>
        <v>38078</v>
      </c>
      <c r="D51" s="467">
        <f>+IF($E$2&gt;0,$E$2,CURVELOAD!B56)</f>
        <v>7.1151464422330002E-2</v>
      </c>
      <c r="E51" s="468">
        <f t="shared" ca="1" si="1"/>
        <v>0.76961991971501609</v>
      </c>
      <c r="F51" s="472">
        <f>+CURVELOAD!C56+CURVELOAD!E56+CURVELOAD!F56</f>
        <v>3.012</v>
      </c>
      <c r="G51" s="421"/>
      <c r="H51" s="421"/>
      <c r="I51" s="421"/>
      <c r="J51" s="421"/>
    </row>
    <row r="52" spans="1:10" x14ac:dyDescent="0.2">
      <c r="A52">
        <v>1</v>
      </c>
      <c r="B52" s="3">
        <f t="shared" si="0"/>
        <v>2004</v>
      </c>
      <c r="C52" s="423">
        <f>+CURVELOAD!A57</f>
        <v>38108</v>
      </c>
      <c r="D52" s="467">
        <f>+IF($E$2&gt;0,$E$2,CURVELOAD!B57)</f>
        <v>7.1154311375311016E-2</v>
      </c>
      <c r="E52" s="468">
        <f t="shared" ca="1" si="1"/>
        <v>0.7650585175000143</v>
      </c>
      <c r="F52" s="472">
        <f>+CURVELOAD!C57+CURVELOAD!E57+CURVELOAD!F57</f>
        <v>2.9980000000000002</v>
      </c>
      <c r="G52" s="421"/>
      <c r="H52" s="421"/>
      <c r="I52" s="421"/>
      <c r="J52" s="421"/>
    </row>
    <row r="53" spans="1:10" x14ac:dyDescent="0.2">
      <c r="A53">
        <v>1</v>
      </c>
      <c r="B53" s="3">
        <f t="shared" si="0"/>
        <v>2004</v>
      </c>
      <c r="C53" s="423">
        <f>+CURVELOAD!A58</f>
        <v>38139</v>
      </c>
      <c r="D53" s="467">
        <f>+IF($E$2&gt;0,$E$2,CURVELOAD!B58)</f>
        <v>7.1157253226729E-2</v>
      </c>
      <c r="E53" s="468">
        <f t="shared" ca="1" si="1"/>
        <v>0.76066912489396554</v>
      </c>
      <c r="F53" s="472">
        <f>+CURVELOAD!C58+CURVELOAD!E58+CURVELOAD!F58</f>
        <v>3.0290000000000004</v>
      </c>
      <c r="G53" s="421"/>
      <c r="H53" s="421"/>
      <c r="I53" s="421"/>
      <c r="J53" s="421"/>
    </row>
    <row r="54" spans="1:10" x14ac:dyDescent="0.2">
      <c r="A54">
        <v>1</v>
      </c>
      <c r="B54" s="3">
        <f t="shared" si="0"/>
        <v>2004</v>
      </c>
      <c r="C54" s="423">
        <f>+CURVELOAD!A59</f>
        <v>38169</v>
      </c>
      <c r="D54" s="467">
        <f>+IF($E$2&gt;0,$E$2,CURVELOAD!B59)</f>
        <v>7.1171966017142027E-2</v>
      </c>
      <c r="E54" s="468">
        <f t="shared" ca="1" si="1"/>
        <v>0.75612543437949298</v>
      </c>
      <c r="F54" s="472">
        <f>+CURVELOAD!C59+CURVELOAD!E59+CURVELOAD!F59</f>
        <v>3.0290000000000004</v>
      </c>
      <c r="G54" s="421"/>
      <c r="H54" s="421"/>
      <c r="I54" s="421"/>
      <c r="J54" s="421"/>
    </row>
    <row r="55" spans="1:10" x14ac:dyDescent="0.2">
      <c r="A55">
        <v>1</v>
      </c>
      <c r="B55" s="3">
        <f t="shared" si="0"/>
        <v>2004</v>
      </c>
      <c r="C55" s="423">
        <f>+CURVELOAD!A60</f>
        <v>38200</v>
      </c>
      <c r="D55" s="467">
        <f>+IF($E$2&gt;0,$E$2,CURVELOAD!B60)</f>
        <v>7.1201182223066997E-2</v>
      </c>
      <c r="E55" s="468">
        <f t="shared" ca="1" si="1"/>
        <v>0.75156410428587428</v>
      </c>
      <c r="F55" s="472">
        <f>+CURVELOAD!C60+CURVELOAD!E60+CURVELOAD!F60</f>
        <v>3.0890000000000004</v>
      </c>
      <c r="G55" s="421"/>
      <c r="H55" s="421"/>
      <c r="I55" s="421"/>
      <c r="J55" s="421"/>
    </row>
    <row r="56" spans="1:10" x14ac:dyDescent="0.2">
      <c r="A56">
        <v>1</v>
      </c>
      <c r="B56" s="3">
        <f t="shared" si="0"/>
        <v>2004</v>
      </c>
      <c r="C56" s="423">
        <f>+CURVELOAD!A61</f>
        <v>38231</v>
      </c>
      <c r="D56" s="467">
        <f>+IF($E$2&gt;0,$E$2,CURVELOAD!B61)</f>
        <v>7.1230398429276004E-2</v>
      </c>
      <c r="E56" s="468">
        <f t="shared" ca="1" si="1"/>
        <v>0.74716987746924313</v>
      </c>
      <c r="F56" s="472">
        <f>+CURVELOAD!C61+CURVELOAD!E61+CURVELOAD!F61</f>
        <v>3.0780000000000003</v>
      </c>
      <c r="G56" s="421"/>
      <c r="H56" s="421"/>
      <c r="I56" s="421"/>
      <c r="J56" s="421"/>
    </row>
    <row r="57" spans="1:10" x14ac:dyDescent="0.2">
      <c r="A57">
        <v>1</v>
      </c>
      <c r="B57" s="3">
        <f t="shared" si="0"/>
        <v>2004</v>
      </c>
      <c r="C57" s="423">
        <f>+CURVELOAD!A62</f>
        <v>38261</v>
      </c>
      <c r="D57" s="467">
        <f>+IF($E$2&gt;0,$E$2,CURVELOAD!B62)</f>
        <v>7.1258672177487006E-2</v>
      </c>
      <c r="E57" s="468">
        <f t="shared" ca="1" si="1"/>
        <v>0.74265839042210247</v>
      </c>
      <c r="F57" s="472">
        <f>+CURVELOAD!C62+CURVELOAD!E62+CURVELOAD!F62</f>
        <v>3.097</v>
      </c>
      <c r="G57" s="421"/>
      <c r="H57" s="421"/>
      <c r="I57" s="421"/>
      <c r="J57" s="421"/>
    </row>
    <row r="58" spans="1:10" x14ac:dyDescent="0.2">
      <c r="A58">
        <v>1</v>
      </c>
      <c r="B58" s="3">
        <f t="shared" si="0"/>
        <v>2004</v>
      </c>
      <c r="C58" s="423">
        <f>+CURVELOAD!A63</f>
        <v>38292</v>
      </c>
      <c r="D58" s="467">
        <f>+IF($E$2&gt;0,$E$2,CURVELOAD!B63)</f>
        <v>7.1287888384250014E-2</v>
      </c>
      <c r="E58" s="468">
        <f t="shared" ca="1" si="1"/>
        <v>0.73830939079304614</v>
      </c>
      <c r="F58" s="472">
        <f>+CURVELOAD!C63+CURVELOAD!E63+CURVELOAD!F63</f>
        <v>3.2010000000000001</v>
      </c>
      <c r="G58" s="421"/>
      <c r="H58" s="421"/>
      <c r="I58" s="421"/>
      <c r="J58" s="421"/>
    </row>
    <row r="59" spans="1:10" x14ac:dyDescent="0.2">
      <c r="A59">
        <v>1</v>
      </c>
      <c r="B59" s="3">
        <f t="shared" si="0"/>
        <v>2004</v>
      </c>
      <c r="C59" s="423">
        <f>+CURVELOAD!A64</f>
        <v>38322</v>
      </c>
      <c r="D59" s="467">
        <f>+IF($E$2&gt;0,$E$2,CURVELOAD!B64)</f>
        <v>7.1316162133000016E-2</v>
      </c>
      <c r="E59" s="468">
        <f t="shared" ca="1" si="1"/>
        <v>0.73384460317466471</v>
      </c>
      <c r="F59" s="472">
        <f>+CURVELOAD!C64+CURVELOAD!E64+CURVELOAD!F64</f>
        <v>3.3029999999999999</v>
      </c>
      <c r="G59" s="421"/>
      <c r="H59" s="421"/>
      <c r="I59" s="421"/>
      <c r="J59" s="421"/>
    </row>
    <row r="60" spans="1:10" x14ac:dyDescent="0.2">
      <c r="A60">
        <v>1</v>
      </c>
      <c r="B60" s="3">
        <f t="shared" si="0"/>
        <v>2005</v>
      </c>
      <c r="C60" s="423">
        <f>+CURVELOAD!A65</f>
        <v>38353</v>
      </c>
      <c r="D60" s="467">
        <f>+IF($E$2&gt;0,$E$2,CURVELOAD!B65)</f>
        <v>7.1345378340317012E-2</v>
      </c>
      <c r="E60" s="468">
        <f t="shared" ca="1" si="1"/>
        <v>0.72940044899082646</v>
      </c>
      <c r="F60" s="472">
        <f>+CURVELOAD!C65+CURVELOAD!E65+CURVELOAD!F65</f>
        <v>3.4140000000000001</v>
      </c>
      <c r="G60" s="421"/>
      <c r="H60" s="421"/>
      <c r="I60" s="421"/>
      <c r="J60" s="421"/>
    </row>
    <row r="61" spans="1:10" x14ac:dyDescent="0.2">
      <c r="A61">
        <v>1</v>
      </c>
      <c r="B61" s="3">
        <f t="shared" si="0"/>
        <v>2005</v>
      </c>
      <c r="C61" s="423">
        <f>+CURVELOAD!A66</f>
        <v>38384</v>
      </c>
      <c r="D61" s="467">
        <f>+IF($E$2&gt;0,$E$2,CURVELOAD!B66)</f>
        <v>7.1374594547918016E-2</v>
      </c>
      <c r="E61" s="468">
        <f t="shared" ca="1" si="1"/>
        <v>0.72539746190129484</v>
      </c>
      <c r="F61" s="472">
        <f>+CURVELOAD!C66+CURVELOAD!E66+CURVELOAD!F66</f>
        <v>3.2919999999999998</v>
      </c>
      <c r="G61" s="421"/>
      <c r="H61" s="421"/>
      <c r="I61" s="421"/>
      <c r="J61" s="421"/>
    </row>
    <row r="62" spans="1:10" x14ac:dyDescent="0.2">
      <c r="A62">
        <v>1</v>
      </c>
      <c r="B62" s="3">
        <f t="shared" si="0"/>
        <v>2005</v>
      </c>
      <c r="C62" s="423">
        <f>+CURVELOAD!A67</f>
        <v>38412</v>
      </c>
      <c r="D62" s="467">
        <f>+IF($E$2&gt;0,$E$2,CURVELOAD!B67)</f>
        <v>7.1400983380831021E-2</v>
      </c>
      <c r="E62" s="468">
        <f t="shared" ca="1" si="1"/>
        <v>0.72100690532943035</v>
      </c>
      <c r="F62" s="472">
        <f>+CURVELOAD!C67+CURVELOAD!E67+CURVELOAD!F67</f>
        <v>3.1579999999999999</v>
      </c>
      <c r="G62" s="421"/>
      <c r="H62" s="421"/>
      <c r="I62" s="421"/>
      <c r="J62" s="421"/>
    </row>
    <row r="63" spans="1:10" x14ac:dyDescent="0.2">
      <c r="A63">
        <v>1</v>
      </c>
      <c r="B63" s="3">
        <f t="shared" si="0"/>
        <v>2005</v>
      </c>
      <c r="C63" s="423">
        <f>+CURVELOAD!A68</f>
        <v>38443</v>
      </c>
      <c r="D63" s="467">
        <f>+IF($E$2&gt;0,$E$2,CURVELOAD!B68)</f>
        <v>7.1430199588968013E-2</v>
      </c>
      <c r="E63" s="468">
        <f t="shared" ca="1" si="1"/>
        <v>0.71676825378607467</v>
      </c>
      <c r="F63" s="472">
        <f>+CURVELOAD!C68+CURVELOAD!E68+CURVELOAD!F68</f>
        <v>3.0240000000000005</v>
      </c>
      <c r="G63" s="421"/>
      <c r="H63" s="421"/>
      <c r="I63" s="421"/>
      <c r="J63" s="421"/>
    </row>
    <row r="64" spans="1:10" x14ac:dyDescent="0.2">
      <c r="A64">
        <v>1</v>
      </c>
      <c r="B64" s="3">
        <f t="shared" si="0"/>
        <v>2005</v>
      </c>
      <c r="C64" s="423">
        <f>+CURVELOAD!A69</f>
        <v>38473</v>
      </c>
      <c r="D64" s="467">
        <f>+IF($E$2&gt;0,$E$2,CURVELOAD!B69)</f>
        <v>7.1458473339046008E-2</v>
      </c>
      <c r="E64" s="468">
        <f t="shared" ca="1" si="1"/>
        <v>0.71241738932200083</v>
      </c>
      <c r="F64" s="472">
        <f>+CURVELOAD!C69+CURVELOAD!E69+CURVELOAD!F69</f>
        <v>3.0110000000000001</v>
      </c>
      <c r="G64" s="421"/>
      <c r="H64" s="421"/>
      <c r="I64" s="421"/>
      <c r="J64" s="421"/>
    </row>
    <row r="65" spans="1:10" x14ac:dyDescent="0.2">
      <c r="A65">
        <v>1</v>
      </c>
      <c r="B65" s="3">
        <f t="shared" si="0"/>
        <v>2005</v>
      </c>
      <c r="C65" s="423">
        <f>+CURVELOAD!A70</f>
        <v>38504</v>
      </c>
      <c r="D65" s="467">
        <f>+IF($E$2&gt;0,$E$2,CURVELOAD!B70)</f>
        <v>7.1487689547738001E-2</v>
      </c>
      <c r="E65" s="468">
        <f t="shared" ca="1" si="1"/>
        <v>0.70822267104734482</v>
      </c>
      <c r="F65" s="472">
        <f>+CURVELOAD!C70+CURVELOAD!E70+CURVELOAD!F70</f>
        <v>3.0430000000000001</v>
      </c>
      <c r="G65" s="421"/>
      <c r="H65" s="421"/>
      <c r="I65" s="421"/>
      <c r="J65" s="421"/>
    </row>
    <row r="66" spans="1:10" x14ac:dyDescent="0.2">
      <c r="A66">
        <v>1</v>
      </c>
      <c r="B66" s="3">
        <f t="shared" si="0"/>
        <v>2005</v>
      </c>
      <c r="C66" s="423">
        <f>+CURVELOAD!A71</f>
        <v>38534</v>
      </c>
      <c r="D66" s="467">
        <f>+IF($E$2&gt;0,$E$2,CURVELOAD!B71)</f>
        <v>7.151596329835401E-2</v>
      </c>
      <c r="E66" s="468">
        <f t="shared" ca="1" si="1"/>
        <v>0.70391715645288422</v>
      </c>
      <c r="F66" s="472">
        <f>+CURVELOAD!C71+CURVELOAD!E71+CURVELOAD!F71</f>
        <v>3.0430000000000001</v>
      </c>
      <c r="G66" s="421"/>
      <c r="H66" s="421"/>
      <c r="I66" s="421"/>
      <c r="J66" s="421"/>
    </row>
    <row r="67" spans="1:10" x14ac:dyDescent="0.2">
      <c r="A67">
        <v>1</v>
      </c>
      <c r="B67" s="3">
        <f t="shared" si="0"/>
        <v>2005</v>
      </c>
      <c r="C67" s="423">
        <f>+CURVELOAD!A72</f>
        <v>38565</v>
      </c>
      <c r="D67" s="467">
        <f>+IF($E$2&gt;0,$E$2,CURVELOAD!B72)</f>
        <v>7.1546853272663996E-2</v>
      </c>
      <c r="E67" s="468">
        <f t="shared" ca="1" si="1"/>
        <v>0.6996255960828478</v>
      </c>
      <c r="F67" s="472">
        <f>+CURVELOAD!C72+CURVELOAD!E72+CURVELOAD!F72</f>
        <v>3.1030000000000002</v>
      </c>
      <c r="G67" s="421"/>
      <c r="H67" s="421"/>
      <c r="I67" s="421"/>
      <c r="J67" s="421"/>
    </row>
    <row r="68" spans="1:10" x14ac:dyDescent="0.2">
      <c r="A68">
        <v>1</v>
      </c>
      <c r="B68" s="3">
        <f t="shared" si="0"/>
        <v>2005</v>
      </c>
      <c r="C68" s="423">
        <f>+CURVELOAD!A73</f>
        <v>38596</v>
      </c>
      <c r="D68" s="467">
        <f>+IF($E$2&gt;0,$E$2,CURVELOAD!B73)</f>
        <v>7.1584717268468004E-2</v>
      </c>
      <c r="E68" s="468">
        <f t="shared" ca="1" si="1"/>
        <v>0.69546640153634287</v>
      </c>
      <c r="F68" s="472">
        <f>+CURVELOAD!C73+CURVELOAD!E73+CURVELOAD!F73</f>
        <v>3.0910000000000002</v>
      </c>
      <c r="G68" s="421"/>
      <c r="H68" s="421"/>
      <c r="I68" s="421"/>
      <c r="J68" s="421"/>
    </row>
    <row r="69" spans="1:10" x14ac:dyDescent="0.2">
      <c r="A69">
        <v>1</v>
      </c>
      <c r="B69" s="3">
        <f t="shared" si="0"/>
        <v>2005</v>
      </c>
      <c r="C69" s="423">
        <f>+CURVELOAD!A74</f>
        <v>38626</v>
      </c>
      <c r="D69" s="467">
        <f>+IF($E$2&gt;0,$E$2,CURVELOAD!B74)</f>
        <v>7.1621359845503024E-2</v>
      </c>
      <c r="E69" s="468">
        <f t="shared" ca="1" si="1"/>
        <v>0.69119888157535392</v>
      </c>
      <c r="F69" s="472">
        <f>+CURVELOAD!C74+CURVELOAD!E74+CURVELOAD!F74</f>
        <v>3.1090000000000004</v>
      </c>
      <c r="G69" s="421"/>
      <c r="H69" s="421"/>
      <c r="I69" s="421"/>
      <c r="J69" s="421"/>
    </row>
    <row r="70" spans="1:10" x14ac:dyDescent="0.2">
      <c r="A70">
        <v>1</v>
      </c>
      <c r="B70" s="3">
        <f t="shared" si="0"/>
        <v>2005</v>
      </c>
      <c r="C70" s="423">
        <f>+CURVELOAD!A75</f>
        <v>38657</v>
      </c>
      <c r="D70" s="467">
        <f>+IF($E$2&gt;0,$E$2,CURVELOAD!B75)</f>
        <v>7.1659223842238995E-2</v>
      </c>
      <c r="E70" s="468">
        <f t="shared" ca="1" si="1"/>
        <v>0.68708153350968304</v>
      </c>
      <c r="F70" s="472">
        <f>+CURVELOAD!C75+CURVELOAD!E75+CURVELOAD!F75</f>
        <v>3.2080000000000002</v>
      </c>
      <c r="G70" s="421"/>
      <c r="H70" s="421"/>
      <c r="I70" s="421"/>
      <c r="J70" s="421"/>
    </row>
    <row r="71" spans="1:10" x14ac:dyDescent="0.2">
      <c r="A71">
        <v>1</v>
      </c>
      <c r="B71" s="3">
        <f t="shared" ref="B71:B134" si="3">+YEAR(C71)</f>
        <v>2005</v>
      </c>
      <c r="C71" s="423">
        <f>+CURVELOAD!A76</f>
        <v>38687</v>
      </c>
      <c r="D71" s="467">
        <f>+IF($E$2&gt;0,$E$2,CURVELOAD!B76)</f>
        <v>7.1695866420177015E-2</v>
      </c>
      <c r="E71" s="468">
        <f t="shared" ref="E71:E134" ca="1" si="4">+IF(C71&lt;TODAY(),1,1/(1+D71/2)^((C72-TODAY())/182.625))</f>
        <v>0.68285726617360298</v>
      </c>
      <c r="F71" s="472">
        <f>+CURVELOAD!C76+CURVELOAD!E76+CURVELOAD!F76</f>
        <v>3.3069999999999999</v>
      </c>
      <c r="G71" s="421"/>
      <c r="H71" s="421"/>
      <c r="I71" s="421"/>
      <c r="J71" s="421"/>
    </row>
    <row r="72" spans="1:10" x14ac:dyDescent="0.2">
      <c r="A72">
        <v>1</v>
      </c>
      <c r="B72" s="3">
        <f t="shared" si="3"/>
        <v>2006</v>
      </c>
      <c r="C72" s="423">
        <f>+CURVELOAD!A77</f>
        <v>38718</v>
      </c>
      <c r="D72" s="467">
        <f>+IF($E$2&gt;0,$E$2,CURVELOAD!B77)</f>
        <v>7.1733730417844019E-2</v>
      </c>
      <c r="E72" s="468">
        <f t="shared" ca="1" si="4"/>
        <v>0.67865049587680149</v>
      </c>
      <c r="F72" s="472">
        <f>+CURVELOAD!C77+CURVELOAD!E77+CURVELOAD!F77</f>
        <v>3.431</v>
      </c>
      <c r="G72" s="421"/>
      <c r="H72" s="421"/>
      <c r="I72" s="421"/>
      <c r="J72" s="421"/>
    </row>
    <row r="73" spans="1:10" x14ac:dyDescent="0.2">
      <c r="A73">
        <v>1</v>
      </c>
      <c r="B73" s="3">
        <f t="shared" si="3"/>
        <v>2006</v>
      </c>
      <c r="C73" s="423">
        <f>+CURVELOAD!A78</f>
        <v>38749</v>
      </c>
      <c r="D73" s="467">
        <f>+IF($E$2&gt;0,$E$2,CURVELOAD!B78)</f>
        <v>7.1771594415986031E-2</v>
      </c>
      <c r="E73" s="468">
        <f t="shared" ca="1" si="4"/>
        <v>0.67485620166118443</v>
      </c>
      <c r="F73" s="472">
        <f>+CURVELOAD!C78+CURVELOAD!E78+CURVELOAD!F78</f>
        <v>3.3130000000000002</v>
      </c>
      <c r="G73" s="421"/>
      <c r="H73" s="421"/>
      <c r="I73" s="421"/>
      <c r="J73" s="421"/>
    </row>
    <row r="74" spans="1:10" x14ac:dyDescent="0.2">
      <c r="A74">
        <v>1</v>
      </c>
      <c r="B74" s="3">
        <f t="shared" si="3"/>
        <v>2006</v>
      </c>
      <c r="C74" s="423">
        <f>+CURVELOAD!A79</f>
        <v>38777</v>
      </c>
      <c r="D74" s="467">
        <f>+IF($E$2&gt;0,$E$2,CURVELOAD!B79)</f>
        <v>7.1805794156650005E-2</v>
      </c>
      <c r="E74" s="468">
        <f t="shared" ca="1" si="4"/>
        <v>0.67070403806443413</v>
      </c>
      <c r="F74" s="472">
        <f>+CURVELOAD!C79+CURVELOAD!E79+CURVELOAD!F79</f>
        <v>3.1819999999999999</v>
      </c>
      <c r="G74" s="421"/>
      <c r="H74" s="421"/>
      <c r="I74" s="421"/>
      <c r="J74" s="421"/>
    </row>
    <row r="75" spans="1:10" x14ac:dyDescent="0.2">
      <c r="A75">
        <v>1</v>
      </c>
      <c r="B75" s="3">
        <f t="shared" si="3"/>
        <v>2006</v>
      </c>
      <c r="C75" s="423">
        <f>+CURVELOAD!A80</f>
        <v>38808</v>
      </c>
      <c r="D75" s="467">
        <f>+IF($E$2&gt;0,$E$2,CURVELOAD!B80)</f>
        <v>7.1843658155693005E-2</v>
      </c>
      <c r="E75" s="468">
        <f t="shared" ca="1" si="4"/>
        <v>0.66668896129671285</v>
      </c>
      <c r="F75" s="472">
        <f>+CURVELOAD!C80+CURVELOAD!E80+CURVELOAD!F80</f>
        <v>3.0510000000000002</v>
      </c>
      <c r="G75" s="421"/>
      <c r="H75" s="421"/>
      <c r="I75" s="421"/>
      <c r="J75" s="421"/>
    </row>
    <row r="76" spans="1:10" x14ac:dyDescent="0.2">
      <c r="A76">
        <v>1</v>
      </c>
      <c r="B76" s="3">
        <f t="shared" si="3"/>
        <v>2006</v>
      </c>
      <c r="C76" s="423">
        <f>+CURVELOAD!A81</f>
        <v>38838</v>
      </c>
      <c r="D76" s="467">
        <f>+IF($E$2&gt;0,$E$2,CURVELOAD!B81)</f>
        <v>7.1880300735863017E-2</v>
      </c>
      <c r="E76" s="468">
        <f t="shared" ca="1" si="4"/>
        <v>0.66257037989267142</v>
      </c>
      <c r="F76" s="472">
        <f>+CURVELOAD!C81+CURVELOAD!E81+CURVELOAD!F81</f>
        <v>3.0390000000000001</v>
      </c>
      <c r="G76" s="421"/>
      <c r="H76" s="421"/>
      <c r="I76" s="421"/>
      <c r="J76" s="421"/>
    </row>
    <row r="77" spans="1:10" x14ac:dyDescent="0.2">
      <c r="A77">
        <v>1</v>
      </c>
      <c r="B77" s="3">
        <f t="shared" si="3"/>
        <v>2006</v>
      </c>
      <c r="C77" s="423">
        <f>+CURVELOAD!A82</f>
        <v>38869</v>
      </c>
      <c r="D77" s="467">
        <f>+IF($E$2&gt;0,$E$2,CURVELOAD!B82)</f>
        <v>7.1918164735837994E-2</v>
      </c>
      <c r="E77" s="468">
        <f t="shared" ca="1" si="4"/>
        <v>0.65859608826129867</v>
      </c>
      <c r="F77" s="472">
        <f>+CURVELOAD!C82+CURVELOAD!E82+CURVELOAD!F82</f>
        <v>3.0720000000000001</v>
      </c>
      <c r="G77" s="421"/>
      <c r="H77" s="421"/>
      <c r="I77" s="421"/>
      <c r="J77" s="421"/>
    </row>
    <row r="78" spans="1:10" x14ac:dyDescent="0.2">
      <c r="A78">
        <v>1</v>
      </c>
      <c r="B78" s="3">
        <f t="shared" si="3"/>
        <v>2006</v>
      </c>
      <c r="C78" s="423">
        <f>+CURVELOAD!A83</f>
        <v>38899</v>
      </c>
      <c r="D78" s="467">
        <f>+IF($E$2&gt;0,$E$2,CURVELOAD!B83)</f>
        <v>7.1954807316910008E-2</v>
      </c>
      <c r="E78" s="468">
        <f t="shared" ca="1" si="4"/>
        <v>0.6545196450231866</v>
      </c>
      <c r="F78" s="472">
        <f>+CURVELOAD!C83+CURVELOAD!E83+CURVELOAD!F83</f>
        <v>3.0720000000000001</v>
      </c>
      <c r="G78" s="421"/>
      <c r="H78" s="421"/>
      <c r="I78" s="421"/>
      <c r="J78" s="421"/>
    </row>
    <row r="79" spans="1:10" x14ac:dyDescent="0.2">
      <c r="A79">
        <v>1</v>
      </c>
      <c r="B79" s="3">
        <f t="shared" si="3"/>
        <v>2006</v>
      </c>
      <c r="C79" s="423">
        <f>+CURVELOAD!A84</f>
        <v>38930</v>
      </c>
      <c r="D79" s="467">
        <f>+IF($E$2&gt;0,$E$2,CURVELOAD!B84)</f>
        <v>7.1992671317817017E-2</v>
      </c>
      <c r="E79" s="468">
        <f t="shared" ca="1" si="4"/>
        <v>0.65045986715401749</v>
      </c>
      <c r="F79" s="472">
        <f>+CURVELOAD!C84+CURVELOAD!E84+CURVELOAD!F84</f>
        <v>3.1319999999999997</v>
      </c>
      <c r="G79" s="421"/>
      <c r="H79" s="421"/>
      <c r="I79" s="421"/>
      <c r="J79" s="421"/>
    </row>
    <row r="80" spans="1:10" x14ac:dyDescent="0.2">
      <c r="A80">
        <v>1</v>
      </c>
      <c r="B80" s="3">
        <f t="shared" si="3"/>
        <v>2006</v>
      </c>
      <c r="C80" s="423">
        <f>+CURVELOAD!A85</f>
        <v>38961</v>
      </c>
      <c r="D80" s="467">
        <f>+IF($E$2&gt;0,$E$2,CURVELOAD!B85)</f>
        <v>7.2030535319197994E-2</v>
      </c>
      <c r="E80" s="468">
        <f t="shared" ca="1" si="4"/>
        <v>0.6465465132217374</v>
      </c>
      <c r="F80" s="472">
        <f>+CURVELOAD!C85+CURVELOAD!E85+CURVELOAD!F85</f>
        <v>3.1190000000000002</v>
      </c>
      <c r="G80" s="421"/>
      <c r="H80" s="421"/>
      <c r="I80" s="421"/>
      <c r="J80" s="421"/>
    </row>
    <row r="81" spans="1:10" x14ac:dyDescent="0.2">
      <c r="A81">
        <v>1</v>
      </c>
      <c r="B81" s="3">
        <f t="shared" si="3"/>
        <v>2006</v>
      </c>
      <c r="C81" s="423">
        <f>+CURVELOAD!A86</f>
        <v>38991</v>
      </c>
      <c r="D81" s="467">
        <f>+IF($E$2&gt;0,$E$2,CURVELOAD!B86)</f>
        <v>7.2067177901630017E-2</v>
      </c>
      <c r="E81" s="468">
        <f t="shared" ca="1" si="4"/>
        <v>0.6425330199886764</v>
      </c>
      <c r="F81" s="472">
        <f>+CURVELOAD!C86+CURVELOAD!E86+CURVELOAD!F86</f>
        <v>3.1360000000000001</v>
      </c>
      <c r="G81" s="421"/>
      <c r="H81" s="421"/>
      <c r="I81" s="421"/>
      <c r="J81" s="421"/>
    </row>
    <row r="82" spans="1:10" x14ac:dyDescent="0.2">
      <c r="A82">
        <v>1</v>
      </c>
      <c r="B82" s="3">
        <f t="shared" si="3"/>
        <v>2006</v>
      </c>
      <c r="C82" s="423">
        <f>+CURVELOAD!A87</f>
        <v>39022</v>
      </c>
      <c r="D82" s="467">
        <f>+IF($E$2&gt;0,$E$2,CURVELOAD!B87)</f>
        <v>7.2105041903943012E-2</v>
      </c>
      <c r="E82" s="468">
        <f t="shared" ca="1" si="4"/>
        <v>0.63865969073256434</v>
      </c>
      <c r="F82" s="472">
        <f>+CURVELOAD!C87+CURVELOAD!E87+CURVELOAD!F87</f>
        <v>3.23</v>
      </c>
      <c r="G82" s="421"/>
      <c r="H82" s="421"/>
      <c r="I82" s="421"/>
      <c r="J82" s="421"/>
    </row>
    <row r="83" spans="1:10" x14ac:dyDescent="0.2">
      <c r="A83">
        <v>1</v>
      </c>
      <c r="B83" s="3">
        <f t="shared" si="3"/>
        <v>2006</v>
      </c>
      <c r="C83" s="423">
        <f>+CURVELOAD!A88</f>
        <v>39052</v>
      </c>
      <c r="D83" s="467">
        <f>+IF($E$2&gt;0,$E$2,CURVELOAD!B88)</f>
        <v>7.2141684487275995E-2</v>
      </c>
      <c r="E83" s="468">
        <f t="shared" ca="1" si="4"/>
        <v>0.63468753782350318</v>
      </c>
      <c r="F83" s="472">
        <f>+CURVELOAD!C88+CURVELOAD!E88+CURVELOAD!F88</f>
        <v>3.3260000000000001</v>
      </c>
      <c r="G83" s="421"/>
      <c r="H83" s="421"/>
      <c r="I83" s="421"/>
      <c r="J83" s="421"/>
    </row>
    <row r="84" spans="1:10" x14ac:dyDescent="0.2">
      <c r="A84">
        <v>1</v>
      </c>
      <c r="B84" s="3">
        <f t="shared" si="3"/>
        <v>2007</v>
      </c>
      <c r="C84" s="423">
        <f>+CURVELOAD!A89</f>
        <v>39083</v>
      </c>
      <c r="D84" s="467">
        <f>+IF($E$2&gt;0,$E$2,CURVELOAD!B89)</f>
        <v>7.2179548490521023E-2</v>
      </c>
      <c r="E84" s="468">
        <f t="shared" ca="1" si="4"/>
        <v>0.63073147286283515</v>
      </c>
      <c r="F84" s="472">
        <f>+CURVELOAD!C89+CURVELOAD!E89+CURVELOAD!F89</f>
        <v>3.4630000000000001</v>
      </c>
      <c r="G84" s="421"/>
      <c r="H84" s="421"/>
      <c r="I84" s="421"/>
      <c r="J84" s="421"/>
    </row>
    <row r="85" spans="1:10" x14ac:dyDescent="0.2">
      <c r="A85">
        <v>1</v>
      </c>
      <c r="B85" s="3">
        <f t="shared" si="3"/>
        <v>2007</v>
      </c>
      <c r="C85" s="423">
        <f>+CURVELOAD!A90</f>
        <v>39114</v>
      </c>
      <c r="D85" s="467">
        <f>+IF($E$2&gt;0,$E$2,CURVELOAD!B90)</f>
        <v>7.2217412494239006E-2</v>
      </c>
      <c r="E85" s="468">
        <f t="shared" ca="1" si="4"/>
        <v>0.62716152352001575</v>
      </c>
      <c r="F85" s="472">
        <f>+CURVELOAD!C90+CURVELOAD!E90+CURVELOAD!F90</f>
        <v>3.3490000000000002</v>
      </c>
      <c r="G85" s="421"/>
      <c r="H85" s="421"/>
      <c r="I85" s="421"/>
      <c r="J85" s="421"/>
    </row>
    <row r="86" spans="1:10" x14ac:dyDescent="0.2">
      <c r="A86">
        <v>1</v>
      </c>
      <c r="B86" s="3">
        <f t="shared" si="3"/>
        <v>2007</v>
      </c>
      <c r="C86" s="423">
        <f>+CURVELOAD!A91</f>
        <v>39142</v>
      </c>
      <c r="D86" s="467">
        <f>+IF($E$2&gt;0,$E$2,CURVELOAD!B91)</f>
        <v>7.2251612239940005E-2</v>
      </c>
      <c r="E86" s="468">
        <f t="shared" ca="1" si="4"/>
        <v>0.62325951106281674</v>
      </c>
      <c r="F86" s="472">
        <f>+CURVELOAD!C91+CURVELOAD!E91+CURVELOAD!F91</f>
        <v>3.2210000000000001</v>
      </c>
      <c r="G86" s="421"/>
      <c r="H86" s="421"/>
      <c r="I86" s="421"/>
      <c r="J86" s="421"/>
    </row>
    <row r="87" spans="1:10" x14ac:dyDescent="0.2">
      <c r="A87">
        <v>1</v>
      </c>
      <c r="B87" s="3">
        <f t="shared" si="3"/>
        <v>2007</v>
      </c>
      <c r="C87" s="423">
        <f>+CURVELOAD!A92</f>
        <v>39173</v>
      </c>
      <c r="D87" s="467">
        <f>+IF($E$2&gt;0,$E$2,CURVELOAD!B92)</f>
        <v>7.2289476244559003E-2</v>
      </c>
      <c r="E87" s="468">
        <f t="shared" ca="1" si="4"/>
        <v>0.61948396272370321</v>
      </c>
      <c r="F87" s="472">
        <f>+CURVELOAD!C92+CURVELOAD!E92+CURVELOAD!F92</f>
        <v>3.093</v>
      </c>
      <c r="G87" s="421"/>
      <c r="H87" s="421"/>
      <c r="I87" s="421"/>
      <c r="J87" s="421"/>
    </row>
    <row r="88" spans="1:10" x14ac:dyDescent="0.2">
      <c r="A88">
        <v>1</v>
      </c>
      <c r="B88" s="3">
        <f t="shared" si="3"/>
        <v>2007</v>
      </c>
      <c r="C88" s="423">
        <f>+CURVELOAD!A93</f>
        <v>39203</v>
      </c>
      <c r="D88" s="467">
        <f>+IF($E$2&gt;0,$E$2,CURVELOAD!B93)</f>
        <v>7.2326118830125005E-2</v>
      </c>
      <c r="E88" s="468">
        <f t="shared" ca="1" si="4"/>
        <v>0.61561278460150992</v>
      </c>
      <c r="F88" s="472">
        <f>+CURVELOAD!C93+CURVELOAD!E93+CURVELOAD!F93</f>
        <v>3.0819999999999999</v>
      </c>
      <c r="G88" s="421"/>
      <c r="H88" s="421"/>
      <c r="I88" s="421"/>
      <c r="J88" s="421"/>
    </row>
    <row r="89" spans="1:10" x14ac:dyDescent="0.2">
      <c r="A89">
        <v>1</v>
      </c>
      <c r="B89" s="3">
        <f t="shared" si="3"/>
        <v>2007</v>
      </c>
      <c r="C89" s="423">
        <f>+CURVELOAD!A94</f>
        <v>39234</v>
      </c>
      <c r="D89" s="467">
        <f>+IF($E$2&gt;0,$E$2,CURVELOAD!B94)</f>
        <v>7.2363982835676022E-2</v>
      </c>
      <c r="E89" s="468">
        <f t="shared" ca="1" si="4"/>
        <v>0.61187621552739191</v>
      </c>
      <c r="F89" s="472">
        <f>+CURVELOAD!C94+CURVELOAD!E94+CURVELOAD!F94</f>
        <v>3.1160000000000001</v>
      </c>
      <c r="G89" s="421"/>
      <c r="H89" s="421"/>
      <c r="I89" s="421"/>
      <c r="J89" s="421"/>
    </row>
    <row r="90" spans="1:10" x14ac:dyDescent="0.2">
      <c r="A90">
        <v>1</v>
      </c>
      <c r="B90" s="3">
        <f t="shared" si="3"/>
        <v>2007</v>
      </c>
      <c r="C90" s="423">
        <f>+CURVELOAD!A95</f>
        <v>39264</v>
      </c>
      <c r="D90" s="467">
        <f>+IF($E$2&gt;0,$E$2,CURVELOAD!B95)</f>
        <v>7.240062542214401E-2</v>
      </c>
      <c r="E90" s="468">
        <f t="shared" ca="1" si="4"/>
        <v>0.60804528182269768</v>
      </c>
      <c r="F90" s="472">
        <f>+CURVELOAD!C95+CURVELOAD!E95+CURVELOAD!F95</f>
        <v>3.1160000000000001</v>
      </c>
      <c r="G90" s="421"/>
      <c r="H90" s="421"/>
      <c r="I90" s="421"/>
      <c r="J90" s="421"/>
    </row>
    <row r="91" spans="1:10" x14ac:dyDescent="0.2">
      <c r="A91">
        <v>1</v>
      </c>
      <c r="B91" s="3">
        <f t="shared" si="3"/>
        <v>2007</v>
      </c>
      <c r="C91" s="423">
        <f>+CURVELOAD!A96</f>
        <v>39295</v>
      </c>
      <c r="D91" s="467">
        <f>+IF($E$2&gt;0,$E$2,CURVELOAD!B96)</f>
        <v>7.2430391560766999E-2</v>
      </c>
      <c r="E91" s="468">
        <f t="shared" ca="1" si="4"/>
        <v>0.60426309921067789</v>
      </c>
      <c r="F91" s="472">
        <f>+CURVELOAD!C96+CURVELOAD!E96+CURVELOAD!F96</f>
        <v>3.1760000000000002</v>
      </c>
      <c r="G91" s="421"/>
      <c r="H91" s="421"/>
      <c r="I91" s="421"/>
      <c r="J91" s="421"/>
    </row>
    <row r="92" spans="1:10" x14ac:dyDescent="0.2">
      <c r="A92">
        <v>1</v>
      </c>
      <c r="B92" s="3">
        <f t="shared" si="3"/>
        <v>2007</v>
      </c>
      <c r="C92" s="423">
        <f>+CURVELOAD!A97</f>
        <v>39326</v>
      </c>
      <c r="D92" s="467">
        <f>+IF($E$2&gt;0,$E$2,CURVELOAD!B97)</f>
        <v>7.2426416583505016E-2</v>
      </c>
      <c r="E92" s="468">
        <f t="shared" ca="1" si="4"/>
        <v>0.60075863981910849</v>
      </c>
      <c r="F92" s="472">
        <f>+CURVELOAD!C97+CURVELOAD!E97+CURVELOAD!F97</f>
        <v>3.1619999999999999</v>
      </c>
      <c r="G92" s="421"/>
      <c r="H92" s="421"/>
      <c r="I92" s="421"/>
      <c r="J92" s="421"/>
    </row>
    <row r="93" spans="1:10" x14ac:dyDescent="0.2">
      <c r="A93">
        <v>1</v>
      </c>
      <c r="B93" s="3">
        <f t="shared" si="3"/>
        <v>2007</v>
      </c>
      <c r="C93" s="423">
        <f>+CURVELOAD!A98</f>
        <v>39356</v>
      </c>
      <c r="D93" s="467">
        <f>+IF($E$2&gt;0,$E$2,CURVELOAD!B98)</f>
        <v>7.2422569831320019E-2</v>
      </c>
      <c r="E93" s="468">
        <f t="shared" ca="1" si="4"/>
        <v>0.59715802202485746</v>
      </c>
      <c r="F93" s="472">
        <f>+CURVELOAD!C98+CURVELOAD!E98+CURVELOAD!F98</f>
        <v>3.1779999999999999</v>
      </c>
      <c r="G93" s="421"/>
      <c r="H93" s="421"/>
      <c r="I93" s="421"/>
      <c r="J93" s="421"/>
    </row>
    <row r="94" spans="1:10" x14ac:dyDescent="0.2">
      <c r="A94">
        <v>1</v>
      </c>
      <c r="B94" s="3">
        <f t="shared" si="3"/>
        <v>2007</v>
      </c>
      <c r="C94" s="423">
        <f>+CURVELOAD!A99</f>
        <v>39387</v>
      </c>
      <c r="D94" s="467">
        <f>+IF($E$2&gt;0,$E$2,CURVELOAD!B99)</f>
        <v>7.2418594854068E-2</v>
      </c>
      <c r="E94" s="468">
        <f t="shared" ca="1" si="4"/>
        <v>0.5936955174486106</v>
      </c>
      <c r="F94" s="472">
        <f>+CURVELOAD!C99+CURVELOAD!E99+CURVELOAD!F99</f>
        <v>3.2669999999999999</v>
      </c>
      <c r="G94" s="421"/>
      <c r="H94" s="421"/>
      <c r="I94" s="421"/>
      <c r="J94" s="421"/>
    </row>
    <row r="95" spans="1:10" x14ac:dyDescent="0.2">
      <c r="A95">
        <v>1</v>
      </c>
      <c r="B95" s="3">
        <f t="shared" si="3"/>
        <v>2007</v>
      </c>
      <c r="C95" s="423">
        <f>+CURVELOAD!A100</f>
        <v>39417</v>
      </c>
      <c r="D95" s="467">
        <f>+IF($E$2&gt;0,$E$2,CURVELOAD!B100)</f>
        <v>7.2414748101893009E-2</v>
      </c>
      <c r="E95" s="468">
        <f t="shared" ca="1" si="4"/>
        <v>0.59013797615313812</v>
      </c>
      <c r="F95" s="472">
        <f>+CURVELOAD!C100+CURVELOAD!E100+CURVELOAD!F100</f>
        <v>3.36</v>
      </c>
      <c r="G95" s="421"/>
      <c r="H95" s="421"/>
      <c r="I95" s="421"/>
      <c r="J95" s="421"/>
    </row>
    <row r="96" spans="1:10" x14ac:dyDescent="0.2">
      <c r="A96">
        <v>1</v>
      </c>
      <c r="B96" s="3">
        <f t="shared" si="3"/>
        <v>2008</v>
      </c>
      <c r="C96" s="423">
        <f>+CURVELOAD!A101</f>
        <v>39448</v>
      </c>
      <c r="D96" s="467">
        <f>+IF($E$2&gt;0,$E$2,CURVELOAD!B101)</f>
        <v>7.2410773124651009E-2</v>
      </c>
      <c r="E96" s="468">
        <f t="shared" ca="1" si="4"/>
        <v>0.58660266637529013</v>
      </c>
      <c r="F96" s="472">
        <f>+CURVELOAD!C101+CURVELOAD!E101+CURVELOAD!F101</f>
        <v>3.5049999999999999</v>
      </c>
      <c r="G96" s="421"/>
      <c r="H96" s="421"/>
      <c r="I96" s="421"/>
      <c r="J96" s="421"/>
    </row>
    <row r="97" spans="1:10" x14ac:dyDescent="0.2">
      <c r="A97">
        <v>1</v>
      </c>
      <c r="B97" s="3">
        <f t="shared" si="3"/>
        <v>2008</v>
      </c>
      <c r="C97" s="423">
        <f>+CURVELOAD!A102</f>
        <v>39479</v>
      </c>
      <c r="D97" s="467">
        <f>+IF($E$2&gt;0,$E$2,CURVELOAD!B102)</f>
        <v>7.2406798147414006E-2</v>
      </c>
      <c r="E97" s="468">
        <f t="shared" ca="1" si="4"/>
        <v>0.58331605483553306</v>
      </c>
      <c r="F97" s="472">
        <f>+CURVELOAD!C102+CURVELOAD!E102+CURVELOAD!F102</f>
        <v>3.3949999999999996</v>
      </c>
      <c r="G97" s="421"/>
      <c r="H97" s="421"/>
      <c r="I97" s="421"/>
      <c r="J97" s="421"/>
    </row>
    <row r="98" spans="1:10" x14ac:dyDescent="0.2">
      <c r="A98">
        <v>1</v>
      </c>
      <c r="B98" s="3">
        <f t="shared" si="3"/>
        <v>2008</v>
      </c>
      <c r="C98" s="423">
        <f>+CURVELOAD!A103</f>
        <v>39508</v>
      </c>
      <c r="D98" s="467">
        <f>+IF($E$2&gt;0,$E$2,CURVELOAD!B103)</f>
        <v>7.2403079620327007E-2</v>
      </c>
      <c r="E98" s="468">
        <f t="shared" ca="1" si="4"/>
        <v>0.57982125612208013</v>
      </c>
      <c r="F98" s="472">
        <f>+CURVELOAD!C103+CURVELOAD!E103+CURVELOAD!F103</f>
        <v>3.2699999999999996</v>
      </c>
      <c r="G98" s="421"/>
      <c r="H98" s="421"/>
      <c r="I98" s="421"/>
      <c r="J98" s="421"/>
    </row>
    <row r="99" spans="1:10" x14ac:dyDescent="0.2">
      <c r="A99">
        <v>1</v>
      </c>
      <c r="B99" s="3">
        <f t="shared" si="3"/>
        <v>2008</v>
      </c>
      <c r="C99" s="423">
        <f>+CURVELOAD!A104</f>
        <v>39539</v>
      </c>
      <c r="D99" s="467">
        <f>+IF($E$2&gt;0,$E$2,CURVELOAD!B104)</f>
        <v>7.2399104643100023E-2</v>
      </c>
      <c r="E99" s="468">
        <f t="shared" ca="1" si="4"/>
        <v>0.57646108640278948</v>
      </c>
      <c r="F99" s="472">
        <f>+CURVELOAD!C104+CURVELOAD!E104+CURVELOAD!F104</f>
        <v>3.1449999999999996</v>
      </c>
      <c r="G99" s="421"/>
      <c r="H99" s="421"/>
      <c r="I99" s="421"/>
      <c r="J99" s="421"/>
    </row>
    <row r="100" spans="1:10" x14ac:dyDescent="0.2">
      <c r="A100">
        <v>1</v>
      </c>
      <c r="B100" s="3">
        <f t="shared" si="3"/>
        <v>2008</v>
      </c>
      <c r="C100" s="423">
        <f>+CURVELOAD!A105</f>
        <v>39569</v>
      </c>
      <c r="D100" s="467">
        <f>+IF($E$2&gt;0,$E$2,CURVELOAD!B105)</f>
        <v>7.2395257890950013E-2</v>
      </c>
      <c r="E100" s="468">
        <f t="shared" ca="1" si="4"/>
        <v>0.57300861738416431</v>
      </c>
      <c r="F100" s="472">
        <f>+CURVELOAD!C105+CURVELOAD!E105+CURVELOAD!F105</f>
        <v>3.1349999999999998</v>
      </c>
      <c r="G100" s="421"/>
      <c r="H100" s="421"/>
      <c r="I100" s="421"/>
      <c r="J100" s="421"/>
    </row>
    <row r="101" spans="1:10" x14ac:dyDescent="0.2">
      <c r="A101">
        <v>1</v>
      </c>
      <c r="B101" s="3">
        <f t="shared" si="3"/>
        <v>2008</v>
      </c>
      <c r="C101" s="423">
        <f>+CURVELOAD!A106</f>
        <v>39600</v>
      </c>
      <c r="D101" s="467">
        <f>+IF($E$2&gt;0,$E$2,CURVELOAD!B106)</f>
        <v>7.239128291373402E-2</v>
      </c>
      <c r="E101" s="468">
        <f t="shared" ca="1" si="4"/>
        <v>0.56968864639618944</v>
      </c>
      <c r="F101" s="472">
        <f>+CURVELOAD!C106+CURVELOAD!E106+CURVELOAD!F106</f>
        <v>3.17</v>
      </c>
      <c r="G101" s="421"/>
      <c r="H101" s="421"/>
      <c r="I101" s="421"/>
      <c r="J101" s="421"/>
    </row>
    <row r="102" spans="1:10" x14ac:dyDescent="0.2">
      <c r="A102">
        <v>1</v>
      </c>
      <c r="B102" s="3">
        <f t="shared" si="3"/>
        <v>2008</v>
      </c>
      <c r="C102" s="423">
        <f>+CURVELOAD!A107</f>
        <v>39630</v>
      </c>
      <c r="D102" s="467">
        <f>+IF($E$2&gt;0,$E$2,CURVELOAD!B107)</f>
        <v>7.2387436161594029E-2</v>
      </c>
      <c r="E102" s="468">
        <f t="shared" ca="1" si="4"/>
        <v>0.5662774519816467</v>
      </c>
      <c r="F102" s="472">
        <f>+CURVELOAD!C107+CURVELOAD!E107+CURVELOAD!F107</f>
        <v>3.17</v>
      </c>
      <c r="G102" s="421"/>
      <c r="H102" s="421"/>
      <c r="I102" s="421"/>
      <c r="J102" s="421"/>
    </row>
    <row r="103" spans="1:10" x14ac:dyDescent="0.2">
      <c r="A103">
        <v>1</v>
      </c>
      <c r="B103" s="3">
        <f t="shared" si="3"/>
        <v>2008</v>
      </c>
      <c r="C103" s="423">
        <f>+CURVELOAD!A108</f>
        <v>39661</v>
      </c>
      <c r="D103" s="467">
        <f>+IF($E$2&gt;0,$E$2,CURVELOAD!B108)</f>
        <v>7.2383461184387016E-2</v>
      </c>
      <c r="E103" s="468">
        <f t="shared" ca="1" si="4"/>
        <v>0.56288760089996481</v>
      </c>
      <c r="F103" s="472">
        <f>+CURVELOAD!C108+CURVELOAD!E108+CURVELOAD!F108</f>
        <v>3.23</v>
      </c>
      <c r="G103" s="421"/>
      <c r="H103" s="421"/>
      <c r="I103" s="421"/>
      <c r="J103" s="421"/>
    </row>
    <row r="104" spans="1:10" x14ac:dyDescent="0.2">
      <c r="A104">
        <v>1</v>
      </c>
      <c r="B104" s="3">
        <f t="shared" si="3"/>
        <v>2008</v>
      </c>
      <c r="C104" s="423">
        <f>+CURVELOAD!A109</f>
        <v>39692</v>
      </c>
      <c r="D104" s="467">
        <f>+IF($E$2&gt;0,$E$2,CURVELOAD!B109)</f>
        <v>7.237948620718701E-2</v>
      </c>
      <c r="E104" s="468">
        <f t="shared" ca="1" si="4"/>
        <v>0.55962733449600854</v>
      </c>
      <c r="F104" s="472">
        <f>+CURVELOAD!C109+CURVELOAD!E109+CURVELOAD!F109</f>
        <v>3.2149999999999999</v>
      </c>
      <c r="G104" s="421"/>
      <c r="H104" s="421"/>
      <c r="I104" s="421"/>
      <c r="J104" s="421"/>
    </row>
    <row r="105" spans="1:10" x14ac:dyDescent="0.2">
      <c r="A105">
        <v>1</v>
      </c>
      <c r="B105" s="3">
        <f t="shared" si="3"/>
        <v>2008</v>
      </c>
      <c r="C105" s="423">
        <f>+CURVELOAD!A110</f>
        <v>39722</v>
      </c>
      <c r="D105" s="467">
        <f>+IF($E$2&gt;0,$E$2,CURVELOAD!B110)</f>
        <v>7.2375639455062007E-2</v>
      </c>
      <c r="E105" s="468">
        <f t="shared" ca="1" si="4"/>
        <v>0.55627744319746664</v>
      </c>
      <c r="F105" s="472">
        <f>+CURVELOAD!C110+CURVELOAD!E110+CURVELOAD!F110</f>
        <v>3.23</v>
      </c>
      <c r="G105" s="421"/>
      <c r="H105" s="421"/>
      <c r="I105" s="421"/>
      <c r="J105" s="421"/>
    </row>
    <row r="106" spans="1:10" x14ac:dyDescent="0.2">
      <c r="A106">
        <v>1</v>
      </c>
      <c r="B106" s="3">
        <f t="shared" si="3"/>
        <v>2008</v>
      </c>
      <c r="C106" s="423">
        <f>+CURVELOAD!A111</f>
        <v>39753</v>
      </c>
      <c r="D106" s="467">
        <f>+IF($E$2&gt;0,$E$2,CURVELOAD!B111)</f>
        <v>7.2371664477871009E-2</v>
      </c>
      <c r="E106" s="468">
        <f t="shared" ca="1" si="4"/>
        <v>0.55305616036835969</v>
      </c>
      <c r="F106" s="472">
        <f>+CURVELOAD!C111+CURVELOAD!E111+CURVELOAD!F111</f>
        <v>3.3140000000000001</v>
      </c>
      <c r="G106" s="421"/>
      <c r="H106" s="421"/>
      <c r="I106" s="421"/>
      <c r="J106" s="421"/>
    </row>
    <row r="107" spans="1:10" x14ac:dyDescent="0.2">
      <c r="A107">
        <v>1</v>
      </c>
      <c r="B107" s="3">
        <f t="shared" si="3"/>
        <v>2008</v>
      </c>
      <c r="C107" s="423">
        <f>+CURVELOAD!A112</f>
        <v>39783</v>
      </c>
      <c r="D107" s="467">
        <f>+IF($E$2&gt;0,$E$2,CURVELOAD!B112)</f>
        <v>7.2367817725756012E-2</v>
      </c>
      <c r="E107" s="468">
        <f t="shared" ca="1" si="4"/>
        <v>0.54974629678950082</v>
      </c>
      <c r="F107" s="472">
        <f>+CURVELOAD!C112+CURVELOAD!E112+CURVELOAD!F112</f>
        <v>3.4040000000000004</v>
      </c>
      <c r="G107" s="421"/>
      <c r="H107" s="421"/>
      <c r="I107" s="421"/>
      <c r="J107" s="421"/>
    </row>
    <row r="108" spans="1:10" x14ac:dyDescent="0.2">
      <c r="A108">
        <v>1</v>
      </c>
      <c r="B108" s="3">
        <f t="shared" si="3"/>
        <v>2009</v>
      </c>
      <c r="C108" s="423">
        <f>+CURVELOAD!A113</f>
        <v>39814</v>
      </c>
      <c r="D108" s="467">
        <f>+IF($E$2&gt;0,$E$2,CURVELOAD!B113)</f>
        <v>7.2363842748576018E-2</v>
      </c>
      <c r="E108" s="468">
        <f t="shared" ca="1" si="4"/>
        <v>0.54645716093739771</v>
      </c>
      <c r="F108" s="472">
        <f>+CURVELOAD!C113+CURVELOAD!E113+CURVELOAD!F113</f>
        <v>3.5569999999999999</v>
      </c>
      <c r="G108" s="421"/>
      <c r="H108" s="421"/>
      <c r="I108" s="421"/>
      <c r="J108" s="421"/>
    </row>
    <row r="109" spans="1:10" x14ac:dyDescent="0.2">
      <c r="A109">
        <v>1</v>
      </c>
      <c r="B109" s="3">
        <f t="shared" si="3"/>
        <v>2009</v>
      </c>
      <c r="C109" s="423">
        <f>+CURVELOAD!A114</f>
        <v>39845</v>
      </c>
      <c r="D109" s="467">
        <f>+IF($E$2&gt;0,$E$2,CURVELOAD!B114)</f>
        <v>7.2359867771401007E-2</v>
      </c>
      <c r="E109" s="468">
        <f t="shared" ca="1" si="4"/>
        <v>0.54350528124883879</v>
      </c>
      <c r="F109" s="472">
        <f>+CURVELOAD!C114+CURVELOAD!E114+CURVELOAD!F114</f>
        <v>3.4510000000000001</v>
      </c>
      <c r="G109" s="421"/>
      <c r="H109" s="421"/>
      <c r="I109" s="421"/>
      <c r="J109" s="421"/>
    </row>
    <row r="110" spans="1:10" x14ac:dyDescent="0.2">
      <c r="A110">
        <v>1</v>
      </c>
      <c r="B110" s="3">
        <f t="shared" si="3"/>
        <v>2009</v>
      </c>
      <c r="C110" s="423">
        <f>+CURVELOAD!A115</f>
        <v>39873</v>
      </c>
      <c r="D110" s="467">
        <f>+IF($E$2&gt;0,$E$2,CURVELOAD!B115)</f>
        <v>7.235627746944101E-2</v>
      </c>
      <c r="E110" s="468">
        <f t="shared" ca="1" si="4"/>
        <v>0.54025243466993178</v>
      </c>
      <c r="F110" s="472">
        <f>+CURVELOAD!C115+CURVELOAD!E115+CURVELOAD!F115</f>
        <v>3.3290000000000002</v>
      </c>
      <c r="G110" s="421"/>
      <c r="H110" s="421"/>
      <c r="I110" s="421"/>
      <c r="J110" s="421"/>
    </row>
    <row r="111" spans="1:10" x14ac:dyDescent="0.2">
      <c r="A111">
        <v>1</v>
      </c>
      <c r="B111" s="3">
        <f t="shared" si="3"/>
        <v>2009</v>
      </c>
      <c r="C111" s="423">
        <f>+CURVELOAD!A116</f>
        <v>39904</v>
      </c>
      <c r="D111" s="467">
        <f>+IF($E$2&gt;0,$E$2,CURVELOAD!B116)</f>
        <v>7.235230249227502E-2</v>
      </c>
      <c r="E111" s="468">
        <f t="shared" ca="1" si="4"/>
        <v>0.53712562558714405</v>
      </c>
      <c r="F111" s="472">
        <f>+CURVELOAD!C116+CURVELOAD!E116+CURVELOAD!F116</f>
        <v>3.2069999999999999</v>
      </c>
      <c r="G111" s="421"/>
      <c r="H111" s="421"/>
      <c r="I111" s="421"/>
      <c r="J111" s="421"/>
    </row>
    <row r="112" spans="1:10" x14ac:dyDescent="0.2">
      <c r="A112">
        <v>1</v>
      </c>
      <c r="B112" s="3">
        <f t="shared" si="3"/>
        <v>2009</v>
      </c>
      <c r="C112" s="423">
        <f>+CURVELOAD!A117</f>
        <v>39934</v>
      </c>
      <c r="D112" s="467">
        <f>+IF($E$2&gt;0,$E$2,CURVELOAD!B117)</f>
        <v>7.2348455740185003E-2</v>
      </c>
      <c r="E112" s="468">
        <f t="shared" ca="1" si="4"/>
        <v>0.53391276749141148</v>
      </c>
      <c r="F112" s="472">
        <f>+CURVELOAD!C117+CURVELOAD!E117+CURVELOAD!F117</f>
        <v>3.198</v>
      </c>
      <c r="G112" s="421"/>
      <c r="H112" s="421"/>
      <c r="I112" s="421"/>
      <c r="J112" s="421"/>
    </row>
    <row r="113" spans="1:10" x14ac:dyDescent="0.2">
      <c r="A113">
        <v>1</v>
      </c>
      <c r="B113" s="3">
        <f t="shared" si="3"/>
        <v>2009</v>
      </c>
      <c r="C113" s="423">
        <f>+CURVELOAD!A118</f>
        <v>39965</v>
      </c>
      <c r="D113" s="467">
        <f>+IF($E$2&gt;0,$E$2,CURVELOAD!B118)</f>
        <v>7.2344480763029018E-2</v>
      </c>
      <c r="E113" s="468">
        <f t="shared" ca="1" si="4"/>
        <v>0.53082331965588436</v>
      </c>
      <c r="F113" s="472">
        <f>+CURVELOAD!C118+CURVELOAD!E118+CURVELOAD!F118</f>
        <v>3.234</v>
      </c>
      <c r="G113" s="421"/>
      <c r="H113" s="421"/>
      <c r="I113" s="421"/>
      <c r="J113" s="421"/>
    </row>
    <row r="114" spans="1:10" x14ac:dyDescent="0.2">
      <c r="A114">
        <v>1</v>
      </c>
      <c r="B114" s="3">
        <f t="shared" si="3"/>
        <v>2009</v>
      </c>
      <c r="C114" s="423">
        <f>+CURVELOAD!A119</f>
        <v>39995</v>
      </c>
      <c r="D114" s="467">
        <f>+IF($E$2&gt;0,$E$2,CURVELOAD!B119)</f>
        <v>7.2340634010949992E-2</v>
      </c>
      <c r="E114" s="468">
        <f t="shared" ca="1" si="4"/>
        <v>0.52764882455543227</v>
      </c>
      <c r="F114" s="472">
        <f>+CURVELOAD!C119+CURVELOAD!E119+CURVELOAD!F119</f>
        <v>3.234</v>
      </c>
      <c r="G114" s="421"/>
      <c r="H114" s="421"/>
      <c r="I114" s="421"/>
      <c r="J114" s="421"/>
    </row>
    <row r="115" spans="1:10" x14ac:dyDescent="0.2">
      <c r="A115">
        <v>1</v>
      </c>
      <c r="B115" s="3">
        <f t="shared" si="3"/>
        <v>2009</v>
      </c>
      <c r="C115" s="423">
        <f>+CURVELOAD!A120</f>
        <v>40026</v>
      </c>
      <c r="D115" s="467">
        <f>+IF($E$2&gt;0,$E$2,CURVELOAD!B120)</f>
        <v>7.2336659033804027E-2</v>
      </c>
      <c r="E115" s="468">
        <f t="shared" ca="1" si="4"/>
        <v>0.5244942339582066</v>
      </c>
      <c r="F115" s="472">
        <f>+CURVELOAD!C120+CURVELOAD!E120+CURVELOAD!F120</f>
        <v>3.294</v>
      </c>
      <c r="G115" s="421"/>
      <c r="H115" s="421"/>
      <c r="I115" s="421"/>
      <c r="J115" s="421"/>
    </row>
    <row r="116" spans="1:10" x14ac:dyDescent="0.2">
      <c r="A116">
        <v>1</v>
      </c>
      <c r="B116" s="3">
        <f t="shared" si="3"/>
        <v>2009</v>
      </c>
      <c r="C116" s="423">
        <f>+CURVELOAD!A121</f>
        <v>40057</v>
      </c>
      <c r="D116" s="467">
        <f>+IF($E$2&gt;0,$E$2,CURVELOAD!B121)</f>
        <v>7.2332684056665028E-2</v>
      </c>
      <c r="E116" s="468">
        <f t="shared" ca="1" si="4"/>
        <v>0.52146027738599743</v>
      </c>
      <c r="F116" s="472">
        <f>+CURVELOAD!C121+CURVELOAD!E121+CURVELOAD!F121</f>
        <v>3.278</v>
      </c>
      <c r="G116" s="421"/>
      <c r="H116" s="421"/>
      <c r="I116" s="421"/>
      <c r="J116" s="421"/>
    </row>
    <row r="117" spans="1:10" x14ac:dyDescent="0.2">
      <c r="A117">
        <v>1</v>
      </c>
      <c r="B117" s="3">
        <f t="shared" si="3"/>
        <v>2009</v>
      </c>
      <c r="C117" s="423">
        <f>+CURVELOAD!A122</f>
        <v>40087</v>
      </c>
      <c r="D117" s="467">
        <f>+IF($E$2&gt;0,$E$2,CURVELOAD!B122)</f>
        <v>7.2328837304600019E-2</v>
      </c>
      <c r="E117" s="468">
        <f t="shared" ca="1" si="4"/>
        <v>0.51834276197360651</v>
      </c>
      <c r="F117" s="472">
        <f>+CURVELOAD!C122+CURVELOAD!E122+CURVELOAD!F122</f>
        <v>3.2919999999999998</v>
      </c>
      <c r="G117" s="421"/>
      <c r="H117" s="421"/>
      <c r="I117" s="421"/>
      <c r="J117" s="421"/>
    </row>
    <row r="118" spans="1:10" x14ac:dyDescent="0.2">
      <c r="A118">
        <v>1</v>
      </c>
      <c r="B118" s="3">
        <f t="shared" si="3"/>
        <v>2009</v>
      </c>
      <c r="C118" s="423">
        <f>+CURVELOAD!A123</f>
        <v>40118</v>
      </c>
      <c r="D118" s="467">
        <f>+IF($E$2&gt;0,$E$2,CURVELOAD!B123)</f>
        <v>7.2324862327470013E-2</v>
      </c>
      <c r="E118" s="468">
        <f t="shared" ca="1" si="4"/>
        <v>0.51534503858791991</v>
      </c>
      <c r="F118" s="472">
        <f>+CURVELOAD!C123+CURVELOAD!E123+CURVELOAD!F123</f>
        <v>3.371</v>
      </c>
      <c r="G118" s="421"/>
      <c r="H118" s="421"/>
      <c r="I118" s="421"/>
      <c r="J118" s="421"/>
    </row>
    <row r="119" spans="1:10" x14ac:dyDescent="0.2">
      <c r="A119">
        <v>1</v>
      </c>
      <c r="B119" s="3">
        <f t="shared" si="3"/>
        <v>2009</v>
      </c>
      <c r="C119" s="423">
        <f>+CURVELOAD!A124</f>
        <v>40148</v>
      </c>
      <c r="D119" s="467">
        <f>+IF($E$2&gt;0,$E$2,CURVELOAD!B124)</f>
        <v>7.2321015575415024E-2</v>
      </c>
      <c r="E119" s="468">
        <f t="shared" ca="1" si="4"/>
        <v>0.51226472860382544</v>
      </c>
      <c r="F119" s="472">
        <f>+CURVELOAD!C124+CURVELOAD!E124+CURVELOAD!F124</f>
        <v>3.4580000000000002</v>
      </c>
      <c r="G119" s="421"/>
      <c r="H119" s="421"/>
      <c r="I119" s="421"/>
      <c r="J119" s="421"/>
    </row>
    <row r="120" spans="1:10" x14ac:dyDescent="0.2">
      <c r="A120">
        <v>1</v>
      </c>
      <c r="B120" s="3">
        <f t="shared" si="3"/>
        <v>2010</v>
      </c>
      <c r="C120" s="423">
        <f>+CURVELOAD!A125</f>
        <v>40179</v>
      </c>
      <c r="D120" s="467">
        <f>+IF($E$2&gt;0,$E$2,CURVELOAD!B125)</f>
        <v>7.2317040598296009E-2</v>
      </c>
      <c r="E120" s="468">
        <f t="shared" ca="1" si="4"/>
        <v>0.50920374976800353</v>
      </c>
      <c r="F120" s="472">
        <f>+CURVELOAD!C125+CURVELOAD!E125+CURVELOAD!F125</f>
        <v>3.6190000000000002</v>
      </c>
      <c r="G120" s="421"/>
      <c r="H120" s="421"/>
      <c r="I120" s="421"/>
      <c r="J120" s="421"/>
    </row>
    <row r="121" spans="1:10" x14ac:dyDescent="0.2">
      <c r="A121">
        <v>1</v>
      </c>
      <c r="B121" s="3">
        <f t="shared" si="3"/>
        <v>2010</v>
      </c>
      <c r="C121" s="423">
        <f>+CURVELOAD!A126</f>
        <v>40210</v>
      </c>
      <c r="D121" s="467">
        <f>+IF($E$2&gt;0,$E$2,CURVELOAD!B126)</f>
        <v>7.2313065621182032E-2</v>
      </c>
      <c r="E121" s="468">
        <f t="shared" ca="1" si="4"/>
        <v>0.50645680301806195</v>
      </c>
      <c r="F121" s="472">
        <f>+CURVELOAD!C126+CURVELOAD!E126+CURVELOAD!F126</f>
        <v>3.5169999999999999</v>
      </c>
      <c r="G121" s="421"/>
      <c r="H121" s="421"/>
      <c r="I121" s="421"/>
      <c r="J121" s="421"/>
    </row>
    <row r="122" spans="1:10" x14ac:dyDescent="0.2">
      <c r="A122">
        <v>1</v>
      </c>
      <c r="B122" s="3">
        <f t="shared" si="3"/>
        <v>2010</v>
      </c>
      <c r="C122" s="423">
        <f>+CURVELOAD!A127</f>
        <v>40238</v>
      </c>
      <c r="D122" s="467">
        <f>+IF($E$2&gt;0,$E$2,CURVELOAD!B127)</f>
        <v>7.230947531927702E-2</v>
      </c>
      <c r="E122" s="468">
        <f t="shared" ca="1" si="4"/>
        <v>0.50342936283908901</v>
      </c>
      <c r="F122" s="472">
        <f>+CURVELOAD!C127+CURVELOAD!E127+CURVELOAD!F127</f>
        <v>3.3980000000000001</v>
      </c>
      <c r="G122" s="421"/>
      <c r="H122" s="421"/>
      <c r="I122" s="421"/>
      <c r="J122" s="421"/>
    </row>
    <row r="123" spans="1:10" x14ac:dyDescent="0.2">
      <c r="A123">
        <v>1</v>
      </c>
      <c r="B123" s="3">
        <f t="shared" si="3"/>
        <v>2010</v>
      </c>
      <c r="C123" s="423">
        <f>+CURVELOAD!A128</f>
        <v>40269</v>
      </c>
      <c r="D123" s="467">
        <f>+IF($E$2&gt;0,$E$2,CURVELOAD!B128)</f>
        <v>7.230550034217402E-2</v>
      </c>
      <c r="E123" s="468">
        <f t="shared" ca="1" si="4"/>
        <v>0.50051945005483511</v>
      </c>
      <c r="F123" s="472">
        <f>+CURVELOAD!C128+CURVELOAD!E128+CURVELOAD!F128</f>
        <v>3.2790000000000004</v>
      </c>
      <c r="G123" s="421"/>
      <c r="H123" s="421"/>
      <c r="I123" s="421"/>
      <c r="J123" s="421"/>
    </row>
    <row r="124" spans="1:10" x14ac:dyDescent="0.2">
      <c r="A124">
        <v>1</v>
      </c>
      <c r="B124" s="3">
        <f t="shared" si="3"/>
        <v>2010</v>
      </c>
      <c r="C124" s="423">
        <f>+CURVELOAD!A129</f>
        <v>40299</v>
      </c>
      <c r="D124" s="467">
        <f>+IF($E$2&gt;0,$E$2,CURVELOAD!B129)</f>
        <v>7.2301653590143011E-2</v>
      </c>
      <c r="E124" s="468">
        <f t="shared" ca="1" si="4"/>
        <v>0.49752930812552731</v>
      </c>
      <c r="F124" s="472">
        <f>+CURVELOAD!C129+CURVELOAD!E129+CURVELOAD!F129</f>
        <v>3.2709999999999999</v>
      </c>
      <c r="G124" s="421"/>
      <c r="H124" s="421"/>
      <c r="I124" s="421"/>
      <c r="J124" s="421"/>
    </row>
    <row r="125" spans="1:10" x14ac:dyDescent="0.2">
      <c r="A125">
        <v>1</v>
      </c>
      <c r="B125" s="3">
        <f t="shared" si="3"/>
        <v>2010</v>
      </c>
      <c r="C125" s="423">
        <f>+CURVELOAD!A130</f>
        <v>40330</v>
      </c>
      <c r="D125" s="467">
        <f>+IF($E$2&gt;0,$E$2,CURVELOAD!B130)</f>
        <v>7.2297678613049032E-2</v>
      </c>
      <c r="E125" s="468">
        <f t="shared" ca="1" si="4"/>
        <v>0.49465412241531748</v>
      </c>
      <c r="F125" s="472">
        <f>+CURVELOAD!C130+CURVELOAD!E130+CURVELOAD!F130</f>
        <v>3.3079999999999998</v>
      </c>
      <c r="G125" s="421"/>
      <c r="H125" s="421"/>
      <c r="I125" s="421"/>
      <c r="J125" s="421"/>
    </row>
    <row r="126" spans="1:10" x14ac:dyDescent="0.2">
      <c r="A126">
        <v>1</v>
      </c>
      <c r="B126" s="3">
        <f t="shared" si="3"/>
        <v>2010</v>
      </c>
      <c r="C126" s="423">
        <f>+CURVELOAD!A131</f>
        <v>40360</v>
      </c>
      <c r="D126" s="467">
        <f>+IF($E$2&gt;0,$E$2,CURVELOAD!B131)</f>
        <v>7.2293831861028002E-2</v>
      </c>
      <c r="E126" s="468">
        <f t="shared" ca="1" si="4"/>
        <v>0.49169964037205766</v>
      </c>
      <c r="F126" s="472">
        <f>+CURVELOAD!C131+CURVELOAD!E131+CURVELOAD!F131</f>
        <v>3.3079999999999998</v>
      </c>
      <c r="G126" s="421"/>
      <c r="H126" s="421"/>
      <c r="I126" s="421"/>
      <c r="J126" s="421"/>
    </row>
    <row r="127" spans="1:10" x14ac:dyDescent="0.2">
      <c r="A127">
        <v>1</v>
      </c>
      <c r="B127" s="3">
        <f t="shared" si="3"/>
        <v>2010</v>
      </c>
      <c r="C127" s="423">
        <f>+CURVELOAD!A132</f>
        <v>40391</v>
      </c>
      <c r="D127" s="467">
        <f>+IF($E$2&gt;0,$E$2,CURVELOAD!B132)</f>
        <v>7.2290562622285018E-2</v>
      </c>
      <c r="E127" s="468">
        <f t="shared" ca="1" si="4"/>
        <v>0.48876036677954882</v>
      </c>
      <c r="F127" s="472">
        <f>+CURVELOAD!C132+CURVELOAD!E132+CURVELOAD!F132</f>
        <v>3.3679999999999999</v>
      </c>
      <c r="G127" s="421"/>
      <c r="H127" s="421"/>
      <c r="I127" s="421"/>
      <c r="J127" s="421"/>
    </row>
    <row r="128" spans="1:10" x14ac:dyDescent="0.2">
      <c r="A128">
        <v>1</v>
      </c>
      <c r="B128" s="3">
        <f t="shared" si="3"/>
        <v>2010</v>
      </c>
      <c r="C128" s="423">
        <f>+CURVELOAD!A133</f>
        <v>40422</v>
      </c>
      <c r="D128" s="467">
        <f>+IF($E$2&gt;0,$E$2,CURVELOAD!B133)</f>
        <v>7.229023395995901E-2</v>
      </c>
      <c r="E128" s="468">
        <f t="shared" ca="1" si="4"/>
        <v>0.48591937407373759</v>
      </c>
      <c r="F128" s="472">
        <f>+CURVELOAD!C133+CURVELOAD!E133+CURVELOAD!F133</f>
        <v>3.351</v>
      </c>
      <c r="G128" s="421"/>
      <c r="H128" s="421"/>
      <c r="I128" s="421"/>
      <c r="J128" s="421"/>
    </row>
    <row r="129" spans="1:10" x14ac:dyDescent="0.2">
      <c r="A129">
        <v>1</v>
      </c>
      <c r="B129" s="3">
        <f t="shared" si="3"/>
        <v>2010</v>
      </c>
      <c r="C129" s="423">
        <f>+CURVELOAD!A134</f>
        <v>40452</v>
      </c>
      <c r="D129" s="467">
        <f>+IF($E$2&gt;0,$E$2,CURVELOAD!B134)</f>
        <v>7.2289915899645021E-2</v>
      </c>
      <c r="E129" s="468">
        <f t="shared" ca="1" si="4"/>
        <v>0.4830009525026685</v>
      </c>
      <c r="F129" s="472">
        <f>+CURVELOAD!C134+CURVELOAD!E134+CURVELOAD!F134</f>
        <v>3.3640000000000003</v>
      </c>
      <c r="G129" s="421"/>
      <c r="H129" s="421"/>
      <c r="I129" s="421"/>
      <c r="J129" s="421"/>
    </row>
    <row r="130" spans="1:10" x14ac:dyDescent="0.2">
      <c r="A130">
        <v>1</v>
      </c>
      <c r="B130" s="3">
        <f t="shared" si="3"/>
        <v>2010</v>
      </c>
      <c r="C130" s="423">
        <f>+CURVELOAD!A135</f>
        <v>40483</v>
      </c>
      <c r="D130" s="467">
        <f>+IF($E$2&gt;0,$E$2,CURVELOAD!B135)</f>
        <v>7.2289587237320027E-2</v>
      </c>
      <c r="E130" s="468">
        <f t="shared" ca="1" si="4"/>
        <v>0.48019348730958489</v>
      </c>
      <c r="F130" s="472">
        <f>+CURVELOAD!C135+CURVELOAD!E135+CURVELOAD!F135</f>
        <v>3.4380000000000002</v>
      </c>
      <c r="G130" s="421"/>
      <c r="H130" s="421"/>
      <c r="I130" s="421"/>
      <c r="J130" s="421"/>
    </row>
    <row r="131" spans="1:10" x14ac:dyDescent="0.2">
      <c r="A131">
        <v>1</v>
      </c>
      <c r="B131" s="3">
        <f t="shared" si="3"/>
        <v>2010</v>
      </c>
      <c r="C131" s="423">
        <f>+CURVELOAD!A136</f>
        <v>40513</v>
      </c>
      <c r="D131" s="467">
        <f>+IF($E$2&gt;0,$E$2,CURVELOAD!B136)</f>
        <v>7.2289269177006024E-2</v>
      </c>
      <c r="E131" s="468">
        <f t="shared" ca="1" si="4"/>
        <v>0.47730950504988084</v>
      </c>
      <c r="F131" s="472">
        <f>+CURVELOAD!C136+CURVELOAD!E136+CURVELOAD!F136</f>
        <v>3.5219999999999998</v>
      </c>
      <c r="G131" s="421"/>
      <c r="H131" s="421"/>
      <c r="I131" s="421"/>
      <c r="J131" s="421"/>
    </row>
    <row r="132" spans="1:10" x14ac:dyDescent="0.2">
      <c r="A132">
        <v>1</v>
      </c>
      <c r="B132" s="3">
        <f t="shared" si="3"/>
        <v>2011</v>
      </c>
      <c r="C132" s="423">
        <f>+CURVELOAD!A137</f>
        <v>40544</v>
      </c>
      <c r="D132" s="467">
        <f>+IF($E$2&gt;0,$E$2,CURVELOAD!B137)</f>
        <v>7.2288940514681016E-2</v>
      </c>
      <c r="E132" s="468">
        <f t="shared" ca="1" si="4"/>
        <v>0.47444291932149363</v>
      </c>
      <c r="F132" s="472">
        <f>+CURVELOAD!C137+CURVELOAD!E137+CURVELOAD!F137</f>
        <v>3.6910000000000003</v>
      </c>
      <c r="G132" s="421"/>
      <c r="H132" s="421"/>
      <c r="I132" s="421"/>
      <c r="J132" s="421"/>
    </row>
    <row r="133" spans="1:10" x14ac:dyDescent="0.2">
      <c r="A133">
        <v>1</v>
      </c>
      <c r="B133" s="3">
        <f t="shared" si="3"/>
        <v>2011</v>
      </c>
      <c r="C133" s="423">
        <f>+CURVELOAD!A138</f>
        <v>40575</v>
      </c>
      <c r="D133" s="467">
        <f>+IF($E$2&gt;0,$E$2,CURVELOAD!B138)</f>
        <v>7.2288611852357007E-2</v>
      </c>
      <c r="E133" s="468">
        <f t="shared" ca="1" si="4"/>
        <v>0.47186872045493489</v>
      </c>
      <c r="F133" s="472">
        <f>+CURVELOAD!C138+CURVELOAD!E138+CURVELOAD!F138</f>
        <v>3.593</v>
      </c>
      <c r="G133" s="421"/>
      <c r="H133" s="421"/>
      <c r="I133" s="421"/>
      <c r="J133" s="421"/>
    </row>
    <row r="134" spans="1:10" x14ac:dyDescent="0.2">
      <c r="A134">
        <v>1</v>
      </c>
      <c r="B134" s="3">
        <f t="shared" si="3"/>
        <v>2011</v>
      </c>
      <c r="C134" s="423">
        <f>+CURVELOAD!A139</f>
        <v>40603</v>
      </c>
      <c r="D134" s="467">
        <f>+IF($E$2&gt;0,$E$2,CURVELOAD!B139)</f>
        <v>7.2288314996063016E-2</v>
      </c>
      <c r="E134" s="468">
        <f t="shared" ca="1" si="4"/>
        <v>0.46903470632831884</v>
      </c>
      <c r="F134" s="472">
        <f>+CURVELOAD!C139+CURVELOAD!E139+CURVELOAD!F139</f>
        <v>3.4769999999999999</v>
      </c>
      <c r="G134" s="421"/>
      <c r="H134" s="421"/>
      <c r="I134" s="421"/>
      <c r="J134" s="421"/>
    </row>
    <row r="135" spans="1:10" x14ac:dyDescent="0.2">
      <c r="A135">
        <v>1</v>
      </c>
      <c r="B135" s="3">
        <f t="shared" ref="B135:B198" si="5">+YEAR(C135)</f>
        <v>2011</v>
      </c>
      <c r="C135" s="423">
        <f>+CURVELOAD!A140</f>
        <v>40634</v>
      </c>
      <c r="D135" s="467">
        <f>+IF($E$2&gt;0,$E$2,CURVELOAD!B140)</f>
        <v>7.2287986333738022E-2</v>
      </c>
      <c r="E135" s="468">
        <f t="shared" ref="E135:E198" ca="1" si="6">+IF(C135&lt;TODAY(),1,1/(1+D135/2)^((C136-TODAY())/182.625))</f>
        <v>0.46630854090852575</v>
      </c>
      <c r="F135" s="472">
        <f>+CURVELOAD!C140+CURVELOAD!E140+CURVELOAD!F140</f>
        <v>3.3610000000000002</v>
      </c>
      <c r="G135" s="421"/>
      <c r="H135" s="421"/>
      <c r="I135" s="421"/>
      <c r="J135" s="421"/>
    </row>
    <row r="136" spans="1:10" x14ac:dyDescent="0.2">
      <c r="A136">
        <v>1</v>
      </c>
      <c r="B136" s="3">
        <f t="shared" si="5"/>
        <v>2011</v>
      </c>
      <c r="C136" s="423">
        <f>+CURVELOAD!A141</f>
        <v>40664</v>
      </c>
      <c r="D136" s="467">
        <f>+IF($E$2&gt;0,$E$2,CURVELOAD!B141)</f>
        <v>7.2287668273424019E-2</v>
      </c>
      <c r="E136" s="468">
        <f t="shared" ca="1" si="6"/>
        <v>0.46350806951112816</v>
      </c>
      <c r="F136" s="472">
        <f>+CURVELOAD!C141+CURVELOAD!E141+CURVELOAD!F141</f>
        <v>3.3540000000000001</v>
      </c>
      <c r="G136" s="421"/>
      <c r="H136" s="421"/>
      <c r="I136" s="421"/>
      <c r="J136" s="421"/>
    </row>
    <row r="137" spans="1:10" x14ac:dyDescent="0.2">
      <c r="A137">
        <v>1</v>
      </c>
      <c r="B137" s="3">
        <f t="shared" si="5"/>
        <v>2011</v>
      </c>
      <c r="C137" s="423">
        <f>+CURVELOAD!A142</f>
        <v>40695</v>
      </c>
      <c r="D137" s="467">
        <f>+IF($E$2&gt;0,$E$2,CURVELOAD!B142)</f>
        <v>7.2287339611099025E-2</v>
      </c>
      <c r="E137" s="468">
        <f t="shared" ca="1" si="6"/>
        <v>0.46081407453964957</v>
      </c>
      <c r="F137" s="472">
        <f>+CURVELOAD!C142+CURVELOAD!E142+CURVELOAD!F142</f>
        <v>3.3919999999999999</v>
      </c>
      <c r="G137" s="421"/>
      <c r="H137" s="421"/>
      <c r="I137" s="421"/>
      <c r="J137" s="421"/>
    </row>
    <row r="138" spans="1:10" x14ac:dyDescent="0.2">
      <c r="A138">
        <v>1</v>
      </c>
      <c r="B138" s="3">
        <f t="shared" si="5"/>
        <v>2011</v>
      </c>
      <c r="C138" s="423">
        <f>+CURVELOAD!A143</f>
        <v>40725</v>
      </c>
      <c r="D138" s="467">
        <f>+IF($E$2&gt;0,$E$2,CURVELOAD!B143)</f>
        <v>7.2287021550785008E-2</v>
      </c>
      <c r="E138" s="468">
        <f t="shared" ca="1" si="6"/>
        <v>0.45804664856106586</v>
      </c>
      <c r="F138" s="472">
        <f>+CURVELOAD!C143+CURVELOAD!E143+CURVELOAD!F143</f>
        <v>3.3919999999999999</v>
      </c>
      <c r="G138" s="421"/>
      <c r="H138" s="421"/>
      <c r="I138" s="421"/>
      <c r="J138" s="421"/>
    </row>
    <row r="139" spans="1:10" x14ac:dyDescent="0.2">
      <c r="A139">
        <v>1</v>
      </c>
      <c r="B139" s="3">
        <f t="shared" si="5"/>
        <v>2011</v>
      </c>
      <c r="C139" s="423">
        <f>+CURVELOAD!A144</f>
        <v>40756</v>
      </c>
      <c r="D139" s="467">
        <f>+IF($E$2&gt;0,$E$2,CURVELOAD!B144)</f>
        <v>7.228669288846E-2</v>
      </c>
      <c r="E139" s="468">
        <f t="shared" ca="1" si="6"/>
        <v>0.45529591774408923</v>
      </c>
      <c r="F139" s="472">
        <f>+CURVELOAD!C144+CURVELOAD!E144+CURVELOAD!F144</f>
        <v>3.452</v>
      </c>
      <c r="G139" s="421"/>
      <c r="H139" s="421"/>
      <c r="I139" s="421"/>
      <c r="J139" s="421"/>
    </row>
    <row r="140" spans="1:10" x14ac:dyDescent="0.2">
      <c r="A140">
        <v>1</v>
      </c>
      <c r="B140" s="3">
        <f t="shared" si="5"/>
        <v>2011</v>
      </c>
      <c r="C140" s="423">
        <f>+CURVELOAD!A145</f>
        <v>40787</v>
      </c>
      <c r="D140" s="467">
        <f>+IF($E$2&gt;0,$E$2,CURVELOAD!B145)</f>
        <v>7.2286364226136005E-2</v>
      </c>
      <c r="E140" s="468">
        <f t="shared" ca="1" si="6"/>
        <v>0.45264972448799318</v>
      </c>
      <c r="F140" s="472">
        <f>+CURVELOAD!C145+CURVELOAD!E145+CURVELOAD!F145</f>
        <v>3.4340000000000002</v>
      </c>
      <c r="G140" s="421"/>
      <c r="H140" s="421"/>
      <c r="I140" s="421"/>
      <c r="J140" s="421"/>
    </row>
    <row r="141" spans="1:10" x14ac:dyDescent="0.2">
      <c r="A141">
        <v>1</v>
      </c>
      <c r="B141" s="3">
        <f t="shared" si="5"/>
        <v>2011</v>
      </c>
      <c r="C141" s="423">
        <f>+CURVELOAD!A146</f>
        <v>40817</v>
      </c>
      <c r="D141" s="467">
        <f>+IF($E$2&gt;0,$E$2,CURVELOAD!B146)</f>
        <v>7.2286046165822015E-2</v>
      </c>
      <c r="E141" s="468">
        <f t="shared" ca="1" si="6"/>
        <v>0.44993140037560103</v>
      </c>
      <c r="F141" s="472">
        <f>+CURVELOAD!C146+CURVELOAD!E146+CURVELOAD!F146</f>
        <v>3.4460000000000002</v>
      </c>
      <c r="G141" s="421"/>
      <c r="H141" s="421"/>
      <c r="I141" s="421"/>
      <c r="J141" s="421"/>
    </row>
    <row r="142" spans="1:10" x14ac:dyDescent="0.2">
      <c r="A142">
        <v>1</v>
      </c>
      <c r="B142" s="3">
        <f t="shared" si="5"/>
        <v>2011</v>
      </c>
      <c r="C142" s="423">
        <f>+CURVELOAD!A147</f>
        <v>40848</v>
      </c>
      <c r="D142" s="467">
        <f>+IF($E$2&gt;0,$E$2,CURVELOAD!B147)</f>
        <v>7.228571750349802E-2</v>
      </c>
      <c r="E142" s="468">
        <f t="shared" ca="1" si="6"/>
        <v>0.44731643248126346</v>
      </c>
      <c r="F142" s="472">
        <f>+CURVELOAD!C147+CURVELOAD!E147+CURVELOAD!F147</f>
        <v>3.5149999999999997</v>
      </c>
      <c r="G142" s="421"/>
      <c r="H142" s="421"/>
      <c r="I142" s="421"/>
      <c r="J142" s="421"/>
    </row>
    <row r="143" spans="1:10" x14ac:dyDescent="0.2">
      <c r="A143">
        <v>1</v>
      </c>
      <c r="B143" s="3">
        <f t="shared" si="5"/>
        <v>2011</v>
      </c>
      <c r="C143" s="423">
        <f>+CURVELOAD!A148</f>
        <v>40878</v>
      </c>
      <c r="D143" s="467">
        <f>+IF($E$2&gt;0,$E$2,CURVELOAD!B148)</f>
        <v>7.2285399443184004E-2</v>
      </c>
      <c r="E143" s="468">
        <f t="shared" ca="1" si="6"/>
        <v>0.44463018305132007</v>
      </c>
      <c r="F143" s="472">
        <f>+CURVELOAD!C148+CURVELOAD!E148+CURVELOAD!F148</f>
        <v>3.5960000000000001</v>
      </c>
      <c r="G143" s="421"/>
      <c r="H143" s="421"/>
      <c r="I143" s="421"/>
      <c r="J143" s="421"/>
    </row>
    <row r="144" spans="1:10" x14ac:dyDescent="0.2">
      <c r="A144">
        <v>1</v>
      </c>
      <c r="B144" s="3">
        <f t="shared" si="5"/>
        <v>2012</v>
      </c>
      <c r="C144" s="423">
        <f>+CURVELOAD!A149</f>
        <v>40909</v>
      </c>
      <c r="D144" s="467">
        <f>+IF($E$2&gt;0,$E$2,CURVELOAD!B149)</f>
        <v>7.2285070780859009E-2</v>
      </c>
      <c r="E144" s="468">
        <f t="shared" ca="1" si="6"/>
        <v>0.4419601402654264</v>
      </c>
      <c r="F144" s="472">
        <f>+CURVELOAD!C149+CURVELOAD!E149+CURVELOAD!F149</f>
        <v>3.7730000000000001</v>
      </c>
      <c r="G144" s="421"/>
      <c r="H144" s="421"/>
      <c r="I144" s="421"/>
      <c r="J144" s="421"/>
    </row>
    <row r="145" spans="1:10" x14ac:dyDescent="0.2">
      <c r="A145">
        <v>1</v>
      </c>
      <c r="B145" s="3">
        <f t="shared" si="5"/>
        <v>2012</v>
      </c>
      <c r="C145" s="423">
        <f>+CURVELOAD!A150</f>
        <v>40940</v>
      </c>
      <c r="D145" s="467">
        <f>+IF($E$2&gt;0,$E$2,CURVELOAD!B150)</f>
        <v>7.2284742118535014E-2</v>
      </c>
      <c r="E145" s="468">
        <f t="shared" ca="1" si="6"/>
        <v>0.43947700128160044</v>
      </c>
      <c r="F145" s="472">
        <f>+CURVELOAD!C150+CURVELOAD!E150+CURVELOAD!F150</f>
        <v>3.6790000000000003</v>
      </c>
      <c r="G145" s="421"/>
      <c r="H145" s="421"/>
      <c r="I145" s="421"/>
      <c r="J145" s="421"/>
    </row>
    <row r="146" spans="1:10" x14ac:dyDescent="0.2">
      <c r="A146">
        <v>1</v>
      </c>
      <c r="B146" s="3">
        <f t="shared" si="5"/>
        <v>2012</v>
      </c>
      <c r="C146" s="423">
        <f>+CURVELOAD!A151</f>
        <v>40969</v>
      </c>
      <c r="D146" s="467">
        <f>+IF($E$2&gt;0,$E$2,CURVELOAD!B151)</f>
        <v>7.2284434660232016E-2</v>
      </c>
      <c r="E146" s="468">
        <f t="shared" ca="1" si="6"/>
        <v>0.43683784581725243</v>
      </c>
      <c r="F146" s="472">
        <f>+CURVELOAD!C151+CURVELOAD!E151+CURVELOAD!F151</f>
        <v>3.5660000000000003</v>
      </c>
      <c r="G146" s="421"/>
      <c r="H146" s="421"/>
      <c r="I146" s="421"/>
      <c r="J146" s="421"/>
    </row>
    <row r="147" spans="1:10" x14ac:dyDescent="0.2">
      <c r="A147">
        <v>1</v>
      </c>
      <c r="B147" s="3">
        <f t="shared" si="5"/>
        <v>2012</v>
      </c>
      <c r="C147" s="423">
        <f>+CURVELOAD!A152</f>
        <v>41000</v>
      </c>
      <c r="D147" s="467">
        <f>+IF($E$2&gt;0,$E$2,CURVELOAD!B152)</f>
        <v>7.2284105997907008E-2</v>
      </c>
      <c r="E147" s="468">
        <f t="shared" ca="1" si="6"/>
        <v>0.43429908949935792</v>
      </c>
      <c r="F147" s="472">
        <f>+CURVELOAD!C152+CURVELOAD!E152+CURVELOAD!F152</f>
        <v>3.4529999999999998</v>
      </c>
      <c r="G147" s="421"/>
      <c r="H147" s="421"/>
      <c r="I147" s="421"/>
      <c r="J147" s="421"/>
    </row>
    <row r="148" spans="1:10" x14ac:dyDescent="0.2">
      <c r="A148">
        <v>1</v>
      </c>
      <c r="B148" s="3">
        <f t="shared" si="5"/>
        <v>2012</v>
      </c>
      <c r="C148" s="423">
        <f>+CURVELOAD!A153</f>
        <v>41030</v>
      </c>
      <c r="D148" s="467">
        <f>+IF($E$2&gt;0,$E$2,CURVELOAD!B153)</f>
        <v>7.2283787937593033E-2</v>
      </c>
      <c r="E148" s="468">
        <f t="shared" ca="1" si="6"/>
        <v>0.43169112467091891</v>
      </c>
      <c r="F148" s="472">
        <f>+CURVELOAD!C153+CURVELOAD!E153+CURVELOAD!F153</f>
        <v>3.4469999999999996</v>
      </c>
      <c r="G148" s="421"/>
      <c r="H148" s="421"/>
      <c r="I148" s="421"/>
      <c r="J148" s="421"/>
    </row>
    <row r="149" spans="1:10" x14ac:dyDescent="0.2">
      <c r="A149">
        <v>1</v>
      </c>
      <c r="B149" s="3">
        <f t="shared" si="5"/>
        <v>2012</v>
      </c>
      <c r="C149" s="423">
        <f>+CURVELOAD!A154</f>
        <v>41061</v>
      </c>
      <c r="D149" s="467">
        <f>+IF($E$2&gt;0,$E$2,CURVELOAD!B154)</f>
        <v>7.2283459275269024E-2</v>
      </c>
      <c r="E149" s="468">
        <f t="shared" ca="1" si="6"/>
        <v>0.42918232412399188</v>
      </c>
      <c r="F149" s="472">
        <f>+CURVELOAD!C154+CURVELOAD!E154+CURVELOAD!F154</f>
        <v>3.4860000000000002</v>
      </c>
      <c r="G149" s="421"/>
      <c r="H149" s="421"/>
      <c r="I149" s="421"/>
      <c r="J149" s="421"/>
    </row>
    <row r="150" spans="1:10" x14ac:dyDescent="0.2">
      <c r="A150">
        <v>1</v>
      </c>
      <c r="B150" s="3">
        <f t="shared" si="5"/>
        <v>2012</v>
      </c>
      <c r="C150" s="423">
        <f>+CURVELOAD!A155</f>
        <v>41091</v>
      </c>
      <c r="D150" s="467">
        <f>+IF($E$2&gt;0,$E$2,CURVELOAD!B155)</f>
        <v>7.2283141214955021E-2</v>
      </c>
      <c r="E150" s="468">
        <f t="shared" ca="1" si="6"/>
        <v>0.42660512992766531</v>
      </c>
      <c r="F150" s="472">
        <f>+CURVELOAD!C155+CURVELOAD!E155+CURVELOAD!F155</f>
        <v>3.4860000000000002</v>
      </c>
      <c r="G150" s="421"/>
      <c r="H150" s="421"/>
      <c r="I150" s="421"/>
      <c r="J150" s="421"/>
    </row>
    <row r="151" spans="1:10" x14ac:dyDescent="0.2">
      <c r="A151">
        <v>1</v>
      </c>
      <c r="B151" s="3">
        <f t="shared" si="5"/>
        <v>2012</v>
      </c>
      <c r="C151" s="423">
        <f>+CURVELOAD!A156</f>
        <v>41122</v>
      </c>
      <c r="D151" s="467">
        <f>+IF($E$2&gt;0,$E$2,CURVELOAD!B156)</f>
        <v>7.2282812552631012E-2</v>
      </c>
      <c r="E151" s="468">
        <f t="shared" ca="1" si="6"/>
        <v>0.42404348602712594</v>
      </c>
      <c r="F151" s="472">
        <f>+CURVELOAD!C156+CURVELOAD!E156+CURVELOAD!F156</f>
        <v>3.5460000000000003</v>
      </c>
      <c r="G151" s="421"/>
      <c r="H151" s="421"/>
      <c r="I151" s="421"/>
      <c r="J151" s="421"/>
    </row>
    <row r="152" spans="1:10" x14ac:dyDescent="0.2">
      <c r="A152">
        <v>1</v>
      </c>
      <c r="B152" s="3">
        <f t="shared" si="5"/>
        <v>2012</v>
      </c>
      <c r="C152" s="423">
        <f>+CURVELOAD!A157</f>
        <v>41153</v>
      </c>
      <c r="D152" s="467">
        <f>+IF($E$2&gt;0,$E$2,CURVELOAD!B157)</f>
        <v>7.2282483890307031E-2</v>
      </c>
      <c r="E152" s="468">
        <f t="shared" ca="1" si="6"/>
        <v>0.42157919650041753</v>
      </c>
      <c r="F152" s="472">
        <f>+CURVELOAD!C157+CURVELOAD!E157+CURVELOAD!F157</f>
        <v>3.5269999999999997</v>
      </c>
      <c r="G152" s="421"/>
      <c r="H152" s="421"/>
      <c r="I152" s="421"/>
      <c r="J152" s="421"/>
    </row>
    <row r="153" spans="1:10" x14ac:dyDescent="0.2">
      <c r="A153">
        <v>1</v>
      </c>
      <c r="B153" s="3">
        <f t="shared" si="5"/>
        <v>2012</v>
      </c>
      <c r="C153" s="423">
        <f>+CURVELOAD!A158</f>
        <v>41183</v>
      </c>
      <c r="D153" s="467">
        <f>+IF($E$2&gt;0,$E$2,CURVELOAD!B158)</f>
        <v>7.2282165830000022E-2</v>
      </c>
      <c r="E153" s="468">
        <f t="shared" ca="1" si="6"/>
        <v>0.41904772415826769</v>
      </c>
      <c r="F153" s="472">
        <f>+CURVELOAD!C158+CURVELOAD!E158+CURVELOAD!F158</f>
        <v>3.5379999999999998</v>
      </c>
      <c r="G153" s="421"/>
      <c r="H153" s="421"/>
      <c r="I153" s="421"/>
      <c r="J153" s="421"/>
    </row>
    <row r="154" spans="1:10" x14ac:dyDescent="0.2">
      <c r="A154">
        <v>1</v>
      </c>
      <c r="B154" s="3">
        <f t="shared" si="5"/>
        <v>2012</v>
      </c>
      <c r="C154" s="423">
        <f>+CURVELOAD!A159</f>
        <v>41214</v>
      </c>
      <c r="D154" s="467">
        <f>+IF($E$2&gt;0,$E$2,CURVELOAD!B159)</f>
        <v>7.2281837167669019E-2</v>
      </c>
      <c r="E154" s="468">
        <f t="shared" ca="1" si="6"/>
        <v>0.41661251046858178</v>
      </c>
      <c r="F154" s="472">
        <f>+CURVELOAD!C159+CURVELOAD!E159+CURVELOAD!F159</f>
        <v>3.6019999999999999</v>
      </c>
      <c r="G154" s="421"/>
      <c r="H154" s="421"/>
      <c r="I154" s="421"/>
      <c r="J154" s="421"/>
    </row>
    <row r="155" spans="1:10" x14ac:dyDescent="0.2">
      <c r="A155">
        <v>1</v>
      </c>
      <c r="B155" s="3">
        <f t="shared" si="5"/>
        <v>2012</v>
      </c>
      <c r="C155" s="423">
        <f>+CURVELOAD!A160</f>
        <v>41244</v>
      </c>
      <c r="D155" s="467">
        <f>+IF($E$2&gt;0,$E$2,CURVELOAD!B160)</f>
        <v>7.2281519107356001E-2</v>
      </c>
      <c r="E155" s="468">
        <f t="shared" ca="1" si="6"/>
        <v>0.41411090493936836</v>
      </c>
      <c r="F155" s="472">
        <f>+CURVELOAD!C160+CURVELOAD!E160+CURVELOAD!F160</f>
        <v>3.6799999999999997</v>
      </c>
      <c r="G155" s="421"/>
      <c r="H155" s="421"/>
      <c r="I155" s="421"/>
      <c r="J155" s="421"/>
    </row>
    <row r="156" spans="1:10" x14ac:dyDescent="0.2">
      <c r="A156">
        <v>1</v>
      </c>
      <c r="B156" s="3">
        <f t="shared" si="5"/>
        <v>2013</v>
      </c>
      <c r="C156" s="423">
        <f>+CURVELOAD!A161</f>
        <v>41275</v>
      </c>
      <c r="D156" s="467">
        <f>+IF($E$2&gt;0,$E$2,CURVELOAD!B161)</f>
        <v>7.2281190445031993E-2</v>
      </c>
      <c r="E156" s="468">
        <f t="shared" ca="1" si="6"/>
        <v>0.4116243947358067</v>
      </c>
      <c r="F156" s="472">
        <f>+CURVELOAD!C161+CURVELOAD!E161+CURVELOAD!F161</f>
        <v>3.86</v>
      </c>
      <c r="G156" s="421"/>
      <c r="H156" s="421"/>
      <c r="I156" s="421"/>
      <c r="J156" s="421"/>
    </row>
    <row r="157" spans="1:10" x14ac:dyDescent="0.2">
      <c r="A157">
        <v>1</v>
      </c>
      <c r="B157" s="3">
        <f t="shared" si="5"/>
        <v>2013</v>
      </c>
      <c r="C157" s="423">
        <f>+CURVELOAD!A162</f>
        <v>41306</v>
      </c>
      <c r="D157" s="467">
        <f>+IF($E$2&gt;0,$E$2,CURVELOAD!B162)</f>
        <v>7.2280861782707984E-2</v>
      </c>
      <c r="E157" s="468">
        <f t="shared" ca="1" si="6"/>
        <v>0.40939152682356605</v>
      </c>
      <c r="F157" s="472">
        <f>+CURVELOAD!C162+CURVELOAD!E162+CURVELOAD!F162</f>
        <v>3.7699999999999996</v>
      </c>
      <c r="G157" s="421"/>
      <c r="H157" s="421"/>
      <c r="I157" s="421"/>
      <c r="J157" s="421"/>
    </row>
    <row r="158" spans="1:10" x14ac:dyDescent="0.2">
      <c r="A158">
        <v>1</v>
      </c>
      <c r="B158" s="3">
        <f t="shared" si="5"/>
        <v>2013</v>
      </c>
      <c r="C158" s="423">
        <f>+CURVELOAD!A163</f>
        <v>41334</v>
      </c>
      <c r="D158" s="467">
        <f>+IF($E$2&gt;0,$E$2,CURVELOAD!B163)</f>
        <v>7.228056492641502E-2</v>
      </c>
      <c r="E158" s="468">
        <f t="shared" ca="1" si="6"/>
        <v>0.40693323849998414</v>
      </c>
      <c r="F158" s="472">
        <f>+CURVELOAD!C163+CURVELOAD!E163+CURVELOAD!F163</f>
        <v>3.6599999999999997</v>
      </c>
      <c r="G158" s="421"/>
      <c r="H158" s="421"/>
      <c r="I158" s="421"/>
      <c r="J158" s="421"/>
    </row>
    <row r="159" spans="1:10" x14ac:dyDescent="0.2">
      <c r="A159">
        <v>1</v>
      </c>
      <c r="B159" s="3">
        <f t="shared" si="5"/>
        <v>2013</v>
      </c>
      <c r="C159" s="423">
        <f>+CURVELOAD!A164</f>
        <v>41365</v>
      </c>
      <c r="D159" s="467">
        <f>+IF($E$2&gt;0,$E$2,CURVELOAD!B164)</f>
        <v>7.2280236264090997E-2</v>
      </c>
      <c r="E159" s="468">
        <f t="shared" ca="1" si="6"/>
        <v>0.40456853016434469</v>
      </c>
      <c r="F159" s="472">
        <f>+CURVELOAD!C164+CURVELOAD!E164+CURVELOAD!F164</f>
        <v>3.55</v>
      </c>
      <c r="G159" s="421"/>
      <c r="H159" s="421"/>
      <c r="I159" s="421"/>
      <c r="J159" s="421"/>
    </row>
    <row r="160" spans="1:10" x14ac:dyDescent="0.2">
      <c r="A160">
        <v>1</v>
      </c>
      <c r="B160" s="3">
        <f t="shared" si="5"/>
        <v>2013</v>
      </c>
      <c r="C160" s="423">
        <f>+CURVELOAD!A165</f>
        <v>41395</v>
      </c>
      <c r="D160" s="467">
        <f>+IF($E$2&gt;0,$E$2,CURVELOAD!B165)</f>
        <v>7.2279918203778021E-2</v>
      </c>
      <c r="E160" s="468">
        <f t="shared" ca="1" si="6"/>
        <v>0.4021393480944242</v>
      </c>
      <c r="F160" s="472">
        <f>+CURVELOAD!C165+CURVELOAD!E165+CURVELOAD!F165</f>
        <v>3.5449999999999999</v>
      </c>
      <c r="G160" s="421"/>
      <c r="H160" s="421"/>
      <c r="I160" s="421"/>
      <c r="J160" s="421"/>
    </row>
    <row r="161" spans="1:10" x14ac:dyDescent="0.2">
      <c r="A161">
        <v>1</v>
      </c>
      <c r="B161" s="3">
        <f t="shared" si="5"/>
        <v>2013</v>
      </c>
      <c r="C161" s="423">
        <f>+CURVELOAD!A166</f>
        <v>41426</v>
      </c>
      <c r="D161" s="467">
        <f>+IF($E$2&gt;0,$E$2,CURVELOAD!B166)</f>
        <v>7.2279589541454026E-2</v>
      </c>
      <c r="E161" s="468">
        <f t="shared" ca="1" si="6"/>
        <v>0.39980253895952172</v>
      </c>
      <c r="F161" s="472">
        <f>+CURVELOAD!C166+CURVELOAD!E166+CURVELOAD!F166</f>
        <v>3.585</v>
      </c>
      <c r="G161" s="421"/>
      <c r="H161" s="421"/>
      <c r="I161" s="421"/>
      <c r="J161" s="421"/>
    </row>
    <row r="162" spans="1:10" x14ac:dyDescent="0.2">
      <c r="A162">
        <v>1</v>
      </c>
      <c r="B162" s="3">
        <f t="shared" si="5"/>
        <v>2013</v>
      </c>
      <c r="C162" s="423">
        <f>+CURVELOAD!A167</f>
        <v>41456</v>
      </c>
      <c r="D162" s="467">
        <f>+IF($E$2&gt;0,$E$2,CURVELOAD!B167)</f>
        <v>7.2279271481141022E-2</v>
      </c>
      <c r="E162" s="468">
        <f t="shared" ca="1" si="6"/>
        <v>0.3974020151248005</v>
      </c>
      <c r="F162" s="472">
        <f>+CURVELOAD!C167+CURVELOAD!E167+CURVELOAD!F167</f>
        <v>3.585</v>
      </c>
      <c r="G162" s="421"/>
      <c r="H162" s="421"/>
      <c r="I162" s="421"/>
      <c r="J162" s="421"/>
    </row>
    <row r="163" spans="1:10" x14ac:dyDescent="0.2">
      <c r="A163">
        <v>1</v>
      </c>
      <c r="B163" s="3">
        <f t="shared" si="5"/>
        <v>2013</v>
      </c>
      <c r="C163" s="423">
        <f>+CURVELOAD!A168</f>
        <v>41487</v>
      </c>
      <c r="D163" s="467">
        <f>+IF($E$2&gt;0,$E$2,CURVELOAD!B168)</f>
        <v>7.2278942818817027E-2</v>
      </c>
      <c r="E163" s="468">
        <f t="shared" ca="1" si="6"/>
        <v>0.39501597814897876</v>
      </c>
      <c r="F163" s="472">
        <f>+CURVELOAD!C168+CURVELOAD!E168+CURVELOAD!F168</f>
        <v>3.6449999999999996</v>
      </c>
      <c r="G163" s="421"/>
      <c r="H163" s="421"/>
      <c r="I163" s="421"/>
      <c r="J163" s="421"/>
    </row>
    <row r="164" spans="1:10" x14ac:dyDescent="0.2">
      <c r="A164">
        <v>1</v>
      </c>
      <c r="B164" s="3">
        <f t="shared" si="5"/>
        <v>2013</v>
      </c>
      <c r="C164" s="423">
        <f>+CURVELOAD!A169</f>
        <v>41518</v>
      </c>
      <c r="D164" s="467">
        <f>+IF($E$2&gt;0,$E$2,CURVELOAD!B169)</f>
        <v>7.2278614156494017E-2</v>
      </c>
      <c r="E164" s="468">
        <f t="shared" ca="1" si="6"/>
        <v>0.39272062425901005</v>
      </c>
      <c r="F164" s="472">
        <f>+CURVELOAD!C169+CURVELOAD!E169+CURVELOAD!F169</f>
        <v>3.625</v>
      </c>
      <c r="G164" s="421"/>
      <c r="H164" s="421"/>
      <c r="I164" s="421"/>
      <c r="J164" s="421"/>
    </row>
    <row r="165" spans="1:10" x14ac:dyDescent="0.2">
      <c r="A165">
        <v>1</v>
      </c>
      <c r="B165" s="3">
        <f t="shared" si="5"/>
        <v>2013</v>
      </c>
      <c r="C165" s="423">
        <f>+CURVELOAD!A170</f>
        <v>41548</v>
      </c>
      <c r="D165" s="467">
        <f>+IF($E$2&gt;0,$E$2,CURVELOAD!B170)</f>
        <v>7.2278296096180014E-2</v>
      </c>
      <c r="E165" s="468">
        <f t="shared" ca="1" si="6"/>
        <v>0.39036268354994685</v>
      </c>
      <c r="F165" s="472">
        <f>+CURVELOAD!C170+CURVELOAD!E170+CURVELOAD!F170</f>
        <v>3.6349999999999998</v>
      </c>
      <c r="G165" s="421"/>
      <c r="H165" s="421"/>
      <c r="I165" s="421"/>
      <c r="J165" s="421"/>
    </row>
    <row r="166" spans="1:10" x14ac:dyDescent="0.2">
      <c r="A166">
        <v>1</v>
      </c>
      <c r="B166" s="3">
        <f t="shared" si="5"/>
        <v>2013</v>
      </c>
      <c r="C166" s="423">
        <f>+CURVELOAD!A171</f>
        <v>41579</v>
      </c>
      <c r="D166" s="467">
        <f>+IF($E$2&gt;0,$E$2,CURVELOAD!B171)</f>
        <v>7.2277967433856005E-2</v>
      </c>
      <c r="E166" s="468">
        <f t="shared" ca="1" si="6"/>
        <v>0.38809440942180518</v>
      </c>
      <c r="F166" s="472">
        <f>+CURVELOAD!C171+CURVELOAD!E171+CURVELOAD!F171</f>
        <v>3.6940000000000004</v>
      </c>
      <c r="G166" s="421"/>
      <c r="H166" s="421"/>
      <c r="I166" s="421"/>
      <c r="J166" s="421"/>
    </row>
    <row r="167" spans="1:10" x14ac:dyDescent="0.2">
      <c r="A167">
        <v>1</v>
      </c>
      <c r="B167" s="3">
        <f t="shared" si="5"/>
        <v>2013</v>
      </c>
      <c r="C167" s="423">
        <f>+CURVELOAD!A172</f>
        <v>41609</v>
      </c>
      <c r="D167" s="467">
        <f>+IF($E$2&gt;0,$E$2,CURVELOAD!B172)</f>
        <v>7.2277649373543001E-2</v>
      </c>
      <c r="E167" s="468">
        <f t="shared" ca="1" si="6"/>
        <v>0.38576428526249001</v>
      </c>
      <c r="F167" s="472">
        <f>+CURVELOAD!C172+CURVELOAD!E172+CURVELOAD!F172</f>
        <v>3.7690000000000001</v>
      </c>
      <c r="G167" s="421"/>
      <c r="H167" s="421"/>
      <c r="I167" s="421"/>
      <c r="J167" s="421"/>
    </row>
    <row r="168" spans="1:10" x14ac:dyDescent="0.2">
      <c r="A168">
        <v>1</v>
      </c>
      <c r="B168" s="3">
        <f t="shared" si="5"/>
        <v>2014</v>
      </c>
      <c r="C168" s="423">
        <f>+CURVELOAD!A173</f>
        <v>41640</v>
      </c>
      <c r="D168" s="467">
        <f>+IF($E$2&gt;0,$E$2,CURVELOAD!B173)</f>
        <v>7.2277320711220006E-2</v>
      </c>
      <c r="E168" s="468">
        <f t="shared" ca="1" si="6"/>
        <v>0.38344822415004021</v>
      </c>
      <c r="F168" s="472">
        <f>+CURVELOAD!C173+CURVELOAD!E173+CURVELOAD!F173</f>
        <v>3.9569999999999999</v>
      </c>
      <c r="G168" s="421"/>
      <c r="H168" s="421"/>
      <c r="I168" s="421"/>
      <c r="J168" s="421"/>
    </row>
    <row r="169" spans="1:10" x14ac:dyDescent="0.2">
      <c r="A169">
        <v>1</v>
      </c>
      <c r="B169" s="3">
        <f t="shared" si="5"/>
        <v>2014</v>
      </c>
      <c r="C169" s="423">
        <f>+CURVELOAD!A174</f>
        <v>41671</v>
      </c>
      <c r="D169" s="467">
        <f>+IF($E$2&gt;0,$E$2,CURVELOAD!B174)</f>
        <v>7.2276992048896024E-2</v>
      </c>
      <c r="E169" s="468">
        <f t="shared" ca="1" si="6"/>
        <v>0.38136842873216387</v>
      </c>
      <c r="F169" s="472">
        <f>+CURVELOAD!C174+CURVELOAD!E174+CURVELOAD!F174</f>
        <v>3.871</v>
      </c>
      <c r="G169" s="421"/>
      <c r="H169" s="421"/>
      <c r="I169" s="421"/>
      <c r="J169" s="421"/>
    </row>
    <row r="170" spans="1:10" x14ac:dyDescent="0.2">
      <c r="A170">
        <v>1</v>
      </c>
      <c r="B170" s="3">
        <f t="shared" si="5"/>
        <v>2014</v>
      </c>
      <c r="C170" s="423">
        <f>+CURVELOAD!A175</f>
        <v>41699</v>
      </c>
      <c r="D170" s="467">
        <f>+IF($E$2&gt;0,$E$2,CURVELOAD!B175)</f>
        <v>7.2276695192604004E-2</v>
      </c>
      <c r="E170" s="468">
        <f t="shared" ca="1" si="6"/>
        <v>0.37907864043017525</v>
      </c>
      <c r="F170" s="472">
        <f>+CURVELOAD!C175+CURVELOAD!E175+CURVELOAD!F175</f>
        <v>3.7640000000000002</v>
      </c>
      <c r="G170" s="421"/>
      <c r="H170" s="421"/>
      <c r="I170" s="421"/>
      <c r="J170" s="421"/>
    </row>
    <row r="171" spans="1:10" x14ac:dyDescent="0.2">
      <c r="A171">
        <v>1</v>
      </c>
      <c r="B171" s="3">
        <f t="shared" si="5"/>
        <v>2014</v>
      </c>
      <c r="C171" s="423">
        <f>+CURVELOAD!A176</f>
        <v>41730</v>
      </c>
      <c r="D171" s="467">
        <f>+IF($E$2&gt;0,$E$2,CURVELOAD!B176)</f>
        <v>7.2276366530281022E-2</v>
      </c>
      <c r="E171" s="468">
        <f t="shared" ca="1" si="6"/>
        <v>0.37687603155907173</v>
      </c>
      <c r="F171" s="472">
        <f>+CURVELOAD!C176+CURVELOAD!E176+CURVELOAD!F176</f>
        <v>3.6569999999999996</v>
      </c>
      <c r="G171" s="421"/>
      <c r="H171" s="421"/>
      <c r="I171" s="421"/>
      <c r="J171" s="421"/>
    </row>
    <row r="172" spans="1:10" x14ac:dyDescent="0.2">
      <c r="A172">
        <v>1</v>
      </c>
      <c r="B172" s="3">
        <f t="shared" si="5"/>
        <v>2014</v>
      </c>
      <c r="C172" s="423">
        <f>+CURVELOAD!A177</f>
        <v>41760</v>
      </c>
      <c r="D172" s="467">
        <f>+IF($E$2&gt;0,$E$2,CURVELOAD!B177)</f>
        <v>7.2276048469968018E-2</v>
      </c>
      <c r="E172" s="468">
        <f t="shared" ca="1" si="6"/>
        <v>0.37461335936078849</v>
      </c>
      <c r="F172" s="472">
        <f>+CURVELOAD!C177+CURVELOAD!E177+CURVELOAD!F177</f>
        <v>3.653</v>
      </c>
      <c r="G172" s="421"/>
      <c r="H172" s="421"/>
      <c r="I172" s="421"/>
      <c r="J172" s="421"/>
    </row>
    <row r="173" spans="1:10" x14ac:dyDescent="0.2">
      <c r="A173">
        <v>1</v>
      </c>
      <c r="B173" s="3">
        <f t="shared" si="5"/>
        <v>2014</v>
      </c>
      <c r="C173" s="423">
        <f>+CURVELOAD!A178</f>
        <v>41791</v>
      </c>
      <c r="D173" s="467">
        <f>+IF($E$2&gt;0,$E$2,CURVELOAD!B178)</f>
        <v>7.2275719807644009E-2</v>
      </c>
      <c r="E173" s="468">
        <f t="shared" ca="1" si="6"/>
        <v>0.37243673450441467</v>
      </c>
      <c r="F173" s="472">
        <f>+CURVELOAD!C178+CURVELOAD!E178+CURVELOAD!F178</f>
        <v>3.6940000000000004</v>
      </c>
      <c r="G173" s="421"/>
      <c r="H173" s="421"/>
      <c r="I173" s="421"/>
      <c r="J173" s="421"/>
    </row>
    <row r="174" spans="1:10" x14ac:dyDescent="0.2">
      <c r="A174">
        <v>1</v>
      </c>
      <c r="B174" s="3">
        <f t="shared" si="5"/>
        <v>2014</v>
      </c>
      <c r="C174" s="423">
        <f>+CURVELOAD!A179</f>
        <v>41821</v>
      </c>
      <c r="D174" s="467">
        <f>+IF($E$2&gt;0,$E$2,CURVELOAD!B179)</f>
        <v>7.227540174733102E-2</v>
      </c>
      <c r="E174" s="468">
        <f t="shared" ca="1" si="6"/>
        <v>0.3702007533586299</v>
      </c>
      <c r="F174" s="472">
        <f>+CURVELOAD!C179+CURVELOAD!E179+CURVELOAD!F179</f>
        <v>3.6940000000000004</v>
      </c>
      <c r="G174" s="421"/>
      <c r="H174" s="421"/>
      <c r="I174" s="421"/>
      <c r="J174" s="421"/>
    </row>
    <row r="175" spans="1:10" x14ac:dyDescent="0.2">
      <c r="A175">
        <v>1</v>
      </c>
      <c r="B175" s="3">
        <f t="shared" si="5"/>
        <v>2014</v>
      </c>
      <c r="C175" s="423">
        <f>+CURVELOAD!A180</f>
        <v>41852</v>
      </c>
      <c r="D175" s="467">
        <f>+IF($E$2&gt;0,$E$2,CURVELOAD!B180)</f>
        <v>7.227507308500801E-2</v>
      </c>
      <c r="E175" s="468">
        <f t="shared" ca="1" si="6"/>
        <v>0.3679782684609893</v>
      </c>
      <c r="F175" s="472">
        <f>+CURVELOAD!C180+CURVELOAD!E180+CURVELOAD!F180</f>
        <v>3.754</v>
      </c>
      <c r="G175" s="421"/>
      <c r="H175" s="421"/>
      <c r="I175" s="421"/>
      <c r="J175" s="421"/>
    </row>
    <row r="176" spans="1:10" x14ac:dyDescent="0.2">
      <c r="A176">
        <v>1</v>
      </c>
      <c r="B176" s="3">
        <f t="shared" si="5"/>
        <v>2014</v>
      </c>
      <c r="C176" s="423">
        <f>+CURVELOAD!A181</f>
        <v>41883</v>
      </c>
      <c r="D176" s="467">
        <f>+IF($E$2&gt;0,$E$2,CURVELOAD!B181)</f>
        <v>7.2274744422684001E-2</v>
      </c>
      <c r="E176" s="468">
        <f t="shared" ca="1" si="6"/>
        <v>0.36584025314699259</v>
      </c>
      <c r="F176" s="472">
        <f>+CURVELOAD!C181+CURVELOAD!E181+CURVELOAD!F181</f>
        <v>3.7330000000000001</v>
      </c>
      <c r="G176" s="421"/>
      <c r="H176" s="421"/>
      <c r="I176" s="421"/>
      <c r="J176" s="421"/>
    </row>
    <row r="177" spans="1:10" x14ac:dyDescent="0.2">
      <c r="A177">
        <v>1</v>
      </c>
      <c r="B177" s="3">
        <f t="shared" si="5"/>
        <v>2014</v>
      </c>
      <c r="C177" s="423">
        <f>+CURVELOAD!A182</f>
        <v>41913</v>
      </c>
      <c r="D177" s="467">
        <f>+IF($E$2&gt;0,$E$2,CURVELOAD!B182)</f>
        <v>7.2274426362371011E-2</v>
      </c>
      <c r="E177" s="468">
        <f t="shared" ca="1" si="6"/>
        <v>0.36364393216190505</v>
      </c>
      <c r="F177" s="472">
        <f>+CURVELOAD!C182+CURVELOAD!E182+CURVELOAD!F182</f>
        <v>3.7419999999999995</v>
      </c>
      <c r="G177" s="421"/>
      <c r="H177" s="421"/>
      <c r="I177" s="421"/>
      <c r="J177" s="421"/>
    </row>
    <row r="178" spans="1:10" x14ac:dyDescent="0.2">
      <c r="A178">
        <v>1</v>
      </c>
      <c r="B178" s="3">
        <f t="shared" si="5"/>
        <v>2014</v>
      </c>
      <c r="C178" s="423">
        <f>+CURVELOAD!A183</f>
        <v>41944</v>
      </c>
      <c r="D178" s="467">
        <f>+IF($E$2&gt;0,$E$2,CURVELOAD!B183)</f>
        <v>7.2274097700049014E-2</v>
      </c>
      <c r="E178" s="468">
        <f t="shared" ca="1" si="6"/>
        <v>0.3615311377540944</v>
      </c>
      <c r="F178" s="472">
        <f>+CURVELOAD!C183+CURVELOAD!E183+CURVELOAD!F183</f>
        <v>3.7960000000000003</v>
      </c>
      <c r="G178" s="421"/>
      <c r="H178" s="421"/>
      <c r="I178" s="421"/>
      <c r="J178" s="421"/>
    </row>
    <row r="179" spans="1:10" x14ac:dyDescent="0.2">
      <c r="A179">
        <v>1</v>
      </c>
      <c r="B179" s="3">
        <f t="shared" si="5"/>
        <v>2014</v>
      </c>
      <c r="C179" s="423">
        <f>+CURVELOAD!A184</f>
        <v>41974</v>
      </c>
      <c r="D179" s="467">
        <f>+IF($E$2&gt;0,$E$2,CURVELOAD!B184)</f>
        <v>7.2273779639736024E-2</v>
      </c>
      <c r="E179" s="468">
        <f t="shared" ca="1" si="6"/>
        <v>0.35936072399255975</v>
      </c>
      <c r="F179" s="472">
        <f>+CURVELOAD!C184+CURVELOAD!E184+CURVELOAD!F184</f>
        <v>3.8679999999999999</v>
      </c>
      <c r="G179" s="421"/>
      <c r="H179" s="421"/>
      <c r="I179" s="421"/>
      <c r="J179" s="421"/>
    </row>
    <row r="180" spans="1:10" x14ac:dyDescent="0.2">
      <c r="A180">
        <v>1</v>
      </c>
      <c r="B180" s="3">
        <f t="shared" si="5"/>
        <v>2015</v>
      </c>
      <c r="C180" s="423">
        <f>+CURVELOAD!A185</f>
        <v>42005</v>
      </c>
      <c r="D180" s="467">
        <f>+IF($E$2&gt;0,$E$2,CURVELOAD!B185)</f>
        <v>7.2273450977412987E-2</v>
      </c>
      <c r="E180" s="468">
        <f t="shared" ca="1" si="6"/>
        <v>0.35720341168847553</v>
      </c>
      <c r="F180" s="472">
        <f>+CURVELOAD!C185+CURVELOAD!E185+CURVELOAD!F185</f>
        <v>4.0590000000000002</v>
      </c>
      <c r="G180" s="421"/>
      <c r="H180" s="421"/>
      <c r="I180" s="421"/>
      <c r="J180" s="421"/>
    </row>
    <row r="181" spans="1:10" x14ac:dyDescent="0.2">
      <c r="A181">
        <v>1</v>
      </c>
      <c r="B181" s="3">
        <f t="shared" si="5"/>
        <v>2015</v>
      </c>
      <c r="C181" s="423">
        <f>+CURVELOAD!A186</f>
        <v>42036</v>
      </c>
      <c r="D181" s="467">
        <f>+IF($E$2&gt;0,$E$2,CURVELOAD!B186)</f>
        <v>7.2273122315090005E-2</v>
      </c>
      <c r="E181" s="468">
        <f t="shared" ca="1" si="6"/>
        <v>0.35526618056514819</v>
      </c>
      <c r="F181" s="472">
        <f>+CURVELOAD!C186+CURVELOAD!E186+CURVELOAD!F186</f>
        <v>3.9769999999999999</v>
      </c>
      <c r="G181" s="421"/>
      <c r="H181" s="421"/>
      <c r="I181" s="421"/>
      <c r="J181" s="421"/>
    </row>
    <row r="182" spans="1:10" x14ac:dyDescent="0.2">
      <c r="A182">
        <v>1</v>
      </c>
      <c r="B182" s="3">
        <f t="shared" si="5"/>
        <v>2015</v>
      </c>
      <c r="C182" s="423">
        <f>+CURVELOAD!A187</f>
        <v>42064</v>
      </c>
      <c r="D182" s="467">
        <f>+IF($E$2&gt;0,$E$2,CURVELOAD!B187)</f>
        <v>7.2272825458798012E-2</v>
      </c>
      <c r="E182" s="468">
        <f t="shared" ca="1" si="6"/>
        <v>0.35313332678184089</v>
      </c>
      <c r="F182" s="472">
        <f>+CURVELOAD!C187+CURVELOAD!E187+CURVELOAD!F187</f>
        <v>3.8729999999999998</v>
      </c>
      <c r="G182" s="421"/>
      <c r="H182" s="421"/>
      <c r="I182" s="421"/>
      <c r="J182" s="421"/>
    </row>
    <row r="183" spans="1:10" x14ac:dyDescent="0.2">
      <c r="A183">
        <v>1</v>
      </c>
      <c r="B183" s="3">
        <f t="shared" si="5"/>
        <v>2015</v>
      </c>
      <c r="C183" s="423">
        <f>+CURVELOAD!A188</f>
        <v>42095</v>
      </c>
      <c r="D183" s="467">
        <f>+IF($E$2&gt;0,$E$2,CURVELOAD!B188)</f>
        <v>7.2272496796475016E-2</v>
      </c>
      <c r="E183" s="468">
        <f t="shared" ca="1" si="6"/>
        <v>0.35108169025525476</v>
      </c>
      <c r="F183" s="472">
        <f>+CURVELOAD!C188+CURVELOAD!E188+CURVELOAD!F188</f>
        <v>3.7690000000000001</v>
      </c>
      <c r="G183" s="421"/>
      <c r="H183" s="421"/>
      <c r="I183" s="421"/>
      <c r="J183" s="421"/>
    </row>
    <row r="184" spans="1:10" x14ac:dyDescent="0.2">
      <c r="A184">
        <v>1</v>
      </c>
      <c r="B184" s="3">
        <f t="shared" si="5"/>
        <v>2015</v>
      </c>
      <c r="C184" s="423">
        <f>+CURVELOAD!A189</f>
        <v>42125</v>
      </c>
      <c r="D184" s="467">
        <f>+IF($E$2&gt;0,$E$2,CURVELOAD!B189)</f>
        <v>7.2272178736161999E-2</v>
      </c>
      <c r="E184" s="468">
        <f t="shared" ca="1" si="6"/>
        <v>0.34897409869182394</v>
      </c>
      <c r="F184" s="472">
        <f>+CURVELOAD!C189+CURVELOAD!E189+CURVELOAD!F189</f>
        <v>3.766</v>
      </c>
      <c r="G184" s="421"/>
      <c r="H184" s="421"/>
      <c r="I184" s="421"/>
      <c r="J184" s="421"/>
    </row>
    <row r="185" spans="1:10" x14ac:dyDescent="0.2">
      <c r="A185">
        <v>1</v>
      </c>
      <c r="B185" s="3">
        <f t="shared" si="5"/>
        <v>2015</v>
      </c>
      <c r="C185" s="423">
        <f>+CURVELOAD!A190</f>
        <v>42156</v>
      </c>
      <c r="D185" s="467">
        <f>+IF($E$2&gt;0,$E$2,CURVELOAD!B190)</f>
        <v>7.2271850073839017E-2</v>
      </c>
      <c r="E185" s="468">
        <f t="shared" ca="1" si="6"/>
        <v>0.34694666264509261</v>
      </c>
      <c r="F185" s="472">
        <f>+CURVELOAD!C190+CURVELOAD!E190+CURVELOAD!F190</f>
        <v>3.8079999999999998</v>
      </c>
      <c r="G185" s="421"/>
      <c r="H185" s="421"/>
      <c r="I185" s="421"/>
      <c r="J185" s="421"/>
    </row>
    <row r="186" spans="1:10" x14ac:dyDescent="0.2">
      <c r="A186">
        <v>1</v>
      </c>
      <c r="B186" s="3">
        <f t="shared" si="5"/>
        <v>2015</v>
      </c>
      <c r="C186" s="423">
        <f>+CURVELOAD!A191</f>
        <v>42186</v>
      </c>
      <c r="D186" s="467">
        <f>+IF($E$2&gt;0,$E$2,CURVELOAD!B191)</f>
        <v>7.2271532013525999E-2</v>
      </c>
      <c r="E186" s="468">
        <f t="shared" ca="1" si="6"/>
        <v>0.34486393016947658</v>
      </c>
      <c r="F186" s="472">
        <f>+CURVELOAD!C191+CURVELOAD!E191+CURVELOAD!F191</f>
        <v>3.8079999999999998</v>
      </c>
      <c r="G186" s="421"/>
      <c r="H186" s="421"/>
      <c r="I186" s="421"/>
      <c r="J186" s="421"/>
    </row>
    <row r="187" spans="1:10" x14ac:dyDescent="0.2">
      <c r="A187">
        <v>1</v>
      </c>
      <c r="B187" s="3">
        <f t="shared" si="5"/>
        <v>2015</v>
      </c>
      <c r="C187" s="423">
        <f>+CURVELOAD!A192</f>
        <v>42217</v>
      </c>
      <c r="D187" s="467">
        <f>+IF($E$2&gt;0,$E$2,CURVELOAD!B192)</f>
        <v>7.2271203351204016E-2</v>
      </c>
      <c r="E187" s="468">
        <f t="shared" ca="1" si="6"/>
        <v>0.34279377116323784</v>
      </c>
      <c r="F187" s="472">
        <f>+CURVELOAD!C192+CURVELOAD!E192+CURVELOAD!F192</f>
        <v>3.8679999999999999</v>
      </c>
      <c r="G187" s="421"/>
      <c r="H187" s="421"/>
      <c r="I187" s="421"/>
      <c r="J187" s="421"/>
    </row>
    <row r="188" spans="1:10" x14ac:dyDescent="0.2">
      <c r="A188">
        <v>1</v>
      </c>
      <c r="B188" s="3">
        <f t="shared" si="5"/>
        <v>2015</v>
      </c>
      <c r="C188" s="423">
        <f>+CURVELOAD!A193</f>
        <v>42248</v>
      </c>
      <c r="D188" s="467">
        <f>+IF($E$2&gt;0,$E$2,CURVELOAD!B193)</f>
        <v>7.2270874688881034E-2</v>
      </c>
      <c r="E188" s="468">
        <f t="shared" ca="1" si="6"/>
        <v>0.34080229456766492</v>
      </c>
      <c r="F188" s="472">
        <f>+CURVELOAD!C193+CURVELOAD!E193+CURVELOAD!F193</f>
        <v>3.8460000000000001</v>
      </c>
      <c r="G188" s="421"/>
      <c r="H188" s="421"/>
      <c r="I188" s="421"/>
      <c r="J188" s="421"/>
    </row>
    <row r="189" spans="1:10" x14ac:dyDescent="0.2">
      <c r="A189">
        <v>1</v>
      </c>
      <c r="B189" s="3">
        <f t="shared" si="5"/>
        <v>2015</v>
      </c>
      <c r="C189" s="423">
        <f>+CURVELOAD!A194</f>
        <v>42278</v>
      </c>
      <c r="D189" s="467">
        <f>+IF($E$2&gt;0,$E$2,CURVELOAD!B194)</f>
        <v>7.2270556628569016E-2</v>
      </c>
      <c r="E189" s="468">
        <f t="shared" ca="1" si="6"/>
        <v>0.33875650019906439</v>
      </c>
      <c r="F189" s="472">
        <f>+CURVELOAD!C194+CURVELOAD!E194+CURVELOAD!F194</f>
        <v>3.8540000000000001</v>
      </c>
      <c r="G189" s="421"/>
      <c r="H189" s="421"/>
      <c r="I189" s="421"/>
      <c r="J189" s="421"/>
    </row>
    <row r="190" spans="1:10" x14ac:dyDescent="0.2">
      <c r="A190">
        <v>1</v>
      </c>
      <c r="B190" s="3">
        <f t="shared" si="5"/>
        <v>2015</v>
      </c>
      <c r="C190" s="423">
        <f>+CURVELOAD!A195</f>
        <v>42309</v>
      </c>
      <c r="D190" s="467">
        <f>+IF($E$2&gt;0,$E$2,CURVELOAD!B195)</f>
        <v>7.2270227966245007E-2</v>
      </c>
      <c r="E190" s="468">
        <f t="shared" ca="1" si="6"/>
        <v>0.33678851342763394</v>
      </c>
      <c r="F190" s="472">
        <f>+CURVELOAD!C195+CURVELOAD!E195+CURVELOAD!F195</f>
        <v>3.903</v>
      </c>
      <c r="G190" s="421"/>
      <c r="H190" s="421"/>
      <c r="I190" s="421"/>
      <c r="J190" s="421"/>
    </row>
    <row r="191" spans="1:10" x14ac:dyDescent="0.2">
      <c r="A191">
        <v>1</v>
      </c>
      <c r="B191" s="3">
        <f t="shared" si="5"/>
        <v>2015</v>
      </c>
      <c r="C191" s="423">
        <f>+CURVELOAD!A196</f>
        <v>42339</v>
      </c>
      <c r="D191" s="467">
        <f>+IF($E$2&gt;0,$E$2,CURVELOAD!B196)</f>
        <v>7.2269909905933002E-2</v>
      </c>
      <c r="E191" s="468">
        <f t="shared" ca="1" si="6"/>
        <v>0.33476684819198727</v>
      </c>
      <c r="F191" s="472">
        <f>+CURVELOAD!C196+CURVELOAD!E196+CURVELOAD!F196</f>
        <v>3.972</v>
      </c>
      <c r="G191" s="421"/>
      <c r="H191" s="421"/>
      <c r="I191" s="421"/>
      <c r="J191" s="421"/>
    </row>
    <row r="192" spans="1:10" x14ac:dyDescent="0.2">
      <c r="A192">
        <v>1</v>
      </c>
      <c r="B192" s="3">
        <f t="shared" si="5"/>
        <v>2016</v>
      </c>
      <c r="C192" s="423">
        <f>+CURVELOAD!A197</f>
        <v>42370</v>
      </c>
      <c r="D192" s="467">
        <f>+IF($E$2&gt;0,$E$2,CURVELOAD!B197)</f>
        <v>7.2269581243609993E-2</v>
      </c>
      <c r="E192" s="468">
        <f t="shared" ca="1" si="6"/>
        <v>0.33275738866633087</v>
      </c>
      <c r="F192" s="472">
        <f>+CURVELOAD!C197+CURVELOAD!E197+CURVELOAD!F197</f>
        <v>4.1660000000000004</v>
      </c>
      <c r="G192" s="421"/>
      <c r="H192" s="421"/>
      <c r="I192" s="421"/>
      <c r="J192" s="421"/>
    </row>
    <row r="193" spans="1:10" x14ac:dyDescent="0.2">
      <c r="A193">
        <v>1</v>
      </c>
      <c r="B193" s="3">
        <f t="shared" si="5"/>
        <v>2016</v>
      </c>
      <c r="C193" s="423">
        <f>+CURVELOAD!A198</f>
        <v>42401</v>
      </c>
      <c r="D193" s="467">
        <f>+IF($E$2&gt;0,$E$2,CURVELOAD!B198)</f>
        <v>7.2269252581287996E-2</v>
      </c>
      <c r="E193" s="468">
        <f t="shared" ca="1" si="6"/>
        <v>0.33088861445186424</v>
      </c>
      <c r="F193" s="472">
        <f>+CURVELOAD!C198+CURVELOAD!E198+CURVELOAD!F198</f>
        <v>4.0880000000000001</v>
      </c>
      <c r="G193" s="421"/>
      <c r="H193" s="421"/>
      <c r="I193" s="421"/>
      <c r="J193" s="421"/>
    </row>
    <row r="194" spans="1:10" x14ac:dyDescent="0.2">
      <c r="A194">
        <v>1</v>
      </c>
      <c r="B194" s="3">
        <f t="shared" si="5"/>
        <v>2016</v>
      </c>
      <c r="C194" s="423">
        <f>+CURVELOAD!A199</f>
        <v>42430</v>
      </c>
      <c r="D194" s="467">
        <f>+IF($E$2&gt;0,$E$2,CURVELOAD!B199)</f>
        <v>7.2268945122986025E-2</v>
      </c>
      <c r="E194" s="468">
        <f t="shared" ca="1" si="6"/>
        <v>0.32890236369468057</v>
      </c>
      <c r="F194" s="472">
        <f>+CURVELOAD!C199+CURVELOAD!E199+CURVELOAD!F199</f>
        <v>3.9819999999999998</v>
      </c>
      <c r="G194" s="421"/>
      <c r="H194" s="421"/>
      <c r="I194" s="421"/>
      <c r="J194" s="421"/>
    </row>
    <row r="195" spans="1:10" x14ac:dyDescent="0.2">
      <c r="A195">
        <v>1</v>
      </c>
      <c r="B195" s="3">
        <f t="shared" si="5"/>
        <v>2016</v>
      </c>
      <c r="C195" s="423">
        <f>+CURVELOAD!A200</f>
        <v>42461</v>
      </c>
      <c r="D195" s="467">
        <f>+IF($E$2&gt;0,$E$2,CURVELOAD!B200)</f>
        <v>7.2268616460663015E-2</v>
      </c>
      <c r="E195" s="468">
        <f t="shared" ca="1" si="6"/>
        <v>0.32699170891044327</v>
      </c>
      <c r="F195" s="472">
        <f>+CURVELOAD!C200+CURVELOAD!E200+CURVELOAD!F200</f>
        <v>3.8810000000000002</v>
      </c>
      <c r="G195" s="421"/>
      <c r="H195" s="421"/>
      <c r="I195" s="421"/>
      <c r="J195" s="421"/>
    </row>
    <row r="196" spans="1:10" x14ac:dyDescent="0.2">
      <c r="A196">
        <v>1</v>
      </c>
      <c r="B196" s="3">
        <f t="shared" si="5"/>
        <v>2016</v>
      </c>
      <c r="C196" s="423">
        <f>+CURVELOAD!A201</f>
        <v>42491</v>
      </c>
      <c r="D196" s="467">
        <f>+IF($E$2&gt;0,$E$2,CURVELOAD!B201)</f>
        <v>7.2268298400351025E-2</v>
      </c>
      <c r="E196" s="468">
        <f t="shared" ca="1" si="6"/>
        <v>0.32502893610283923</v>
      </c>
      <c r="F196" s="472">
        <f>+CURVELOAD!C201+CURVELOAD!E201+CURVELOAD!F201</f>
        <v>3.8790000000000004</v>
      </c>
      <c r="G196" s="421"/>
      <c r="H196" s="421"/>
      <c r="I196" s="421"/>
      <c r="J196" s="421"/>
    </row>
    <row r="197" spans="1:10" x14ac:dyDescent="0.2">
      <c r="A197">
        <v>1</v>
      </c>
      <c r="B197" s="3">
        <f t="shared" si="5"/>
        <v>2016</v>
      </c>
      <c r="C197" s="423">
        <f>+CURVELOAD!A202</f>
        <v>42522</v>
      </c>
      <c r="D197" s="467">
        <f>+IF($E$2&gt;0,$E$2,CURVELOAD!B202)</f>
        <v>7.2267969738028001E-2</v>
      </c>
      <c r="E197" s="468">
        <f t="shared" ca="1" si="6"/>
        <v>0.32314081646258652</v>
      </c>
      <c r="F197" s="472">
        <f>+CURVELOAD!C202+CURVELOAD!E202+CURVELOAD!F202</f>
        <v>3.9219999999999997</v>
      </c>
      <c r="G197" s="421"/>
      <c r="H197" s="421"/>
      <c r="I197" s="421"/>
      <c r="J197" s="421"/>
    </row>
    <row r="198" spans="1:10" x14ac:dyDescent="0.2">
      <c r="A198">
        <v>1</v>
      </c>
      <c r="B198" s="3">
        <f t="shared" si="5"/>
        <v>2016</v>
      </c>
      <c r="C198" s="423">
        <f>+CURVELOAD!A203</f>
        <v>42552</v>
      </c>
      <c r="D198" s="467">
        <f>+IF($E$2&gt;0,$E$2,CURVELOAD!B203)</f>
        <v>7.226765167771701E-2</v>
      </c>
      <c r="E198" s="468">
        <f t="shared" ca="1" si="6"/>
        <v>0.32120119217972232</v>
      </c>
      <c r="F198" s="472">
        <f>+CURVELOAD!C203+CURVELOAD!E203+CURVELOAD!F203</f>
        <v>3.9219999999999997</v>
      </c>
      <c r="G198" s="421"/>
      <c r="H198" s="421"/>
      <c r="I198" s="421"/>
      <c r="J198" s="421"/>
    </row>
    <row r="199" spans="1:10" x14ac:dyDescent="0.2">
      <c r="A199">
        <v>1</v>
      </c>
      <c r="B199" s="3">
        <f t="shared" ref="B199:B262" si="7">+YEAR(C199)</f>
        <v>2016</v>
      </c>
      <c r="C199" s="423">
        <f>+CURVELOAD!A204</f>
        <v>42583</v>
      </c>
      <c r="D199" s="467">
        <f>+IF($E$2&gt;0,$E$2,CURVELOAD!B204)</f>
        <v>7.2267323015394014E-2</v>
      </c>
      <c r="E199" s="468">
        <f t="shared" ref="E199:E262" ca="1" si="8">+IF(C199&lt;TODAY(),1,1/(1+D199/2)^((C200-TODAY())/182.625))</f>
        <v>0.31927327949594558</v>
      </c>
      <c r="F199" s="472">
        <f>+CURVELOAD!C204+CURVELOAD!E204+CURVELOAD!F204</f>
        <v>3.9819999999999998</v>
      </c>
      <c r="G199" s="421"/>
      <c r="H199" s="421"/>
      <c r="I199" s="421"/>
      <c r="J199" s="421"/>
    </row>
    <row r="200" spans="1:10" x14ac:dyDescent="0.2">
      <c r="A200">
        <v>1</v>
      </c>
      <c r="B200" s="3">
        <f t="shared" si="7"/>
        <v>2016</v>
      </c>
      <c r="C200" s="423">
        <f>+CURVELOAD!A205</f>
        <v>42614</v>
      </c>
      <c r="D200" s="467">
        <f>+IF($E$2&gt;0,$E$2,CURVELOAD!B205)</f>
        <v>7.2266994353071018E-2</v>
      </c>
      <c r="E200" s="468">
        <f t="shared" ca="1" si="8"/>
        <v>0.31741864483947985</v>
      </c>
      <c r="F200" s="472">
        <f>+CURVELOAD!C205+CURVELOAD!E205+CURVELOAD!F205</f>
        <v>3.9590000000000005</v>
      </c>
      <c r="G200" s="421"/>
      <c r="H200" s="421"/>
      <c r="I200" s="421"/>
      <c r="J200" s="421"/>
    </row>
    <row r="201" spans="1:10" x14ac:dyDescent="0.2">
      <c r="A201">
        <v>1</v>
      </c>
      <c r="B201" s="3">
        <f t="shared" si="7"/>
        <v>2016</v>
      </c>
      <c r="C201" s="423">
        <f>+CURVELOAD!A206</f>
        <v>42644</v>
      </c>
      <c r="D201" s="467">
        <f>+IF($E$2&gt;0,$E$2,CURVELOAD!B206)</f>
        <v>7.2266676292759999E-2</v>
      </c>
      <c r="E201" s="468">
        <f t="shared" ca="1" si="8"/>
        <v>0.31551341699251828</v>
      </c>
      <c r="F201" s="472">
        <f>+CURVELOAD!C206+CURVELOAD!E206+CURVELOAD!F206</f>
        <v>3.9660000000000002</v>
      </c>
      <c r="G201" s="421"/>
      <c r="H201" s="421"/>
      <c r="I201" s="421"/>
      <c r="J201" s="421"/>
    </row>
    <row r="202" spans="1:10" x14ac:dyDescent="0.2">
      <c r="A202">
        <v>1</v>
      </c>
      <c r="B202" s="3">
        <f t="shared" si="7"/>
        <v>2016</v>
      </c>
      <c r="C202" s="423">
        <f>+CURVELOAD!A207</f>
        <v>42675</v>
      </c>
      <c r="D202" s="467">
        <f>+IF($E$2&gt;0,$E$2,CURVELOAD!B207)</f>
        <v>7.2266347630437003E-2</v>
      </c>
      <c r="E202" s="468">
        <f t="shared" ca="1" si="8"/>
        <v>0.31368065579591914</v>
      </c>
      <c r="F202" s="472">
        <f>+CURVELOAD!C207+CURVELOAD!E207+CURVELOAD!F207</f>
        <v>4.01</v>
      </c>
      <c r="G202" s="421"/>
      <c r="H202" s="421"/>
      <c r="I202" s="421"/>
      <c r="J202" s="421"/>
    </row>
    <row r="203" spans="1:10" x14ac:dyDescent="0.2">
      <c r="A203">
        <v>1</v>
      </c>
      <c r="B203" s="3">
        <f t="shared" si="7"/>
        <v>2016</v>
      </c>
      <c r="C203" s="423">
        <f>+CURVELOAD!A208</f>
        <v>42705</v>
      </c>
      <c r="D203" s="467">
        <f>+IF($E$2&gt;0,$E$2,CURVELOAD!B208)</f>
        <v>7.2266029570124998E-2</v>
      </c>
      <c r="E203" s="468">
        <f t="shared" ca="1" si="8"/>
        <v>0.31179789681760123</v>
      </c>
      <c r="F203" s="472">
        <f>+CURVELOAD!C208+CURVELOAD!E208+CURVELOAD!F208</f>
        <v>4.0760000000000005</v>
      </c>
      <c r="G203" s="421"/>
      <c r="H203" s="421"/>
      <c r="I203" s="421"/>
      <c r="J203" s="421"/>
    </row>
    <row r="204" spans="1:10" x14ac:dyDescent="0.2">
      <c r="A204">
        <v>1</v>
      </c>
      <c r="B204" s="3">
        <f t="shared" si="7"/>
        <v>2017</v>
      </c>
      <c r="C204" s="423">
        <f>+CURVELOAD!A209</f>
        <v>42736</v>
      </c>
      <c r="D204" s="467">
        <f>+IF($E$2&gt;0,$E$2,CURVELOAD!B209)</f>
        <v>7.2265700907803015E-2</v>
      </c>
      <c r="E204" s="468">
        <f t="shared" ca="1" si="8"/>
        <v>0.30992650692341805</v>
      </c>
      <c r="F204" s="472">
        <f>+CURVELOAD!C209+CURVELOAD!E209+CURVELOAD!F209</f>
        <v>4.2729999999999997</v>
      </c>
      <c r="G204" s="421"/>
      <c r="H204" s="421"/>
      <c r="I204" s="421"/>
      <c r="J204" s="421"/>
    </row>
    <row r="205" spans="1:10" x14ac:dyDescent="0.2">
      <c r="A205">
        <v>1</v>
      </c>
      <c r="B205" s="3">
        <f t="shared" si="7"/>
        <v>2017</v>
      </c>
      <c r="C205" s="423">
        <f>+CURVELOAD!A210</f>
        <v>42767</v>
      </c>
      <c r="D205" s="467">
        <f>+IF($E$2&gt;0,$E$2,CURVELOAD!B210)</f>
        <v>7.2265372245480006E-2</v>
      </c>
      <c r="E205" s="468">
        <f t="shared" ca="1" si="8"/>
        <v>0.30824604638171038</v>
      </c>
      <c r="F205" s="472">
        <f>+CURVELOAD!C210+CURVELOAD!E210+CURVELOAD!F210</f>
        <v>4.1990000000000007</v>
      </c>
      <c r="G205" s="421"/>
      <c r="H205" s="421"/>
      <c r="I205" s="421"/>
      <c r="J205" s="421"/>
    </row>
    <row r="206" spans="1:10" x14ac:dyDescent="0.2">
      <c r="A206">
        <v>1</v>
      </c>
      <c r="B206" s="3">
        <f t="shared" si="7"/>
        <v>2017</v>
      </c>
      <c r="C206" s="423">
        <f>+CURVELOAD!A211</f>
        <v>42795</v>
      </c>
      <c r="D206" s="467">
        <f>+IF($E$2&gt;0,$E$2,CURVELOAD!B211)</f>
        <v>7.2265075389189026E-2</v>
      </c>
      <c r="E206" s="468">
        <f t="shared" ca="1" si="8"/>
        <v>0.30639584993299424</v>
      </c>
      <c r="F206" s="472">
        <f>+CURVELOAD!C211+CURVELOAD!E211+CURVELOAD!F211</f>
        <v>4.0960000000000001</v>
      </c>
      <c r="G206" s="421"/>
      <c r="H206" s="421"/>
      <c r="I206" s="421"/>
      <c r="J206" s="421"/>
    </row>
    <row r="207" spans="1:10" x14ac:dyDescent="0.2">
      <c r="A207">
        <v>1</v>
      </c>
      <c r="B207" s="3">
        <f t="shared" si="7"/>
        <v>2017</v>
      </c>
      <c r="C207" s="423">
        <f>+CURVELOAD!A212</f>
        <v>42826</v>
      </c>
      <c r="D207" s="467">
        <f>+IF($E$2&gt;0,$E$2,CURVELOAD!B212)</f>
        <v>7.2264746726868015E-2</v>
      </c>
      <c r="E207" s="468">
        <f t="shared" ca="1" si="8"/>
        <v>0.30461612966294055</v>
      </c>
      <c r="F207" s="472">
        <f>+CURVELOAD!C212+CURVELOAD!E212+CURVELOAD!F212</f>
        <v>3.9980000000000002</v>
      </c>
      <c r="G207" s="421"/>
      <c r="H207" s="421"/>
      <c r="I207" s="421"/>
      <c r="J207" s="421"/>
    </row>
    <row r="208" spans="1:10" x14ac:dyDescent="0.2">
      <c r="A208">
        <v>1</v>
      </c>
      <c r="B208" s="3">
        <f t="shared" si="7"/>
        <v>2017</v>
      </c>
      <c r="C208" s="423">
        <f>+CURVELOAD!A213</f>
        <v>42856</v>
      </c>
      <c r="D208" s="467">
        <f>+IF($E$2&gt;0,$E$2,CURVELOAD!B213)</f>
        <v>7.226442866655601E-2</v>
      </c>
      <c r="E208" s="468">
        <f t="shared" ca="1" si="8"/>
        <v>0.30278785548134635</v>
      </c>
      <c r="F208" s="472">
        <f>+CURVELOAD!C213+CURVELOAD!E213+CURVELOAD!F213</f>
        <v>3.9969999999999999</v>
      </c>
      <c r="G208" s="421"/>
      <c r="H208" s="421"/>
      <c r="I208" s="421"/>
      <c r="J208" s="421"/>
    </row>
    <row r="209" spans="1:10" x14ac:dyDescent="0.2">
      <c r="A209">
        <v>1</v>
      </c>
      <c r="B209" s="3">
        <f t="shared" si="7"/>
        <v>2017</v>
      </c>
      <c r="C209" s="423">
        <f>+CURVELOAD!A214</f>
        <v>42887</v>
      </c>
      <c r="D209" s="467">
        <f>+IF($E$2&gt;0,$E$2,CURVELOAD!B214)</f>
        <v>7.2264100004233001E-2</v>
      </c>
      <c r="E209" s="468">
        <f t="shared" ca="1" si="8"/>
        <v>0.30102912386265868</v>
      </c>
      <c r="F209" s="472">
        <f>+CURVELOAD!C214+CURVELOAD!E214+CURVELOAD!F214</f>
        <v>4.0410000000000004</v>
      </c>
      <c r="G209" s="421"/>
      <c r="H209" s="421"/>
      <c r="I209" s="421"/>
      <c r="J209" s="421"/>
    </row>
    <row r="210" spans="1:10" x14ac:dyDescent="0.2">
      <c r="A210">
        <v>1</v>
      </c>
      <c r="B210" s="3">
        <f t="shared" si="7"/>
        <v>2017</v>
      </c>
      <c r="C210" s="423">
        <f>+CURVELOAD!A215</f>
        <v>42917</v>
      </c>
      <c r="D210" s="467">
        <f>+IF($E$2&gt;0,$E$2,CURVELOAD!B215)</f>
        <v>7.2263781943921024E-2</v>
      </c>
      <c r="E210" s="468">
        <f t="shared" ca="1" si="8"/>
        <v>0.29922240970708947</v>
      </c>
      <c r="F210" s="472">
        <f>+CURVELOAD!C215+CURVELOAD!E215+CURVELOAD!F215</f>
        <v>4.0410000000000004</v>
      </c>
      <c r="G210" s="421"/>
      <c r="H210" s="421"/>
      <c r="I210" s="421"/>
      <c r="J210" s="421"/>
    </row>
    <row r="211" spans="1:10" x14ac:dyDescent="0.2">
      <c r="A211">
        <v>1</v>
      </c>
      <c r="B211" s="3">
        <f t="shared" si="7"/>
        <v>2017</v>
      </c>
      <c r="C211" s="423">
        <f>+CURVELOAD!A216</f>
        <v>42948</v>
      </c>
      <c r="D211" s="467">
        <f>+IF($E$2&gt;0,$E$2,CURVELOAD!B216)</f>
        <v>7.2263453281600012E-2</v>
      </c>
      <c r="E211" s="468">
        <f t="shared" ca="1" si="8"/>
        <v>0.29742660655709452</v>
      </c>
      <c r="F211" s="472">
        <f>+CURVELOAD!C216+CURVELOAD!E216+CURVELOAD!F216</f>
        <v>4.101</v>
      </c>
      <c r="G211" s="421"/>
      <c r="H211" s="421"/>
      <c r="I211" s="421"/>
      <c r="J211" s="421"/>
    </row>
    <row r="212" spans="1:10" x14ac:dyDescent="0.2">
      <c r="A212">
        <v>1</v>
      </c>
      <c r="B212" s="3">
        <f t="shared" si="7"/>
        <v>2017</v>
      </c>
      <c r="C212" s="423">
        <f>+CURVELOAD!A217</f>
        <v>42979</v>
      </c>
      <c r="D212" s="467">
        <f>+IF($E$2&gt;0,$E$2,CURVELOAD!B217)</f>
        <v>7.2263124619278016E-2</v>
      </c>
      <c r="E212" s="468">
        <f t="shared" ca="1" si="8"/>
        <v>0.29569906203646595</v>
      </c>
      <c r="F212" s="472">
        <f>+CURVELOAD!C217+CURVELOAD!E217+CURVELOAD!F217</f>
        <v>4.077</v>
      </c>
      <c r="G212" s="421"/>
      <c r="H212" s="421"/>
      <c r="I212" s="421"/>
      <c r="J212" s="421"/>
    </row>
    <row r="213" spans="1:10" x14ac:dyDescent="0.2">
      <c r="A213">
        <v>1</v>
      </c>
      <c r="B213" s="3">
        <f t="shared" si="7"/>
        <v>2017</v>
      </c>
      <c r="C213" s="423">
        <f>+CURVELOAD!A218</f>
        <v>43009</v>
      </c>
      <c r="D213" s="467">
        <f>+IF($E$2&gt;0,$E$2,CURVELOAD!B218)</f>
        <v>7.2262806558966011E-2</v>
      </c>
      <c r="E213" s="468">
        <f t="shared" ca="1" si="8"/>
        <v>0.29392438401351939</v>
      </c>
      <c r="F213" s="472">
        <f>+CURVELOAD!C218+CURVELOAD!E218+CURVELOAD!F218</f>
        <v>4.0830000000000002</v>
      </c>
      <c r="G213" s="421"/>
      <c r="H213" s="421"/>
      <c r="I213" s="421"/>
      <c r="J213" s="421"/>
    </row>
    <row r="214" spans="1:10" x14ac:dyDescent="0.2">
      <c r="A214">
        <v>1</v>
      </c>
      <c r="B214" s="3">
        <f t="shared" si="7"/>
        <v>2017</v>
      </c>
      <c r="C214" s="423">
        <f>+CURVELOAD!A219</f>
        <v>43040</v>
      </c>
      <c r="D214" s="467">
        <f>+IF($E$2&gt;0,$E$2,CURVELOAD!B219)</f>
        <v>7.2262477896644015E-2</v>
      </c>
      <c r="E214" s="468">
        <f t="shared" ca="1" si="8"/>
        <v>0.292217211932288</v>
      </c>
      <c r="F214" s="472">
        <f>+CURVELOAD!C219+CURVELOAD!E219+CURVELOAD!F219</f>
        <v>4.1219999999999999</v>
      </c>
      <c r="G214" s="421"/>
      <c r="H214" s="421"/>
      <c r="I214" s="421"/>
      <c r="J214" s="421"/>
    </row>
    <row r="215" spans="1:10" x14ac:dyDescent="0.2">
      <c r="A215">
        <v>1</v>
      </c>
      <c r="B215" s="3">
        <f t="shared" si="7"/>
        <v>2017</v>
      </c>
      <c r="C215" s="423">
        <f>+CURVELOAD!A220</f>
        <v>43070</v>
      </c>
      <c r="D215" s="467">
        <f>+IF($E$2&gt;0,$E$2,CURVELOAD!B220)</f>
        <v>7.226215983633201E-2</v>
      </c>
      <c r="E215" s="468">
        <f t="shared" ca="1" si="8"/>
        <v>0.29046346098392439</v>
      </c>
      <c r="F215" s="472">
        <f>+CURVELOAD!C220+CURVELOAD!E220+CURVELOAD!F220</f>
        <v>4.1849999999999996</v>
      </c>
      <c r="G215" s="421"/>
      <c r="H215" s="421"/>
      <c r="I215" s="421"/>
      <c r="J215" s="421"/>
    </row>
    <row r="216" spans="1:10" x14ac:dyDescent="0.2">
      <c r="A216">
        <v>1</v>
      </c>
      <c r="B216" s="3">
        <f t="shared" si="7"/>
        <v>2018</v>
      </c>
      <c r="C216" s="423">
        <f>+CURVELOAD!A221</f>
        <v>43101</v>
      </c>
      <c r="D216" s="467">
        <f>+IF($E$2&gt;0,$E$2,CURVELOAD!B221)</f>
        <v>7.2261831174011013E-2</v>
      </c>
      <c r="E216" s="468">
        <f t="shared" ca="1" si="8"/>
        <v>0.28872030197339799</v>
      </c>
      <c r="F216" s="472">
        <f>+CURVELOAD!C221+CURVELOAD!E221+CURVELOAD!F221</f>
        <v>4.3849999999999998</v>
      </c>
      <c r="G216" s="421"/>
      <c r="H216" s="421"/>
      <c r="I216" s="421"/>
      <c r="J216" s="421"/>
    </row>
    <row r="217" spans="1:10" x14ac:dyDescent="0.2">
      <c r="A217">
        <v>1</v>
      </c>
      <c r="B217" s="3">
        <f t="shared" si="7"/>
        <v>2018</v>
      </c>
      <c r="C217" s="423">
        <f>+CURVELOAD!A222</f>
        <v>43132</v>
      </c>
      <c r="D217" s="467">
        <f>+IF($E$2&gt;0,$E$2,CURVELOAD!B222)</f>
        <v>7.2261502511689016E-2</v>
      </c>
      <c r="E217" s="468">
        <f t="shared" ca="1" si="8"/>
        <v>0.28715499738616512</v>
      </c>
      <c r="F217" s="472">
        <f>+CURVELOAD!C222+CURVELOAD!E222+CURVELOAD!F222</f>
        <v>4.3150000000000004</v>
      </c>
      <c r="G217" s="421"/>
      <c r="H217" s="421"/>
      <c r="I217" s="421"/>
      <c r="J217" s="421"/>
    </row>
    <row r="218" spans="1:10" x14ac:dyDescent="0.2">
      <c r="A218">
        <v>1</v>
      </c>
      <c r="B218" s="3">
        <f t="shared" si="7"/>
        <v>2018</v>
      </c>
      <c r="C218" s="423">
        <f>+CURVELOAD!A223</f>
        <v>43160</v>
      </c>
      <c r="D218" s="467">
        <f>+IF($E$2&gt;0,$E$2,CURVELOAD!B223)</f>
        <v>7.2261205655397995E-2</v>
      </c>
      <c r="E218" s="468">
        <f t="shared" ca="1" si="8"/>
        <v>0.28543156870876929</v>
      </c>
      <c r="F218" s="472">
        <f>+CURVELOAD!C223+CURVELOAD!E223+CURVELOAD!F223</f>
        <v>4.22</v>
      </c>
      <c r="G218" s="421"/>
      <c r="H218" s="421"/>
      <c r="I218" s="421"/>
      <c r="J218" s="421"/>
    </row>
    <row r="219" spans="1:10" x14ac:dyDescent="0.2">
      <c r="A219">
        <v>1</v>
      </c>
      <c r="B219" s="3">
        <f t="shared" si="7"/>
        <v>2018</v>
      </c>
      <c r="C219" s="423">
        <f>+CURVELOAD!A224</f>
        <v>43191</v>
      </c>
      <c r="D219" s="467">
        <f>+IF($E$2&gt;0,$E$2,CURVELOAD!B224)</f>
        <v>7.2260876993075998E-2</v>
      </c>
      <c r="E219" s="468">
        <f t="shared" ca="1" si="8"/>
        <v>0.28377379783781032</v>
      </c>
      <c r="F219" s="472">
        <f>+CURVELOAD!C224+CURVELOAD!E224+CURVELOAD!F224</f>
        <v>4.125</v>
      </c>
      <c r="G219" s="421"/>
      <c r="H219" s="421"/>
      <c r="I219" s="421"/>
      <c r="J219" s="421"/>
    </row>
    <row r="220" spans="1:10" x14ac:dyDescent="0.2">
      <c r="A220">
        <v>1</v>
      </c>
      <c r="B220" s="3">
        <f t="shared" si="7"/>
        <v>2018</v>
      </c>
      <c r="C220" s="423">
        <f>+CURVELOAD!A225</f>
        <v>43221</v>
      </c>
      <c r="D220" s="467">
        <f>+IF($E$2&gt;0,$E$2,CURVELOAD!B225)</f>
        <v>7.2260558932764993E-2</v>
      </c>
      <c r="E220" s="468">
        <f t="shared" ca="1" si="8"/>
        <v>0.2820707930965673</v>
      </c>
      <c r="F220" s="472">
        <f>+CURVELOAD!C225+CURVELOAD!E225+CURVELOAD!F225</f>
        <v>4.125</v>
      </c>
      <c r="G220" s="421"/>
      <c r="H220" s="421"/>
      <c r="I220" s="421"/>
      <c r="J220" s="421"/>
    </row>
    <row r="221" spans="1:10" x14ac:dyDescent="0.2">
      <c r="A221">
        <v>1</v>
      </c>
      <c r="B221" s="3">
        <f t="shared" si="7"/>
        <v>2018</v>
      </c>
      <c r="C221" s="423">
        <f>+CURVELOAD!A226</f>
        <v>43252</v>
      </c>
      <c r="D221" s="467">
        <f>+IF($E$2&gt;0,$E$2,CURVELOAD!B226)</f>
        <v>7.226023027044301E-2</v>
      </c>
      <c r="E221" s="468">
        <f t="shared" ca="1" si="8"/>
        <v>0.28043257065911903</v>
      </c>
      <c r="F221" s="472">
        <f>+CURVELOAD!C226+CURVELOAD!E226+CURVELOAD!F226</f>
        <v>4.17</v>
      </c>
      <c r="G221" s="421"/>
      <c r="H221" s="421"/>
      <c r="I221" s="421"/>
      <c r="J221" s="421"/>
    </row>
    <row r="222" spans="1:10" x14ac:dyDescent="0.2">
      <c r="A222">
        <v>1</v>
      </c>
      <c r="B222" s="3">
        <f t="shared" si="7"/>
        <v>2018</v>
      </c>
      <c r="C222" s="423">
        <f>+CURVELOAD!A227</f>
        <v>43282</v>
      </c>
      <c r="D222" s="467">
        <f>+IF($E$2&gt;0,$E$2,CURVELOAD!B227)</f>
        <v>7.2259912210132018E-2</v>
      </c>
      <c r="E222" s="468">
        <f t="shared" ca="1" si="8"/>
        <v>0.27874964660062879</v>
      </c>
      <c r="F222" s="472">
        <f>+CURVELOAD!C227+CURVELOAD!E227+CURVELOAD!F227</f>
        <v>4.17</v>
      </c>
      <c r="G222" s="421"/>
      <c r="H222" s="421"/>
      <c r="I222" s="421"/>
      <c r="J222" s="421"/>
    </row>
    <row r="223" spans="1:10" x14ac:dyDescent="0.2">
      <c r="A223">
        <v>1</v>
      </c>
      <c r="B223" s="3">
        <f t="shared" si="7"/>
        <v>2018</v>
      </c>
      <c r="C223" s="423">
        <f>+CURVELOAD!A228</f>
        <v>43313</v>
      </c>
      <c r="D223" s="467">
        <f>+IF($E$2&gt;0,$E$2,CURVELOAD!B228)</f>
        <v>7.2259583547810008E-2</v>
      </c>
      <c r="E223" s="468">
        <f t="shared" ca="1" si="8"/>
        <v>0.27707688775806749</v>
      </c>
      <c r="F223" s="472">
        <f>+CURVELOAD!C228+CURVELOAD!E228+CURVELOAD!F228</f>
        <v>4.2300000000000004</v>
      </c>
      <c r="G223" s="421"/>
      <c r="H223" s="421"/>
      <c r="I223" s="421"/>
      <c r="J223" s="421"/>
    </row>
    <row r="224" spans="1:10" x14ac:dyDescent="0.2">
      <c r="A224">
        <v>1</v>
      </c>
      <c r="B224" s="3">
        <f t="shared" si="7"/>
        <v>2018</v>
      </c>
      <c r="C224" s="423">
        <f>+CURVELOAD!A229</f>
        <v>43344</v>
      </c>
      <c r="D224" s="467">
        <f>+IF($E$2&gt;0,$E$2,CURVELOAD!B229)</f>
        <v>7.2259254885488025E-2</v>
      </c>
      <c r="E224" s="468">
        <f t="shared" ca="1" si="8"/>
        <v>0.27546771244006241</v>
      </c>
      <c r="F224" s="472">
        <f>+CURVELOAD!C229+CURVELOAD!E229+CURVELOAD!F229</f>
        <v>4.2050000000000001</v>
      </c>
      <c r="G224" s="421"/>
      <c r="H224" s="421"/>
      <c r="I224" s="421"/>
      <c r="J224" s="421"/>
    </row>
    <row r="225" spans="1:10" x14ac:dyDescent="0.2">
      <c r="A225">
        <v>1</v>
      </c>
      <c r="B225" s="3">
        <f t="shared" si="7"/>
        <v>2018</v>
      </c>
      <c r="C225" s="423">
        <f>+CURVELOAD!A230</f>
        <v>43374</v>
      </c>
      <c r="D225" s="467">
        <f>+IF($E$2&gt;0,$E$2,CURVELOAD!B230)</f>
        <v>7.225893682517702E-2</v>
      </c>
      <c r="E225" s="468">
        <f t="shared" ca="1" si="8"/>
        <v>0.27381462639835003</v>
      </c>
      <c r="F225" s="472">
        <f>+CURVELOAD!C230+CURVELOAD!E230+CURVELOAD!F230</f>
        <v>4.21</v>
      </c>
      <c r="G225" s="421"/>
      <c r="H225" s="421"/>
      <c r="I225" s="421"/>
      <c r="J225" s="421"/>
    </row>
    <row r="226" spans="1:10" x14ac:dyDescent="0.2">
      <c r="A226">
        <v>1</v>
      </c>
      <c r="B226" s="3">
        <f t="shared" si="7"/>
        <v>2018</v>
      </c>
      <c r="C226" s="423">
        <f>+CURVELOAD!A231</f>
        <v>43405</v>
      </c>
      <c r="D226" s="467">
        <f>+IF($E$2&gt;0,$E$2,CURVELOAD!B231)</f>
        <v>7.2258608162856022E-2</v>
      </c>
      <c r="E226" s="468">
        <f t="shared" ca="1" si="8"/>
        <v>0.27222442564486038</v>
      </c>
      <c r="F226" s="472">
        <f>+CURVELOAD!C231+CURVELOAD!E231+CURVELOAD!F231</f>
        <v>4.2440000000000007</v>
      </c>
      <c r="G226" s="421"/>
      <c r="H226" s="421"/>
      <c r="I226" s="421"/>
      <c r="J226" s="421"/>
    </row>
    <row r="227" spans="1:10" x14ac:dyDescent="0.2">
      <c r="A227">
        <v>1</v>
      </c>
      <c r="B227" s="3">
        <f t="shared" si="7"/>
        <v>2018</v>
      </c>
      <c r="C227" s="423">
        <f>+CURVELOAD!A232</f>
        <v>43435</v>
      </c>
      <c r="D227" s="467">
        <f>+IF($E$2&gt;0,$E$2,CURVELOAD!B232)</f>
        <v>7.2258290102545017E-2</v>
      </c>
      <c r="E227" s="468">
        <f t="shared" ca="1" si="8"/>
        <v>0.27059083082529101</v>
      </c>
      <c r="F227" s="472">
        <f>+CURVELOAD!C232+CURVELOAD!E232+CURVELOAD!F232</f>
        <v>4.3040000000000003</v>
      </c>
      <c r="G227" s="421"/>
      <c r="H227" s="421"/>
      <c r="I227" s="421"/>
      <c r="J227" s="421"/>
    </row>
    <row r="228" spans="1:10" x14ac:dyDescent="0.2">
      <c r="A228">
        <v>1</v>
      </c>
      <c r="B228" s="3">
        <f t="shared" si="7"/>
        <v>2019</v>
      </c>
      <c r="C228" s="423">
        <f>+CURVELOAD!A233</f>
        <v>43466</v>
      </c>
      <c r="D228" s="467">
        <f>+IF($E$2&gt;0,$E$2,CURVELOAD!B233)</f>
        <v>7.2257961440222992E-2</v>
      </c>
      <c r="E228" s="468">
        <f t="shared" ca="1" si="8"/>
        <v>0.26896710399379109</v>
      </c>
      <c r="F228" s="472">
        <f>+CURVELOAD!C233+CURVELOAD!E233+CURVELOAD!F233</f>
        <v>4.5069999999999997</v>
      </c>
      <c r="G228" s="421"/>
      <c r="H228" s="421"/>
      <c r="I228" s="421"/>
      <c r="J228" s="421"/>
    </row>
    <row r="229" spans="1:10" x14ac:dyDescent="0.2">
      <c r="A229">
        <v>1</v>
      </c>
      <c r="B229" s="3">
        <f t="shared" si="7"/>
        <v>2019</v>
      </c>
      <c r="C229" s="423">
        <f>+CURVELOAD!A234</f>
        <v>43497</v>
      </c>
      <c r="D229" s="467">
        <f>+IF($E$2&gt;0,$E$2,CURVELOAD!B234)</f>
        <v>7.2257632777902009E-2</v>
      </c>
      <c r="E229" s="468">
        <f t="shared" ca="1" si="8"/>
        <v>0.26750905326977137</v>
      </c>
      <c r="F229" s="472">
        <f>+CURVELOAD!C234+CURVELOAD!E234+CURVELOAD!F234</f>
        <v>4.4410000000000007</v>
      </c>
      <c r="G229" s="421"/>
      <c r="H229" s="421"/>
      <c r="I229" s="421"/>
      <c r="J229" s="421"/>
    </row>
    <row r="230" spans="1:10" x14ac:dyDescent="0.2">
      <c r="A230">
        <v>1</v>
      </c>
      <c r="B230" s="3">
        <f t="shared" si="7"/>
        <v>2019</v>
      </c>
      <c r="C230" s="423">
        <f>+CURVELOAD!A235</f>
        <v>43525</v>
      </c>
      <c r="D230" s="467">
        <f>+IF($E$2&gt;0,$E$2,CURVELOAD!B235)</f>
        <v>7.2257335921611016E-2</v>
      </c>
      <c r="E230" s="468">
        <f t="shared" ca="1" si="8"/>
        <v>0.26590369479610937</v>
      </c>
      <c r="F230" s="472">
        <f>+CURVELOAD!C235+CURVELOAD!E235+CURVELOAD!F235</f>
        <v>4.3490000000000002</v>
      </c>
      <c r="G230" s="421"/>
      <c r="H230" s="421"/>
      <c r="I230" s="421"/>
      <c r="J230" s="421"/>
    </row>
    <row r="231" spans="1:10" x14ac:dyDescent="0.2">
      <c r="A231">
        <v>1</v>
      </c>
      <c r="B231" s="3">
        <f t="shared" si="7"/>
        <v>2019</v>
      </c>
      <c r="C231" s="423">
        <f>+CURVELOAD!A236</f>
        <v>43556</v>
      </c>
      <c r="D231" s="467">
        <f>+IF($E$2&gt;0,$E$2,CURVELOAD!B236)</f>
        <v>7.2257007259290018E-2</v>
      </c>
      <c r="E231" s="468">
        <f t="shared" ca="1" si="8"/>
        <v>0.26435950563962302</v>
      </c>
      <c r="F231" s="472">
        <f>+CURVELOAD!C236+CURVELOAD!E236+CURVELOAD!F236</f>
        <v>4.2569999999999997</v>
      </c>
      <c r="G231" s="421"/>
      <c r="H231" s="421"/>
      <c r="I231" s="421"/>
      <c r="J231" s="421"/>
    </row>
    <row r="232" spans="1:10" x14ac:dyDescent="0.2">
      <c r="A232">
        <v>1</v>
      </c>
      <c r="B232" s="3">
        <f t="shared" si="7"/>
        <v>2019</v>
      </c>
      <c r="C232" s="423">
        <f>+CURVELOAD!A237</f>
        <v>43586</v>
      </c>
      <c r="D232" s="467">
        <f>+IF($E$2&gt;0,$E$2,CURVELOAD!B237)</f>
        <v>7.2256689198979013E-2</v>
      </c>
      <c r="E232" s="468">
        <f t="shared" ca="1" si="8"/>
        <v>0.26277317532056671</v>
      </c>
      <c r="F232" s="472">
        <f>+CURVELOAD!C237+CURVELOAD!E237+CURVELOAD!F237</f>
        <v>4.258</v>
      </c>
      <c r="G232" s="421"/>
      <c r="H232" s="421"/>
      <c r="I232" s="421"/>
      <c r="J232" s="421"/>
    </row>
    <row r="233" spans="1:10" x14ac:dyDescent="0.2">
      <c r="A233">
        <v>1</v>
      </c>
      <c r="B233" s="3">
        <f t="shared" si="7"/>
        <v>2019</v>
      </c>
      <c r="C233" s="423">
        <f>+CURVELOAD!A238</f>
        <v>43617</v>
      </c>
      <c r="D233" s="467">
        <f>+IF($E$2&gt;0,$E$2,CURVELOAD!B238)</f>
        <v>7.2256360536658015E-2</v>
      </c>
      <c r="E233" s="468">
        <f t="shared" ca="1" si="8"/>
        <v>0.26124719334138169</v>
      </c>
      <c r="F233" s="472">
        <f>+CURVELOAD!C238+CURVELOAD!E238+CURVELOAD!F238</f>
        <v>4.3040000000000003</v>
      </c>
      <c r="G233" s="421"/>
      <c r="H233" s="421"/>
      <c r="I233" s="421"/>
      <c r="J233" s="421"/>
    </row>
    <row r="234" spans="1:10" x14ac:dyDescent="0.2">
      <c r="A234">
        <v>1</v>
      </c>
      <c r="B234" s="3">
        <f t="shared" si="7"/>
        <v>2019</v>
      </c>
      <c r="C234" s="423">
        <f>+CURVELOAD!A239</f>
        <v>43647</v>
      </c>
      <c r="D234" s="467">
        <f>+IF($E$2&gt;0,$E$2,CURVELOAD!B239)</f>
        <v>7.225604247634701E-2</v>
      </c>
      <c r="E234" s="468">
        <f t="shared" ca="1" si="8"/>
        <v>0.25967956600628034</v>
      </c>
      <c r="F234" s="472">
        <f>+CURVELOAD!C239+CURVELOAD!E239+CURVELOAD!F239</f>
        <v>4.3040000000000003</v>
      </c>
      <c r="G234" s="421"/>
      <c r="H234" s="421"/>
      <c r="I234" s="421"/>
      <c r="J234" s="421"/>
    </row>
    <row r="235" spans="1:10" x14ac:dyDescent="0.2">
      <c r="A235">
        <v>1</v>
      </c>
      <c r="B235" s="3">
        <f t="shared" si="7"/>
        <v>2019</v>
      </c>
      <c r="C235" s="423">
        <f>+CURVELOAD!A240</f>
        <v>43678</v>
      </c>
      <c r="D235" s="467">
        <f>+IF($E$2&gt;0,$E$2,CURVELOAD!B240)</f>
        <v>7.2255713814024999E-2</v>
      </c>
      <c r="E235" s="468">
        <f t="shared" ca="1" si="8"/>
        <v>0.25812140914456</v>
      </c>
      <c r="F235" s="472">
        <f>+CURVELOAD!C240+CURVELOAD!E240+CURVELOAD!F240</f>
        <v>4.3640000000000008</v>
      </c>
      <c r="G235" s="421"/>
      <c r="H235" s="421"/>
      <c r="I235" s="421"/>
      <c r="J235" s="421"/>
    </row>
    <row r="236" spans="1:10" x14ac:dyDescent="0.2">
      <c r="A236">
        <v>1</v>
      </c>
      <c r="B236" s="3">
        <f t="shared" si="7"/>
        <v>2019</v>
      </c>
      <c r="C236" s="423">
        <f>+CURVELOAD!A241</f>
        <v>43709</v>
      </c>
      <c r="D236" s="467">
        <f>+IF($E$2&gt;0,$E$2,CURVELOAD!B241)</f>
        <v>7.2255385151704016E-2</v>
      </c>
      <c r="E236" s="468">
        <f t="shared" ca="1" si="8"/>
        <v>0.25662248134736237</v>
      </c>
      <c r="F236" s="472">
        <f>+CURVELOAD!C241+CURVELOAD!E241+CURVELOAD!F241</f>
        <v>4.3380000000000001</v>
      </c>
      <c r="G236" s="421"/>
      <c r="H236" s="421"/>
      <c r="I236" s="421"/>
      <c r="J236" s="421"/>
    </row>
    <row r="237" spans="1:10" x14ac:dyDescent="0.2">
      <c r="A237">
        <v>1</v>
      </c>
      <c r="B237" s="3">
        <f t="shared" si="7"/>
        <v>2019</v>
      </c>
      <c r="C237" s="423">
        <f>+CURVELOAD!A242</f>
        <v>43739</v>
      </c>
      <c r="D237" s="467">
        <f>+IF($E$2&gt;0,$E$2,CURVELOAD!B242)</f>
        <v>7.2255067091394024E-2</v>
      </c>
      <c r="E237" s="468">
        <f t="shared" ca="1" si="8"/>
        <v>0.25508264494075816</v>
      </c>
      <c r="F237" s="472">
        <f>+CURVELOAD!C242+CURVELOAD!E242+CURVELOAD!F242</f>
        <v>4.3419999999999996</v>
      </c>
      <c r="G237" s="421"/>
      <c r="H237" s="421"/>
      <c r="I237" s="421"/>
      <c r="J237" s="421"/>
    </row>
    <row r="238" spans="1:10" x14ac:dyDescent="0.2">
      <c r="A238">
        <v>1</v>
      </c>
      <c r="B238" s="3">
        <f t="shared" si="7"/>
        <v>2019</v>
      </c>
      <c r="C238" s="423">
        <f>+CURVELOAD!A243</f>
        <v>43770</v>
      </c>
      <c r="D238" s="467">
        <f>+IF($E$2&gt;0,$E$2,CURVELOAD!B243)</f>
        <v>7.2254738429072027E-2</v>
      </c>
      <c r="E238" s="468">
        <f t="shared" ca="1" si="8"/>
        <v>0.25360138988127301</v>
      </c>
      <c r="F238" s="472">
        <f>+CURVELOAD!C243+CURVELOAD!E243+CURVELOAD!F243</f>
        <v>4.3710000000000004</v>
      </c>
      <c r="G238" s="421"/>
      <c r="H238" s="421"/>
      <c r="I238" s="421"/>
      <c r="J238" s="421"/>
    </row>
    <row r="239" spans="1:10" x14ac:dyDescent="0.2">
      <c r="A239">
        <v>1</v>
      </c>
      <c r="B239" s="3">
        <f t="shared" si="7"/>
        <v>2019</v>
      </c>
      <c r="C239" s="423">
        <f>+CURVELOAD!A244</f>
        <v>43800</v>
      </c>
      <c r="D239" s="467">
        <f>+IF($E$2&gt;0,$E$2,CURVELOAD!B244)</f>
        <v>7.2254420368762007E-2</v>
      </c>
      <c r="E239" s="468">
        <f t="shared" ca="1" si="8"/>
        <v>0.25207970749645681</v>
      </c>
      <c r="F239" s="472">
        <f>+CURVELOAD!C244+CURVELOAD!E244+CURVELOAD!F244</f>
        <v>4.4279999999999999</v>
      </c>
      <c r="G239" s="421"/>
      <c r="H239" s="421"/>
      <c r="I239" s="421"/>
      <c r="J239" s="421"/>
    </row>
    <row r="240" spans="1:10" x14ac:dyDescent="0.2">
      <c r="A240">
        <v>1</v>
      </c>
      <c r="B240" s="3">
        <f t="shared" si="7"/>
        <v>2020</v>
      </c>
      <c r="C240" s="423">
        <f>+CURVELOAD!A245</f>
        <v>43831</v>
      </c>
      <c r="D240" s="467">
        <f>+IF($E$2&gt;0,$E$2,CURVELOAD!B245)</f>
        <v>7.2254091706440995E-2</v>
      </c>
      <c r="E240" s="468">
        <f t="shared" ca="1" si="8"/>
        <v>0.25056721870005921</v>
      </c>
      <c r="F240" s="472">
        <f>+CURVELOAD!C245+CURVELOAD!E245+CURVELOAD!F245</f>
        <v>4.6340000000000003</v>
      </c>
      <c r="G240" s="421"/>
      <c r="H240" s="421"/>
      <c r="I240" s="421"/>
      <c r="J240" s="421"/>
    </row>
    <row r="241" spans="1:10" x14ac:dyDescent="0.2">
      <c r="A241">
        <v>1</v>
      </c>
      <c r="B241" s="3">
        <f t="shared" si="7"/>
        <v>2020</v>
      </c>
      <c r="C241" s="423">
        <f>+CURVELOAD!A246</f>
        <v>43862</v>
      </c>
      <c r="D241" s="467">
        <f>+IF($E$2&gt;0,$E$2,CURVELOAD!B246)</f>
        <v>7.2253763044119998E-2</v>
      </c>
      <c r="E241" s="468">
        <f t="shared" ca="1" si="8"/>
        <v>0.24916063852072134</v>
      </c>
      <c r="F241" s="472">
        <f>+CURVELOAD!C246+CURVELOAD!E246+CURVELOAD!F246</f>
        <v>4.5720000000000001</v>
      </c>
      <c r="G241" s="421"/>
      <c r="H241" s="421"/>
      <c r="I241" s="421"/>
      <c r="J241" s="421"/>
    </row>
    <row r="242" spans="1:10" x14ac:dyDescent="0.2">
      <c r="A242">
        <v>1</v>
      </c>
      <c r="B242" s="3">
        <f t="shared" si="7"/>
        <v>2020</v>
      </c>
      <c r="C242" s="423">
        <f>+CURVELOAD!A247</f>
        <v>43891</v>
      </c>
      <c r="D242" s="467">
        <f>+IF($E$2&gt;0,$E$2,CURVELOAD!B247)</f>
        <v>7.2253455585820012E-2</v>
      </c>
      <c r="E242" s="468">
        <f t="shared" ca="1" si="8"/>
        <v>0.24766559084012488</v>
      </c>
      <c r="F242" s="472">
        <f>+CURVELOAD!C247+CURVELOAD!E247+CURVELOAD!F247</f>
        <v>4.4830000000000005</v>
      </c>
      <c r="G242" s="421"/>
      <c r="H242" s="421"/>
      <c r="I242" s="421"/>
      <c r="J242" s="421"/>
    </row>
    <row r="243" spans="1:10" x14ac:dyDescent="0.2">
      <c r="A243">
        <v>1</v>
      </c>
      <c r="B243" s="3">
        <f t="shared" si="7"/>
        <v>2020</v>
      </c>
      <c r="C243" s="423">
        <f>+CURVELOAD!A248</f>
        <v>43922</v>
      </c>
      <c r="D243" s="467">
        <f>+IF($E$2&gt;0,$E$2,CURVELOAD!B248)</f>
        <v>7.2253126923498001E-2</v>
      </c>
      <c r="E243" s="468">
        <f t="shared" ca="1" si="8"/>
        <v>0.2462274702862953</v>
      </c>
      <c r="F243" s="472">
        <f>+CURVELOAD!C248+CURVELOAD!E248+CURVELOAD!F248</f>
        <v>4.3940000000000001</v>
      </c>
      <c r="G243" s="421"/>
      <c r="H243" s="421"/>
      <c r="I243" s="421"/>
      <c r="J243" s="421"/>
    </row>
    <row r="244" spans="1:10" x14ac:dyDescent="0.2">
      <c r="A244">
        <v>1</v>
      </c>
      <c r="B244" s="3">
        <f t="shared" si="7"/>
        <v>2020</v>
      </c>
      <c r="C244" s="423">
        <f>+CURVELOAD!A249</f>
        <v>43952</v>
      </c>
      <c r="D244" s="467">
        <f>+IF($E$2&gt;0,$E$2,CURVELOAD!B249)</f>
        <v>7.2252808863188009E-2</v>
      </c>
      <c r="E244" s="468">
        <f t="shared" ca="1" si="8"/>
        <v>0.24475009714745596</v>
      </c>
      <c r="F244" s="472">
        <f>+CURVELOAD!C249+CURVELOAD!E249+CURVELOAD!F249</f>
        <v>4.3959999999999999</v>
      </c>
      <c r="G244" s="421"/>
      <c r="H244" s="421"/>
      <c r="I244" s="421"/>
      <c r="J244" s="421"/>
    </row>
    <row r="245" spans="1:10" x14ac:dyDescent="0.2">
      <c r="A245">
        <v>1</v>
      </c>
      <c r="B245" s="3">
        <f t="shared" si="7"/>
        <v>2020</v>
      </c>
      <c r="C245" s="423">
        <f>+CURVELOAD!A250</f>
        <v>43983</v>
      </c>
      <c r="D245" s="467">
        <f>+IF($E$2&gt;0,$E$2,CURVELOAD!B250)</f>
        <v>7.2252480200867025E-2</v>
      </c>
      <c r="E245" s="468">
        <f t="shared" ca="1" si="8"/>
        <v>0.24332893136557818</v>
      </c>
      <c r="F245" s="472">
        <f>+CURVELOAD!C250+CURVELOAD!E250+CURVELOAD!F250</f>
        <v>4.4430000000000005</v>
      </c>
      <c r="G245" s="421"/>
      <c r="H245" s="421"/>
      <c r="I245" s="421"/>
      <c r="J245" s="421"/>
    </row>
    <row r="246" spans="1:10" x14ac:dyDescent="0.2">
      <c r="A246">
        <v>1</v>
      </c>
      <c r="B246" s="3">
        <f t="shared" si="7"/>
        <v>2020</v>
      </c>
      <c r="C246" s="423">
        <f>+CURVELOAD!A251</f>
        <v>44013</v>
      </c>
      <c r="D246" s="467">
        <f>+IF($E$2&gt;0,$E$2,CURVELOAD!B251)</f>
        <v>7.2252162140557005E-2</v>
      </c>
      <c r="E246" s="468">
        <f t="shared" ca="1" si="8"/>
        <v>0.24186897477166464</v>
      </c>
      <c r="F246" s="472">
        <f>+CURVELOAD!C251+CURVELOAD!E251+CURVELOAD!F251</f>
        <v>4.4430000000000005</v>
      </c>
      <c r="G246" s="421"/>
      <c r="H246" s="421"/>
      <c r="I246" s="421"/>
      <c r="J246" s="421"/>
    </row>
    <row r="247" spans="1:10" x14ac:dyDescent="0.2">
      <c r="A247">
        <v>1</v>
      </c>
      <c r="B247" s="3">
        <f t="shared" si="7"/>
        <v>2020</v>
      </c>
      <c r="C247" s="423">
        <f>+CURVELOAD!A252</f>
        <v>44044</v>
      </c>
      <c r="D247" s="467">
        <f>+IF($E$2&gt;0,$E$2,CURVELOAD!B252)</f>
        <v>7.2251212003724016E-2</v>
      </c>
      <c r="E247" s="468">
        <f t="shared" ca="1" si="8"/>
        <v>0.24042073568924183</v>
      </c>
      <c r="F247" s="472">
        <f>+CURVELOAD!C252+CURVELOAD!E252+CURVELOAD!F252</f>
        <v>4.5030000000000001</v>
      </c>
      <c r="G247" s="421"/>
      <c r="H247" s="421"/>
      <c r="I247" s="421"/>
      <c r="J247" s="421"/>
    </row>
    <row r="248" spans="1:10" x14ac:dyDescent="0.2">
      <c r="A248">
        <v>1</v>
      </c>
      <c r="B248" s="3">
        <f t="shared" si="7"/>
        <v>2020</v>
      </c>
      <c r="C248" s="423">
        <f>+CURVELOAD!A253</f>
        <v>44075</v>
      </c>
      <c r="D248" s="467">
        <f>+IF($E$2&gt;0,$E$2,CURVELOAD!B253)</f>
        <v>7.2247030199431003E-2</v>
      </c>
      <c r="E248" s="468">
        <f t="shared" ca="1" si="8"/>
        <v>0.23904268253722982</v>
      </c>
      <c r="F248" s="472">
        <f>+CURVELOAD!C253+CURVELOAD!E253+CURVELOAD!F253</f>
        <v>4.476</v>
      </c>
      <c r="G248" s="421"/>
      <c r="H248" s="421"/>
      <c r="I248" s="421"/>
      <c r="J248" s="421"/>
    </row>
    <row r="249" spans="1:10" x14ac:dyDescent="0.2">
      <c r="A249">
        <v>1</v>
      </c>
      <c r="B249" s="3">
        <f t="shared" si="7"/>
        <v>2020</v>
      </c>
      <c r="C249" s="423">
        <f>+CURVELOAD!A254</f>
        <v>44105</v>
      </c>
      <c r="D249" s="467">
        <f>+IF($E$2&gt;0,$E$2,CURVELOAD!B254)</f>
        <v>7.2242983292057014E-2</v>
      </c>
      <c r="E249" s="468">
        <f t="shared" ca="1" si="8"/>
        <v>0.23762588360975126</v>
      </c>
      <c r="F249" s="472">
        <f>+CURVELOAD!C254+CURVELOAD!E254+CURVELOAD!F254</f>
        <v>4.4790000000000001</v>
      </c>
      <c r="G249" s="421"/>
      <c r="H249" s="421"/>
      <c r="I249" s="421"/>
      <c r="J249" s="421"/>
    </row>
    <row r="250" spans="1:10" x14ac:dyDescent="0.2">
      <c r="A250">
        <v>1</v>
      </c>
      <c r="B250" s="3">
        <f t="shared" si="7"/>
        <v>2020</v>
      </c>
      <c r="C250" s="423">
        <f>+CURVELOAD!A255</f>
        <v>44136</v>
      </c>
      <c r="D250" s="467">
        <f>+IF($E$2&gt;0,$E$2,CURVELOAD!B255)</f>
        <v>7.2238801487776005E-2</v>
      </c>
      <c r="E250" s="468">
        <f t="shared" ca="1" si="8"/>
        <v>0.23626416354905896</v>
      </c>
      <c r="F250" s="472">
        <f>+CURVELOAD!C255+CURVELOAD!E255+CURVELOAD!F255</f>
        <v>4.5030000000000001</v>
      </c>
      <c r="G250" s="421"/>
      <c r="H250" s="421"/>
      <c r="I250" s="421"/>
      <c r="J250" s="421"/>
    </row>
    <row r="251" spans="1:10" x14ac:dyDescent="0.2">
      <c r="A251">
        <v>1</v>
      </c>
      <c r="B251" s="3">
        <f t="shared" si="7"/>
        <v>2020</v>
      </c>
      <c r="C251" s="423">
        <f>+CURVELOAD!A256</f>
        <v>44166</v>
      </c>
      <c r="D251" s="467">
        <f>+IF($E$2&gt;0,$E$2,CURVELOAD!B256)</f>
        <v>7.2234754580412008E-2</v>
      </c>
      <c r="E251" s="468">
        <f t="shared" ca="1" si="8"/>
        <v>0.23486414440957354</v>
      </c>
      <c r="F251" s="472">
        <f>+CURVELOAD!C256+CURVELOAD!E256+CURVELOAD!F256</f>
        <v>4.5570000000000004</v>
      </c>
      <c r="G251" s="421"/>
      <c r="H251" s="421"/>
      <c r="I251" s="421"/>
      <c r="J251" s="421"/>
    </row>
    <row r="252" spans="1:10" x14ac:dyDescent="0.2">
      <c r="A252">
        <v>1</v>
      </c>
      <c r="B252" s="3">
        <f t="shared" si="7"/>
        <v>2021</v>
      </c>
      <c r="C252" s="423">
        <f>+CURVELOAD!A257</f>
        <v>44197</v>
      </c>
      <c r="D252" s="467">
        <f>+IF($E$2&gt;0,$E$2,CURVELOAD!B257)</f>
        <v>7.2230572776142019E-2</v>
      </c>
      <c r="E252" s="468">
        <f t="shared" ca="1" si="8"/>
        <v>0.23347319929445809</v>
      </c>
      <c r="F252" s="472">
        <f>+CURVELOAD!C257+CURVELOAD!E257+CURVELOAD!F257</f>
        <v>4.766</v>
      </c>
      <c r="G252" s="421"/>
      <c r="H252" s="421"/>
      <c r="I252" s="421"/>
      <c r="J252" s="421"/>
    </row>
    <row r="253" spans="1:10" x14ac:dyDescent="0.2">
      <c r="A253">
        <v>1</v>
      </c>
      <c r="B253" s="3">
        <f t="shared" si="7"/>
        <v>2021</v>
      </c>
      <c r="C253" s="423">
        <f>+CURVELOAD!A258</f>
        <v>44228</v>
      </c>
      <c r="D253" s="467">
        <f>+IF($E$2&gt;0,$E$2,CURVELOAD!B258)</f>
        <v>7.222639097187801E-2</v>
      </c>
      <c r="E253" s="468">
        <f t="shared" ca="1" si="8"/>
        <v>0.23222594681437408</v>
      </c>
      <c r="F253" s="472">
        <f>+CURVELOAD!C258+CURVELOAD!E258+CURVELOAD!F258</f>
        <v>4.7080000000000002</v>
      </c>
      <c r="G253" s="421"/>
      <c r="H253" s="421"/>
      <c r="I253" s="421"/>
      <c r="J253" s="421"/>
    </row>
    <row r="254" spans="1:10" x14ac:dyDescent="0.2">
      <c r="A254">
        <v>1</v>
      </c>
      <c r="B254" s="3">
        <f t="shared" si="7"/>
        <v>2021</v>
      </c>
      <c r="C254" s="423">
        <f>+CURVELOAD!A259</f>
        <v>44256</v>
      </c>
      <c r="D254" s="467">
        <f>+IF($E$2&gt;0,$E$2,CURVELOAD!B259)</f>
        <v>7.2222613858354032E-2</v>
      </c>
      <c r="E254" s="468">
        <f t="shared" ca="1" si="8"/>
        <v>0.23084907166147242</v>
      </c>
      <c r="F254" s="472">
        <f>+CURVELOAD!C259+CURVELOAD!E259+CURVELOAD!F259</f>
        <v>4.6219999999999999</v>
      </c>
      <c r="G254" s="421"/>
      <c r="H254" s="421"/>
      <c r="I254" s="421"/>
      <c r="J254" s="421"/>
    </row>
    <row r="255" spans="1:10" x14ac:dyDescent="0.2">
      <c r="A255">
        <v>1</v>
      </c>
      <c r="B255" s="3">
        <f t="shared" si="7"/>
        <v>2021</v>
      </c>
      <c r="C255" s="423">
        <f>+CURVELOAD!A260</f>
        <v>44287</v>
      </c>
      <c r="D255" s="467">
        <f>+IF($E$2&gt;0,$E$2,CURVELOAD!B260)</f>
        <v>7.2218432054101028E-2</v>
      </c>
      <c r="E255" s="468">
        <f t="shared" ca="1" si="8"/>
        <v>0.22952694005327384</v>
      </c>
      <c r="F255" s="472">
        <f>+CURVELOAD!C260+CURVELOAD!E260+CURVELOAD!F260</f>
        <v>4.5360000000000005</v>
      </c>
      <c r="G255" s="421"/>
      <c r="H255" s="421"/>
      <c r="I255" s="421"/>
      <c r="J255" s="421"/>
    </row>
    <row r="256" spans="1:10" x14ac:dyDescent="0.2">
      <c r="A256">
        <v>1</v>
      </c>
      <c r="B256" s="3">
        <f t="shared" si="7"/>
        <v>2021</v>
      </c>
      <c r="C256" s="423">
        <f>+CURVELOAD!A261</f>
        <v>44317</v>
      </c>
      <c r="D256" s="467">
        <f>+IF($E$2&gt;0,$E$2,CURVELOAD!B261)</f>
        <v>7.2214385146765009E-2</v>
      </c>
      <c r="E256" s="468">
        <f t="shared" ca="1" si="8"/>
        <v>0.22816759267644765</v>
      </c>
      <c r="F256" s="472">
        <f>+CURVELOAD!C261+CURVELOAD!E261+CURVELOAD!F261</f>
        <v>4.5390000000000006</v>
      </c>
      <c r="G256" s="421"/>
      <c r="H256" s="421"/>
      <c r="I256" s="421"/>
      <c r="J256" s="421"/>
    </row>
    <row r="257" spans="1:10" x14ac:dyDescent="0.2">
      <c r="A257">
        <v>1</v>
      </c>
      <c r="B257" s="3">
        <f t="shared" si="7"/>
        <v>2021</v>
      </c>
      <c r="C257" s="423">
        <f>+CURVELOAD!A262</f>
        <v>44348</v>
      </c>
      <c r="D257" s="467">
        <f>+IF($E$2&gt;0,$E$2,CURVELOAD!B262)</f>
        <v>7.2210203342522997E-2</v>
      </c>
      <c r="E257" s="468">
        <f t="shared" ca="1" si="8"/>
        <v>0.22686111956168656</v>
      </c>
      <c r="F257" s="472">
        <f>+CURVELOAD!C262+CURVELOAD!E262+CURVELOAD!F262</f>
        <v>4.5869999999999997</v>
      </c>
      <c r="G257" s="421"/>
      <c r="H257" s="421"/>
      <c r="I257" s="421"/>
      <c r="J257" s="421"/>
    </row>
    <row r="258" spans="1:10" x14ac:dyDescent="0.2">
      <c r="A258">
        <v>1</v>
      </c>
      <c r="B258" s="3">
        <f t="shared" si="7"/>
        <v>2021</v>
      </c>
      <c r="C258" s="423">
        <f>+CURVELOAD!A263</f>
        <v>44378</v>
      </c>
      <c r="D258" s="467">
        <f>+IF($E$2&gt;0,$E$2,CURVELOAD!B263)</f>
        <v>7.220615643519801E-2</v>
      </c>
      <c r="E258" s="468">
        <f t="shared" ca="1" si="8"/>
        <v>0.22551785940021532</v>
      </c>
      <c r="F258" s="472">
        <f>+CURVELOAD!C263+CURVELOAD!E263+CURVELOAD!F263</f>
        <v>4.5869999999999997</v>
      </c>
      <c r="G258" s="421"/>
      <c r="H258" s="421"/>
      <c r="I258" s="421"/>
      <c r="J258" s="421"/>
    </row>
    <row r="259" spans="1:10" x14ac:dyDescent="0.2">
      <c r="A259">
        <v>1</v>
      </c>
      <c r="B259" s="3">
        <f t="shared" si="7"/>
        <v>2021</v>
      </c>
      <c r="C259" s="423">
        <f>+CURVELOAD!A264</f>
        <v>44409</v>
      </c>
      <c r="D259" s="467">
        <f>+IF($E$2&gt;0,$E$2,CURVELOAD!B264)</f>
        <v>7.2201974630968002E-2</v>
      </c>
      <c r="E259" s="468">
        <f t="shared" ca="1" si="8"/>
        <v>0.22418331676848011</v>
      </c>
      <c r="F259" s="472">
        <f>+CURVELOAD!C264+CURVELOAD!E264+CURVELOAD!F264</f>
        <v>4.6470000000000002</v>
      </c>
      <c r="G259" s="421"/>
      <c r="H259" s="421"/>
      <c r="I259" s="421"/>
      <c r="J259" s="421"/>
    </row>
    <row r="260" spans="1:10" x14ac:dyDescent="0.2">
      <c r="A260">
        <v>1</v>
      </c>
      <c r="B260" s="3">
        <f t="shared" si="7"/>
        <v>2021</v>
      </c>
      <c r="C260" s="423">
        <f>+CURVELOAD!A265</f>
        <v>44440</v>
      </c>
      <c r="D260" s="467">
        <f>+IF($E$2&gt;0,$E$2,CURVELOAD!B265)</f>
        <v>7.2197792826743004E-2</v>
      </c>
      <c r="E260" s="468">
        <f t="shared" ca="1" si="8"/>
        <v>0.2229001033758809</v>
      </c>
      <c r="F260" s="472">
        <f>+CURVELOAD!C265+CURVELOAD!E265+CURVELOAD!F265</f>
        <v>4.6190000000000007</v>
      </c>
      <c r="G260" s="421"/>
      <c r="H260" s="421"/>
      <c r="I260" s="421"/>
      <c r="J260" s="421"/>
    </row>
    <row r="261" spans="1:10" x14ac:dyDescent="0.2">
      <c r="A261">
        <v>1</v>
      </c>
      <c r="B261" s="3">
        <f t="shared" si="7"/>
        <v>2021</v>
      </c>
      <c r="C261" s="423">
        <f>+CURVELOAD!A266</f>
        <v>44470</v>
      </c>
      <c r="D261" s="467">
        <f>+IF($E$2&gt;0,$E$2,CURVELOAD!B266)</f>
        <v>7.2193745919435018E-2</v>
      </c>
      <c r="E261" s="468">
        <f t="shared" ca="1" si="8"/>
        <v>0.22158074003098074</v>
      </c>
      <c r="F261" s="472">
        <f>+CURVELOAD!C266+CURVELOAD!E266+CURVELOAD!F266</f>
        <v>4.6210000000000004</v>
      </c>
      <c r="G261" s="421"/>
      <c r="H261" s="421"/>
      <c r="I261" s="421"/>
      <c r="J261" s="421"/>
    </row>
    <row r="262" spans="1:10" x14ac:dyDescent="0.2">
      <c r="A262">
        <v>1</v>
      </c>
      <c r="B262" s="3">
        <f t="shared" si="7"/>
        <v>2021</v>
      </c>
      <c r="C262" s="423">
        <f>+CURVELOAD!A267</f>
        <v>44501</v>
      </c>
      <c r="D262" s="467">
        <f>+IF($E$2&gt;0,$E$2,CURVELOAD!B267)</f>
        <v>7.2189564115221011E-2</v>
      </c>
      <c r="E262" s="468">
        <f t="shared" ca="1" si="8"/>
        <v>0.22031271594416194</v>
      </c>
      <c r="F262" s="472">
        <f>+CURVELOAD!C267+CURVELOAD!E267+CURVELOAD!F267</f>
        <v>4.6399999999999997</v>
      </c>
      <c r="G262" s="421"/>
      <c r="H262" s="421"/>
      <c r="I262" s="421"/>
      <c r="J262" s="421"/>
    </row>
    <row r="263" spans="1:10" x14ac:dyDescent="0.2">
      <c r="A263">
        <v>1</v>
      </c>
      <c r="B263" s="3">
        <f t="shared" ref="B263:B312" si="9">+YEAR(C263)</f>
        <v>2021</v>
      </c>
      <c r="C263" s="423">
        <f>+CURVELOAD!A268</f>
        <v>44531</v>
      </c>
      <c r="D263" s="467">
        <f>+IF($E$2&gt;0,$E$2,CURVELOAD!B268)</f>
        <v>7.2185517207924016E-2</v>
      </c>
      <c r="E263" s="468">
        <f t="shared" ref="E263:E311" ca="1" si="10">+IF(C263&lt;TODAY(),1,1/(1+D263/2)^((C264-TODAY())/182.625))</f>
        <v>0.21900895811370932</v>
      </c>
      <c r="F263" s="472">
        <f>+CURVELOAD!C268+CURVELOAD!E268+CURVELOAD!F268</f>
        <v>4.6910000000000007</v>
      </c>
      <c r="G263" s="421"/>
      <c r="H263" s="421"/>
      <c r="I263" s="421"/>
      <c r="J263" s="421"/>
    </row>
    <row r="264" spans="1:10" x14ac:dyDescent="0.2">
      <c r="A264">
        <v>1</v>
      </c>
      <c r="B264" s="3">
        <f t="shared" si="9"/>
        <v>2022</v>
      </c>
      <c r="C264" s="423">
        <f>+CURVELOAD!A269</f>
        <v>44562</v>
      </c>
      <c r="D264" s="467">
        <f>+IF($E$2&gt;0,$E$2,CURVELOAD!B269)</f>
        <v>7.2181335403722E-2</v>
      </c>
      <c r="E264" s="468">
        <f t="shared" ca="1" si="10"/>
        <v>0.21771366943817236</v>
      </c>
      <c r="F264" s="472">
        <f>+CURVELOAD!C269+CURVELOAD!E269+CURVELOAD!F269</f>
        <v>4.9030000000000005</v>
      </c>
      <c r="G264" s="421"/>
      <c r="H264" s="421"/>
      <c r="I264" s="421"/>
      <c r="J264" s="421"/>
    </row>
    <row r="265" spans="1:10" x14ac:dyDescent="0.2">
      <c r="A265">
        <v>1</v>
      </c>
      <c r="B265" s="3">
        <f t="shared" si="9"/>
        <v>2022</v>
      </c>
      <c r="C265" s="423">
        <f>+CURVELOAD!A270</f>
        <v>44593</v>
      </c>
      <c r="D265" s="467">
        <f>+IF($E$2&gt;0,$E$2,CURVELOAD!B270)</f>
        <v>7.2177153599526006E-2</v>
      </c>
      <c r="E265" s="468">
        <f t="shared" ca="1" si="10"/>
        <v>0.21655226973441716</v>
      </c>
      <c r="F265" s="472">
        <f>+CURVELOAD!C270+CURVELOAD!E270+CURVELOAD!F270</f>
        <v>4.8490000000000002</v>
      </c>
      <c r="G265" s="421"/>
      <c r="H265" s="421"/>
      <c r="I265" s="421"/>
      <c r="J265" s="421"/>
    </row>
    <row r="266" spans="1:10" x14ac:dyDescent="0.2">
      <c r="A266">
        <v>1</v>
      </c>
      <c r="B266" s="3">
        <f t="shared" si="9"/>
        <v>2022</v>
      </c>
      <c r="C266" s="423">
        <f>+CURVELOAD!A271</f>
        <v>44621</v>
      </c>
      <c r="D266" s="467">
        <f>+IF($E$2&gt;0,$E$2,CURVELOAD!B271)</f>
        <v>7.2173376486063007E-2</v>
      </c>
      <c r="E266" s="468">
        <f t="shared" ca="1" si="10"/>
        <v>0.21526997719587812</v>
      </c>
      <c r="F266" s="472">
        <f>+CURVELOAD!C271+CURVELOAD!E271+CURVELOAD!F271</f>
        <v>4.766</v>
      </c>
      <c r="G266" s="421"/>
      <c r="H266" s="421"/>
      <c r="I266" s="421"/>
      <c r="J266" s="421"/>
    </row>
    <row r="267" spans="1:10" x14ac:dyDescent="0.2">
      <c r="A267">
        <v>1</v>
      </c>
      <c r="B267" s="3">
        <f t="shared" si="9"/>
        <v>2022</v>
      </c>
      <c r="C267" s="423">
        <f>+CURVELOAD!A272</f>
        <v>44652</v>
      </c>
      <c r="D267" s="467">
        <f>+IF($E$2&gt;0,$E$2,CURVELOAD!B272)</f>
        <v>7.2169194681878018E-2</v>
      </c>
      <c r="E267" s="468">
        <f t="shared" ca="1" si="10"/>
        <v>0.21403877020670731</v>
      </c>
      <c r="F267" s="472">
        <f>+CURVELOAD!C272+CURVELOAD!E272+CURVELOAD!F272</f>
        <v>4.6829999999999998</v>
      </c>
      <c r="G267" s="421"/>
      <c r="H267" s="421"/>
      <c r="I267" s="421"/>
      <c r="J267" s="421"/>
    </row>
    <row r="268" spans="1:10" x14ac:dyDescent="0.2">
      <c r="A268">
        <v>1</v>
      </c>
      <c r="B268" s="3">
        <f t="shared" si="9"/>
        <v>2022</v>
      </c>
      <c r="C268" s="423">
        <f>+CURVELOAD!A273</f>
        <v>44682</v>
      </c>
      <c r="D268" s="467">
        <f>+IF($E$2&gt;0,$E$2,CURVELOAD!B273)</f>
        <v>7.2165147774608016E-2</v>
      </c>
      <c r="E268" s="468">
        <f t="shared" ca="1" si="10"/>
        <v>0.2127728388727641</v>
      </c>
      <c r="F268" s="472">
        <f>+CURVELOAD!C273+CURVELOAD!E273+CURVELOAD!F273</f>
        <v>4.6870000000000003</v>
      </c>
      <c r="G268" s="421"/>
      <c r="H268" s="421"/>
      <c r="I268" s="421"/>
      <c r="J268" s="421"/>
    </row>
    <row r="269" spans="1:10" x14ac:dyDescent="0.2">
      <c r="A269">
        <v>1</v>
      </c>
      <c r="B269" s="3">
        <f t="shared" si="9"/>
        <v>2022</v>
      </c>
      <c r="C269" s="423">
        <f>+CURVELOAD!A274</f>
        <v>44713</v>
      </c>
      <c r="D269" s="467">
        <f>+IF($E$2&gt;0,$E$2,CURVELOAD!B274)</f>
        <v>7.2160965970435018E-2</v>
      </c>
      <c r="E269" s="468">
        <f t="shared" ca="1" si="10"/>
        <v>0.21155619460549618</v>
      </c>
      <c r="F269" s="472">
        <f>+CURVELOAD!C274+CURVELOAD!E274+CURVELOAD!F274</f>
        <v>4.7360000000000007</v>
      </c>
      <c r="G269" s="421"/>
      <c r="H269" s="421"/>
      <c r="I269" s="421"/>
      <c r="J269" s="421"/>
    </row>
    <row r="270" spans="1:10" x14ac:dyDescent="0.2">
      <c r="A270">
        <v>1</v>
      </c>
      <c r="B270" s="3">
        <f t="shared" si="9"/>
        <v>2022</v>
      </c>
      <c r="C270" s="423">
        <f>+CURVELOAD!A275</f>
        <v>44743</v>
      </c>
      <c r="D270" s="467">
        <f>+IF($E$2&gt;0,$E$2,CURVELOAD!B275)</f>
        <v>7.2156919063175007E-2</v>
      </c>
      <c r="E270" s="468">
        <f t="shared" ca="1" si="10"/>
        <v>0.21030522547555638</v>
      </c>
      <c r="F270" s="472">
        <f>+CURVELOAD!C275+CURVELOAD!E275+CURVELOAD!F275</f>
        <v>4.7360000000000007</v>
      </c>
      <c r="G270" s="421"/>
      <c r="H270" s="421"/>
      <c r="I270" s="421"/>
      <c r="J270" s="421"/>
    </row>
    <row r="271" spans="1:10" x14ac:dyDescent="0.2">
      <c r="A271">
        <v>1</v>
      </c>
      <c r="B271" s="3">
        <f t="shared" si="9"/>
        <v>2022</v>
      </c>
      <c r="C271" s="423">
        <f>+CURVELOAD!A276</f>
        <v>44774</v>
      </c>
      <c r="D271" s="467">
        <f>+IF($E$2&gt;0,$E$2,CURVELOAD!B276)</f>
        <v>7.2152737259013E-2</v>
      </c>
      <c r="E271" s="468">
        <f t="shared" ca="1" si="10"/>
        <v>0.20906239323068837</v>
      </c>
      <c r="F271" s="472">
        <f>+CURVELOAD!C276+CURVELOAD!E276+CURVELOAD!F276</f>
        <v>4.7960000000000003</v>
      </c>
      <c r="G271" s="421"/>
      <c r="H271" s="421"/>
      <c r="I271" s="421"/>
      <c r="J271" s="421"/>
    </row>
    <row r="272" spans="1:10" x14ac:dyDescent="0.2">
      <c r="A272">
        <v>1</v>
      </c>
      <c r="B272" s="3">
        <f t="shared" si="9"/>
        <v>2022</v>
      </c>
      <c r="C272" s="423">
        <f>+CURVELOAD!A277</f>
        <v>44805</v>
      </c>
      <c r="D272" s="467">
        <f>+IF($E$2&gt;0,$E$2,CURVELOAD!B277)</f>
        <v>7.2148555454856003E-2</v>
      </c>
      <c r="E272" s="468">
        <f t="shared" ca="1" si="10"/>
        <v>0.20786738139865049</v>
      </c>
      <c r="F272" s="472">
        <f>+CURVELOAD!C277+CURVELOAD!E277+CURVELOAD!F277</f>
        <v>4.7670000000000003</v>
      </c>
      <c r="G272" s="421"/>
      <c r="H272" s="421"/>
      <c r="I272" s="421"/>
      <c r="J272" s="421"/>
    </row>
    <row r="273" spans="1:10" x14ac:dyDescent="0.2">
      <c r="A273">
        <v>1</v>
      </c>
      <c r="B273" s="3">
        <f t="shared" si="9"/>
        <v>2022</v>
      </c>
      <c r="C273" s="423">
        <f>+CURVELOAD!A278</f>
        <v>44835</v>
      </c>
      <c r="D273" s="467">
        <f>+IF($E$2&gt;0,$E$2,CURVELOAD!B278)</f>
        <v>7.214450854761302E-2</v>
      </c>
      <c r="E273" s="468">
        <f t="shared" ca="1" si="10"/>
        <v>0.20663863835847407</v>
      </c>
      <c r="F273" s="472">
        <f>+CURVELOAD!C278+CURVELOAD!E278+CURVELOAD!F278</f>
        <v>4.7679999999999998</v>
      </c>
      <c r="G273" s="421"/>
      <c r="H273" s="421"/>
      <c r="I273" s="421"/>
      <c r="J273" s="421"/>
    </row>
    <row r="274" spans="1:10" x14ac:dyDescent="0.2">
      <c r="A274">
        <v>1</v>
      </c>
      <c r="B274" s="3">
        <f t="shared" si="9"/>
        <v>2022</v>
      </c>
      <c r="C274" s="423">
        <f>+CURVELOAD!A279</f>
        <v>44866</v>
      </c>
      <c r="D274" s="467">
        <f>+IF($E$2&gt;0,$E$2,CURVELOAD!B279)</f>
        <v>7.2140326743468014E-2</v>
      </c>
      <c r="E274" s="468">
        <f t="shared" ca="1" si="10"/>
        <v>0.20545775343515449</v>
      </c>
      <c r="F274" s="472">
        <f>+CURVELOAD!C279+CURVELOAD!E279+CURVELOAD!F279</f>
        <v>4.782</v>
      </c>
      <c r="G274" s="421"/>
      <c r="H274" s="421"/>
      <c r="I274" s="421"/>
      <c r="J274" s="421"/>
    </row>
    <row r="275" spans="1:10" x14ac:dyDescent="0.2">
      <c r="A275">
        <v>1</v>
      </c>
      <c r="B275" s="3">
        <f t="shared" si="9"/>
        <v>2022</v>
      </c>
      <c r="C275" s="423">
        <f>+CURVELOAD!A280</f>
        <v>44896</v>
      </c>
      <c r="D275" s="467">
        <f>+IF($E$2&gt;0,$E$2,CURVELOAD!B280)</f>
        <v>7.2136279836236022E-2</v>
      </c>
      <c r="E275" s="468">
        <f t="shared" ca="1" si="10"/>
        <v>0.20424352514093258</v>
      </c>
      <c r="F275" s="472">
        <f>+CURVELOAD!C280+CURVELOAD!E280+CURVELOAD!F280</f>
        <v>4.83</v>
      </c>
      <c r="G275" s="421"/>
      <c r="H275" s="421"/>
      <c r="I275" s="421"/>
      <c r="J275" s="421"/>
    </row>
    <row r="276" spans="1:10" x14ac:dyDescent="0.2">
      <c r="A276">
        <v>1</v>
      </c>
      <c r="B276" s="3">
        <f t="shared" si="9"/>
        <v>2023</v>
      </c>
      <c r="C276" s="423">
        <f>+CURVELOAD!A281</f>
        <v>44927</v>
      </c>
      <c r="D276" s="467">
        <f>+IF($E$2&gt;0,$E$2,CURVELOAD!B281)</f>
        <v>7.2132098032103006E-2</v>
      </c>
      <c r="E276" s="468">
        <f t="shared" ca="1" si="10"/>
        <v>0.20303720222362723</v>
      </c>
      <c r="F276" s="472">
        <f>+CURVELOAD!C281+CURVELOAD!E281+CURVELOAD!F281</f>
        <v>5.0449999999999999</v>
      </c>
      <c r="G276" s="421"/>
      <c r="H276" s="421"/>
      <c r="I276" s="421"/>
      <c r="J276" s="421"/>
    </row>
    <row r="277" spans="1:10" x14ac:dyDescent="0.2">
      <c r="A277">
        <v>1</v>
      </c>
      <c r="B277" s="3">
        <f t="shared" si="9"/>
        <v>2023</v>
      </c>
      <c r="C277" s="423">
        <f>+CURVELOAD!A282</f>
        <v>44958</v>
      </c>
      <c r="D277" s="467">
        <f>+IF($E$2&gt;0,$E$2,CURVELOAD!B282)</f>
        <v>7.2127916227974001E-2</v>
      </c>
      <c r="E277" s="468">
        <f t="shared" ca="1" si="10"/>
        <v>0.20195564528525475</v>
      </c>
      <c r="F277" s="472">
        <f>+CURVELOAD!C282+CURVELOAD!E282+CURVELOAD!F282</f>
        <v>4.9950000000000001</v>
      </c>
      <c r="G277" s="421"/>
      <c r="H277" s="421"/>
      <c r="I277" s="421"/>
      <c r="J277" s="421"/>
    </row>
    <row r="278" spans="1:10" x14ac:dyDescent="0.2">
      <c r="A278">
        <v>1</v>
      </c>
      <c r="B278" s="3">
        <f t="shared" si="9"/>
        <v>2023</v>
      </c>
      <c r="C278" s="423">
        <f>+CURVELOAD!A283</f>
        <v>44986</v>
      </c>
      <c r="D278" s="467">
        <f>+IF($E$2&gt;0,$E$2,CURVELOAD!B283)</f>
        <v>7.2124139114574007E-2</v>
      </c>
      <c r="E278" s="468">
        <f t="shared" ca="1" si="10"/>
        <v>0.20076132672404129</v>
      </c>
      <c r="F278" s="472">
        <f>+CURVELOAD!C283+CURVELOAD!E283+CURVELOAD!F283</f>
        <v>4.915</v>
      </c>
      <c r="G278" s="421"/>
      <c r="H278" s="421"/>
      <c r="I278" s="421"/>
      <c r="J278" s="421"/>
    </row>
    <row r="279" spans="1:10" x14ac:dyDescent="0.2">
      <c r="A279">
        <v>1</v>
      </c>
      <c r="B279" s="3">
        <f t="shared" si="9"/>
        <v>2023</v>
      </c>
      <c r="C279" s="423">
        <f>+CURVELOAD!A284</f>
        <v>45017</v>
      </c>
      <c r="D279" s="467">
        <f>+IF($E$2&gt;0,$E$2,CURVELOAD!B284)</f>
        <v>7.2119957310457006E-2</v>
      </c>
      <c r="E279" s="468">
        <f t="shared" ca="1" si="10"/>
        <v>0.19961468467818763</v>
      </c>
      <c r="F279" s="472">
        <f>+CURVELOAD!C284+CURVELOAD!E284+CURVELOAD!F284</f>
        <v>4.835</v>
      </c>
      <c r="G279" s="421"/>
      <c r="H279" s="421"/>
      <c r="I279" s="421"/>
      <c r="J279" s="421"/>
    </row>
    <row r="280" spans="1:10" x14ac:dyDescent="0.2">
      <c r="A280">
        <v>1</v>
      </c>
      <c r="B280" s="3">
        <f t="shared" si="9"/>
        <v>2023</v>
      </c>
      <c r="C280" s="423">
        <f>+CURVELOAD!A285</f>
        <v>45047</v>
      </c>
      <c r="D280" s="467">
        <f>+IF($E$2&gt;0,$E$2,CURVELOAD!B285)</f>
        <v>7.211591040325202E-2</v>
      </c>
      <c r="E280" s="468">
        <f t="shared" ca="1" si="10"/>
        <v>0.19843563987830132</v>
      </c>
      <c r="F280" s="472">
        <f>+CURVELOAD!C285+CURVELOAD!E285+CURVELOAD!F285</f>
        <v>4.84</v>
      </c>
      <c r="G280" s="421"/>
      <c r="H280" s="421"/>
      <c r="I280" s="421"/>
      <c r="J280" s="421"/>
    </row>
    <row r="281" spans="1:10" x14ac:dyDescent="0.2">
      <c r="A281">
        <v>1</v>
      </c>
      <c r="B281" s="3">
        <f t="shared" si="9"/>
        <v>2023</v>
      </c>
      <c r="C281" s="423">
        <f>+CURVELOAD!A286</f>
        <v>45078</v>
      </c>
      <c r="D281" s="467">
        <f>+IF($E$2&gt;0,$E$2,CURVELOAD!B286)</f>
        <v>7.2111728599146011E-2</v>
      </c>
      <c r="E281" s="468">
        <f t="shared" ca="1" si="10"/>
        <v>0.19730254270164613</v>
      </c>
      <c r="F281" s="472">
        <f>+CURVELOAD!C286+CURVELOAD!E286+CURVELOAD!F286</f>
        <v>4.8899999999999997</v>
      </c>
      <c r="G281" s="421"/>
      <c r="H281" s="421"/>
      <c r="I281" s="421"/>
      <c r="J281" s="421"/>
    </row>
    <row r="282" spans="1:10" x14ac:dyDescent="0.2">
      <c r="A282">
        <v>1</v>
      </c>
      <c r="B282" s="3">
        <f t="shared" si="9"/>
        <v>2023</v>
      </c>
      <c r="C282" s="423">
        <f>+CURVELOAD!A287</f>
        <v>45108</v>
      </c>
      <c r="D282" s="467">
        <f>+IF($E$2&gt;0,$E$2,CURVELOAD!B287)</f>
        <v>7.2107681691953016E-2</v>
      </c>
      <c r="E282" s="468">
        <f t="shared" ca="1" si="10"/>
        <v>0.19613741504170026</v>
      </c>
      <c r="F282" s="472">
        <f>+CURVELOAD!C287+CURVELOAD!E287+CURVELOAD!F287</f>
        <v>4.8899999999999997</v>
      </c>
      <c r="G282" s="421"/>
      <c r="H282" s="421"/>
      <c r="I282" s="421"/>
      <c r="J282" s="421"/>
    </row>
    <row r="283" spans="1:10" x14ac:dyDescent="0.2">
      <c r="A283">
        <v>1</v>
      </c>
      <c r="B283" s="3">
        <f t="shared" si="9"/>
        <v>2023</v>
      </c>
      <c r="C283" s="423">
        <f>+CURVELOAD!A288</f>
        <v>45139</v>
      </c>
      <c r="D283" s="467">
        <f>+IF($E$2&gt;0,$E$2,CURVELOAD!B288)</f>
        <v>7.2103499887857997E-2</v>
      </c>
      <c r="E283" s="468">
        <f t="shared" ca="1" si="10"/>
        <v>0.1949798830378944</v>
      </c>
      <c r="F283" s="472">
        <f>+CURVELOAD!C288+CURVELOAD!E288+CURVELOAD!F288</f>
        <v>4.95</v>
      </c>
      <c r="G283" s="421"/>
      <c r="H283" s="421"/>
      <c r="I283" s="421"/>
      <c r="J283" s="421"/>
    </row>
    <row r="284" spans="1:10" x14ac:dyDescent="0.2">
      <c r="A284">
        <v>1</v>
      </c>
      <c r="B284" s="3">
        <f t="shared" si="9"/>
        <v>2023</v>
      </c>
      <c r="C284" s="423">
        <f>+CURVELOAD!A289</f>
        <v>45170</v>
      </c>
      <c r="D284" s="467">
        <f>+IF($E$2&gt;0,$E$2,CURVELOAD!B289)</f>
        <v>7.209931808377E-2</v>
      </c>
      <c r="E284" s="468">
        <f t="shared" ca="1" si="10"/>
        <v>0.19386690669524842</v>
      </c>
      <c r="F284" s="472">
        <f>+CURVELOAD!C289+CURVELOAD!E289+CURVELOAD!F289</f>
        <v>4.92</v>
      </c>
      <c r="G284" s="421"/>
      <c r="H284" s="421"/>
      <c r="I284" s="421"/>
      <c r="J284" s="421"/>
    </row>
    <row r="285" spans="1:10" x14ac:dyDescent="0.2">
      <c r="A285">
        <v>1</v>
      </c>
      <c r="B285" s="3">
        <f t="shared" si="9"/>
        <v>2023</v>
      </c>
      <c r="C285" s="423">
        <f>+CURVELOAD!A290</f>
        <v>45200</v>
      </c>
      <c r="D285" s="467">
        <f>+IF($E$2&gt;0,$E$2,CURVELOAD!B290)</f>
        <v>7.209527117659302E-2</v>
      </c>
      <c r="E285" s="468">
        <f t="shared" ca="1" si="10"/>
        <v>0.19272245309681355</v>
      </c>
      <c r="F285" s="472">
        <f>+CURVELOAD!C290+CURVELOAD!E290+CURVELOAD!F290</f>
        <v>4.92</v>
      </c>
      <c r="G285" s="421"/>
      <c r="H285" s="421"/>
      <c r="I285" s="421"/>
      <c r="J285" s="421"/>
    </row>
    <row r="286" spans="1:10" x14ac:dyDescent="0.2">
      <c r="A286">
        <v>1</v>
      </c>
      <c r="B286" s="3">
        <f t="shared" si="9"/>
        <v>2023</v>
      </c>
      <c r="C286" s="423">
        <f>+CURVELOAD!A291</f>
        <v>45231</v>
      </c>
      <c r="D286" s="467">
        <f>+IF($E$2&gt;0,$E$2,CURVELOAD!B291)</f>
        <v>7.2091089372516015E-2</v>
      </c>
      <c r="E286" s="468">
        <f t="shared" ca="1" si="10"/>
        <v>0.1916226167742672</v>
      </c>
      <c r="F286" s="472">
        <f>+CURVELOAD!C291+CURVELOAD!E291+CURVELOAD!F291</f>
        <v>4.9290000000000003</v>
      </c>
      <c r="G286" s="421"/>
      <c r="H286" s="421"/>
      <c r="I286" s="421"/>
      <c r="J286" s="421"/>
    </row>
    <row r="287" spans="1:10" x14ac:dyDescent="0.2">
      <c r="A287">
        <v>1</v>
      </c>
      <c r="B287" s="3">
        <f t="shared" si="9"/>
        <v>2023</v>
      </c>
      <c r="C287" s="423">
        <f>+CURVELOAD!A292</f>
        <v>45261</v>
      </c>
      <c r="D287" s="467">
        <f>+IF($E$2&gt;0,$E$2,CURVELOAD!B292)</f>
        <v>7.2087042465350012E-2</v>
      </c>
      <c r="E287" s="468">
        <f t="shared" ca="1" si="10"/>
        <v>0.19049166462896941</v>
      </c>
      <c r="F287" s="472">
        <f>+CURVELOAD!C292+CURVELOAD!E292+CURVELOAD!F292</f>
        <v>4.9740000000000002</v>
      </c>
      <c r="G287" s="421"/>
      <c r="H287" s="421"/>
      <c r="I287" s="421"/>
      <c r="J287" s="421"/>
    </row>
    <row r="288" spans="1:10" x14ac:dyDescent="0.2">
      <c r="A288">
        <v>1</v>
      </c>
      <c r="B288" s="3">
        <f t="shared" si="9"/>
        <v>2024</v>
      </c>
      <c r="C288" s="423">
        <f>+CURVELOAD!A293</f>
        <v>45292</v>
      </c>
      <c r="D288" s="467">
        <f>+IF($E$2&gt;0,$E$2,CURVELOAD!B293)</f>
        <v>7.2082860661284012E-2</v>
      </c>
      <c r="E288" s="468">
        <f t="shared" ca="1" si="10"/>
        <v>0.18936809233230983</v>
      </c>
      <c r="F288" s="472">
        <f>+CURVELOAD!C293+CURVELOAD!E293+CURVELOAD!F293</f>
        <v>5.1920000000000002</v>
      </c>
      <c r="G288" s="421"/>
      <c r="H288" s="421"/>
      <c r="I288" s="421"/>
      <c r="J288" s="421"/>
    </row>
    <row r="289" spans="1:10" x14ac:dyDescent="0.2">
      <c r="A289">
        <v>1</v>
      </c>
      <c r="B289" s="3">
        <f t="shared" si="9"/>
        <v>2024</v>
      </c>
      <c r="C289" s="423">
        <f>+CURVELOAD!A294</f>
        <v>45323</v>
      </c>
      <c r="D289" s="467">
        <f>+IF($E$2&gt;0,$E$2,CURVELOAD!B294)</f>
        <v>7.2078678857224007E-2</v>
      </c>
      <c r="E289" s="468">
        <f t="shared" ca="1" si="10"/>
        <v>0.18832428208325791</v>
      </c>
      <c r="F289" s="472">
        <f>+CURVELOAD!C294+CURVELOAD!E294+CURVELOAD!F294</f>
        <v>5.1459999999999999</v>
      </c>
      <c r="G289" s="421"/>
      <c r="H289" s="421"/>
      <c r="I289" s="421"/>
      <c r="J289" s="421"/>
    </row>
    <row r="290" spans="1:10" x14ac:dyDescent="0.2">
      <c r="A290">
        <v>1</v>
      </c>
      <c r="B290" s="3">
        <f t="shared" si="9"/>
        <v>2024</v>
      </c>
      <c r="C290" s="423">
        <f>+CURVELOAD!A295</f>
        <v>45352</v>
      </c>
      <c r="D290" s="467">
        <f>+IF($E$2&gt;0,$E$2,CURVELOAD!B295)</f>
        <v>7.2074766846979013E-2</v>
      </c>
      <c r="E290" s="468">
        <f t="shared" ca="1" si="10"/>
        <v>0.18721259244826619</v>
      </c>
      <c r="F290" s="472">
        <f>+CURVELOAD!C295+CURVELOAD!E295+CURVELOAD!F295</f>
        <v>5.0690000000000008</v>
      </c>
      <c r="G290" s="421"/>
      <c r="H290" s="421"/>
      <c r="I290" s="421"/>
      <c r="J290" s="421"/>
    </row>
    <row r="291" spans="1:10" x14ac:dyDescent="0.2">
      <c r="A291">
        <v>1</v>
      </c>
      <c r="B291" s="3">
        <f t="shared" si="9"/>
        <v>2024</v>
      </c>
      <c r="C291" s="423">
        <f>+CURVELOAD!A296</f>
        <v>45383</v>
      </c>
      <c r="D291" s="467">
        <f>+IF($E$2&gt;0,$E$2,CURVELOAD!B296)</f>
        <v>7.2070585042931012E-2</v>
      </c>
      <c r="E291" s="468">
        <f t="shared" ca="1" si="10"/>
        <v>0.18614481545623837</v>
      </c>
      <c r="F291" s="472">
        <f>+CURVELOAD!C296+CURVELOAD!E296+CURVELOAD!F296</f>
        <v>4.992</v>
      </c>
      <c r="G291" s="421"/>
      <c r="H291" s="421"/>
      <c r="I291" s="421"/>
      <c r="J291" s="421"/>
    </row>
    <row r="292" spans="1:10" x14ac:dyDescent="0.2">
      <c r="A292">
        <v>1</v>
      </c>
      <c r="B292" s="3">
        <f t="shared" si="9"/>
        <v>2024</v>
      </c>
      <c r="C292" s="423">
        <f>+CURVELOAD!A297</f>
        <v>45413</v>
      </c>
      <c r="D292" s="467">
        <f>+IF($E$2&gt;0,$E$2,CURVELOAD!B297)</f>
        <v>7.2066538135792016E-2</v>
      </c>
      <c r="E292" s="468">
        <f t="shared" ca="1" si="10"/>
        <v>0.18504680496452733</v>
      </c>
      <c r="F292" s="472">
        <f>+CURVELOAD!C297+CURVELOAD!E297+CURVELOAD!F297</f>
        <v>4.9980000000000002</v>
      </c>
      <c r="G292" s="421"/>
      <c r="H292" s="421"/>
      <c r="I292" s="421"/>
      <c r="J292" s="421"/>
    </row>
    <row r="293" spans="1:10" x14ac:dyDescent="0.2">
      <c r="A293">
        <v>1</v>
      </c>
      <c r="B293" s="3">
        <f t="shared" si="9"/>
        <v>2024</v>
      </c>
      <c r="C293" s="423">
        <f>+CURVELOAD!A298</f>
        <v>45444</v>
      </c>
      <c r="D293" s="467">
        <f>+IF($E$2&gt;0,$E$2,CURVELOAD!B298)</f>
        <v>7.2062356331754007E-2</v>
      </c>
      <c r="E293" s="468">
        <f t="shared" ca="1" si="10"/>
        <v>0.18399162478601366</v>
      </c>
      <c r="F293" s="472">
        <f>+CURVELOAD!C298+CURVELOAD!E298+CURVELOAD!F298</f>
        <v>0</v>
      </c>
      <c r="G293" s="421"/>
      <c r="H293" s="421"/>
      <c r="I293" s="421"/>
      <c r="J293" s="421"/>
    </row>
    <row r="294" spans="1:10" x14ac:dyDescent="0.2">
      <c r="A294">
        <v>1</v>
      </c>
      <c r="B294" s="3">
        <f t="shared" si="9"/>
        <v>2024</v>
      </c>
      <c r="C294" s="423">
        <f>+CURVELOAD!A299</f>
        <v>45474</v>
      </c>
      <c r="D294" s="467">
        <f>+IF($E$2&gt;0,$E$2,CURVELOAD!B299)</f>
        <v>7.2058309424627015E-2</v>
      </c>
      <c r="E294" s="468">
        <f t="shared" ca="1" si="10"/>
        <v>0.1829065579857608</v>
      </c>
      <c r="F294" s="472">
        <f>+CURVELOAD!C299+CURVELOAD!E299+CURVELOAD!F299</f>
        <v>0</v>
      </c>
      <c r="G294" s="421"/>
      <c r="H294" s="421"/>
      <c r="I294" s="421"/>
      <c r="J294" s="421"/>
    </row>
    <row r="295" spans="1:10" x14ac:dyDescent="0.2">
      <c r="A295">
        <v>1</v>
      </c>
      <c r="B295" s="3">
        <f t="shared" si="9"/>
        <v>2024</v>
      </c>
      <c r="C295" s="423">
        <f>+CURVELOAD!A300</f>
        <v>45505</v>
      </c>
      <c r="D295" s="467">
        <f>+IF($E$2&gt;0,$E$2,CURVELOAD!B300)</f>
        <v>7.2054127620601011E-2</v>
      </c>
      <c r="E295" s="468">
        <f t="shared" ca="1" si="10"/>
        <v>0.18182858097028551</v>
      </c>
      <c r="F295" s="472">
        <f>+CURVELOAD!C300+CURVELOAD!E300+CURVELOAD!F300</f>
        <v>0</v>
      </c>
      <c r="G295" s="421"/>
      <c r="H295" s="421"/>
      <c r="I295" s="421"/>
      <c r="J295" s="421"/>
    </row>
    <row r="296" spans="1:10" x14ac:dyDescent="0.2">
      <c r="A296">
        <v>1</v>
      </c>
      <c r="B296" s="3">
        <f t="shared" si="9"/>
        <v>2024</v>
      </c>
      <c r="C296" s="423">
        <f>+CURVELOAD!A301</f>
        <v>45536</v>
      </c>
      <c r="D296" s="467">
        <f>+IF($E$2&gt;0,$E$2,CURVELOAD!B301)</f>
        <v>7.2049945816581029E-2</v>
      </c>
      <c r="E296" s="468">
        <f t="shared" ca="1" si="10"/>
        <v>0.18079211365279124</v>
      </c>
      <c r="F296" s="472">
        <f>+CURVELOAD!C301+CURVELOAD!E301+CURVELOAD!F301</f>
        <v>0</v>
      </c>
      <c r="G296" s="421"/>
      <c r="H296" s="421"/>
      <c r="I296" s="421"/>
      <c r="J296" s="421"/>
    </row>
    <row r="297" spans="1:10" x14ac:dyDescent="0.2">
      <c r="A297">
        <v>1</v>
      </c>
      <c r="B297" s="3">
        <f t="shared" si="9"/>
        <v>2024</v>
      </c>
      <c r="C297" s="423">
        <f>+CURVELOAD!A302</f>
        <v>45566</v>
      </c>
      <c r="D297" s="467">
        <f>+IF($E$2&gt;0,$E$2,CURVELOAD!B302)</f>
        <v>7.204589890947001E-2</v>
      </c>
      <c r="E297" s="468">
        <f t="shared" ca="1" si="10"/>
        <v>0.17972627521506143</v>
      </c>
      <c r="F297" s="472">
        <f>+CURVELOAD!C302+CURVELOAD!E302+CURVELOAD!F302</f>
        <v>0</v>
      </c>
      <c r="G297" s="421"/>
      <c r="H297" s="421"/>
      <c r="I297" s="421"/>
      <c r="J297" s="421"/>
    </row>
    <row r="298" spans="1:10" x14ac:dyDescent="0.2">
      <c r="A298">
        <v>1</v>
      </c>
      <c r="B298" s="3">
        <f t="shared" si="9"/>
        <v>2024</v>
      </c>
      <c r="C298" s="423">
        <f>+CURVELOAD!A303</f>
        <v>45597</v>
      </c>
      <c r="D298" s="467">
        <f>+IF($E$2&gt;0,$E$2,CURVELOAD!B303)</f>
        <v>7.2041717105460021E-2</v>
      </c>
      <c r="E298" s="468">
        <f t="shared" ca="1" si="10"/>
        <v>0.17870202866810722</v>
      </c>
      <c r="F298" s="472">
        <f>+CURVELOAD!C303+CURVELOAD!E303+CURVELOAD!F303</f>
        <v>0</v>
      </c>
      <c r="G298" s="421"/>
      <c r="H298" s="421"/>
      <c r="I298" s="421"/>
      <c r="J298" s="421"/>
    </row>
    <row r="299" spans="1:10" x14ac:dyDescent="0.2">
      <c r="A299">
        <v>1</v>
      </c>
      <c r="B299" s="3">
        <f t="shared" si="9"/>
        <v>2024</v>
      </c>
      <c r="C299" s="423">
        <f>+CURVELOAD!A304</f>
        <v>45627</v>
      </c>
      <c r="D299" s="467">
        <f>+IF($E$2&gt;0,$E$2,CURVELOAD!B304)</f>
        <v>7.203767019836102E-2</v>
      </c>
      <c r="E299" s="468">
        <f t="shared" ca="1" si="10"/>
        <v>0.17764874779342671</v>
      </c>
      <c r="F299" s="472">
        <f>+CURVELOAD!C304+CURVELOAD!E304+CURVELOAD!F304</f>
        <v>0</v>
      </c>
      <c r="G299" s="421"/>
      <c r="H299" s="421"/>
      <c r="I299" s="421"/>
      <c r="J299" s="421"/>
    </row>
    <row r="300" spans="1:10" x14ac:dyDescent="0.2">
      <c r="A300">
        <v>1</v>
      </c>
      <c r="B300" s="3">
        <f t="shared" si="9"/>
        <v>2025</v>
      </c>
      <c r="C300" s="423">
        <f>+CURVELOAD!A305</f>
        <v>45658</v>
      </c>
      <c r="D300" s="467">
        <f>+IF($E$2&gt;0,$E$2,CURVELOAD!B305)</f>
        <v>7.2033488394363021E-2</v>
      </c>
      <c r="E300" s="468">
        <f t="shared" ca="1" si="10"/>
        <v>0.17660235555127896</v>
      </c>
      <c r="F300" s="472">
        <f>+CURVELOAD!C305+CURVELOAD!E305+CURVELOAD!F305</f>
        <v>0</v>
      </c>
      <c r="G300" s="421"/>
      <c r="H300" s="421"/>
      <c r="I300" s="421"/>
      <c r="J300" s="421"/>
    </row>
    <row r="301" spans="1:10" x14ac:dyDescent="0.2">
      <c r="A301">
        <v>1</v>
      </c>
      <c r="B301" s="3">
        <f t="shared" si="9"/>
        <v>2025</v>
      </c>
      <c r="C301" s="423">
        <f>+CURVELOAD!A306</f>
        <v>45689</v>
      </c>
      <c r="D301" s="467">
        <f>+IF($E$2&gt;0,$E$2,CURVELOAD!B306)</f>
        <v>7.2029306590371003E-2</v>
      </c>
      <c r="E301" s="468">
        <f t="shared" ca="1" si="10"/>
        <v>0.17566431569142441</v>
      </c>
      <c r="F301" s="472">
        <f>+CURVELOAD!C306+CURVELOAD!E306+CURVELOAD!F306</f>
        <v>0</v>
      </c>
      <c r="G301" s="421"/>
      <c r="H301" s="421"/>
      <c r="I301" s="421"/>
      <c r="J301" s="421"/>
    </row>
    <row r="302" spans="1:10" x14ac:dyDescent="0.2">
      <c r="A302">
        <v>1</v>
      </c>
      <c r="B302" s="3">
        <f t="shared" si="9"/>
        <v>2025</v>
      </c>
      <c r="C302" s="423">
        <f>+CURVELOAD!A307</f>
        <v>45717</v>
      </c>
      <c r="D302" s="467">
        <f>+IF($E$2&gt;0,$E$2,CURVELOAD!B307)</f>
        <v>7.2025529477093009E-2</v>
      </c>
      <c r="E302" s="468">
        <f t="shared" ca="1" si="10"/>
        <v>0.17462816346036533</v>
      </c>
      <c r="F302" s="472">
        <f>+CURVELOAD!C307+CURVELOAD!E307+CURVELOAD!F307</f>
        <v>0</v>
      </c>
      <c r="G302" s="421"/>
      <c r="H302" s="421"/>
      <c r="I302" s="421"/>
      <c r="J302" s="421"/>
    </row>
    <row r="303" spans="1:10" x14ac:dyDescent="0.2">
      <c r="A303">
        <v>1</v>
      </c>
      <c r="B303" s="3">
        <f t="shared" si="9"/>
        <v>2025</v>
      </c>
      <c r="C303" s="423">
        <f>+CURVELOAD!A308</f>
        <v>45748</v>
      </c>
      <c r="D303" s="467">
        <f>+IF($E$2&gt;0,$E$2,CURVELOAD!B308)</f>
        <v>7.202134767311201E-2</v>
      </c>
      <c r="E303" s="468">
        <f t="shared" ca="1" si="10"/>
        <v>0.17363354098225994</v>
      </c>
      <c r="F303" s="472">
        <f>+CURVELOAD!C308+CURVELOAD!E308+CURVELOAD!F308</f>
        <v>0</v>
      </c>
      <c r="G303" s="421"/>
      <c r="H303" s="421"/>
      <c r="I303" s="421"/>
      <c r="J303" s="421"/>
    </row>
    <row r="304" spans="1:10" x14ac:dyDescent="0.2">
      <c r="A304">
        <v>1</v>
      </c>
      <c r="B304" s="3">
        <f t="shared" si="9"/>
        <v>2025</v>
      </c>
      <c r="C304" s="423">
        <f>+CURVELOAD!A309</f>
        <v>45778</v>
      </c>
      <c r="D304" s="467">
        <f>+IF($E$2&gt;0,$E$2,CURVELOAD!B309)</f>
        <v>7.2017300766040029E-2</v>
      </c>
      <c r="E304" s="468">
        <f t="shared" ca="1" si="10"/>
        <v>0.17261070103878098</v>
      </c>
      <c r="F304" s="472">
        <f>+CURVELOAD!C309+CURVELOAD!E309+CURVELOAD!F309</f>
        <v>0</v>
      </c>
      <c r="G304" s="421"/>
      <c r="H304" s="421"/>
      <c r="I304" s="421"/>
      <c r="J304" s="421"/>
    </row>
    <row r="305" spans="1:10" x14ac:dyDescent="0.2">
      <c r="A305">
        <v>1</v>
      </c>
      <c r="B305" s="3">
        <f t="shared" si="9"/>
        <v>2025</v>
      </c>
      <c r="C305" s="423">
        <f>+CURVELOAD!A310</f>
        <v>45809</v>
      </c>
      <c r="D305" s="467">
        <f>+IF($E$2&gt;0,$E$2,CURVELOAD!B310)</f>
        <v>7.2013118962070022E-2</v>
      </c>
      <c r="E305" s="468">
        <f t="shared" ca="1" si="10"/>
        <v>0.17162779707121908</v>
      </c>
      <c r="F305" s="472">
        <f>+CURVELOAD!C310+CURVELOAD!E310+CURVELOAD!F310</f>
        <v>0</v>
      </c>
      <c r="G305" s="421"/>
      <c r="H305" s="421"/>
      <c r="I305" s="421"/>
      <c r="J305" s="421"/>
    </row>
    <row r="306" spans="1:10" x14ac:dyDescent="0.2">
      <c r="A306">
        <v>1</v>
      </c>
      <c r="B306" s="3">
        <f t="shared" si="9"/>
        <v>2025</v>
      </c>
      <c r="C306" s="423">
        <f>+CURVELOAD!A311</f>
        <v>45839</v>
      </c>
      <c r="D306" s="467">
        <f>+IF($E$2&gt;0,$E$2,CURVELOAD!B311)</f>
        <v>7.2009072055009005E-2</v>
      </c>
      <c r="E306" s="468">
        <f t="shared" ca="1" si="10"/>
        <v>0.17061699894768653</v>
      </c>
      <c r="F306" s="472">
        <f>+CURVELOAD!C311+CURVELOAD!E311+CURVELOAD!F311</f>
        <v>0</v>
      </c>
      <c r="G306" s="421"/>
      <c r="H306" s="421"/>
      <c r="I306" s="421"/>
      <c r="J306" s="421"/>
    </row>
    <row r="307" spans="1:10" x14ac:dyDescent="0.2">
      <c r="A307">
        <v>1</v>
      </c>
      <c r="B307" s="3">
        <f t="shared" si="9"/>
        <v>2025</v>
      </c>
      <c r="C307" s="423">
        <f>+CURVELOAD!A312</f>
        <v>45870</v>
      </c>
      <c r="D307" s="467">
        <f>+IF($E$2&gt;0,$E$2,CURVELOAD!B312)</f>
        <v>7.2004890251050016E-2</v>
      </c>
      <c r="E307" s="468">
        <f t="shared" ca="1" si="10"/>
        <v>0.16961282032151526</v>
      </c>
      <c r="F307" s="472">
        <f>+CURVELOAD!C312+CURVELOAD!E312+CURVELOAD!F312</f>
        <v>0</v>
      </c>
      <c r="G307" s="421"/>
      <c r="H307" s="421"/>
      <c r="I307" s="421"/>
      <c r="J307" s="421"/>
    </row>
    <row r="308" spans="1:10" x14ac:dyDescent="0.2">
      <c r="A308">
        <v>1</v>
      </c>
      <c r="B308" s="3">
        <f t="shared" si="9"/>
        <v>2025</v>
      </c>
      <c r="C308" s="423">
        <f>+CURVELOAD!A313</f>
        <v>45901</v>
      </c>
      <c r="D308" s="467">
        <f>+IF($E$2&gt;0,$E$2,CURVELOAD!B313)</f>
        <v>7.2000708447098008E-2</v>
      </c>
      <c r="E308" s="468">
        <f t="shared" ca="1" si="10"/>
        <v>0.1686473248083171</v>
      </c>
      <c r="F308" s="472">
        <f>+CURVELOAD!C313+CURVELOAD!E313+CURVELOAD!F313</f>
        <v>0</v>
      </c>
      <c r="G308" s="421"/>
      <c r="H308" s="421"/>
      <c r="I308" s="421"/>
      <c r="J308" s="421"/>
    </row>
    <row r="309" spans="1:10" x14ac:dyDescent="0.2">
      <c r="A309">
        <v>1</v>
      </c>
      <c r="B309" s="3">
        <f t="shared" si="9"/>
        <v>2025</v>
      </c>
      <c r="C309" s="423">
        <f>+CURVELOAD!A314</f>
        <v>45931</v>
      </c>
      <c r="D309" s="467">
        <f>+IF($E$2&gt;0,$E$2,CURVELOAD!B314)</f>
        <v>7.1996661540053006E-2</v>
      </c>
      <c r="E309" s="468">
        <f t="shared" ca="1" si="10"/>
        <v>0.16765441562427247</v>
      </c>
      <c r="F309" s="472">
        <f>+CURVELOAD!C314+CURVELOAD!E314+CURVELOAD!F314</f>
        <v>0</v>
      </c>
      <c r="G309" s="421"/>
      <c r="H309" s="421"/>
      <c r="I309" s="421"/>
      <c r="J309" s="421"/>
    </row>
    <row r="310" spans="1:10" x14ac:dyDescent="0.2">
      <c r="A310">
        <v>1</v>
      </c>
      <c r="B310" s="3">
        <f t="shared" si="9"/>
        <v>2025</v>
      </c>
      <c r="C310" s="423">
        <f>+CURVELOAD!A315</f>
        <v>45962</v>
      </c>
      <c r="D310" s="467">
        <f>+IF($E$2&gt;0,$E$2,CURVELOAD!B315)</f>
        <v>7.1992479736112003E-2</v>
      </c>
      <c r="E310" s="468">
        <f t="shared" ca="1" si="10"/>
        <v>0.1667002892332545</v>
      </c>
      <c r="F310" s="472">
        <f>+CURVELOAD!C315+CURVELOAD!E315+CURVELOAD!F315</f>
        <v>0</v>
      </c>
      <c r="G310" s="421"/>
      <c r="H310" s="421"/>
      <c r="I310" s="421"/>
      <c r="J310" s="421"/>
    </row>
    <row r="311" spans="1:10" x14ac:dyDescent="0.2">
      <c r="A311">
        <v>1</v>
      </c>
      <c r="B311" s="3">
        <f t="shared" si="9"/>
        <v>2025</v>
      </c>
      <c r="C311" s="423">
        <f>+CURVELOAD!A316</f>
        <v>45992</v>
      </c>
      <c r="D311" s="469">
        <f>+IF($E$2&gt;0,$E$2,CURVELOAD!B316)</f>
        <v>7.198843282907802E-2</v>
      </c>
      <c r="E311" s="470">
        <f t="shared" ca="1" si="10"/>
        <v>0.16571906309272233</v>
      </c>
      <c r="F311" s="473">
        <f>+CURVELOAD!C316+CURVELOAD!E316+CURVELOAD!F316</f>
        <v>0</v>
      </c>
      <c r="G311" s="421"/>
      <c r="H311" s="421"/>
      <c r="I311" s="421"/>
      <c r="J311" s="421"/>
    </row>
    <row r="312" spans="1:10" x14ac:dyDescent="0.2">
      <c r="A312">
        <v>1</v>
      </c>
      <c r="B312" s="3">
        <f t="shared" si="9"/>
        <v>2026</v>
      </c>
      <c r="C312" s="423">
        <f>+CURVELOAD!A317</f>
        <v>46023</v>
      </c>
      <c r="D312" s="3"/>
      <c r="E312" s="3"/>
      <c r="F312" s="3"/>
      <c r="G312" s="3"/>
      <c r="H312" s="3"/>
      <c r="I312" s="3"/>
    </row>
    <row r="313" spans="1:10" x14ac:dyDescent="0.2">
      <c r="C313" s="9"/>
    </row>
    <row r="314" spans="1:10" x14ac:dyDescent="0.2">
      <c r="C314" s="9"/>
    </row>
    <row r="315" spans="1:10" x14ac:dyDescent="0.2">
      <c r="C315" s="9"/>
    </row>
    <row r="316" spans="1:10" x14ac:dyDescent="0.2">
      <c r="C316" s="9"/>
    </row>
    <row r="317" spans="1:10" x14ac:dyDescent="0.2">
      <c r="C317" s="9"/>
    </row>
    <row r="318" spans="1:10" x14ac:dyDescent="0.2">
      <c r="C318" s="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343"/>
  <sheetViews>
    <sheetView showGridLines="0" zoomScale="75" workbookViewId="0">
      <selection activeCell="A7" sqref="A7"/>
    </sheetView>
  </sheetViews>
  <sheetFormatPr defaultRowHeight="12.75" x14ac:dyDescent="0.2"/>
  <cols>
    <col min="1" max="1" width="18.42578125" customWidth="1"/>
    <col min="2" max="2" width="17.7109375" customWidth="1"/>
    <col min="3" max="3" width="23.5703125" customWidth="1"/>
    <col min="4" max="4" width="19" customWidth="1"/>
    <col min="5" max="5" width="23" customWidth="1"/>
    <col min="6" max="6" width="17.85546875" customWidth="1"/>
    <col min="7" max="7" width="20.85546875" customWidth="1"/>
    <col min="8" max="22" width="7.28515625" customWidth="1"/>
  </cols>
  <sheetData>
    <row r="1" spans="1:14" ht="33.75" x14ac:dyDescent="0.5">
      <c r="A1" s="181" t="s">
        <v>133</v>
      </c>
    </row>
    <row r="4" spans="1:14" x14ac:dyDescent="0.2">
      <c r="A4" s="173" t="s">
        <v>132</v>
      </c>
      <c r="B4" s="161" t="s">
        <v>19</v>
      </c>
      <c r="C4" s="161" t="s">
        <v>27</v>
      </c>
      <c r="D4" s="161" t="s">
        <v>39</v>
      </c>
      <c r="E4" s="161"/>
      <c r="F4" s="161"/>
      <c r="G4" s="161"/>
      <c r="H4" s="162"/>
      <c r="I4" s="162"/>
      <c r="J4" s="162"/>
      <c r="K4" s="162"/>
      <c r="L4" s="162"/>
      <c r="M4" s="162"/>
      <c r="N4" s="163"/>
    </row>
    <row r="5" spans="1:14" x14ac:dyDescent="0.2">
      <c r="A5" s="174"/>
      <c r="B5" s="164"/>
      <c r="C5" s="164"/>
      <c r="D5" s="164"/>
      <c r="E5" s="164"/>
      <c r="F5" s="164"/>
      <c r="G5" s="164"/>
      <c r="H5" s="165"/>
      <c r="I5" s="165"/>
      <c r="J5" s="165"/>
      <c r="K5" s="165"/>
      <c r="L5" s="165"/>
      <c r="M5" s="165"/>
      <c r="N5" s="166"/>
    </row>
    <row r="6" spans="1:14" x14ac:dyDescent="0.2">
      <c r="A6" s="178"/>
      <c r="B6" s="8"/>
      <c r="C6" s="8"/>
      <c r="D6" s="390"/>
    </row>
    <row r="7" spans="1:14" x14ac:dyDescent="0.2">
      <c r="A7" s="179">
        <f>+SHIPS!B26</f>
        <v>36708</v>
      </c>
      <c r="B7" s="10">
        <f>+IF('ELBA BOOK'!B18=0,0,((+PORTS!I12+PORTS!I320)/('ELBA BOOK'!$B18*PORTS!$I$9))+PORTS!I628)</f>
        <v>0</v>
      </c>
      <c r="C7" s="399">
        <f>+PORTS!J7</f>
        <v>0.3</v>
      </c>
      <c r="D7" s="10"/>
      <c r="E7" s="10"/>
      <c r="F7" s="10"/>
      <c r="G7" s="10"/>
    </row>
    <row r="8" spans="1:14" x14ac:dyDescent="0.2">
      <c r="A8" s="179">
        <f>+SHIPS!B27</f>
        <v>36739</v>
      </c>
      <c r="B8" s="10">
        <f>+IF('ELBA BOOK'!B19=0,0,((+PORTS!I13+PORTS!I321)/('ELBA BOOK'!$B19*PORTS!$I$9))+PORTS!I629)</f>
        <v>0</v>
      </c>
      <c r="C8" s="10">
        <f>+C7*(1+PORTS!$J$8/12)</f>
        <v>0.30031249999999998</v>
      </c>
      <c r="D8" s="10"/>
      <c r="E8" s="10"/>
      <c r="F8" s="10"/>
      <c r="G8" s="10"/>
    </row>
    <row r="9" spans="1:14" x14ac:dyDescent="0.2">
      <c r="A9" s="179">
        <f>+SHIPS!B28</f>
        <v>36770</v>
      </c>
      <c r="B9" s="10">
        <f>+IF('ELBA BOOK'!B20=0,0,((+PORTS!I14+PORTS!I322)/('ELBA BOOK'!$B20*PORTS!$I$9))+PORTS!I630)</f>
        <v>0</v>
      </c>
      <c r="C9" s="10">
        <f>+C8*(1+PORTS!$J$8/12)</f>
        <v>0.30062532552083332</v>
      </c>
      <c r="D9" s="10"/>
      <c r="E9" s="10"/>
      <c r="F9" s="10"/>
      <c r="G9" s="10"/>
    </row>
    <row r="10" spans="1:14" x14ac:dyDescent="0.2">
      <c r="A10" s="179">
        <f>+SHIPS!B29</f>
        <v>36800</v>
      </c>
      <c r="B10" s="10">
        <f>+IF('ELBA BOOK'!B21=0,0,((+PORTS!I15+PORTS!I323)/('ELBA BOOK'!$B21*PORTS!$I$9))+PORTS!I631)</f>
        <v>0</v>
      </c>
      <c r="C10" s="10">
        <f>+C9*(1+PORTS!$J$8/12)</f>
        <v>0.30093847690158415</v>
      </c>
      <c r="D10" s="10"/>
      <c r="E10" s="10"/>
      <c r="F10" s="10"/>
      <c r="G10" s="10"/>
    </row>
    <row r="11" spans="1:14" x14ac:dyDescent="0.2">
      <c r="A11" s="179">
        <f>+SHIPS!B30</f>
        <v>36831</v>
      </c>
      <c r="B11" s="10">
        <f>+IF('ELBA BOOK'!B22=0,0,((+PORTS!I16+PORTS!I324)/('ELBA BOOK'!$B22*PORTS!$I$9))+PORTS!I632)</f>
        <v>0</v>
      </c>
      <c r="C11" s="10">
        <f>+C10*(1+PORTS!$J$8/12)</f>
        <v>0.30125195448168995</v>
      </c>
      <c r="D11" s="10"/>
      <c r="E11" s="10"/>
      <c r="F11" s="10"/>
      <c r="G11" s="10"/>
    </row>
    <row r="12" spans="1:14" x14ac:dyDescent="0.2">
      <c r="A12" s="179">
        <f>+SHIPS!B31</f>
        <v>36861</v>
      </c>
      <c r="B12" s="10">
        <f>+IF('ELBA BOOK'!B23=0,0,((+PORTS!I17+PORTS!I325)/('ELBA BOOK'!$B23*PORTS!$I$9))+PORTS!I633)</f>
        <v>0</v>
      </c>
      <c r="C12" s="10">
        <f>+C11*(1+PORTS!$J$8/12)</f>
        <v>0.3015657586009417</v>
      </c>
      <c r="D12" s="10"/>
      <c r="E12" s="10"/>
      <c r="F12" s="10"/>
      <c r="G12" s="10"/>
    </row>
    <row r="13" spans="1:14" x14ac:dyDescent="0.2">
      <c r="A13" s="180">
        <f>+SHIPS!B32</f>
        <v>36892</v>
      </c>
      <c r="B13" s="10">
        <f>+IF('ELBA BOOK'!B24=0,0,((+PORTS!I18+PORTS!I326)/('ELBA BOOK'!$B24*PORTS!$I$9))+PORTS!I634)</f>
        <v>0</v>
      </c>
      <c r="C13" s="10">
        <f>+C12*(1+PORTS!$J$8/12)</f>
        <v>0.30187988959948431</v>
      </c>
      <c r="D13" s="10"/>
      <c r="E13" s="10"/>
      <c r="F13" s="10"/>
      <c r="G13" s="10"/>
    </row>
    <row r="14" spans="1:14" x14ac:dyDescent="0.2">
      <c r="A14" s="179">
        <f>+SHIPS!B33</f>
        <v>36923</v>
      </c>
      <c r="B14" s="10">
        <f>+IF('ELBA BOOK'!B25=0,0,((+PORTS!I19+PORTS!I327)/('ELBA BOOK'!$B25*PORTS!$I$9))+PORTS!I635)</f>
        <v>0</v>
      </c>
      <c r="C14" s="10">
        <f>+C13*(1+PORTS!$J$8/12)</f>
        <v>0.30219434781781707</v>
      </c>
      <c r="D14" s="10"/>
      <c r="E14" s="10"/>
      <c r="F14" s="10"/>
      <c r="G14" s="10"/>
    </row>
    <row r="15" spans="1:14" x14ac:dyDescent="0.2">
      <c r="A15" s="179">
        <f>+SHIPS!B34</f>
        <v>36951</v>
      </c>
      <c r="B15" s="10">
        <f>+IF('ELBA BOOK'!B26=0,0,((+PORTS!I20+PORTS!I328)/('ELBA BOOK'!$B26*PORTS!$I$9))+PORTS!I636)</f>
        <v>0</v>
      </c>
      <c r="C15" s="10">
        <f>+C14*(1+PORTS!$J$8/12)</f>
        <v>0.30250913359679393</v>
      </c>
      <c r="D15" s="10"/>
      <c r="E15" s="10"/>
      <c r="F15" s="10"/>
      <c r="G15" s="10"/>
    </row>
    <row r="16" spans="1:14" x14ac:dyDescent="0.2">
      <c r="A16" s="179">
        <f>+SHIPS!B35</f>
        <v>36982</v>
      </c>
      <c r="B16" s="10">
        <f>+IF('ELBA BOOK'!B27=0,0,((+PORTS!I21+PORTS!I329)/('ELBA BOOK'!$B27*PORTS!$I$9))+PORTS!I637)</f>
        <v>0</v>
      </c>
      <c r="C16" s="10">
        <f>+C15*(1+PORTS!$J$8/12)</f>
        <v>0.30282424727762391</v>
      </c>
      <c r="D16" s="10"/>
      <c r="E16" s="10"/>
      <c r="F16" s="10"/>
      <c r="G16" s="10"/>
    </row>
    <row r="17" spans="1:7" x14ac:dyDescent="0.2">
      <c r="A17" s="179">
        <f>+SHIPS!B36</f>
        <v>37012</v>
      </c>
      <c r="B17" s="10">
        <f>+IF('ELBA BOOK'!B28=0,0,((+PORTS!I22+PORTS!I330)/('ELBA BOOK'!$B28*PORTS!$I$9))+PORTS!I638)</f>
        <v>0</v>
      </c>
      <c r="C17" s="10">
        <f>+C16*(1+PORTS!$J$8/12)</f>
        <v>0.3031396892018714</v>
      </c>
      <c r="D17" s="10"/>
      <c r="E17" s="10"/>
      <c r="F17" s="10"/>
      <c r="G17" s="10"/>
    </row>
    <row r="18" spans="1:7" x14ac:dyDescent="0.2">
      <c r="A18" s="179">
        <f>+SHIPS!B37</f>
        <v>37043</v>
      </c>
      <c r="B18" s="10">
        <f>+IF('ELBA BOOK'!B29=0,0,((+PORTS!I23+PORTS!I331)/('ELBA BOOK'!$B29*PORTS!$I$9))+PORTS!I639)</f>
        <v>0</v>
      </c>
      <c r="C18" s="10">
        <f>+C17*(1+PORTS!$J$8/12)</f>
        <v>0.30345545971145665</v>
      </c>
      <c r="D18" s="10"/>
      <c r="E18" s="10"/>
      <c r="F18" s="10"/>
      <c r="G18" s="10"/>
    </row>
    <row r="19" spans="1:7" x14ac:dyDescent="0.2">
      <c r="A19" s="179">
        <f>+SHIPS!B38</f>
        <v>37073</v>
      </c>
      <c r="B19" s="10">
        <f>+IF('ELBA BOOK'!B30=0,0,((+PORTS!I24+PORTS!I332)/('ELBA BOOK'!$B30*PORTS!$I$9))+PORTS!I640)</f>
        <v>0</v>
      </c>
      <c r="C19" s="10">
        <f>+C18*(1+PORTS!$J$8/12)</f>
        <v>0.30377155914865606</v>
      </c>
      <c r="D19" s="10"/>
      <c r="E19" s="10"/>
      <c r="F19" s="10"/>
      <c r="G19" s="10"/>
    </row>
    <row r="20" spans="1:7" x14ac:dyDescent="0.2">
      <c r="A20" s="179">
        <f>+SHIPS!B39</f>
        <v>37104</v>
      </c>
      <c r="B20" s="10">
        <f>+IF('ELBA BOOK'!B31=0,0,((+PORTS!I25+PORTS!I333)/('ELBA BOOK'!$B31*PORTS!$I$9))+PORTS!I641)</f>
        <v>0</v>
      </c>
      <c r="C20" s="10">
        <f>+C19*(1+PORTS!$J$8/12)</f>
        <v>0.30408798785610258</v>
      </c>
      <c r="D20" s="10"/>
      <c r="E20" s="10"/>
      <c r="F20" s="10"/>
      <c r="G20" s="10"/>
    </row>
    <row r="21" spans="1:7" x14ac:dyDescent="0.2">
      <c r="A21" s="179">
        <f>+SHIPS!B40</f>
        <v>37135</v>
      </c>
      <c r="B21" s="10">
        <f>+IF('ELBA BOOK'!B32=0,0,((+PORTS!I26+PORTS!I334)/('ELBA BOOK'!$B32*PORTS!$I$9))+PORTS!I642)</f>
        <v>0</v>
      </c>
      <c r="C21" s="10">
        <f>+C20*(1+PORTS!$J$8/12)</f>
        <v>0.30440474617678598</v>
      </c>
      <c r="D21" s="10"/>
      <c r="E21" s="10"/>
      <c r="F21" s="10"/>
      <c r="G21" s="10"/>
    </row>
    <row r="22" spans="1:7" x14ac:dyDescent="0.2">
      <c r="A22" s="179">
        <f>+SHIPS!B41</f>
        <v>37165</v>
      </c>
      <c r="B22" s="10">
        <f>+IF('ELBA BOOK'!B33=0,0,((+PORTS!I27+PORTS!I335)/('ELBA BOOK'!$B33*PORTS!$I$9))+PORTS!I643)</f>
        <v>0</v>
      </c>
      <c r="C22" s="10">
        <f>+C21*(1+PORTS!$J$8/12)</f>
        <v>0.30472183445405343</v>
      </c>
      <c r="D22" s="10"/>
      <c r="E22" s="10"/>
      <c r="F22" s="10"/>
      <c r="G22" s="10"/>
    </row>
    <row r="23" spans="1:7" x14ac:dyDescent="0.2">
      <c r="A23" s="179">
        <f>+SHIPS!B42</f>
        <v>37196</v>
      </c>
      <c r="B23" s="10">
        <f>+IF('ELBA BOOK'!B34=0,0,((+PORTS!I28+PORTS!I336)/('ELBA BOOK'!$B34*PORTS!$I$9))+PORTS!I644)</f>
        <v>0</v>
      </c>
      <c r="C23" s="10">
        <f>+C22*(1+PORTS!$J$8/12)</f>
        <v>0.30503925303160973</v>
      </c>
      <c r="D23" s="10"/>
      <c r="E23" s="10"/>
      <c r="F23" s="10"/>
      <c r="G23" s="10"/>
    </row>
    <row r="24" spans="1:7" x14ac:dyDescent="0.2">
      <c r="A24" s="179">
        <f>+SHIPS!B43</f>
        <v>37226</v>
      </c>
      <c r="B24" s="10">
        <f>+IF('ELBA BOOK'!B35=0,0,((+PORTS!I29+PORTS!I337)/('ELBA BOOK'!$B35*PORTS!$I$9))+PORTS!I645)</f>
        <v>0</v>
      </c>
      <c r="C24" s="10">
        <f>+C23*(1+PORTS!$J$8/12)</f>
        <v>0.30535700225351764</v>
      </c>
      <c r="D24" s="10"/>
      <c r="E24" s="10"/>
      <c r="F24" s="10"/>
      <c r="G24" s="10"/>
    </row>
    <row r="25" spans="1:7" x14ac:dyDescent="0.2">
      <c r="A25" s="180">
        <f>+SHIPS!B44</f>
        <v>37257</v>
      </c>
      <c r="B25" s="10">
        <f>+IF('ELBA BOOK'!B36=0,0,((+PORTS!I30+PORTS!I338)/('ELBA BOOK'!$B36*PORTS!$I$9))+PORTS!I646)</f>
        <v>0</v>
      </c>
      <c r="C25" s="10">
        <f>+C24*(1+PORTS!$J$8/12)</f>
        <v>0.30567508246419839</v>
      </c>
      <c r="D25" s="10"/>
      <c r="E25" s="10"/>
      <c r="F25" s="10"/>
      <c r="G25" s="10"/>
    </row>
    <row r="26" spans="1:7" x14ac:dyDescent="0.2">
      <c r="A26" s="179">
        <f>+SHIPS!B45</f>
        <v>37288</v>
      </c>
      <c r="B26" s="10">
        <f>+IF('ELBA BOOK'!B37=0,0,((+PORTS!I31+PORTS!I339)/('ELBA BOOK'!$B37*PORTS!$I$9))+PORTS!I647)</f>
        <v>0</v>
      </c>
      <c r="C26" s="10">
        <f>+C25*(1+PORTS!$J$8/12)</f>
        <v>0.3059934940084319</v>
      </c>
      <c r="D26" s="10"/>
      <c r="E26" s="10"/>
      <c r="F26" s="10"/>
      <c r="G26" s="10"/>
    </row>
    <row r="27" spans="1:7" x14ac:dyDescent="0.2">
      <c r="A27" s="179">
        <f>+SHIPS!B46</f>
        <v>37316</v>
      </c>
      <c r="B27" s="10">
        <f>+IF('ELBA BOOK'!B38=0,0,((+PORTS!I32+PORTS!I340)/('ELBA BOOK'!$B38*PORTS!$I$9))+PORTS!I648)</f>
        <v>0</v>
      </c>
      <c r="C27" s="10">
        <f>+C26*(1+PORTS!$J$8/12)</f>
        <v>0.30631223723135731</v>
      </c>
      <c r="D27" s="10"/>
      <c r="E27" s="10"/>
      <c r="F27" s="10"/>
      <c r="G27" s="10"/>
    </row>
    <row r="28" spans="1:7" x14ac:dyDescent="0.2">
      <c r="A28" s="179">
        <f>+SHIPS!B47</f>
        <v>37347</v>
      </c>
      <c r="B28" s="10">
        <f>+IF('ELBA BOOK'!B39=0,0,((+PORTS!I33+PORTS!I341)/('ELBA BOOK'!$B39*PORTS!$I$9))+PORTS!I649)</f>
        <v>0.21111034151117694</v>
      </c>
      <c r="C28" s="10">
        <f>+C27*(1+PORTS!$J$8/12)</f>
        <v>0.30663131247847331</v>
      </c>
      <c r="D28" s="10"/>
      <c r="E28" s="10"/>
      <c r="F28" s="10"/>
      <c r="G28" s="10"/>
    </row>
    <row r="29" spans="1:7" x14ac:dyDescent="0.2">
      <c r="A29" s="179">
        <f>+SHIPS!B48</f>
        <v>37377</v>
      </c>
      <c r="B29" s="10">
        <f>+IF('ELBA BOOK'!B40=0,0,((+PORTS!I34+PORTS!I342)/('ELBA BOOK'!$B40*PORTS!$I$9))+PORTS!I650)</f>
        <v>0.20529277926713096</v>
      </c>
      <c r="C29" s="10">
        <f>+C28*(1+PORTS!$J$8/12)</f>
        <v>0.30695072009563834</v>
      </c>
      <c r="D29" s="10"/>
      <c r="E29" s="10"/>
      <c r="F29" s="10"/>
      <c r="G29" s="10"/>
    </row>
    <row r="30" spans="1:7" x14ac:dyDescent="0.2">
      <c r="A30" s="179">
        <f>+SHIPS!B49</f>
        <v>37408</v>
      </c>
      <c r="B30" s="10">
        <f>+IF('ELBA BOOK'!B41=0,0,((+PORTS!I35+PORTS!I343)/('ELBA BOOK'!$B41*PORTS!$I$9))+PORTS!I651)</f>
        <v>0.21135465010903945</v>
      </c>
      <c r="C30" s="10">
        <f>+C29*(1+PORTS!$J$8/12)</f>
        <v>0.3072704604290713</v>
      </c>
      <c r="D30" s="10"/>
      <c r="E30" s="10"/>
      <c r="F30" s="10"/>
      <c r="G30" s="10"/>
    </row>
    <row r="31" spans="1:7" x14ac:dyDescent="0.2">
      <c r="A31" s="179">
        <f>+SHIPS!B50</f>
        <v>37438</v>
      </c>
      <c r="B31" s="10">
        <f>+IF('ELBA BOOK'!B42=0,0,((+PORTS!I36+PORTS!I344)/('ELBA BOOK'!$B42*PORTS!$I$9))+PORTS!I652)</f>
        <v>0.20553127562096687</v>
      </c>
      <c r="C31" s="10">
        <f>+C30*(1+PORTS!$J$8/12)</f>
        <v>0.30759053382535156</v>
      </c>
      <c r="D31" s="10"/>
      <c r="E31" s="10"/>
      <c r="F31" s="10"/>
      <c r="G31" s="10"/>
    </row>
    <row r="32" spans="1:7" x14ac:dyDescent="0.2">
      <c r="A32" s="179">
        <f>+SHIPS!B51</f>
        <v>37469</v>
      </c>
      <c r="B32" s="10">
        <f>+IF('ELBA BOOK'!B43=0,0,((+PORTS!I37+PORTS!I345)/('ELBA BOOK'!$B43*PORTS!$I$9))+PORTS!I653)</f>
        <v>0.20565071015549261</v>
      </c>
      <c r="C32" s="10">
        <f>+C31*(1+PORTS!$J$8/12)</f>
        <v>0.30791094063141961</v>
      </c>
      <c r="D32" s="10"/>
      <c r="E32" s="10"/>
      <c r="F32" s="10"/>
      <c r="G32" s="10"/>
    </row>
    <row r="33" spans="1:7" x14ac:dyDescent="0.2">
      <c r="A33" s="179">
        <f>+SHIPS!B52</f>
        <v>37500</v>
      </c>
      <c r="B33" s="10">
        <f>+IF('ELBA BOOK'!B44=0,0,((+PORTS!I38+PORTS!I346)/('ELBA BOOK'!$B44*PORTS!$I$9))+PORTS!I654)</f>
        <v>0.21172206816496433</v>
      </c>
      <c r="C33" s="10">
        <f>+C32*(1+PORTS!$J$8/12)</f>
        <v>0.30823168119457733</v>
      </c>
      <c r="D33" s="10"/>
      <c r="E33" s="10"/>
      <c r="F33" s="10"/>
      <c r="G33" s="10"/>
    </row>
    <row r="34" spans="1:7" x14ac:dyDescent="0.2">
      <c r="A34" s="179">
        <f>+SHIPS!B53</f>
        <v>37530</v>
      </c>
      <c r="B34" s="10">
        <f>+IF('ELBA BOOK'!B45=0,0,((+PORTS!I39+PORTS!I347)/('ELBA BOOK'!$B45*PORTS!$I$9))+PORTS!I655)</f>
        <v>0.20588995258705911</v>
      </c>
      <c r="C34" s="10">
        <f>+C33*(1+PORTS!$J$8/12)</f>
        <v>0.30855275586248831</v>
      </c>
      <c r="D34" s="10"/>
      <c r="E34" s="10"/>
      <c r="F34" s="10"/>
      <c r="G34" s="10"/>
    </row>
    <row r="35" spans="1:7" x14ac:dyDescent="0.2">
      <c r="A35" s="179">
        <f>+SHIPS!B54</f>
        <v>37561</v>
      </c>
      <c r="B35" s="10">
        <f>+IF('ELBA BOOK'!B46=0,0,((+PORTS!I40+PORTS!I348)/('ELBA BOOK'!$B46*PORTS!$I$9))+PORTS!I656)</f>
        <v>0.21196765185712152</v>
      </c>
      <c r="C35" s="10">
        <f>+C34*(1+PORTS!$J$8/12)</f>
        <v>0.30887416498317838</v>
      </c>
      <c r="D35" s="10"/>
      <c r="E35" s="10"/>
      <c r="F35" s="10"/>
      <c r="G35" s="10"/>
    </row>
    <row r="36" spans="1:7" x14ac:dyDescent="0.2">
      <c r="A36" s="179">
        <f>+SHIPS!B55</f>
        <v>37591</v>
      </c>
      <c r="B36" s="10">
        <f>+IF('ELBA BOOK'!B47=0,0,((+PORTS!I41+PORTS!I349)/('ELBA BOOK'!$B47*PORTS!$I$9))+PORTS!I657)</f>
        <v>0.20612969369995274</v>
      </c>
      <c r="C36" s="10">
        <f>+C35*(1+PORTS!$J$8/12)</f>
        <v>0.30919590890503584</v>
      </c>
      <c r="D36" s="10"/>
      <c r="E36" s="10"/>
      <c r="F36" s="10"/>
      <c r="G36" s="10"/>
    </row>
    <row r="37" spans="1:7" x14ac:dyDescent="0.2">
      <c r="A37" s="180">
        <f>+SHIPS!B56</f>
        <v>37622</v>
      </c>
      <c r="B37" s="10">
        <f>+IF('ELBA BOOK'!B48=0,0,((+PORTS!I42+PORTS!I350)/('ELBA BOOK'!$B48*PORTS!$I$9))+PORTS!I658)</f>
        <v>0.20624975158664405</v>
      </c>
      <c r="C37" s="10">
        <f>+C36*(1+PORTS!$J$8/12)</f>
        <v>0.3095179879768119</v>
      </c>
      <c r="D37" s="10"/>
      <c r="E37" s="10"/>
      <c r="F37" s="10"/>
      <c r="G37" s="10"/>
    </row>
    <row r="38" spans="1:7" x14ac:dyDescent="0.2">
      <c r="A38" s="179">
        <f>+SHIPS!B57</f>
        <v>37653</v>
      </c>
      <c r="B38" s="10">
        <f>+IF('ELBA BOOK'!B49=0,0,((+PORTS!I43+PORTS!I351)/('ELBA BOOK'!$B49*PORTS!$I$9))+PORTS!I659)</f>
        <v>0.22554974776725828</v>
      </c>
      <c r="C38" s="10">
        <f>+C37*(1+PORTS!$J$8/12)</f>
        <v>0.30984040254762107</v>
      </c>
      <c r="D38" s="10"/>
      <c r="E38" s="10"/>
      <c r="F38" s="10"/>
      <c r="G38" s="10"/>
    </row>
    <row r="39" spans="1:7" x14ac:dyDescent="0.2">
      <c r="A39" s="179">
        <f>+SHIPS!B58</f>
        <v>37681</v>
      </c>
      <c r="B39" s="10">
        <f>+IF('ELBA BOOK'!B50=0,0,((+PORTS!I44+PORTS!I352)/('ELBA BOOK'!$B50*PORTS!$I$9))+PORTS!I660)</f>
        <v>0.20649024267119373</v>
      </c>
      <c r="C39" s="10">
        <f>+C38*(1+PORTS!$J$8/12)</f>
        <v>0.31016315296694147</v>
      </c>
      <c r="D39" s="10"/>
      <c r="E39" s="10"/>
      <c r="F39" s="10"/>
      <c r="G39" s="10"/>
    </row>
    <row r="40" spans="1:7" x14ac:dyDescent="0.2">
      <c r="A40" s="179">
        <f>+SHIPS!B59</f>
        <v>37712</v>
      </c>
      <c r="B40" s="10">
        <f>+IF('ELBA BOOK'!B51=0,0,((+PORTS!I45+PORTS!I353)/('ELBA BOOK'!$B51*PORTS!$I$9))+PORTS!I661)</f>
        <v>0.21258385298106844</v>
      </c>
      <c r="C40" s="10">
        <f>+C39*(1+PORTS!$J$8/12)</f>
        <v>0.31048623958461535</v>
      </c>
      <c r="D40" s="10"/>
      <c r="E40" s="10"/>
      <c r="F40" s="10"/>
      <c r="G40" s="10"/>
    </row>
    <row r="41" spans="1:7" x14ac:dyDescent="0.2">
      <c r="A41" s="179">
        <f>+SHIPS!B60</f>
        <v>37742</v>
      </c>
      <c r="B41" s="10">
        <f>+IF('ELBA BOOK'!B52=0,0,((+PORTS!I46+PORTS!I354)/('ELBA BOOK'!$B52*PORTS!$I$9))+PORTS!I662)</f>
        <v>0.20673123503978574</v>
      </c>
      <c r="C41" s="10">
        <f>+C40*(1+PORTS!$J$8/12)</f>
        <v>0.31080966275084931</v>
      </c>
      <c r="D41" s="10"/>
      <c r="E41" s="10"/>
      <c r="F41" s="10"/>
      <c r="G41" s="10"/>
    </row>
    <row r="42" spans="1:7" x14ac:dyDescent="0.2">
      <c r="A42" s="179">
        <f>+SHIPS!B61</f>
        <v>37773</v>
      </c>
      <c r="B42" s="10">
        <f>+IF('ELBA BOOK'!B53=0,0,((+PORTS!I47+PORTS!I355)/('ELBA BOOK'!$B53*PORTS!$I$9))+PORTS!I663)</f>
        <v>0.21283123299335549</v>
      </c>
      <c r="C42" s="10">
        <f>+C41*(1+PORTS!$J$8/12)</f>
        <v>0.31113342281621476</v>
      </c>
      <c r="D42" s="10"/>
      <c r="E42" s="10"/>
      <c r="F42" s="10"/>
      <c r="G42" s="10"/>
    </row>
    <row r="43" spans="1:7" x14ac:dyDescent="0.2">
      <c r="A43" s="179">
        <f>+SHIPS!B62</f>
        <v>37803</v>
      </c>
      <c r="B43" s="10">
        <f>+IF('ELBA BOOK'!B54=0,0,((+PORTS!I48+PORTS!I356)/('ELBA BOOK'!$B54*PORTS!$I$9))+PORTS!I664)</f>
        <v>0.20697272973730579</v>
      </c>
      <c r="C43" s="10">
        <f>+C42*(1+PORTS!$J$8/12)</f>
        <v>0.31145752013164829</v>
      </c>
      <c r="D43" s="10"/>
      <c r="E43" s="10"/>
      <c r="F43" s="10"/>
      <c r="G43" s="10"/>
    </row>
    <row r="44" spans="1:7" x14ac:dyDescent="0.2">
      <c r="A44" s="179">
        <f>+SHIPS!B63</f>
        <v>37834</v>
      </c>
      <c r="B44" s="10">
        <f>+IF('ELBA BOOK'!B55=0,0,((+PORTS!I49+PORTS!I357)/('ELBA BOOK'!$B55*PORTS!$I$9))+PORTS!I665)</f>
        <v>0.20709366578653599</v>
      </c>
      <c r="C44" s="10">
        <f>+C43*(1+PORTS!$J$8/12)</f>
        <v>0.31178195504845208</v>
      </c>
      <c r="D44" s="10"/>
      <c r="E44" s="10"/>
      <c r="F44" s="10"/>
      <c r="G44" s="10"/>
    </row>
    <row r="45" spans="1:7" x14ac:dyDescent="0.2">
      <c r="A45" s="179">
        <f>+SHIPS!B64</f>
        <v>37865</v>
      </c>
      <c r="B45" s="10">
        <f>+IF('ELBA BOOK'!B56=0,0,((+PORTS!I50+PORTS!I358)/('ELBA BOOK'!$B56*PORTS!$I$9))+PORTS!I666)</f>
        <v>0.21320327017904778</v>
      </c>
      <c r="C45" s="10">
        <f>+C44*(1+PORTS!$J$8/12)</f>
        <v>0.31210672791829419</v>
      </c>
      <c r="D45" s="10"/>
      <c r="E45" s="10"/>
      <c r="F45" s="10"/>
      <c r="G45" s="10"/>
    </row>
    <row r="46" spans="1:7" x14ac:dyDescent="0.2">
      <c r="A46" s="179">
        <f>+SHIPS!B65</f>
        <v>37895</v>
      </c>
      <c r="B46" s="10">
        <f>+IF('ELBA BOOK'!B57=0,0,((+PORTS!I51+PORTS!I359)/('ELBA BOOK'!$B57*PORTS!$I$9))+PORTS!I667)</f>
        <v>0.20733591594137429</v>
      </c>
      <c r="C46" s="10">
        <f>+C45*(1+PORTS!$J$8/12)</f>
        <v>0.31243183909320904</v>
      </c>
      <c r="D46" s="10"/>
      <c r="E46" s="10"/>
      <c r="F46" s="10"/>
      <c r="G46" s="10"/>
    </row>
    <row r="47" spans="1:7" x14ac:dyDescent="0.2">
      <c r="A47" s="179">
        <f>+SHIPS!B66</f>
        <v>37926</v>
      </c>
      <c r="B47" s="10">
        <f>+IF('ELBA BOOK'!B58=0,0,((+PORTS!I52+PORTS!I360)/('ELBA BOOK'!$B58*PORTS!$I$9))+PORTS!I668)</f>
        <v>0.21345194131594131</v>
      </c>
      <c r="C47" s="10">
        <f>+C46*(1+PORTS!$J$8/12)</f>
        <v>0.31275728892559779</v>
      </c>
      <c r="D47" s="10"/>
      <c r="E47" s="10"/>
      <c r="F47" s="10"/>
      <c r="G47" s="10"/>
    </row>
    <row r="48" spans="1:7" x14ac:dyDescent="0.2">
      <c r="A48" s="179">
        <f>+SHIPS!B67</f>
        <v>37956</v>
      </c>
      <c r="B48" s="10">
        <f>+IF('ELBA BOOK'!B59=0,0,((+PORTS!I53+PORTS!I361)/('ELBA BOOK'!$B59*PORTS!$I$9))+PORTS!I669)</f>
        <v>0.20757867104689337</v>
      </c>
      <c r="C48" s="10">
        <f>+C47*(1+PORTS!$J$8/12)</f>
        <v>0.31308307776822858</v>
      </c>
      <c r="D48" s="10"/>
      <c r="E48" s="10"/>
      <c r="F48" s="10"/>
      <c r="G48" s="10"/>
    </row>
    <row r="49" spans="1:7" x14ac:dyDescent="0.2">
      <c r="A49" s="180">
        <f>+SHIPS!B68</f>
        <v>37987</v>
      </c>
      <c r="B49" s="10">
        <f>+IF('ELBA BOOK'!B60=0,0,((+PORTS!I54+PORTS!I362)/('ELBA BOOK'!$B60*PORTS!$I$9))+PORTS!I670)</f>
        <v>0.20770023828498774</v>
      </c>
      <c r="C49" s="10">
        <f>+C48*(1+PORTS!$J$8/12)</f>
        <v>0.31340920597423716</v>
      </c>
      <c r="D49" s="10"/>
      <c r="E49" s="10"/>
      <c r="F49" s="10"/>
      <c r="G49" s="10"/>
    </row>
    <row r="50" spans="1:7" x14ac:dyDescent="0.2">
      <c r="A50" s="179">
        <f>+SHIPS!B69</f>
        <v>38018</v>
      </c>
      <c r="B50" s="10">
        <f>+IF('ELBA BOOK'!B61=0,0,((+PORTS!I55+PORTS!I363)/('ELBA BOOK'!$B61*PORTS!$I$9))+PORTS!I671)</f>
        <v>0.22024397646063493</v>
      </c>
      <c r="C50" s="10">
        <f>+C49*(1+PORTS!$J$8/12)</f>
        <v>0.31373567389712698</v>
      </c>
      <c r="D50" s="10"/>
      <c r="E50" s="10"/>
      <c r="F50" s="10"/>
      <c r="G50" s="10"/>
    </row>
    <row r="51" spans="1:7" x14ac:dyDescent="0.2">
      <c r="A51" s="179">
        <f>+SHIPS!B70</f>
        <v>38047</v>
      </c>
      <c r="B51" s="10">
        <f>+IF('ELBA BOOK'!B62=0,0,((+PORTS!I56+PORTS!I364)/('ELBA BOOK'!$B62*PORTS!$I$9))+PORTS!I672)</f>
        <v>0.2079437527907044</v>
      </c>
      <c r="C51" s="10">
        <f>+C50*(1+PORTS!$J$8/12)</f>
        <v>0.3140624818907698</v>
      </c>
      <c r="D51" s="10"/>
      <c r="E51" s="10"/>
      <c r="F51" s="10"/>
      <c r="G51" s="10"/>
    </row>
    <row r="52" spans="1:7" x14ac:dyDescent="0.2">
      <c r="A52" s="179">
        <f>+SHIPS!B71</f>
        <v>38078</v>
      </c>
      <c r="B52" s="10">
        <f>+IF('ELBA BOOK'!B63=0,0,((+PORTS!I57+PORTS!I365)/('ELBA BOOK'!$B63*PORTS!$I$9))+PORTS!I673)</f>
        <v>0.21407588923650972</v>
      </c>
      <c r="C52" s="10">
        <f>+C51*(1+PORTS!$J$8/12)</f>
        <v>0.31438963030940598</v>
      </c>
      <c r="D52" s="10"/>
      <c r="E52" s="10"/>
      <c r="F52" s="10"/>
      <c r="G52" s="10"/>
    </row>
    <row r="53" spans="1:7" x14ac:dyDescent="0.2">
      <c r="A53" s="179">
        <f>+SHIPS!B72</f>
        <v>38108</v>
      </c>
      <c r="B53" s="10">
        <f>+IF('ELBA BOOK'!B64=0,0,((+PORTS!I58+PORTS!I366)/('ELBA BOOK'!$B64*PORTS!$I$9))+PORTS!I674)</f>
        <v>0.20818777488253817</v>
      </c>
      <c r="C53" s="10">
        <f>+C52*(1+PORTS!$J$8/12)</f>
        <v>0.31471711950764492</v>
      </c>
      <c r="D53" s="10"/>
      <c r="E53" s="10"/>
      <c r="F53" s="10"/>
      <c r="G53" s="10"/>
    </row>
    <row r="54" spans="1:7" x14ac:dyDescent="0.2">
      <c r="A54" s="179">
        <f>+SHIPS!B73</f>
        <v>38139</v>
      </c>
      <c r="B54" s="10">
        <f>+IF('ELBA BOOK'!B65=0,0,((+PORTS!I59+PORTS!I367)/('ELBA BOOK'!$B65*PORTS!$I$9))+PORTS!I675)</f>
        <v>0.21432637927662518</v>
      </c>
      <c r="C54" s="10">
        <f>+C53*(1+PORTS!$J$8/12)</f>
        <v>0.31504494984046538</v>
      </c>
      <c r="D54" s="10"/>
      <c r="E54" s="10"/>
      <c r="F54" s="10"/>
      <c r="G54" s="10"/>
    </row>
    <row r="55" spans="1:7" x14ac:dyDescent="0.2">
      <c r="A55" s="179">
        <f>+SHIPS!B74</f>
        <v>38169</v>
      </c>
      <c r="B55" s="10">
        <f>+IF('ELBA BOOK'!B66=0,0,((+PORTS!I60+PORTS!I368)/('ELBA BOOK'!$B66*PORTS!$I$9))+PORTS!I676)</f>
        <v>0.20843230561851078</v>
      </c>
      <c r="C55" s="10">
        <f>+C54*(1+PORTS!$J$8/12)</f>
        <v>0.31537312166321585</v>
      </c>
      <c r="D55" s="10"/>
      <c r="E55" s="10"/>
      <c r="F55" s="10"/>
      <c r="G55" s="10"/>
    </row>
    <row r="56" spans="1:7" x14ac:dyDescent="0.2">
      <c r="A56" s="179">
        <f>+SHIPS!B75</f>
        <v>38200</v>
      </c>
      <c r="B56" s="10">
        <f>+IF('ELBA BOOK'!B67=0,0,((+PORTS!I61+PORTS!I369)/('ELBA BOOK'!$B67*PORTS!$I$9))+PORTS!I677)</f>
        <v>0.20855476205928394</v>
      </c>
      <c r="C56" s="10">
        <f>+C55*(1+PORTS!$J$8/12)</f>
        <v>0.31570163533161499</v>
      </c>
      <c r="D56" s="10"/>
      <c r="E56" s="10"/>
      <c r="F56" s="10"/>
      <c r="G56" s="10"/>
    </row>
    <row r="57" spans="1:7" x14ac:dyDescent="0.2">
      <c r="A57" s="179">
        <f>+SHIPS!B76</f>
        <v>38231</v>
      </c>
      <c r="B57" s="10">
        <f>+IF('ELBA BOOK'!B68=0,0,((+PORTS!I62+PORTS!I370)/('ELBA BOOK'!$B68*PORTS!$I$9))+PORTS!I678)</f>
        <v>0.21470309366315529</v>
      </c>
      <c r="C57" s="10">
        <f>+C56*(1+PORTS!$J$8/12)</f>
        <v>0.31603049120175208</v>
      </c>
      <c r="D57" s="10"/>
      <c r="E57" s="10"/>
      <c r="F57" s="10"/>
      <c r="G57" s="10"/>
    </row>
    <row r="58" spans="1:7" x14ac:dyDescent="0.2">
      <c r="A58" s="179">
        <f>+SHIPS!B77</f>
        <v>38261</v>
      </c>
      <c r="B58" s="10">
        <f>+IF('ELBA BOOK'!B69=0,0,((+PORTS!I63+PORTS!I371)/('ELBA BOOK'!$B69*PORTS!$I$9))+PORTS!I679)</f>
        <v>0.20880005775008137</v>
      </c>
      <c r="C58" s="10">
        <f>+C57*(1+PORTS!$J$8/12)</f>
        <v>0.3163596896300872</v>
      </c>
      <c r="D58" s="10"/>
      <c r="E58" s="10"/>
      <c r="F58" s="10"/>
      <c r="G58" s="10"/>
    </row>
    <row r="59" spans="1:7" x14ac:dyDescent="0.2">
      <c r="A59" s="179">
        <f>+SHIPS!B78</f>
        <v>38292</v>
      </c>
      <c r="B59" s="10">
        <f>+IF('ELBA BOOK'!B70=0,0,((+PORTS!I64+PORTS!I372)/('ELBA BOOK'!$B70*PORTS!$I$9))+PORTS!I680)</f>
        <v>0.21495489105971999</v>
      </c>
      <c r="C59" s="10">
        <f>+C58*(1+PORTS!$J$8/12)</f>
        <v>0.31668923097345186</v>
      </c>
      <c r="D59" s="10"/>
      <c r="E59" s="10"/>
      <c r="F59" s="10"/>
      <c r="G59" s="10"/>
    </row>
    <row r="60" spans="1:7" x14ac:dyDescent="0.2">
      <c r="A60" s="179">
        <f>+SHIPS!B79</f>
        <v>38322</v>
      </c>
      <c r="B60" s="10">
        <f>+IF('ELBA BOOK'!B71=0,0,((+PORTS!I65+PORTS!I373)/('ELBA BOOK'!$B71*PORTS!$I$9))+PORTS!I681)</f>
        <v>0.2090458647397308</v>
      </c>
      <c r="C60" s="10">
        <f>+C59*(1+PORTS!$J$8/12)</f>
        <v>0.31701911558904922</v>
      </c>
      <c r="D60" s="10"/>
      <c r="E60" s="10"/>
      <c r="F60" s="10"/>
      <c r="G60" s="10"/>
    </row>
    <row r="61" spans="1:7" x14ac:dyDescent="0.2">
      <c r="A61" s="180">
        <f>+SHIPS!B80</f>
        <v>38353</v>
      </c>
      <c r="B61" s="10">
        <f>+IF('ELBA BOOK'!B72=0,0,((+PORTS!I66+PORTS!I374)/('ELBA BOOK'!$B72*PORTS!$I$9))+PORTS!I682)</f>
        <v>0.20916896030458854</v>
      </c>
      <c r="C61" s="10">
        <f>+C60*(1+PORTS!$J$8/12)</f>
        <v>0.31734934383445446</v>
      </c>
      <c r="D61" s="10"/>
      <c r="E61" s="10"/>
      <c r="F61" s="10"/>
      <c r="G61" s="10"/>
    </row>
    <row r="62" spans="1:7" x14ac:dyDescent="0.2">
      <c r="A62" s="179">
        <f>+SHIPS!B81</f>
        <v>38384</v>
      </c>
      <c r="B62" s="10">
        <f>+IF('ELBA BOOK'!B73=0,0,((+PORTS!I67+PORTS!I375)/('ELBA BOOK'!$B73*PORTS!$I$9))+PORTS!I683)</f>
        <v>0.22871092962400644</v>
      </c>
      <c r="C62" s="10">
        <f>+C61*(1+PORTS!$J$8/12)</f>
        <v>0.31767991606761531</v>
      </c>
      <c r="D62" s="10"/>
      <c r="E62" s="10"/>
      <c r="F62" s="10"/>
      <c r="G62" s="10"/>
    </row>
    <row r="63" spans="1:7" x14ac:dyDescent="0.2">
      <c r="A63" s="179">
        <f>+SHIPS!B82</f>
        <v>38412</v>
      </c>
      <c r="B63" s="10">
        <f>+IF('ELBA BOOK'!B74=0,0,((+PORTS!I68+PORTS!I376)/('ELBA BOOK'!$B74*PORTS!$I$9))+PORTS!I684)</f>
        <v>0.20941553624151146</v>
      </c>
      <c r="C63" s="10">
        <f>+C62*(1+PORTS!$J$8/12)</f>
        <v>0.31801083264685237</v>
      </c>
      <c r="D63" s="10"/>
      <c r="E63" s="10"/>
      <c r="F63" s="10"/>
      <c r="G63" s="10"/>
    </row>
    <row r="64" spans="1:7" x14ac:dyDescent="0.2">
      <c r="A64" s="179">
        <f>+SHIPS!B83</f>
        <v>38443</v>
      </c>
      <c r="B64" s="10">
        <f>+IF('ELBA BOOK'!B75=0,0,((+PORTS!I69+PORTS!I377)/('ELBA BOOK'!$B75*PORTS!$I$9))+PORTS!I685)</f>
        <v>0.21558668316858204</v>
      </c>
      <c r="C64" s="10">
        <f>+C63*(1+PORTS!$J$8/12)</f>
        <v>0.31834209393085949</v>
      </c>
      <c r="D64" s="10"/>
      <c r="E64" s="10"/>
      <c r="F64" s="10"/>
      <c r="G64" s="10"/>
    </row>
    <row r="65" spans="1:7" x14ac:dyDescent="0.2">
      <c r="A65" s="179">
        <f>+SHIPS!B84</f>
        <v>38473</v>
      </c>
      <c r="B65" s="10">
        <f>+IF('ELBA BOOK'!B76=0,0,((+PORTS!I70+PORTS!I378)/('ELBA BOOK'!$B76*PORTS!$I$9))+PORTS!I686)</f>
        <v>0.20966262614585496</v>
      </c>
      <c r="C65" s="10">
        <f>+C64*(1+PORTS!$J$8/12)</f>
        <v>0.31867370027870412</v>
      </c>
      <c r="D65" s="10"/>
      <c r="E65" s="10"/>
      <c r="F65" s="10"/>
      <c r="G65" s="10"/>
    </row>
    <row r="66" spans="1:7" x14ac:dyDescent="0.2">
      <c r="A66" s="179">
        <f>+SHIPS!B85</f>
        <v>38504</v>
      </c>
      <c r="B66" s="10">
        <f>+IF('ELBA BOOK'!B77=0,0,((+PORTS!I71+PORTS!I379)/('ELBA BOOK'!$B77*PORTS!$I$9))+PORTS!I687)</f>
        <v>0.21584032233537237</v>
      </c>
      <c r="C66" s="10">
        <f>+C65*(1+PORTS!$J$8/12)</f>
        <v>0.31900565204982773</v>
      </c>
      <c r="D66" s="10"/>
      <c r="E66" s="10"/>
      <c r="F66" s="10"/>
      <c r="G66" s="10"/>
    </row>
    <row r="67" spans="1:7" x14ac:dyDescent="0.2">
      <c r="A67" s="179">
        <f>+SHIPS!B86</f>
        <v>38534</v>
      </c>
      <c r="B67" s="10">
        <f>+IF('ELBA BOOK'!B78=0,0,((+PORTS!I72+PORTS!I380)/('ELBA BOOK'!$B78*PORTS!$I$9))+PORTS!I688)</f>
        <v>0.20991023108894222</v>
      </c>
      <c r="C67" s="10">
        <f>+C66*(1+PORTS!$J$8/12)</f>
        <v>0.31933794960404627</v>
      </c>
      <c r="D67" s="10"/>
      <c r="E67" s="10"/>
      <c r="F67" s="10"/>
      <c r="G67" s="10"/>
    </row>
    <row r="68" spans="1:7" x14ac:dyDescent="0.2">
      <c r="A68" s="179">
        <f>+SHIPS!B87</f>
        <v>38565</v>
      </c>
      <c r="B68" s="10">
        <f>+IF('ELBA BOOK'!B79=0,0,((+PORTS!I73+PORTS!I381)/('ELBA BOOK'!$B79*PORTS!$I$9))+PORTS!I689)</f>
        <v>0.21003422703541372</v>
      </c>
      <c r="C68" s="10">
        <f>+C67*(1+PORTS!$J$8/12)</f>
        <v>0.31967059330155045</v>
      </c>
      <c r="D68" s="10"/>
      <c r="E68" s="10"/>
      <c r="F68" s="10"/>
      <c r="G68" s="10"/>
    </row>
    <row r="69" spans="1:7" x14ac:dyDescent="0.2">
      <c r="A69" s="179">
        <f>+SHIPS!B88</f>
        <v>38596</v>
      </c>
      <c r="B69" s="10">
        <f>+IF('ELBA BOOK'!B80=0,0,((+PORTS!I74+PORTS!I382)/('ELBA BOOK'!$B80*PORTS!$I$9))+PORTS!I690)</f>
        <v>0.21622177272387225</v>
      </c>
      <c r="C69" s="10">
        <f>+C68*(1+PORTS!$J$8/12)</f>
        <v>0.3200035835029062</v>
      </c>
      <c r="D69" s="10"/>
      <c r="E69" s="10"/>
      <c r="F69" s="10"/>
      <c r="G69" s="10"/>
    </row>
    <row r="70" spans="1:7" x14ac:dyDescent="0.2">
      <c r="A70" s="179">
        <f>+SHIPS!B89</f>
        <v>38626</v>
      </c>
      <c r="B70" s="10">
        <f>+IF('ELBA BOOK'!B81=0,0,((+PORTS!I75+PORTS!I383)/('ELBA BOOK'!$B81*PORTS!$I$9))+PORTS!I691)</f>
        <v>0.21028260655023367</v>
      </c>
      <c r="C70" s="10">
        <f>+C69*(1+PORTS!$J$8/12)</f>
        <v>0.32033692056905505</v>
      </c>
      <c r="D70" s="10"/>
      <c r="E70" s="10"/>
      <c r="F70" s="10"/>
      <c r="G70" s="10"/>
    </row>
    <row r="71" spans="1:7" x14ac:dyDescent="0.2">
      <c r="A71" s="179">
        <f>+SHIPS!B90</f>
        <v>38657</v>
      </c>
      <c r="B71" s="10">
        <f>+IF('ELBA BOOK'!B82=0,0,((+PORTS!I76+PORTS!I384)/('ELBA BOOK'!$B82*PORTS!$I$9))+PORTS!I692)</f>
        <v>0.21647673568301906</v>
      </c>
      <c r="C71" s="10">
        <f>+C70*(1+PORTS!$J$8/12)</f>
        <v>0.32067060486131449</v>
      </c>
      <c r="D71" s="10"/>
      <c r="E71" s="10"/>
      <c r="F71" s="10"/>
      <c r="G71" s="10"/>
    </row>
    <row r="72" spans="1:7" x14ac:dyDescent="0.2">
      <c r="A72" s="179">
        <f>+SHIPS!B91</f>
        <v>38687</v>
      </c>
      <c r="B72" s="10">
        <f>+IF('ELBA BOOK'!B83=0,0,((+PORTS!I77+PORTS!I385)/('ELBA BOOK'!$B83*PORTS!$I$9))+PORTS!I693)</f>
        <v>0.21053150379188518</v>
      </c>
      <c r="C72" s="10">
        <f>+C71*(1+PORTS!$J$8/12)</f>
        <v>0.32100463674137836</v>
      </c>
      <c r="D72" s="10"/>
      <c r="E72" s="10"/>
      <c r="F72" s="10"/>
      <c r="G72" s="10"/>
    </row>
    <row r="73" spans="1:7" x14ac:dyDescent="0.2">
      <c r="A73" s="180">
        <f>+SHIPS!B92</f>
        <v>38718</v>
      </c>
      <c r="B73" s="10">
        <f>+IF('ELBA BOOK'!B84=0,0,((+PORTS!I78+PORTS!I386)/('ELBA BOOK'!$B84*PORTS!$I$9))+PORTS!I694)</f>
        <v>0.21065614689742224</v>
      </c>
      <c r="C73" s="10">
        <f>+C72*(1+PORTS!$J$8/12)</f>
        <v>0.32133901657131725</v>
      </c>
      <c r="D73" s="10"/>
      <c r="E73" s="10"/>
      <c r="F73" s="10"/>
      <c r="G73" s="10"/>
    </row>
    <row r="74" spans="1:7" x14ac:dyDescent="0.2">
      <c r="A74" s="179">
        <f>+SHIPS!B93</f>
        <v>38749</v>
      </c>
      <c r="B74" s="10">
        <f>+IF('ELBA BOOK'!B85=0,0,((+PORTS!I79+PORTS!I387)/('ELBA BOOK'!$B85*PORTS!$I$9))+PORTS!I695)</f>
        <v>0.23032138907692803</v>
      </c>
      <c r="C74" s="10">
        <f>+C73*(1+PORTS!$J$8/12)</f>
        <v>0.32167374471357901</v>
      </c>
      <c r="D74" s="10"/>
      <c r="E74" s="10"/>
      <c r="F74" s="10"/>
      <c r="G74" s="10"/>
    </row>
    <row r="75" spans="1:7" x14ac:dyDescent="0.2">
      <c r="A75" s="179">
        <f>+SHIPS!B94</f>
        <v>38777</v>
      </c>
      <c r="B75" s="10">
        <f>+IF('ELBA BOOK'!B86=0,0,((+PORTS!I80+PORTS!I388)/('ELBA BOOK'!$B86*PORTS!$I$9))+PORTS!I696)</f>
        <v>0.21090582275344757</v>
      </c>
      <c r="C75" s="10">
        <f>+C74*(1+PORTS!$J$8/12)</f>
        <v>0.32200882153098898</v>
      </c>
      <c r="D75" s="10"/>
      <c r="E75" s="10"/>
      <c r="F75" s="10"/>
      <c r="G75" s="10"/>
    </row>
    <row r="76" spans="1:7" x14ac:dyDescent="0.2">
      <c r="A76" s="179">
        <f>+SHIPS!B95</f>
        <v>38808</v>
      </c>
      <c r="B76" s="10">
        <f>+IF('ELBA BOOK'!B87=0,0,((+PORTS!I81+PORTS!I389)/('ELBA BOOK'!$B87*PORTS!$I$9))+PORTS!I697)</f>
        <v>0.21711647059624187</v>
      </c>
      <c r="C76" s="10">
        <f>+C75*(1+PORTS!$J$8/12)</f>
        <v>0.32234424738675038</v>
      </c>
      <c r="D76" s="10"/>
      <c r="E76" s="10"/>
      <c r="F76" s="10"/>
      <c r="G76" s="10"/>
    </row>
    <row r="77" spans="1:7" x14ac:dyDescent="0.2">
      <c r="A77" s="179">
        <f>+SHIPS!B96</f>
        <v>38838</v>
      </c>
      <c r="B77" s="10">
        <f>+IF('ELBA BOOK'!B88=0,0,((+PORTS!I82+PORTS!I390)/('ELBA BOOK'!$B88*PORTS!$I$9))+PORTS!I698)</f>
        <v>0.21115601903842199</v>
      </c>
      <c r="C77" s="10">
        <f>+C76*(1+PORTS!$J$8/12)</f>
        <v>0.3226800226444449</v>
      </c>
      <c r="D77" s="10"/>
      <c r="E77" s="10"/>
      <c r="F77" s="10"/>
      <c r="G77" s="10"/>
    </row>
    <row r="78" spans="1:7" x14ac:dyDescent="0.2">
      <c r="A78" s="179">
        <f>+SHIPS!B97</f>
        <v>38869</v>
      </c>
      <c r="B78" s="10">
        <f>+IF('ELBA BOOK'!B89=0,0,((+PORTS!I83+PORTS!I391)/('ELBA BOOK'!$B89*PORTS!$I$9))+PORTS!I699)</f>
        <v>0.21737329848009873</v>
      </c>
      <c r="C78" s="10">
        <f>+C77*(1+PORTS!$J$8/12)</f>
        <v>0.32301614766803283</v>
      </c>
      <c r="D78" s="10"/>
      <c r="E78" s="10"/>
      <c r="F78" s="10"/>
      <c r="G78" s="10"/>
    </row>
    <row r="79" spans="1:7" x14ac:dyDescent="0.2">
      <c r="A79" s="179">
        <f>+SHIPS!B98</f>
        <v>38899</v>
      </c>
      <c r="B79" s="10">
        <f>+IF('ELBA BOOK'!B90=0,0,((+PORTS!I84+PORTS!I392)/('ELBA BOOK'!$B90*PORTS!$I$9))+PORTS!I700)</f>
        <v>0.21140673683713709</v>
      </c>
      <c r="C79" s="10">
        <f>+C78*(1+PORTS!$J$8/12)</f>
        <v>0.32335262282185367</v>
      </c>
      <c r="D79" s="10"/>
      <c r="E79" s="10"/>
      <c r="F79" s="10"/>
      <c r="G79" s="10"/>
    </row>
    <row r="80" spans="1:7" x14ac:dyDescent="0.2">
      <c r="A80" s="179">
        <f>+SHIPS!B99</f>
        <v>38930</v>
      </c>
      <c r="B80" s="10">
        <f>+IF('ELBA BOOK'!B91=0,0,((+PORTS!I85+PORTS!I393)/('ELBA BOOK'!$B91*PORTS!$I$9))+PORTS!I701)</f>
        <v>0.21153229164376294</v>
      </c>
      <c r="C80" s="10">
        <f>+C79*(1+PORTS!$J$8/12)</f>
        <v>0.32368944847062642</v>
      </c>
      <c r="D80" s="10"/>
      <c r="E80" s="10"/>
      <c r="F80" s="10"/>
      <c r="G80" s="10"/>
    </row>
    <row r="81" spans="1:7" x14ac:dyDescent="0.2">
      <c r="A81" s="179">
        <f>+SHIPS!B100</f>
        <v>38961</v>
      </c>
      <c r="B81" s="10">
        <f>+IF('ELBA BOOK'!B92=0,0,((+PORTS!I86+PORTS!I394)/('ELBA BOOK'!$B92*PORTS!$I$9))+PORTS!I702)</f>
        <v>0.21775954441094034</v>
      </c>
      <c r="C81" s="10">
        <f>+C80*(1+PORTS!$J$8/12)</f>
        <v>0.32402662497944995</v>
      </c>
      <c r="D81" s="10"/>
      <c r="E81" s="10"/>
      <c r="F81" s="10"/>
      <c r="G81" s="10"/>
    </row>
    <row r="82" spans="1:7" x14ac:dyDescent="0.2">
      <c r="A82" s="179">
        <f>+SHIPS!B101</f>
        <v>38991</v>
      </c>
      <c r="B82" s="10">
        <f>+IF('ELBA BOOK'!B93=0,0,((+PORTS!I87+PORTS!I395)/('ELBA BOOK'!$B93*PORTS!$I$9))+PORTS!I703)</f>
        <v>0.21178379375202105</v>
      </c>
      <c r="C82" s="10">
        <f>+C81*(1+PORTS!$J$8/12)</f>
        <v>0.32436415271380353</v>
      </c>
      <c r="D82" s="10"/>
      <c r="E82" s="10"/>
      <c r="F82" s="10"/>
      <c r="G82" s="10"/>
    </row>
    <row r="83" spans="1:7" x14ac:dyDescent="0.2">
      <c r="A83" s="179">
        <f>+SHIPS!B102</f>
        <v>39022</v>
      </c>
      <c r="B83" s="10">
        <f>+IF('ELBA BOOK'!B94=0,0,((+PORTS!I88+PORTS!I396)/('ELBA BOOK'!$B94*PORTS!$I$9))+PORTS!I704)</f>
        <v>0.21801771272969095</v>
      </c>
      <c r="C83" s="10">
        <f>+C82*(1+PORTS!$J$8/12)</f>
        <v>0.32470203203954706</v>
      </c>
      <c r="D83" s="10"/>
      <c r="E83" s="10"/>
      <c r="F83" s="10"/>
      <c r="G83" s="10"/>
    </row>
    <row r="84" spans="1:7" x14ac:dyDescent="0.2">
      <c r="A84" s="179">
        <f>+SHIPS!B103</f>
        <v>39052</v>
      </c>
      <c r="B84" s="10">
        <f>+IF('ELBA BOOK'!B95=0,0,((+PORTS!I89+PORTS!I397)/('ELBA BOOK'!$B95*PORTS!$I$9))+PORTS!I705)</f>
        <v>0.21203582009590199</v>
      </c>
      <c r="C84" s="10">
        <f>+C83*(1+PORTS!$J$8/12)</f>
        <v>0.32504026332292157</v>
      </c>
      <c r="D84" s="10"/>
      <c r="E84" s="10"/>
      <c r="F84" s="10"/>
      <c r="G84" s="10"/>
    </row>
    <row r="85" spans="1:7" x14ac:dyDescent="0.2">
      <c r="A85" s="180">
        <f>+SHIPS!B104</f>
        <v>39083</v>
      </c>
      <c r="B85" s="10">
        <f>+IF('ELBA BOOK'!B96=0,0,((+PORTS!I90+PORTS!I398)/('ELBA BOOK'!$B96*PORTS!$I$9))+PORTS!I706)</f>
        <v>0.21216203019758911</v>
      </c>
      <c r="C85" s="10">
        <f>+C84*(1+PORTS!$J$8/12)</f>
        <v>0.32537884693054958</v>
      </c>
      <c r="D85" s="10"/>
      <c r="E85" s="10"/>
      <c r="F85" s="10"/>
      <c r="G85" s="10"/>
    </row>
    <row r="86" spans="1:7" x14ac:dyDescent="0.2">
      <c r="A86" s="179">
        <f>+SHIPS!B105</f>
        <v>39114</v>
      </c>
      <c r="B86" s="10">
        <f>+IF('ELBA BOOK'!B97=0,0,((+PORTS!I91+PORTS!I399)/('ELBA BOOK'!$B97*PORTS!$I$9))+PORTS!I707)</f>
        <v>0.23195209500679367</v>
      </c>
      <c r="C86" s="10">
        <f>+C85*(1+PORTS!$J$8/12)</f>
        <v>0.32571778322943556</v>
      </c>
      <c r="D86" s="10"/>
      <c r="E86" s="10"/>
      <c r="F86" s="10"/>
      <c r="G86" s="10"/>
    </row>
    <row r="87" spans="1:7" x14ac:dyDescent="0.2">
      <c r="A87" s="179">
        <f>+SHIPS!B106</f>
        <v>39142</v>
      </c>
      <c r="B87" s="10">
        <f>+IF('ELBA BOOK'!B98=0,0,((+PORTS!I92+PORTS!I400)/('ELBA BOOK'!$B98*PORTS!$I$9))+PORTS!I708)</f>
        <v>0.21241484494447777</v>
      </c>
      <c r="C87" s="10">
        <f>+C86*(1+PORTS!$J$8/12)</f>
        <v>0.3260570725869662</v>
      </c>
      <c r="D87" s="10"/>
      <c r="E87" s="10"/>
      <c r="F87" s="10"/>
      <c r="G87" s="10"/>
    </row>
    <row r="88" spans="1:7" x14ac:dyDescent="0.2">
      <c r="A88" s="179">
        <f>+SHIPS!B107</f>
        <v>39173</v>
      </c>
      <c r="B88" s="10">
        <f>+IF('ELBA BOOK'!B99=0,0,((+PORTS!I93+PORTS!I401)/('ELBA BOOK'!$B99*PORTS!$I$9))+PORTS!I709)</f>
        <v>0.21866549030312932</v>
      </c>
      <c r="C88" s="10">
        <f>+C87*(1+PORTS!$J$8/12)</f>
        <v>0.32639671537091092</v>
      </c>
      <c r="D88" s="10"/>
      <c r="E88" s="10"/>
      <c r="F88" s="10"/>
      <c r="G88" s="10"/>
    </row>
    <row r="89" spans="1:7" x14ac:dyDescent="0.2">
      <c r="A89" s="179">
        <f>+SHIPS!B108</f>
        <v>39203</v>
      </c>
      <c r="B89" s="10">
        <f>+IF('ELBA BOOK'!B100=0,0,((+PORTS!I94+PORTS!I402)/('ELBA BOOK'!$B100*PORTS!$I$9))+PORTS!I710)</f>
        <v>0.21266818666307732</v>
      </c>
      <c r="C89" s="10">
        <f>+C88*(1+PORTS!$J$8/12)</f>
        <v>0.32673671194942228</v>
      </c>
      <c r="D89" s="10"/>
      <c r="E89" s="10"/>
      <c r="F89" s="10"/>
      <c r="G89" s="10"/>
    </row>
    <row r="90" spans="1:7" x14ac:dyDescent="0.2">
      <c r="A90" s="179">
        <f>+SHIPS!B109</f>
        <v>39234</v>
      </c>
      <c r="B90" s="10">
        <f>+IF('ELBA BOOK'!B101=0,0,((+PORTS!I95+PORTS!I403)/('ELBA BOOK'!$B101*PORTS!$I$9))+PORTS!I711)</f>
        <v>0.21892554699216951</v>
      </c>
      <c r="C90" s="10">
        <f>+C89*(1+PORTS!$J$8/12)</f>
        <v>0.32707706269103626</v>
      </c>
      <c r="D90" s="10"/>
      <c r="E90" s="10"/>
      <c r="F90" s="10"/>
      <c r="G90" s="10"/>
    </row>
    <row r="91" spans="1:7" x14ac:dyDescent="0.2">
      <c r="A91" s="179">
        <f>+SHIPS!B110</f>
        <v>39264</v>
      </c>
      <c r="B91" s="10">
        <f>+IF('ELBA BOOK'!B102=0,0,((+PORTS!I96+PORTS!I404)/('ELBA BOOK'!$B102*PORTS!$I$9))+PORTS!I712)</f>
        <v>0.21292205645181733</v>
      </c>
      <c r="C91" s="10">
        <f>+C90*(1+PORTS!$J$8/12)</f>
        <v>0.32741776796467276</v>
      </c>
      <c r="D91" s="10"/>
      <c r="E91" s="10"/>
      <c r="F91" s="10"/>
      <c r="G91" s="10"/>
    </row>
    <row r="92" spans="1:7" x14ac:dyDescent="0.2">
      <c r="A92" s="179">
        <f>+SHIPS!B111</f>
        <v>39295</v>
      </c>
      <c r="B92" s="10">
        <f>+IF('ELBA BOOK'!B103=0,0,((+PORTS!I97+PORTS!I405)/('ELBA BOOK'!$B103*PORTS!$I$9))+PORTS!I713)</f>
        <v>0.21304918971637518</v>
      </c>
      <c r="C92" s="10">
        <f>+C91*(1+PORTS!$J$8/12)</f>
        <v>0.32775882813963592</v>
      </c>
      <c r="D92" s="10"/>
      <c r="E92" s="10"/>
      <c r="F92" s="10"/>
      <c r="G92" s="10"/>
    </row>
    <row r="93" spans="1:7" x14ac:dyDescent="0.2">
      <c r="A93" s="179">
        <f>+SHIPS!B112</f>
        <v>39326</v>
      </c>
      <c r="B93" s="10">
        <f>+IF('ELBA BOOK'!B104=0,0,((+PORTS!I98+PORTS!I406)/('ELBA BOOK'!$B104*PORTS!$I$9))+PORTS!I714)</f>
        <v>0.2193166487542581</v>
      </c>
      <c r="C93" s="10">
        <f>+C92*(1+PORTS!$J$8/12)</f>
        <v>0.32810024358561468</v>
      </c>
      <c r="D93" s="10"/>
      <c r="E93" s="10"/>
      <c r="F93" s="10"/>
      <c r="G93" s="10"/>
    </row>
    <row r="94" spans="1:7" x14ac:dyDescent="0.2">
      <c r="A94" s="179">
        <f>+SHIPS!B113</f>
        <v>39356</v>
      </c>
      <c r="B94" s="10">
        <f>+IF('ELBA BOOK'!B105=0,0,((+PORTS!I99+PORTS!I407)/('ELBA BOOK'!$B105*PORTS!$I$9))+PORTS!I715)</f>
        <v>0.21330385367489102</v>
      </c>
      <c r="C94" s="10">
        <f>+C93*(1+PORTS!$J$8/12)</f>
        <v>0.32844201467268302</v>
      </c>
      <c r="D94" s="10"/>
      <c r="E94" s="10"/>
      <c r="F94" s="10"/>
      <c r="G94" s="10"/>
    </row>
    <row r="95" spans="1:7" x14ac:dyDescent="0.2">
      <c r="A95" s="179">
        <f>+SHIPS!B114</f>
        <v>39387</v>
      </c>
      <c r="B95" s="10">
        <f>+IF('ELBA BOOK'!B106=0,0,((+PORTS!I100+PORTS!I408)/('ELBA BOOK'!$B106*PORTS!$I$9))+PORTS!I716)</f>
        <v>0.21957806272995695</v>
      </c>
      <c r="C95" s="10">
        <f>+C94*(1+PORTS!$J$8/12)</f>
        <v>0.32878414177130039</v>
      </c>
      <c r="D95" s="10"/>
      <c r="E95" s="10"/>
      <c r="F95" s="10"/>
      <c r="G95" s="10"/>
    </row>
    <row r="96" spans="1:7" x14ac:dyDescent="0.2">
      <c r="A96" s="179">
        <f>+SHIPS!B115</f>
        <v>39417</v>
      </c>
      <c r="B96" s="10">
        <f>+IF('ELBA BOOK'!B107=0,0,((+PORTS!I101+PORTS!I409)/('ELBA BOOK'!$B107*PORTS!$I$9))+PORTS!I717)</f>
        <v>0.21355904845964846</v>
      </c>
      <c r="C96" s="10">
        <f>+C95*(1+PORTS!$J$8/12)</f>
        <v>0.32912662525231212</v>
      </c>
      <c r="D96" s="10"/>
      <c r="E96" s="10"/>
      <c r="F96" s="10"/>
      <c r="G96" s="10"/>
    </row>
    <row r="97" spans="1:7" x14ac:dyDescent="0.2">
      <c r="A97" s="180">
        <f>+SHIPS!B116</f>
        <v>39448</v>
      </c>
      <c r="B97" s="10">
        <f>+IF('ELBA BOOK'!B108=0,0,((+PORTS!I102+PORTS!I410)/('ELBA BOOK'!$B108*PORTS!$I$9))+PORTS!I718)</f>
        <v>0.2136868452575478</v>
      </c>
      <c r="C97" s="10">
        <f>+C96*(1+PORTS!$J$8/12)</f>
        <v>0.32946946548694994</v>
      </c>
      <c r="D97" s="10"/>
      <c r="E97" s="10"/>
      <c r="F97" s="10"/>
      <c r="G97" s="10"/>
    </row>
    <row r="98" spans="1:7" x14ac:dyDescent="0.2">
      <c r="A98" s="179">
        <f>+SHIPS!B117</f>
        <v>39479</v>
      </c>
      <c r="B98" s="10">
        <f>+IF('ELBA BOOK'!B109=0,0,((+PORTS!I103+PORTS!I411)/('ELBA BOOK'!$B109*PORTS!$I$9))+PORTS!I719)</f>
        <v>0.22655221769730474</v>
      </c>
      <c r="C98" s="10">
        <f>+C97*(1+PORTS!$J$8/12)</f>
        <v>0.32981266284683214</v>
      </c>
      <c r="D98" s="10"/>
      <c r="E98" s="10"/>
      <c r="F98" s="10"/>
      <c r="G98" s="10"/>
    </row>
    <row r="99" spans="1:7" x14ac:dyDescent="0.2">
      <c r="A99" s="179">
        <f>+SHIPS!B118</f>
        <v>39508</v>
      </c>
      <c r="B99" s="10">
        <f>+IF('ELBA BOOK'!B110=0,0,((+PORTS!I104+PORTS!I412)/('ELBA BOOK'!$B110*PORTS!$I$9))+PORTS!I720)</f>
        <v>0.21394283835700828</v>
      </c>
      <c r="C99" s="10">
        <f>+C98*(1+PORTS!$J$8/12)</f>
        <v>0.33015621770396425</v>
      </c>
      <c r="D99" s="10"/>
      <c r="E99" s="10"/>
      <c r="F99" s="10"/>
      <c r="G99" s="10"/>
    </row>
    <row r="100" spans="1:7" x14ac:dyDescent="0.2">
      <c r="A100" s="179">
        <f>+SHIPS!B119</f>
        <v>39539</v>
      </c>
      <c r="B100" s="10">
        <f>+IF('ELBA BOOK'!B111=0,0,((+PORTS!I105+PORTS!I413)/('ELBA BOOK'!$B111*PORTS!$I$9))+PORTS!I721)</f>
        <v>0.22023398407483999</v>
      </c>
      <c r="C100" s="10">
        <f>+C99*(1+PORTS!$J$8/12)</f>
        <v>0.33050013043073917</v>
      </c>
      <c r="D100" s="10"/>
      <c r="E100" s="10"/>
      <c r="F100" s="10"/>
      <c r="G100" s="10"/>
    </row>
    <row r="101" spans="1:7" x14ac:dyDescent="0.2">
      <c r="A101" s="179">
        <f>+SHIPS!B120</f>
        <v>39569</v>
      </c>
      <c r="B101" s="10">
        <f>+IF('ELBA BOOK'!B112=0,0,((+PORTS!I106+PORTS!I414)/('ELBA BOOK'!$B112*PORTS!$I$9))+PORTS!I722)</f>
        <v>0.21419936505319626</v>
      </c>
      <c r="C101" s="10">
        <f>+C100*(1+PORTS!$J$8/12)</f>
        <v>0.33084440139993782</v>
      </c>
      <c r="D101" s="10"/>
      <c r="E101" s="10"/>
      <c r="F101" s="10"/>
      <c r="G101" s="10"/>
    </row>
    <row r="102" spans="1:7" x14ac:dyDescent="0.2">
      <c r="A102" s="179">
        <f>+SHIPS!B121</f>
        <v>39600</v>
      </c>
      <c r="B102" s="10">
        <f>+IF('ELBA BOOK'!B113=0,0,((+PORTS!I107+PORTS!I415)/('ELBA BOOK'!$B113*PORTS!$I$9))+PORTS!I723)</f>
        <v>0.22049731016116259</v>
      </c>
      <c r="C102" s="10">
        <f>+C101*(1+PORTS!$J$8/12)</f>
        <v>0.3311890309847294</v>
      </c>
      <c r="D102" s="10"/>
      <c r="E102" s="10"/>
      <c r="F102" s="10"/>
      <c r="G102" s="10"/>
    </row>
    <row r="103" spans="1:7" x14ac:dyDescent="0.2">
      <c r="A103" s="179">
        <f>+SHIPS!B122</f>
        <v>39630</v>
      </c>
      <c r="B103" s="10">
        <f>+IF('ELBA BOOK'!B114=0,0,((+PORTS!I108+PORTS!I416)/('ELBA BOOK'!$B114*PORTS!$I$9))+PORTS!I724)</f>
        <v>0.21445642645835056</v>
      </c>
      <c r="C103" s="10">
        <f>+C102*(1+PORTS!$J$8/12)</f>
        <v>0.33153401955867179</v>
      </c>
      <c r="D103" s="10"/>
      <c r="E103" s="10"/>
      <c r="F103" s="10"/>
      <c r="G103" s="10"/>
    </row>
    <row r="104" spans="1:7" x14ac:dyDescent="0.2">
      <c r="A104" s="179">
        <f>+SHIPS!B123</f>
        <v>39661</v>
      </c>
      <c r="B104" s="10">
        <f>+IF('ELBA BOOK'!B115=0,0,((+PORTS!I109+PORTS!I417)/('ELBA BOOK'!$B115*PORTS!$I$9))+PORTS!I725)</f>
        <v>0.21458515802499856</v>
      </c>
      <c r="C104" s="10">
        <f>+C103*(1+PORTS!$J$8/12)</f>
        <v>0.33187936749571206</v>
      </c>
      <c r="D104" s="10"/>
      <c r="E104" s="10"/>
      <c r="F104" s="10"/>
      <c r="G104" s="10"/>
    </row>
    <row r="105" spans="1:7" x14ac:dyDescent="0.2">
      <c r="A105" s="179">
        <f>+SHIPS!B124</f>
        <v>39692</v>
      </c>
      <c r="B105" s="10">
        <f>+IF('ELBA BOOK'!B116=0,0,((+PORTS!I110+PORTS!I418)/('ELBA BOOK'!$B116*PORTS!$I$9))+PORTS!I726)</f>
        <v>0.22089332880134738</v>
      </c>
      <c r="C105" s="10">
        <f>+C104*(1+PORTS!$J$8/12)</f>
        <v>0.33222507517018673</v>
      </c>
      <c r="D105" s="10"/>
      <c r="E105" s="10"/>
      <c r="F105" s="10"/>
      <c r="G105" s="10"/>
    </row>
    <row r="106" spans="1:7" x14ac:dyDescent="0.2">
      <c r="A106" s="179">
        <f>+SHIPS!B125</f>
        <v>39722</v>
      </c>
      <c r="B106" s="10">
        <f>+IF('ELBA BOOK'!B117=0,0,((+PORTS!I111+PORTS!I419)/('ELBA BOOK'!$B117*PORTS!$I$9))+PORTS!I727)</f>
        <v>0.21484302358412294</v>
      </c>
      <c r="C106" s="10">
        <f>+C105*(1+PORTS!$J$8/12)</f>
        <v>0.33257114295682233</v>
      </c>
      <c r="D106" s="10"/>
      <c r="E106" s="10"/>
      <c r="F106" s="10"/>
      <c r="G106" s="10"/>
    </row>
    <row r="107" spans="1:7" x14ac:dyDescent="0.2">
      <c r="A107" s="179">
        <f>+SHIPS!B126</f>
        <v>39753</v>
      </c>
      <c r="B107" s="10">
        <f>+IF('ELBA BOOK'!B118=0,0,((+PORTS!I112+PORTS!I420)/('ELBA BOOK'!$B118*PORTS!$I$9))+PORTS!I728)</f>
        <v>0.22115802923795164</v>
      </c>
      <c r="C107" s="10">
        <f>+C106*(1+PORTS!$J$8/12)</f>
        <v>0.33291757123073568</v>
      </c>
      <c r="D107" s="10"/>
      <c r="E107" s="10"/>
      <c r="F107" s="10"/>
      <c r="G107" s="10"/>
    </row>
    <row r="108" spans="1:7" x14ac:dyDescent="0.2">
      <c r="A108" s="179">
        <f>+SHIPS!B127</f>
        <v>39783</v>
      </c>
      <c r="B108" s="10">
        <f>+IF('ELBA BOOK'!B119=0,0,((+PORTS!I113+PORTS!I421)/('ELBA BOOK'!$B119*PORTS!$I$9))+PORTS!I729)</f>
        <v>0.21510142664296425</v>
      </c>
      <c r="C108" s="10">
        <f>+C107*(1+PORTS!$J$8/12)</f>
        <v>0.33326436036743434</v>
      </c>
      <c r="D108" s="10"/>
      <c r="E108" s="10"/>
      <c r="F108" s="10"/>
      <c r="G108" s="10"/>
    </row>
    <row r="109" spans="1:7" x14ac:dyDescent="0.2">
      <c r="A109" s="180">
        <f>+SHIPS!B128</f>
        <v>39814</v>
      </c>
      <c r="B109" s="10">
        <f>+IF('ELBA BOOK'!B120=0,0,((+PORTS!I114+PORTS!I422)/('ELBA BOOK'!$B120*PORTS!$I$9))+PORTS!I730)</f>
        <v>0.21523083008480448</v>
      </c>
      <c r="C109" s="10">
        <f>+C108*(1+PORTS!$J$8/12)</f>
        <v>0.33361151074281709</v>
      </c>
      <c r="D109" s="10"/>
      <c r="E109" s="10"/>
      <c r="F109" s="10"/>
      <c r="G109" s="10"/>
    </row>
    <row r="110" spans="1:7" x14ac:dyDescent="0.2">
      <c r="A110" s="179">
        <f>+SHIPS!B129</f>
        <v>39845</v>
      </c>
      <c r="B110" s="10">
        <f>+IF('ELBA BOOK'!B121=0,0,((+PORTS!I115+PORTS!I423)/('ELBA BOOK'!$B121*PORTS!$I$9))+PORTS!I731)</f>
        <v>0.23527526764115292</v>
      </c>
      <c r="C110" s="10">
        <f>+C109*(1+PORTS!$J$8/12)</f>
        <v>0.33395902273317418</v>
      </c>
      <c r="D110" s="10"/>
      <c r="E110" s="10"/>
      <c r="F110" s="10"/>
      <c r="G110" s="10"/>
    </row>
    <row r="111" spans="1:7" x14ac:dyDescent="0.2">
      <c r="A111" s="179">
        <f>+SHIPS!B130</f>
        <v>39873</v>
      </c>
      <c r="B111" s="10">
        <f>+IF('ELBA BOOK'!B122=0,0,((+PORTS!I116+PORTS!I424)/('ELBA BOOK'!$B122*PORTS!$I$9))+PORTS!I732)</f>
        <v>0.21549004149465251</v>
      </c>
      <c r="C111" s="10">
        <f>+C110*(1+PORTS!$J$8/12)</f>
        <v>0.33430689671518787</v>
      </c>
      <c r="D111" s="10"/>
      <c r="E111" s="10"/>
      <c r="F111" s="10"/>
      <c r="G111" s="10"/>
    </row>
    <row r="112" spans="1:7" x14ac:dyDescent="0.2">
      <c r="A112" s="179">
        <f>+SHIPS!B131</f>
        <v>39904</v>
      </c>
      <c r="B112" s="10">
        <f>+IF('ELBA BOOK'!B123=0,0,((+PORTS!I117+PORTS!I425)/('ELBA BOOK'!$B123*PORTS!$I$9))+PORTS!I733)</f>
        <v>0.22182219673666501</v>
      </c>
      <c r="C112" s="10">
        <f>+C111*(1+PORTS!$J$8/12)</f>
        <v>0.33465513306593286</v>
      </c>
      <c r="D112" s="10"/>
      <c r="E112" s="10"/>
      <c r="F112" s="10"/>
      <c r="G112" s="10"/>
    </row>
    <row r="113" spans="1:7" x14ac:dyDescent="0.2">
      <c r="A113" s="179">
        <f>+SHIPS!B132</f>
        <v>39934</v>
      </c>
      <c r="B113" s="10">
        <f>+IF('ELBA BOOK'!B124=0,0,((+PORTS!I118+PORTS!I426)/('ELBA BOOK'!$B124*PORTS!$I$9))+PORTS!I734)</f>
        <v>0.21574979320953341</v>
      </c>
      <c r="C113" s="10">
        <f>+C112*(1+PORTS!$J$8/12)</f>
        <v>0.33500373216287654</v>
      </c>
      <c r="D113" s="10"/>
      <c r="E113" s="10"/>
      <c r="F113" s="10"/>
      <c r="G113" s="10"/>
    </row>
    <row r="114" spans="1:7" x14ac:dyDescent="0.2">
      <c r="A114" s="179">
        <f>+SHIPS!B133</f>
        <v>39965</v>
      </c>
      <c r="B114" s="10">
        <f>+IF('ELBA BOOK'!B125=0,0,((+PORTS!I119+PORTS!I427)/('ELBA BOOK'!$B125*PORTS!$I$9))+PORTS!I735)</f>
        <v>0.22208883332268742</v>
      </c>
      <c r="C114" s="10">
        <f>+C113*(1+PORTS!$J$8/12)</f>
        <v>0.33535269438387955</v>
      </c>
      <c r="D114" s="10"/>
      <c r="E114" s="10"/>
      <c r="F114" s="10"/>
      <c r="G114" s="10"/>
    </row>
    <row r="115" spans="1:7" x14ac:dyDescent="0.2">
      <c r="A115" s="179">
        <f>+SHIPS!B134</f>
        <v>39995</v>
      </c>
      <c r="B115" s="10">
        <f>+IF('ELBA BOOK'!B126=0,0,((+PORTS!I120+PORTS!I428)/('ELBA BOOK'!$B126*PORTS!$I$9))+PORTS!I736)</f>
        <v>0.21601008635566901</v>
      </c>
      <c r="C115" s="10">
        <f>+C114*(1+PORTS!$J$8/12)</f>
        <v>0.33570202010719608</v>
      </c>
      <c r="D115" s="10"/>
      <c r="E115" s="10"/>
      <c r="F115" s="10"/>
      <c r="G115" s="10"/>
    </row>
    <row r="116" spans="1:7" x14ac:dyDescent="0.2">
      <c r="A116" s="179">
        <f>+SHIPS!B135</f>
        <v>40026</v>
      </c>
      <c r="B116" s="10">
        <f>+IF('ELBA BOOK'!B127=0,0,((+PORTS!I121+PORTS!I429)/('ELBA BOOK'!$B127*PORTS!$I$9))+PORTS!I737)</f>
        <v>0.21614043631804333</v>
      </c>
      <c r="C116" s="10">
        <f>+C115*(1+PORTS!$J$8/12)</f>
        <v>0.33605170971147441</v>
      </c>
      <c r="D116" s="10"/>
      <c r="E116" s="10"/>
      <c r="F116" s="10"/>
      <c r="G116" s="10"/>
    </row>
    <row r="117" spans="1:7" x14ac:dyDescent="0.2">
      <c r="A117" s="179">
        <f>+SHIPS!B136</f>
        <v>40057</v>
      </c>
      <c r="B117" s="10">
        <f>+IF('ELBA BOOK'!B128=0,0,((+PORTS!I122+PORTS!I430)/('ELBA BOOK'!$B128*PORTS!$I$9))+PORTS!I738)</f>
        <v>0.22248983065529027</v>
      </c>
      <c r="C117" s="10">
        <f>+C116*(1+PORTS!$J$8/12)</f>
        <v>0.33640176357575718</v>
      </c>
      <c r="D117" s="10"/>
      <c r="E117" s="10"/>
      <c r="F117" s="10"/>
      <c r="G117" s="10"/>
    </row>
    <row r="118" spans="1:7" x14ac:dyDescent="0.2">
      <c r="A118" s="179">
        <f>+SHIPS!B137</f>
        <v>40087</v>
      </c>
      <c r="B118" s="10">
        <f>+IF('ELBA BOOK'!B129=0,0,((+PORTS!I123+PORTS!I431)/('ELBA BOOK'!$B129*PORTS!$I$9))+PORTS!I739)</f>
        <v>0.21640154372786322</v>
      </c>
      <c r="C118" s="10">
        <f>+C117*(1+PORTS!$J$8/12)</f>
        <v>0.33675218207948193</v>
      </c>
      <c r="D118" s="10"/>
      <c r="E118" s="10"/>
      <c r="F118" s="10"/>
      <c r="G118" s="10"/>
    </row>
    <row r="119" spans="1:7" x14ac:dyDescent="0.2">
      <c r="A119" s="179">
        <f>+SHIPS!B138</f>
        <v>40118</v>
      </c>
      <c r="B119" s="10">
        <f>+IF('ELBA BOOK'!B130=0,0,((+PORTS!I124+PORTS!I432)/('ELBA BOOK'!$B130*PORTS!$I$9))+PORTS!I740)</f>
        <v>0.22275785886973898</v>
      </c>
      <c r="C119" s="10">
        <f>+C118*(1+PORTS!$J$8/12)</f>
        <v>0.33710296560248137</v>
      </c>
      <c r="D119" s="10"/>
      <c r="E119" s="10"/>
      <c r="F119" s="10"/>
      <c r="G119" s="10"/>
    </row>
    <row r="120" spans="1:7" x14ac:dyDescent="0.2">
      <c r="A120" s="179">
        <f>+SHIPS!B139</f>
        <v>40148</v>
      </c>
      <c r="B120" s="10">
        <f>+IF('ELBA BOOK'!B131=0,0,((+PORTS!I125+PORTS!I433)/('ELBA BOOK'!$B131*PORTS!$I$9))+PORTS!I741)</f>
        <v>0.21666319539477319</v>
      </c>
      <c r="C120" s="10">
        <f>+C119*(1+PORTS!$J$8/12)</f>
        <v>0.33745411452498392</v>
      </c>
      <c r="D120" s="10"/>
      <c r="E120" s="10"/>
      <c r="F120" s="10"/>
      <c r="G120" s="10"/>
    </row>
    <row r="121" spans="1:7" x14ac:dyDescent="0.2">
      <c r="A121" s="180">
        <f>+SHIPS!B140</f>
        <v>40179</v>
      </c>
      <c r="B121" s="10">
        <f>+IF('ELBA BOOK'!B132=0,0,((+PORTS!I126+PORTS!I434)/('ELBA BOOK'!$B132*PORTS!$I$9))+PORTS!I742)</f>
        <v>0.21679422567906326</v>
      </c>
      <c r="C121" s="10">
        <f>+C120*(1+PORTS!$J$8/12)</f>
        <v>0.33780562922761409</v>
      </c>
      <c r="D121" s="10"/>
      <c r="E121" s="10"/>
      <c r="F121" s="10"/>
      <c r="G121" s="10"/>
    </row>
    <row r="122" spans="1:7" x14ac:dyDescent="0.2">
      <c r="A122" s="179">
        <f>+SHIPS!B141</f>
        <v>40210</v>
      </c>
      <c r="B122" s="10">
        <f>+IF('ELBA BOOK'!B133=0,0,((+PORTS!I127+PORTS!I435)/('ELBA BOOK'!$B133*PORTS!$I$9))+PORTS!I743)</f>
        <v>0.23696825305775265</v>
      </c>
      <c r="C122" s="10">
        <f>+C121*(1+PORTS!$J$8/12)</f>
        <v>0.33815751009139283</v>
      </c>
      <c r="D122" s="10"/>
      <c r="E122" s="10"/>
      <c r="F122" s="10"/>
      <c r="G122" s="10"/>
    </row>
    <row r="123" spans="1:7" x14ac:dyDescent="0.2">
      <c r="A123" s="179">
        <f>+SHIPS!B142</f>
        <v>40238</v>
      </c>
      <c r="B123" s="10">
        <f>+IF('ELBA BOOK'!B134=0,0,((+PORTS!I128+PORTS!I436)/('ELBA BOOK'!$B134*PORTS!$I$9))+PORTS!I744)</f>
        <v>0.2170566958594588</v>
      </c>
      <c r="C123" s="10">
        <f>+C122*(1+PORTS!$J$8/12)</f>
        <v>0.33850975749773804</v>
      </c>
      <c r="D123" s="10"/>
      <c r="E123" s="10"/>
      <c r="F123" s="10"/>
      <c r="G123" s="10"/>
    </row>
    <row r="124" spans="1:7" x14ac:dyDescent="0.2">
      <c r="A124" s="179">
        <f>+SHIPS!B143</f>
        <v>40269</v>
      </c>
      <c r="B124" s="10">
        <f>+IF('ELBA BOOK'!B135=0,0,((+PORTS!I129+PORTS!I437)/('ELBA BOOK'!$B135*PORTS!$I$9))+PORTS!I745)</f>
        <v>0.22343037619180572</v>
      </c>
      <c r="C124" s="10">
        <f>+C123*(1+PORTS!$J$8/12)</f>
        <v>0.33886237182846485</v>
      </c>
      <c r="D124" s="10"/>
      <c r="E124" s="10"/>
      <c r="F124" s="10"/>
      <c r="G124" s="10"/>
    </row>
    <row r="125" spans="1:7" x14ac:dyDescent="0.2">
      <c r="A125" s="179">
        <f>+SHIPS!B144</f>
        <v>40299</v>
      </c>
      <c r="B125" s="10">
        <f>+IF('ELBA BOOK'!B136=0,0,((+PORTS!I130+PORTS!I438)/('ELBA BOOK'!$B136*PORTS!$I$9))+PORTS!I746)</f>
        <v>0.21731971313752849</v>
      </c>
      <c r="C125" s="10">
        <f>+C124*(1+PORTS!$J$8/12)</f>
        <v>0.33921535346578613</v>
      </c>
      <c r="D125" s="10"/>
      <c r="E125" s="10"/>
      <c r="F125" s="10"/>
      <c r="G125" s="10"/>
    </row>
    <row r="126" spans="1:7" x14ac:dyDescent="0.2">
      <c r="A126" s="179">
        <f>+SHIPS!B145</f>
        <v>40330</v>
      </c>
      <c r="B126" s="10">
        <f>+IF('ELBA BOOK'!B137=0,0,((+PORTS!I131+PORTS!I439)/('ELBA BOOK'!$B137*PORTS!$I$9))+PORTS!I747)</f>
        <v>0.22370036489667941</v>
      </c>
      <c r="C126" s="10">
        <f>+C125*(1+PORTS!$J$8/12)</f>
        <v>0.33956870279231299</v>
      </c>
      <c r="D126" s="10"/>
      <c r="E126" s="10"/>
      <c r="F126" s="10"/>
      <c r="G126" s="10"/>
    </row>
    <row r="127" spans="1:7" x14ac:dyDescent="0.2">
      <c r="A127" s="179">
        <f>+SHIPS!B146</f>
        <v>40360</v>
      </c>
      <c r="B127" s="10">
        <f>+IF('ELBA BOOK'!B138=0,0,((+PORTS!I132+PORTS!I440)/('ELBA BOOK'!$B138*PORTS!$I$9))+PORTS!I748)</f>
        <v>0.21758327865365287</v>
      </c>
      <c r="C127" s="10">
        <f>+C126*(1+PORTS!$J$8/12)</f>
        <v>0.33992242019105495</v>
      </c>
      <c r="D127" s="10"/>
      <c r="E127" s="10"/>
      <c r="F127" s="10"/>
      <c r="G127" s="10"/>
    </row>
    <row r="128" spans="1:7" x14ac:dyDescent="0.2">
      <c r="A128" s="179">
        <f>+SHIPS!B147</f>
        <v>40391</v>
      </c>
      <c r="B128" s="10">
        <f>+IF('ELBA BOOK'!B139=0,0,((+PORTS!I133+PORTS!I441)/('ELBA BOOK'!$B139*PORTS!$I$9))+PORTS!I749)</f>
        <v>0.21771526735800431</v>
      </c>
      <c r="C128" s="10">
        <f>+C127*(1+PORTS!$J$8/12)</f>
        <v>0.34027650604542059</v>
      </c>
      <c r="D128" s="10"/>
      <c r="E128" s="10"/>
      <c r="F128" s="10"/>
      <c r="G128" s="10"/>
    </row>
    <row r="129" spans="1:7" x14ac:dyDescent="0.2">
      <c r="A129" s="179">
        <f>+SHIPS!B148</f>
        <v>40422</v>
      </c>
      <c r="B129" s="10">
        <f>+IF('ELBA BOOK'!B140=0,0,((+PORTS!I134+PORTS!I442)/('ELBA BOOK'!$B140*PORTS!$I$9))+PORTS!I750)</f>
        <v>0.22410640351314354</v>
      </c>
      <c r="C129" s="10">
        <f>+C128*(1+PORTS!$J$8/12)</f>
        <v>0.34063096073921789</v>
      </c>
      <c r="D129" s="10"/>
      <c r="E129" s="10"/>
      <c r="F129" s="10"/>
      <c r="G129" s="10"/>
    </row>
    <row r="130" spans="1:7" x14ac:dyDescent="0.2">
      <c r="A130" s="179">
        <f>+SHIPS!B149</f>
        <v>40452</v>
      </c>
      <c r="B130" s="10">
        <f>+IF('ELBA BOOK'!B141=0,0,((+PORTS!I135+PORTS!I443)/('ELBA BOOK'!$B141*PORTS!$I$9))+PORTS!I751)</f>
        <v>0.2179796573746251</v>
      </c>
      <c r="C130" s="10">
        <f>+C129*(1+PORTS!$J$8/12)</f>
        <v>0.34098578465665458</v>
      </c>
      <c r="D130" s="10"/>
      <c r="E130" s="10"/>
      <c r="F130" s="10"/>
      <c r="G130" s="10"/>
    </row>
    <row r="131" spans="1:7" x14ac:dyDescent="0.2">
      <c r="A131" s="179">
        <f>+SHIPS!B150</f>
        <v>40483</v>
      </c>
      <c r="B131" s="10">
        <f>+IF('ELBA BOOK'!B142=0,0,((+PORTS!I136+PORTS!I444)/('ELBA BOOK'!$B142*PORTS!$I$9))+PORTS!I752)</f>
        <v>0.22437780134180657</v>
      </c>
      <c r="C131" s="10">
        <f>+C130*(1+PORTS!$J$8/12)</f>
        <v>0.34134097818233855</v>
      </c>
      <c r="D131" s="10"/>
      <c r="E131" s="10"/>
      <c r="F131" s="10"/>
      <c r="G131" s="10"/>
    </row>
    <row r="132" spans="1:7" x14ac:dyDescent="0.2">
      <c r="A132" s="179">
        <f>+SHIPS!B151</f>
        <v>40513</v>
      </c>
      <c r="B132" s="10">
        <f>+IF('ELBA BOOK'!B143=0,0,((+PORTS!I137+PORTS!I445)/('ELBA BOOK'!$B143*PORTS!$I$9))+PORTS!I753)</f>
        <v>0.21824459849066208</v>
      </c>
      <c r="C132" s="10">
        <f>+C131*(1+PORTS!$J$8/12)</f>
        <v>0.34169654170127844</v>
      </c>
      <c r="D132" s="10"/>
      <c r="E132" s="10"/>
      <c r="F132" s="10"/>
      <c r="G132" s="10"/>
    </row>
    <row r="133" spans="1:7" x14ac:dyDescent="0.2">
      <c r="A133" s="179">
        <f>+SHIPS!B152</f>
        <v>40544</v>
      </c>
      <c r="B133" s="10">
        <f>+IF('ELBA BOOK'!B144=0,0,((+PORTS!I138+PORTS!I446)/('ELBA BOOK'!$B144*PORTS!$I$9))+PORTS!I754)</f>
        <v>0.21837727606984372</v>
      </c>
      <c r="C133" s="10">
        <f>+C132*(1+PORTS!$J$8/12)</f>
        <v>0.34205247559888391</v>
      </c>
      <c r="D133" s="10"/>
      <c r="E133" s="10"/>
      <c r="F133" s="10"/>
      <c r="G133" s="10"/>
    </row>
    <row r="134" spans="1:7" x14ac:dyDescent="0.2">
      <c r="A134" s="179">
        <f>+SHIPS!B153</f>
        <v>40575</v>
      </c>
      <c r="B134" s="10">
        <f>+IF('ELBA BOOK'!B145=0,0,((+PORTS!I139+PORTS!I447)/('ELBA BOOK'!$B145*PORTS!$I$9))+PORTS!I755)</f>
        <v>0.23868252245647417</v>
      </c>
      <c r="C134" s="10">
        <f>+C133*(1+PORTS!$J$8/12)</f>
        <v>0.34240878026096605</v>
      </c>
      <c r="D134" s="10"/>
      <c r="E134" s="10"/>
      <c r="F134" s="10"/>
      <c r="G134" s="10"/>
    </row>
    <row r="135" spans="1:7" x14ac:dyDescent="0.2">
      <c r="A135" s="179">
        <f>+SHIPS!B154</f>
        <v>40603</v>
      </c>
      <c r="B135" s="10">
        <f>+IF('ELBA BOOK'!B146=0,0,((+PORTS!I140+PORTS!I448)/('ELBA BOOK'!$B146*PORTS!$I$9))+PORTS!I756)</f>
        <v>0.21864304598960632</v>
      </c>
      <c r="C135" s="10">
        <f>+C134*(1+PORTS!$J$8/12)</f>
        <v>0.34276545607373787</v>
      </c>
      <c r="D135" s="10"/>
      <c r="E135" s="10"/>
      <c r="F135" s="10"/>
      <c r="G135" s="10"/>
    </row>
    <row r="136" spans="1:7" x14ac:dyDescent="0.2">
      <c r="A136" s="179">
        <f>+SHIPS!B155</f>
        <v>40634</v>
      </c>
      <c r="B136" s="10">
        <f>+IF('ELBA BOOK'!B147=0,0,((+PORTS!I141+PORTS!I449)/('ELBA BOOK'!$B147*PORTS!$I$9))+PORTS!I757)</f>
        <v>0.22505877346006886</v>
      </c>
      <c r="C136" s="10">
        <f>+C135*(1+PORTS!$J$8/12)</f>
        <v>0.34312250342381467</v>
      </c>
      <c r="D136" s="10"/>
      <c r="E136" s="10"/>
      <c r="F136" s="10"/>
      <c r="G136" s="10"/>
    </row>
    <row r="137" spans="1:7" x14ac:dyDescent="0.2">
      <c r="A137" s="179">
        <f>+SHIPS!B156</f>
        <v>40664</v>
      </c>
      <c r="B137" s="10">
        <f>+IF('ELBA BOOK'!B148=0,0,((+PORTS!I142+PORTS!I450)/('ELBA BOOK'!$B148*PORTS!$I$9))+PORTS!I758)</f>
        <v>0.21890936988508056</v>
      </c>
      <c r="C137" s="10">
        <f>+C136*(1+PORTS!$J$8/12)</f>
        <v>0.34347992269821448</v>
      </c>
      <c r="D137" s="10"/>
      <c r="E137" s="10"/>
      <c r="F137" s="10"/>
      <c r="G137" s="10"/>
    </row>
    <row r="138" spans="1:7" x14ac:dyDescent="0.2">
      <c r="A138" s="179">
        <f>+SHIPS!B157</f>
        <v>40695</v>
      </c>
      <c r="B138" s="10">
        <f>+IF('ELBA BOOK'!B149=0,0,((+PORTS!I143+PORTS!I451)/('ELBA BOOK'!$B149*PORTS!$I$9))+PORTS!I759)</f>
        <v>0.22533215642617554</v>
      </c>
      <c r="C138" s="10">
        <f>+C137*(1+PORTS!$J$8/12)</f>
        <v>0.34383771428435844</v>
      </c>
      <c r="D138" s="10"/>
      <c r="E138" s="10"/>
      <c r="F138" s="10"/>
      <c r="G138" s="10"/>
    </row>
    <row r="139" spans="1:7" x14ac:dyDescent="0.2">
      <c r="A139" s="179">
        <f>+SHIPS!B158</f>
        <v>40725</v>
      </c>
      <c r="B139" s="10">
        <f>+IF('ELBA BOOK'!B150=0,0,((+PORTS!I144+PORTS!I452)/('ELBA BOOK'!$B150*PORTS!$I$9))+PORTS!I760)</f>
        <v>0.21917624891098361</v>
      </c>
      <c r="C139" s="10">
        <f>+C138*(1+PORTS!$J$8/12)</f>
        <v>0.34419587857007128</v>
      </c>
      <c r="D139" s="10"/>
      <c r="E139" s="10"/>
      <c r="F139" s="10"/>
      <c r="G139" s="10"/>
    </row>
    <row r="140" spans="1:7" x14ac:dyDescent="0.2">
      <c r="A140" s="179">
        <f>+SHIPS!B159</f>
        <v>40756</v>
      </c>
      <c r="B140" s="10">
        <f>+IF('ELBA BOOK'!B151=0,0,((+PORTS!I145+PORTS!I453)/('ELBA BOOK'!$B151*PORTS!$I$9))+PORTS!I761)</f>
        <v>0.21930989695935307</v>
      </c>
      <c r="C140" s="10">
        <f>+C139*(1+PORTS!$J$8/12)</f>
        <v>0.34455441594358177</v>
      </c>
      <c r="D140" s="10"/>
      <c r="E140" s="10"/>
      <c r="F140" s="10"/>
      <c r="G140" s="10"/>
    </row>
    <row r="141" spans="1:7" x14ac:dyDescent="0.2">
      <c r="A141" s="179">
        <f>+SHIPS!B160</f>
        <v>40787</v>
      </c>
      <c r="B141" s="10">
        <f>+IF('ELBA BOOK'!B152=0,0,((+PORTS!I146+PORTS!I454)/('ELBA BOOK'!$B152*PORTS!$I$9))+PORTS!I762)</f>
        <v>0.22574329970483506</v>
      </c>
      <c r="C141" s="10">
        <f>+C140*(1+PORTS!$J$8/12)</f>
        <v>0.34491332679352299</v>
      </c>
      <c r="D141" s="10"/>
      <c r="E141" s="10"/>
      <c r="F141" s="10"/>
      <c r="G141" s="10"/>
    </row>
    <row r="142" spans="1:7" x14ac:dyDescent="0.2">
      <c r="A142" s="179">
        <f>+SHIPS!B161</f>
        <v>40817</v>
      </c>
      <c r="B142" s="10">
        <f>+IF('ELBA BOOK'!B153=0,0,((+PORTS!I147+PORTS!I455)/('ELBA BOOK'!$B153*PORTS!$I$9))+PORTS!I763)</f>
        <v>0.21957761085126057</v>
      </c>
      <c r="C142" s="10">
        <f>+C141*(1+PORTS!$J$8/12)</f>
        <v>0.3452726115089329</v>
      </c>
      <c r="D142" s="10"/>
      <c r="E142" s="10"/>
      <c r="F142" s="10"/>
      <c r="G142" s="10"/>
    </row>
    <row r="143" spans="1:7" x14ac:dyDescent="0.2">
      <c r="A143" s="179">
        <f>+SHIPS!B162</f>
        <v>40848</v>
      </c>
      <c r="B143" s="10">
        <f>+IF('ELBA BOOK'!B154=0,0,((+PORTS!I148+PORTS!I456)/('ELBA BOOK'!$B154*PORTS!$I$9))+PORTS!I764)</f>
        <v>0.22601810951004356</v>
      </c>
      <c r="C143" s="10">
        <f>+C142*(1+PORTS!$J$8/12)</f>
        <v>0.34563227047925471</v>
      </c>
      <c r="D143" s="10"/>
      <c r="E143" s="10"/>
      <c r="F143" s="10"/>
      <c r="G143" s="10"/>
    </row>
    <row r="144" spans="1:7" x14ac:dyDescent="0.2">
      <c r="A144" s="179">
        <f>+SHIPS!B163</f>
        <v>40878</v>
      </c>
      <c r="B144" s="10">
        <f>+IF('ELBA BOOK'!B155=0,0,((+PORTS!I149+PORTS!I457)/('ELBA BOOK'!$B155*PORTS!$I$9))+PORTS!I765)</f>
        <v>0.21984588277093106</v>
      </c>
      <c r="C144" s="10">
        <f>+C143*(1+PORTS!$J$8/12)</f>
        <v>0.34599230409433723</v>
      </c>
      <c r="D144" s="10"/>
      <c r="E144" s="10"/>
      <c r="F144" s="10"/>
      <c r="G144" s="10"/>
    </row>
    <row r="145" spans="1:7" x14ac:dyDescent="0.2">
      <c r="A145" s="179">
        <f>+SHIPS!B164</f>
        <v>40909</v>
      </c>
      <c r="B145" s="10">
        <f>+IF('ELBA BOOK'!B156=0,0,((+PORTS!I150+PORTS!I458)/('ELBA BOOK'!$B156*PORTS!$I$9))+PORTS!I766)</f>
        <v>0.21998022835457126</v>
      </c>
      <c r="C145" s="10">
        <f>+C144*(1+PORTS!$J$8/12)</f>
        <v>0.34635271274443546</v>
      </c>
      <c r="D145" s="10"/>
      <c r="E145" s="10"/>
      <c r="F145" s="10"/>
      <c r="G145" s="10"/>
    </row>
    <row r="146" spans="1:7" x14ac:dyDescent="0.2">
      <c r="A146" s="179">
        <f>+SHIPS!B165</f>
        <v>40940</v>
      </c>
      <c r="B146" s="10">
        <f>+IF('ELBA BOOK'!B157=0,0,((+PORTS!I151+PORTS!I459)/('ELBA BOOK'!$B157*PORTS!$I$9))+PORTS!I767)</f>
        <v>0.23318371680068198</v>
      </c>
      <c r="C146" s="10">
        <f>+C145*(1+PORTS!$J$8/12)</f>
        <v>0.34671349682021091</v>
      </c>
      <c r="D146" s="10"/>
      <c r="E146" s="10"/>
      <c r="F146" s="10"/>
      <c r="G146" s="10"/>
    </row>
    <row r="147" spans="1:7" x14ac:dyDescent="0.2">
      <c r="A147" s="179">
        <f>+SHIPS!B166</f>
        <v>40969</v>
      </c>
      <c r="B147" s="10">
        <f>+IF('ELBA BOOK'!B158=0,0,((+PORTS!I152+PORTS!I460)/('ELBA BOOK'!$B158*PORTS!$I$9))+PORTS!I768)</f>
        <v>0.22024933949757491</v>
      </c>
      <c r="C147" s="10">
        <f>+C146*(1+PORTS!$J$8/12)</f>
        <v>0.34707465671273197</v>
      </c>
      <c r="D147" s="10"/>
      <c r="E147" s="10"/>
      <c r="F147" s="10"/>
      <c r="G147" s="10"/>
    </row>
    <row r="148" spans="1:7" x14ac:dyDescent="0.2">
      <c r="A148" s="179">
        <f>+SHIPS!B167</f>
        <v>41000</v>
      </c>
      <c r="B148" s="10">
        <f>+IF('ELBA BOOK'!B159=0,0,((+PORTS!I153+PORTS!I461)/('ELBA BOOK'!$B159*PORTS!$I$9))+PORTS!I769)</f>
        <v>0.22670764271704785</v>
      </c>
      <c r="C148" s="10">
        <f>+C147*(1+PORTS!$J$8/12)</f>
        <v>0.34743619281347438</v>
      </c>
      <c r="D148" s="10"/>
      <c r="E148" s="10"/>
      <c r="F148" s="10"/>
      <c r="G148" s="10"/>
    </row>
    <row r="149" spans="1:7" x14ac:dyDescent="0.2">
      <c r="A149" s="179">
        <f>+SHIPS!B168</f>
        <v>41030</v>
      </c>
      <c r="B149" s="10">
        <f>+IF('ELBA BOOK'!B160=0,0,((+PORTS!I154+PORTS!I462)/('ELBA BOOK'!$B160*PORTS!$I$9))+PORTS!I770)</f>
        <v>0.22051901158079742</v>
      </c>
      <c r="C149" s="10">
        <f>+C148*(1+PORTS!$J$8/12)</f>
        <v>0.34779810551432172</v>
      </c>
      <c r="D149" s="10"/>
      <c r="E149" s="10"/>
      <c r="F149" s="10"/>
      <c r="G149" s="10"/>
    </row>
    <row r="150" spans="1:7" x14ac:dyDescent="0.2">
      <c r="A150" s="179">
        <f>+SHIPS!B169</f>
        <v>41061</v>
      </c>
      <c r="B150" s="10">
        <f>+IF('ELBA BOOK'!B161=0,0,((+PORTS!I155+PORTS!I463)/('ELBA BOOK'!$B161*PORTS!$I$9))+PORTS!I771)</f>
        <v>0.22698446261657756</v>
      </c>
      <c r="C150" s="10">
        <f>+C149*(1+PORTS!$J$8/12)</f>
        <v>0.34816039520756581</v>
      </c>
      <c r="D150" s="10"/>
      <c r="E150" s="10"/>
      <c r="F150" s="10"/>
      <c r="G150" s="10"/>
    </row>
    <row r="151" spans="1:7" x14ac:dyDescent="0.2">
      <c r="A151" s="179">
        <f>+SHIPS!B170</f>
        <v>41091</v>
      </c>
      <c r="B151" s="10">
        <f>+IF('ELBA BOOK'!B162=0,0,((+PORTS!I156+PORTS!I464)/('ELBA BOOK'!$B162*PORTS!$I$9))+PORTS!I772)</f>
        <v>0.22078924577347292</v>
      </c>
      <c r="C151" s="10">
        <f>+C150*(1+PORTS!$J$8/12)</f>
        <v>0.34852306228590701</v>
      </c>
      <c r="D151" s="10"/>
      <c r="E151" s="10"/>
      <c r="F151" s="10"/>
      <c r="G151" s="10"/>
    </row>
    <row r="152" spans="1:7" x14ac:dyDescent="0.2">
      <c r="A152" s="179">
        <f>+SHIPS!B171</f>
        <v>41122</v>
      </c>
      <c r="B152" s="10">
        <f>+IF('ELBA BOOK'!B163=0,0,((+PORTS!I157+PORTS!I465)/('ELBA BOOK'!$B163*PORTS!$I$9))+PORTS!I773)</f>
        <v>0.22092457402690749</v>
      </c>
      <c r="C152" s="10">
        <f>+C151*(1+PORTS!$J$8/12)</f>
        <v>0.34888610714245483</v>
      </c>
      <c r="D152" s="10"/>
      <c r="E152" s="10"/>
      <c r="F152" s="10"/>
      <c r="G152" s="10"/>
    </row>
    <row r="153" spans="1:7" x14ac:dyDescent="0.2">
      <c r="A153" s="179">
        <f>+SHIPS!B172</f>
        <v>41153</v>
      </c>
      <c r="B153" s="10">
        <f>+IF('ELBA BOOK'!B164=0,0,((+PORTS!I158+PORTS!I466)/('ELBA BOOK'!$B164*PORTS!$I$9))+PORTS!I774)</f>
        <v>0.22740077473255052</v>
      </c>
      <c r="C153" s="10">
        <f>+C152*(1+PORTS!$J$8/12)</f>
        <v>0.34924953017072818</v>
      </c>
      <c r="D153" s="10"/>
      <c r="E153" s="10"/>
      <c r="F153" s="10"/>
      <c r="G153" s="10"/>
    </row>
    <row r="154" spans="1:7" x14ac:dyDescent="0.2">
      <c r="A154" s="179">
        <f>+SHIPS!B173</f>
        <v>41183</v>
      </c>
      <c r="B154" s="10">
        <f>+IF('ELBA BOOK'!B165=0,0,((+PORTS!I159+PORTS!I467)/('ELBA BOOK'!$B165*PORTS!$I$9))+PORTS!I775)</f>
        <v>0.22119565358140911</v>
      </c>
      <c r="C154" s="10">
        <f>+C153*(1+PORTS!$J$8/12)</f>
        <v>0.34961333176465603</v>
      </c>
      <c r="D154" s="10"/>
      <c r="E154" s="10"/>
      <c r="F154" s="10"/>
      <c r="G154" s="10"/>
    </row>
    <row r="155" spans="1:7" x14ac:dyDescent="0.2">
      <c r="A155" s="179">
        <f>+SHIPS!B174</f>
        <v>41214</v>
      </c>
      <c r="B155" s="10">
        <f>+IF('ELBA BOOK'!B166=0,0,((+PORTS!I160+PORTS!I468)/('ELBA BOOK'!$B166*PORTS!$I$9))+PORTS!I776)</f>
        <v>0.22767903940920892</v>
      </c>
      <c r="C155" s="10">
        <f>+C154*(1+PORTS!$J$8/12)</f>
        <v>0.34997751231857754</v>
      </c>
      <c r="D155" s="10"/>
      <c r="E155" s="10"/>
      <c r="F155" s="10"/>
      <c r="G155" s="10"/>
    </row>
    <row r="156" spans="1:7" x14ac:dyDescent="0.2">
      <c r="A156" s="179">
        <f>+SHIPS!B175</f>
        <v>41244</v>
      </c>
      <c r="B156" s="10">
        <f>+IF('ELBA BOOK'!B167=0,0,((+PORTS!I161+PORTS!I469)/('ELBA BOOK'!$B167*PORTS!$I$9))+PORTS!I777)</f>
        <v>0.22146729817912275</v>
      </c>
      <c r="C156" s="10">
        <f>+C155*(1+PORTS!$J$8/12)</f>
        <v>0.35034207222724273</v>
      </c>
      <c r="D156" s="10"/>
      <c r="E156" s="10"/>
      <c r="F156" s="10"/>
      <c r="G156" s="10"/>
    </row>
    <row r="157" spans="1:7" x14ac:dyDescent="0.2">
      <c r="A157" s="179">
        <f>+SHIPS!B176</f>
        <v>41275</v>
      </c>
      <c r="B157" s="10">
        <f>+IF('ELBA BOOK'!B168=0,0,((+PORTS!I162+PORTS!I470)/('ELBA BOOK'!$B168*PORTS!$I$9))+PORTS!I778)</f>
        <v>0.2216033327371465</v>
      </c>
      <c r="C157" s="10">
        <f>+C156*(1+PORTS!$J$8/12)</f>
        <v>0.35070701188581277</v>
      </c>
      <c r="D157" s="10"/>
      <c r="E157" s="10"/>
      <c r="F157" s="10"/>
      <c r="G157" s="10"/>
    </row>
    <row r="158" spans="1:7" x14ac:dyDescent="0.2">
      <c r="A158" s="179">
        <f>+SHIPS!B177</f>
        <v>41306</v>
      </c>
      <c r="B158" s="10">
        <f>+IF('ELBA BOOK'!B169=0,0,((+PORTS!I163+PORTS!I471)/('ELBA BOOK'!$B169*PORTS!$I$9))+PORTS!I779)</f>
        <v>0.24217598688155298</v>
      </c>
      <c r="C158" s="10">
        <f>+C157*(1+PORTS!$J$8/12)</f>
        <v>0.35107233168986046</v>
      </c>
      <c r="D158" s="10"/>
      <c r="E158" s="10"/>
      <c r="F158" s="10"/>
      <c r="G158" s="10"/>
    </row>
    <row r="159" spans="1:7" x14ac:dyDescent="0.2">
      <c r="A159" s="179">
        <f>+SHIPS!B178</f>
        <v>41334</v>
      </c>
      <c r="B159" s="10">
        <f>+IF('ELBA BOOK'!B170=0,0,((+PORTS!I164+PORTS!I472)/('ELBA BOOK'!$B170*PORTS!$I$9))+PORTS!I780)</f>
        <v>0.22187582710879483</v>
      </c>
      <c r="C159" s="10">
        <f>+C158*(1+PORTS!$J$8/12)</f>
        <v>0.35143803203537072</v>
      </c>
      <c r="D159" s="10"/>
      <c r="E159" s="10"/>
      <c r="F159" s="10"/>
      <c r="G159" s="10"/>
    </row>
    <row r="160" spans="1:7" x14ac:dyDescent="0.2">
      <c r="A160" s="179">
        <f>+SHIPS!B179</f>
        <v>41365</v>
      </c>
      <c r="B160" s="10">
        <f>+IF('ELBA BOOK'!B171=0,0,((+PORTS!I165+PORTS!I473)/('ELBA BOOK'!$B171*PORTS!$I$9))+PORTS!I781)</f>
        <v>0.22837724133379719</v>
      </c>
      <c r="C160" s="10">
        <f>+C159*(1+PORTS!$J$8/12)</f>
        <v>0.3518041133187409</v>
      </c>
      <c r="D160" s="10"/>
      <c r="E160" s="10"/>
      <c r="F160" s="10"/>
      <c r="G160" s="10"/>
    </row>
    <row r="161" spans="1:7" x14ac:dyDescent="0.2">
      <c r="A161" s="179">
        <f>+SHIPS!B180</f>
        <v>41395</v>
      </c>
      <c r="B161" s="10">
        <f>+IF('ELBA BOOK'!B172=0,0,((+PORTS!I166+PORTS!I474)/('ELBA BOOK'!$B172*PORTS!$I$9))+PORTS!I782)</f>
        <v>0.2221488894727261</v>
      </c>
      <c r="C161" s="10">
        <f>+C160*(1+PORTS!$J$8/12)</f>
        <v>0.35217057593678125</v>
      </c>
      <c r="D161" s="10"/>
      <c r="E161" s="10"/>
      <c r="F161" s="10"/>
      <c r="G161" s="10"/>
    </row>
    <row r="162" spans="1:7" x14ac:dyDescent="0.2">
      <c r="A162" s="179">
        <f>+SHIPS!B181</f>
        <v>41426</v>
      </c>
      <c r="B162" s="10">
        <f>+IF('ELBA BOOK'!B173=0,0,((+PORTS!I167+PORTS!I475)/('ELBA BOOK'!$B173*PORTS!$I$9))+PORTS!I783)</f>
        <v>0.22865754137540892</v>
      </c>
      <c r="C162" s="10">
        <f>+C161*(1+PORTS!$J$8/12)</f>
        <v>0.35253742028671536</v>
      </c>
      <c r="D162" s="10"/>
      <c r="E162" s="10"/>
      <c r="F162" s="10"/>
      <c r="G162" s="10"/>
    </row>
    <row r="163" spans="1:7" x14ac:dyDescent="0.2">
      <c r="A163" s="179">
        <f>+SHIPS!B182</f>
        <v>41456</v>
      </c>
      <c r="B163" s="10">
        <f>+IF('ELBA BOOK'!B174=0,0,((+PORTS!I168+PORTS!I476)/('ELBA BOOK'!$B174*PORTS!$I$9))+PORTS!I784)</f>
        <v>0.2224225210128738</v>
      </c>
      <c r="C163" s="10">
        <f>+C162*(1+PORTS!$J$8/12)</f>
        <v>0.35290464676618066</v>
      </c>
      <c r="D163" s="10"/>
      <c r="E163" s="10"/>
      <c r="F163" s="10"/>
      <c r="G163" s="10"/>
    </row>
    <row r="164" spans="1:7" x14ac:dyDescent="0.2">
      <c r="A164" s="179">
        <f>+SHIPS!B183</f>
        <v>41487</v>
      </c>
      <c r="B164" s="10">
        <f>+IF('ELBA BOOK'!B175=0,0,((+PORTS!I169+PORTS!I477)/('ELBA BOOK'!$B175*PORTS!$I$9))+PORTS!I785)</f>
        <v>0.22255955059468269</v>
      </c>
      <c r="C164" s="10">
        <f>+C163*(1+PORTS!$J$8/12)</f>
        <v>0.35327225577322874</v>
      </c>
      <c r="D164" s="10"/>
      <c r="E164" s="10"/>
      <c r="F164" s="10"/>
      <c r="G164" s="10"/>
    </row>
    <row r="165" spans="1:7" x14ac:dyDescent="0.2">
      <c r="A165" s="179">
        <f>+SHIPS!B184</f>
        <v>41518</v>
      </c>
      <c r="B165" s="10">
        <f>+IF('ELBA BOOK'!B176=0,0,((+PORTS!I170+PORTS!I478)/('ELBA BOOK'!$B176*PORTS!$I$9))+PORTS!I786)</f>
        <v>0.22907908731061416</v>
      </c>
      <c r="C165" s="10">
        <f>+C164*(1+PORTS!$J$8/12)</f>
        <v>0.35364024770632585</v>
      </c>
      <c r="D165" s="10"/>
      <c r="E165" s="10"/>
      <c r="F165" s="10"/>
      <c r="G165" s="10"/>
    </row>
    <row r="166" spans="1:7" x14ac:dyDescent="0.2">
      <c r="A166" s="179">
        <f>+SHIPS!B185</f>
        <v>41548</v>
      </c>
      <c r="B166" s="10">
        <f>+IF('ELBA BOOK'!B177=0,0,((+PORTS!I171+PORTS!I479)/('ELBA BOOK'!$B177*PORTS!$I$9))+PORTS!I787)</f>
        <v>0.22283403812443031</v>
      </c>
      <c r="C166" s="10">
        <f>+C165*(1+PORTS!$J$8/12)</f>
        <v>0.35400862296435326</v>
      </c>
      <c r="D166" s="10"/>
      <c r="E166" s="10"/>
      <c r="F166" s="10"/>
      <c r="G166" s="10"/>
    </row>
    <row r="167" spans="1:7" x14ac:dyDescent="0.2">
      <c r="A167" s="179">
        <f>+SHIPS!B186</f>
        <v>41579</v>
      </c>
      <c r="B167" s="10">
        <f>+IF('ELBA BOOK'!B178=0,0,((+PORTS!I172+PORTS!I480)/('ELBA BOOK'!$B178*PORTS!$I$9))+PORTS!I788)</f>
        <v>0.22936085029289588</v>
      </c>
      <c r="C167" s="10">
        <f>+C166*(1+PORTS!$J$8/12)</f>
        <v>0.35437738194660778</v>
      </c>
      <c r="D167" s="10"/>
      <c r="E167" s="10"/>
      <c r="F167" s="10"/>
      <c r="G167" s="10"/>
    </row>
    <row r="168" spans="1:7" x14ac:dyDescent="0.2">
      <c r="A168" s="179">
        <f>+SHIPS!B187</f>
        <v>41609</v>
      </c>
      <c r="B168" s="10">
        <f>+IF('ELBA BOOK'!B179=0,0,((+PORTS!I173+PORTS!I481)/('ELBA BOOK'!$B179*PORTS!$I$9))+PORTS!I789)</f>
        <v>0.2231090978010363</v>
      </c>
      <c r="C168" s="10">
        <f>+C167*(1+PORTS!$J$8/12)</f>
        <v>0.35474652505280213</v>
      </c>
      <c r="D168" s="10"/>
      <c r="E168" s="10"/>
      <c r="F168" s="10"/>
      <c r="G168" s="10"/>
    </row>
    <row r="169" spans="1:7" x14ac:dyDescent="0.2">
      <c r="A169" s="179">
        <f>+SHIPS!B188</f>
        <v>41640</v>
      </c>
      <c r="B169" s="10">
        <f>+IF('ELBA BOOK'!B180=0,0,((+PORTS!I174+PORTS!I482)/('ELBA BOOK'!$B180*PORTS!$I$9))+PORTS!I790)</f>
        <v>0.22324684256699953</v>
      </c>
      <c r="C169" s="10">
        <f>+C168*(1+PORTS!$J$8/12)</f>
        <v>0.35511605268306545</v>
      </c>
      <c r="D169" s="10"/>
      <c r="E169" s="10"/>
      <c r="F169" s="10"/>
      <c r="G169" s="10"/>
    </row>
    <row r="170" spans="1:7" x14ac:dyDescent="0.2">
      <c r="A170" s="179">
        <f>+SHIPS!B189</f>
        <v>41671</v>
      </c>
      <c r="B170" s="10">
        <f>+IF('ELBA BOOK'!B181=0,0,((+PORTS!I175+PORTS!I483)/('ELBA BOOK'!$B181*PORTS!$I$9))+PORTS!I791)</f>
        <v>0.24395572720076419</v>
      </c>
      <c r="C170" s="10">
        <f>+C169*(1+PORTS!$J$8/12)</f>
        <v>0.35548596523794362</v>
      </c>
      <c r="D170" s="10"/>
      <c r="E170" s="10"/>
      <c r="F170" s="10"/>
      <c r="G170" s="10"/>
    </row>
    <row r="171" spans="1:7" x14ac:dyDescent="0.2">
      <c r="A171" s="179">
        <f>+SHIPS!B190</f>
        <v>41699</v>
      </c>
      <c r="B171" s="10">
        <f>+IF('ELBA BOOK'!B182=0,0,((+PORTS!I176+PORTS!I484)/('ELBA BOOK'!$B182*PORTS!$I$9))+PORTS!I792)</f>
        <v>0.22352276270078239</v>
      </c>
      <c r="C171" s="10">
        <f>+C170*(1+PORTS!$J$8/12)</f>
        <v>0.3558562631183998</v>
      </c>
      <c r="D171" s="10"/>
      <c r="E171" s="10"/>
      <c r="F171" s="10"/>
      <c r="G171" s="10"/>
    </row>
    <row r="172" spans="1:7" x14ac:dyDescent="0.2">
      <c r="A172" s="179">
        <f>+SHIPS!B191</f>
        <v>41730</v>
      </c>
      <c r="B172" s="10">
        <f>+IF('ELBA BOOK'!B183=0,0,((+PORTS!I177+PORTS!I485)/('ELBA BOOK'!$B183*PORTS!$I$9))+PORTS!I793)</f>
        <v>0.23006782991700514</v>
      </c>
      <c r="C172" s="10">
        <f>+C171*(1+PORTS!$J$8/12)</f>
        <v>0.35622694672581479</v>
      </c>
      <c r="D172" s="10"/>
      <c r="E172" s="10"/>
      <c r="F172" s="10"/>
      <c r="G172" s="10"/>
    </row>
    <row r="173" spans="1:7" x14ac:dyDescent="0.2">
      <c r="A173" s="179">
        <f>+SHIPS!B192</f>
        <v>41760</v>
      </c>
      <c r="B173" s="10">
        <f>+IF('ELBA BOOK'!B184=0,0,((+PORTS!I178+PORTS!I486)/('ELBA BOOK'!$B184*PORTS!$I$9))+PORTS!I794)</f>
        <v>0.22379925796756975</v>
      </c>
      <c r="C173" s="10">
        <f>+C172*(1+PORTS!$J$8/12)</f>
        <v>0.35659801646198747</v>
      </c>
      <c r="D173" s="10"/>
      <c r="E173" s="10"/>
      <c r="F173" s="10"/>
      <c r="G173" s="10"/>
    </row>
    <row r="174" spans="1:7" x14ac:dyDescent="0.2">
      <c r="A174" s="179">
        <f>+SHIPS!B193</f>
        <v>41791</v>
      </c>
      <c r="B174" s="10">
        <f>+IF('ELBA BOOK'!B185=0,0,((+PORTS!I179+PORTS!I487)/('ELBA BOOK'!$B185*PORTS!$I$9))+PORTS!I795)</f>
        <v>0.23035165385257123</v>
      </c>
      <c r="C174" s="10">
        <f>+C173*(1+PORTS!$J$8/12)</f>
        <v>0.35696947272913537</v>
      </c>
      <c r="D174" s="10"/>
      <c r="E174" s="10"/>
      <c r="F174" s="10"/>
      <c r="G174" s="10"/>
    </row>
    <row r="175" spans="1:7" x14ac:dyDescent="0.2">
      <c r="A175" s="179">
        <f>+SHIPS!B194</f>
        <v>41821</v>
      </c>
      <c r="B175" s="10">
        <f>+IF('ELBA BOOK'!B186=0,0,((+PORTS!I180+PORTS!I488)/('ELBA BOOK'!$B186*PORTS!$I$9))+PORTS!I796)</f>
        <v>0.22407632956617946</v>
      </c>
      <c r="C175" s="10">
        <f>+C174*(1+PORTS!$J$8/12)</f>
        <v>0.35734131592989488</v>
      </c>
      <c r="D175" s="10"/>
      <c r="E175" s="10"/>
      <c r="F175" s="10"/>
      <c r="G175" s="10"/>
    </row>
    <row r="176" spans="1:7" x14ac:dyDescent="0.2">
      <c r="A176" s="179">
        <f>+SHIPS!B195</f>
        <v>41852</v>
      </c>
      <c r="B176" s="10">
        <f>+IF('ELBA BOOK'!B187=0,0,((+PORTS!I181+PORTS!I489)/('ELBA BOOK'!$B187*PORTS!$I$9))+PORTS!I797)</f>
        <v>0.22421508186523142</v>
      </c>
      <c r="C176" s="10">
        <f>+C175*(1+PORTS!$J$8/12)</f>
        <v>0.35771354646732184</v>
      </c>
      <c r="D176" s="10"/>
      <c r="E176" s="10"/>
      <c r="F176" s="10"/>
      <c r="G176" s="10"/>
    </row>
    <row r="177" spans="1:7" x14ac:dyDescent="0.2">
      <c r="A177" s="179">
        <f>+SHIPS!B196</f>
        <v>41883</v>
      </c>
      <c r="B177" s="10">
        <f>+IF('ELBA BOOK'!B188=0,0,((+PORTS!I182+PORTS!I490)/('ELBA BOOK'!$B188*PORTS!$I$9))+PORTS!I798)</f>
        <v>0.23077849940587153</v>
      </c>
      <c r="C177" s="10">
        <f>+C176*(1+PORTS!$J$8/12)</f>
        <v>0.35808616474489197</v>
      </c>
      <c r="D177" s="10"/>
      <c r="E177" s="10"/>
      <c r="F177" s="10"/>
      <c r="G177" s="10"/>
    </row>
    <row r="178" spans="1:7" x14ac:dyDescent="0.2">
      <c r="A178" s="179">
        <f>+SHIPS!B197</f>
        <v>41913</v>
      </c>
      <c r="B178" s="10">
        <f>+IF('ELBA BOOK'!B189=0,0,((+PORTS!I183+PORTS!I491)/('ELBA BOOK'!$B189*PORTS!$I$9))+PORTS!I799)</f>
        <v>0.22449302021482576</v>
      </c>
      <c r="C178" s="10">
        <f>+C177*(1+PORTS!$J$8/12)</f>
        <v>0.35845917116650122</v>
      </c>
      <c r="D178" s="10"/>
      <c r="E178" s="10"/>
      <c r="F178" s="10"/>
      <c r="G178" s="10"/>
    </row>
    <row r="179" spans="1:7" x14ac:dyDescent="0.2">
      <c r="A179" s="179">
        <f>+SHIPS!B198</f>
        <v>41944</v>
      </c>
      <c r="B179" s="10">
        <f>+IF('ELBA BOOK'!B190=0,0,((+PORTS!I184+PORTS!I492)/('ELBA BOOK'!$B190*PORTS!$I$9))+PORTS!I800)</f>
        <v>0.23106380467399848</v>
      </c>
      <c r="C179" s="10">
        <f>+C178*(1+PORTS!$J$8/12)</f>
        <v>0.3588325661364663</v>
      </c>
      <c r="D179" s="10"/>
      <c r="E179" s="10"/>
      <c r="F179" s="10"/>
      <c r="G179" s="10"/>
    </row>
    <row r="180" spans="1:7" x14ac:dyDescent="0.2">
      <c r="A180" s="179">
        <f>+SHIPS!B199</f>
        <v>41974</v>
      </c>
      <c r="B180" s="10">
        <f>+IF('ELBA BOOK'!B191=0,0,((+PORTS!I185+PORTS!I493)/('ELBA BOOK'!$B191*PORTS!$I$9))+PORTS!I801)</f>
        <v>0.22477153790423082</v>
      </c>
      <c r="C180" s="10">
        <f>+C179*(1+PORTS!$J$8/12)</f>
        <v>0.35920635005952511</v>
      </c>
      <c r="D180" s="10"/>
      <c r="E180" s="10"/>
      <c r="F180" s="10"/>
      <c r="G180" s="10"/>
    </row>
    <row r="181" spans="1:7" x14ac:dyDescent="0.2">
      <c r="A181" s="179">
        <f>+SHIPS!B200</f>
        <v>42005</v>
      </c>
      <c r="B181" s="10">
        <f>+IF('ELBA BOOK'!B192=0,0,((+PORTS!I186+PORTS!I494)/('ELBA BOOK'!$B192*PORTS!$I$9))+PORTS!I802)</f>
        <v>0.22491101437863492</v>
      </c>
      <c r="C181" s="10">
        <f>+C180*(1+PORTS!$J$8/12)</f>
        <v>0.35958052334083712</v>
      </c>
      <c r="D181" s="10"/>
      <c r="E181" s="10"/>
      <c r="F181" s="10"/>
      <c r="G181" s="10"/>
    </row>
    <row r="182" spans="1:7" x14ac:dyDescent="0.2">
      <c r="A182" s="179">
        <f>+SHIPS!B201</f>
        <v>42036</v>
      </c>
      <c r="B182" s="10">
        <f>+IF('ELBA BOOK'!B193=0,0,((+PORTS!I187+PORTS!I495)/('ELBA BOOK'!$B193*PORTS!$I$9))+PORTS!I803)</f>
        <v>0.24575784217291924</v>
      </c>
      <c r="C182" s="10">
        <f>+C181*(1+PORTS!$J$8/12)</f>
        <v>0.35995508638598378</v>
      </c>
      <c r="D182" s="10"/>
      <c r="E182" s="10"/>
      <c r="F182" s="10"/>
      <c r="G182" s="10"/>
    </row>
    <row r="183" spans="1:7" x14ac:dyDescent="0.2">
      <c r="A183" s="179">
        <f>+SHIPS!B202</f>
        <v>42064</v>
      </c>
      <c r="B183" s="10">
        <f>+IF('ELBA BOOK'!B194=0,0,((+PORTS!I188+PORTS!I496)/('ELBA BOOK'!$B194*PORTS!$I$9))+PORTS!I804)</f>
        <v>0.22519040334276727</v>
      </c>
      <c r="C183" s="10">
        <f>+C182*(1+PORTS!$J$8/12)</f>
        <v>0.36033003960096915</v>
      </c>
      <c r="D183" s="10"/>
      <c r="E183" s="10"/>
      <c r="F183" s="10"/>
      <c r="G183" s="10"/>
    </row>
    <row r="184" spans="1:7" x14ac:dyDescent="0.2">
      <c r="A184" s="179">
        <f>+SHIPS!B203</f>
        <v>42095</v>
      </c>
      <c r="B184" s="10">
        <f>+IF('ELBA BOOK'!B195=0,0,((+PORTS!I189+PORTS!I497)/('ELBA BOOK'!$B195*PORTS!$I$9))+PORTS!I805)</f>
        <v>0.23177967234967178</v>
      </c>
      <c r="C184" s="10">
        <f>+C183*(1+PORTS!$J$8/12)</f>
        <v>0.36070538339222014</v>
      </c>
      <c r="D184" s="10"/>
      <c r="E184" s="10"/>
      <c r="F184" s="10"/>
      <c r="G184" s="10"/>
    </row>
    <row r="185" spans="1:7" x14ac:dyDescent="0.2">
      <c r="A185" s="179">
        <f>+SHIPS!B204</f>
        <v>42125</v>
      </c>
      <c r="B185" s="10">
        <f>+IF('ELBA BOOK'!B196=0,0,((+PORTS!I190+PORTS!I498)/('ELBA BOOK'!$B196*PORTS!$I$9))+PORTS!I806)</f>
        <v>0.22547037467039802</v>
      </c>
      <c r="C185" s="10">
        <f>+C184*(1+PORTS!$J$8/12)</f>
        <v>0.361081118166587</v>
      </c>
      <c r="D185" s="10"/>
      <c r="E185" s="10"/>
      <c r="F185" s="10"/>
      <c r="G185" s="10"/>
    </row>
    <row r="186" spans="1:7" x14ac:dyDescent="0.2">
      <c r="A186" s="179">
        <f>+SHIPS!B205</f>
        <v>42156</v>
      </c>
      <c r="B186" s="10">
        <f>+IF('ELBA BOOK'!B197=0,0,((+PORTS!I191+PORTS!I499)/('ELBA BOOK'!$B197*PORTS!$I$9))+PORTS!I807)</f>
        <v>0.2320670644811072</v>
      </c>
      <c r="C186" s="10">
        <f>+C185*(1+PORTS!$J$8/12)</f>
        <v>0.36145724433134385</v>
      </c>
      <c r="D186" s="10"/>
      <c r="E186" s="10"/>
      <c r="F186" s="10"/>
      <c r="G186" s="10"/>
    </row>
    <row r="187" spans="1:7" x14ac:dyDescent="0.2">
      <c r="A187" s="179">
        <f>+SHIPS!B206</f>
        <v>42186</v>
      </c>
      <c r="B187" s="10">
        <f>+IF('ELBA BOOK'!B198=0,0,((+PORTS!I192+PORTS!I500)/('ELBA BOOK'!$B198*PORTS!$I$9))+PORTS!I808)</f>
        <v>0.22575092957541631</v>
      </c>
      <c r="C187" s="10">
        <f>+C186*(1+PORTS!$J$8/12)</f>
        <v>0.36183376229418895</v>
      </c>
      <c r="D187" s="10"/>
      <c r="E187" s="10"/>
      <c r="F187" s="10"/>
      <c r="G187" s="10"/>
    </row>
    <row r="188" spans="1:7" x14ac:dyDescent="0.2">
      <c r="A188" s="179">
        <f>+SHIPS!B207</f>
        <v>42217</v>
      </c>
      <c r="B188" s="10">
        <f>+IF('ELBA BOOK'!B199=0,0,((+PORTS!I193+PORTS!I501)/('ELBA BOOK'!$B199*PORTS!$I$9))+PORTS!I809)</f>
        <v>0.22589142624947789</v>
      </c>
      <c r="C188" s="10">
        <f>+C187*(1+PORTS!$J$8/12)</f>
        <v>0.3622106724632454</v>
      </c>
      <c r="D188" s="10"/>
      <c r="E188" s="10"/>
      <c r="F188" s="10"/>
      <c r="G188" s="10"/>
    </row>
    <row r="189" spans="1:7" x14ac:dyDescent="0.2">
      <c r="A189" s="179">
        <f>+SHIPS!B208</f>
        <v>42248</v>
      </c>
      <c r="B189" s="10">
        <f>+IF('ELBA BOOK'!B200=0,0,((+PORTS!I194+PORTS!I502)/('ELBA BOOK'!$B200*PORTS!$I$9))+PORTS!I810)</f>
        <v>0.23249927627857953</v>
      </c>
      <c r="C189" s="10">
        <f>+C188*(1+PORTS!$J$8/12)</f>
        <v>0.36258797524706127</v>
      </c>
      <c r="D189" s="10"/>
      <c r="E189" s="10"/>
      <c r="F189" s="10"/>
      <c r="G189" s="10"/>
    </row>
    <row r="190" spans="1:7" x14ac:dyDescent="0.2">
      <c r="A190" s="179">
        <f>+SHIPS!B209</f>
        <v>42278</v>
      </c>
      <c r="B190" s="10">
        <f>+IF('ELBA BOOK'!B201=0,0,((+PORTS!I195+PORTS!I503)/('ELBA BOOK'!$B201*PORTS!$I$9))+PORTS!I811)</f>
        <v>0.22617285880215615</v>
      </c>
      <c r="C190" s="10">
        <f>+C189*(1+PORTS!$J$8/12)</f>
        <v>0.36296567105461025</v>
      </c>
      <c r="D190" s="10"/>
      <c r="E190" s="10"/>
      <c r="F190" s="10"/>
      <c r="G190" s="10"/>
    </row>
    <row r="191" spans="1:7" x14ac:dyDescent="0.2">
      <c r="A191" s="179">
        <f>+SHIPS!B210</f>
        <v>42309</v>
      </c>
      <c r="B191" s="10">
        <f>+IF('ELBA BOOK'!B202=0,0,((+PORTS!I196+PORTS!I504)/('ELBA BOOK'!$B202*PORTS!$I$9))+PORTS!I812)</f>
        <v>0.23278816836568705</v>
      </c>
      <c r="C191" s="10">
        <f>+C190*(1+PORTS!$J$8/12)</f>
        <v>0.36334376029529214</v>
      </c>
      <c r="D191" s="10"/>
      <c r="E191" s="10"/>
      <c r="F191" s="10"/>
      <c r="G191" s="10"/>
    </row>
    <row r="192" spans="1:7" x14ac:dyDescent="0.2">
      <c r="A192" s="179">
        <f>+SHIPS!B211</f>
        <v>42339</v>
      </c>
      <c r="B192" s="10">
        <f>+IF('ELBA BOOK'!B203=0,0,((+PORTS!I197+PORTS!I505)/('ELBA BOOK'!$B203*PORTS!$I$9))+PORTS!I813)</f>
        <v>0.22645487797802633</v>
      </c>
      <c r="C192" s="10">
        <f>+C191*(1+PORTS!$J$8/12)</f>
        <v>0.36372224337893305</v>
      </c>
      <c r="D192" s="10"/>
      <c r="E192" s="10"/>
      <c r="F192" s="10"/>
      <c r="G192" s="10"/>
    </row>
    <row r="193" spans="1:7" x14ac:dyDescent="0.2">
      <c r="A193" s="179">
        <f>+SHIPS!B212</f>
        <v>42370</v>
      </c>
      <c r="B193" s="10">
        <f>+IF('ELBA BOOK'!B204=0,0,((+PORTS!I198+PORTS!I506)/('ELBA BOOK'!$B204*PORTS!$I$9))+PORTS!I814)</f>
        <v>0.22659610793167392</v>
      </c>
      <c r="C193" s="10">
        <f>+C192*(1+PORTS!$J$8/12)</f>
        <v>0.3641011207157861</v>
      </c>
      <c r="D193" s="10"/>
      <c r="E193" s="10"/>
      <c r="F193" s="10"/>
      <c r="G193" s="10"/>
    </row>
    <row r="194" spans="1:7" x14ac:dyDescent="0.2">
      <c r="A194" s="179">
        <f>+SHIPS!B213</f>
        <v>42401</v>
      </c>
      <c r="B194" s="10">
        <f>+IF('ELBA BOOK'!B205=0,0,((+PORTS!I199+PORTS!I507)/('ELBA BOOK'!$B205*PORTS!$I$9))+PORTS!I815)</f>
        <v>0.24015503871247829</v>
      </c>
      <c r="C194" s="10">
        <f>+C193*(1+PORTS!$J$8/12)</f>
        <v>0.36448039271653171</v>
      </c>
      <c r="D194" s="10"/>
      <c r="E194" s="10"/>
      <c r="F194" s="10"/>
      <c r="G194" s="10"/>
    </row>
    <row r="195" spans="1:7" x14ac:dyDescent="0.2">
      <c r="A195" s="179">
        <f>+SHIPS!B214</f>
        <v>42430</v>
      </c>
      <c r="B195" s="10">
        <f>+IF('ELBA BOOK'!B206=0,0,((+PORTS!I200+PORTS!I508)/('ELBA BOOK'!$B206*PORTS!$I$9))+PORTS!I816)</f>
        <v>0.22687900933581864</v>
      </c>
      <c r="C195" s="10">
        <f>+C194*(1+PORTS!$J$8/12)</f>
        <v>0.36486005979227809</v>
      </c>
      <c r="D195" s="10"/>
      <c r="E195" s="10"/>
      <c r="F195" s="10"/>
      <c r="G195" s="10"/>
    </row>
    <row r="196" spans="1:7" x14ac:dyDescent="0.2">
      <c r="A196" s="179">
        <f>+SHIPS!B215</f>
        <v>42461</v>
      </c>
      <c r="B196" s="10">
        <f>+IF('ELBA BOOK'!B207=0,0,((+PORTS!I201+PORTS!I509)/('ELBA BOOK'!$B207*PORTS!$I$9))+PORTS!I817)</f>
        <v>0.23351303583229835</v>
      </c>
      <c r="C196" s="10">
        <f>+C195*(1+PORTS!$J$8/12)</f>
        <v>0.36524012235456171</v>
      </c>
      <c r="D196" s="10"/>
      <c r="E196" s="10"/>
      <c r="F196" s="10"/>
      <c r="G196" s="10"/>
    </row>
    <row r="197" spans="1:7" x14ac:dyDescent="0.2">
      <c r="A197" s="179">
        <f>+SHIPS!B216</f>
        <v>42491</v>
      </c>
      <c r="B197" s="10">
        <f>+IF('ELBA BOOK'!B208=0,0,((+PORTS!I202+PORTS!I510)/('ELBA BOOK'!$B208*PORTS!$I$9))+PORTS!I818)</f>
        <v>0.22716250042485633</v>
      </c>
      <c r="C197" s="10">
        <f>+C196*(1+PORTS!$J$8/12)</f>
        <v>0.36562058081534771</v>
      </c>
      <c r="D197" s="10"/>
      <c r="E197" s="10"/>
      <c r="F197" s="10"/>
      <c r="G197" s="10"/>
    </row>
    <row r="198" spans="1:7" x14ac:dyDescent="0.2">
      <c r="A198" s="179">
        <f>+SHIPS!B217</f>
        <v>42522</v>
      </c>
      <c r="B198" s="10">
        <f>+IF('ELBA BOOK'!B209=0,0,((+PORTS!I203+PORTS!I511)/('ELBA BOOK'!$B209*PORTS!$I$9))+PORTS!I819)</f>
        <v>0.23380404101847566</v>
      </c>
      <c r="C198" s="10">
        <f>+C197*(1+PORTS!$J$8/12)</f>
        <v>0.36600143558703035</v>
      </c>
      <c r="D198" s="10"/>
      <c r="E198" s="10"/>
      <c r="F198" s="10"/>
      <c r="G198" s="10"/>
    </row>
    <row r="199" spans="1:7" x14ac:dyDescent="0.2">
      <c r="A199" s="179">
        <f>+SHIPS!B218</f>
        <v>42552</v>
      </c>
      <c r="B199" s="10">
        <f>+IF('ELBA BOOK'!B210=0,0,((+PORTS!I204+PORTS!I512)/('ELBA BOOK'!$B210*PORTS!$I$9))+PORTS!I820)</f>
        <v>0.22744658242793703</v>
      </c>
      <c r="C199" s="10">
        <f>+C198*(1+PORTS!$J$8/12)</f>
        <v>0.36638268708243349</v>
      </c>
      <c r="D199" s="10"/>
      <c r="E199" s="10"/>
      <c r="F199" s="10"/>
      <c r="G199" s="10"/>
    </row>
    <row r="200" spans="1:7" x14ac:dyDescent="0.2">
      <c r="A200" s="179">
        <f>+SHIPS!B219</f>
        <v>42583</v>
      </c>
      <c r="B200" s="10">
        <f>+IF('ELBA BOOK'!B211=0,0,((+PORTS!I205+PORTS!I513)/('ELBA BOOK'!$B211*PORTS!$I$9))+PORTS!I821)</f>
        <v>0.22758884540705332</v>
      </c>
      <c r="C200" s="10">
        <f>+C199*(1+PORTS!$J$8/12)</f>
        <v>0.36676433571481099</v>
      </c>
      <c r="D200" s="10"/>
      <c r="E200" s="10"/>
      <c r="F200" s="10"/>
      <c r="G200" s="10"/>
    </row>
    <row r="201" spans="1:7" x14ac:dyDescent="0.2">
      <c r="A201" s="179">
        <f>+SHIPS!B220</f>
        <v>42614</v>
      </c>
      <c r="B201" s="10">
        <f>+IF('ELBA BOOK'!B212=0,0,((+PORTS!I206+PORTS!I514)/('ELBA BOOK'!$B212*PORTS!$I$9))+PORTS!I822)</f>
        <v>0.23424168652381105</v>
      </c>
      <c r="C201" s="10">
        <f>+C200*(1+PORTS!$J$8/12)</f>
        <v>0.36714638189784721</v>
      </c>
      <c r="D201" s="10"/>
      <c r="E201" s="10"/>
      <c r="F201" s="10"/>
      <c r="G201" s="10"/>
    </row>
    <row r="202" spans="1:7" x14ac:dyDescent="0.2">
      <c r="A202" s="179">
        <f>+SHIPS!B221</f>
        <v>42644</v>
      </c>
      <c r="B202" s="10">
        <f>+IF('ELBA BOOK'!B213=0,0,((+PORTS!I207+PORTS!I515)/('ELBA BOOK'!$B213*PORTS!$I$9))+PORTS!I823)</f>
        <v>0.22787381609146085</v>
      </c>
      <c r="C202" s="10">
        <f>+C201*(1+PORTS!$J$8/12)</f>
        <v>0.36752882604565745</v>
      </c>
      <c r="D202" s="10"/>
      <c r="E202" s="10"/>
      <c r="F202" s="10"/>
      <c r="G202" s="10"/>
    </row>
    <row r="203" spans="1:7" x14ac:dyDescent="0.2">
      <c r="A203" s="179">
        <f>+SHIPS!B222</f>
        <v>42675</v>
      </c>
      <c r="B203" s="10">
        <f>+IF('ELBA BOOK'!B214=0,0,((+PORTS!I208+PORTS!I516)/('ELBA BOOK'!$B214*PORTS!$I$9))+PORTS!I824)</f>
        <v>0.23453421052289886</v>
      </c>
      <c r="C203" s="10">
        <f>+C202*(1+PORTS!$J$8/12)</f>
        <v>0.36791166857278834</v>
      </c>
      <c r="D203" s="10"/>
      <c r="E203" s="10"/>
      <c r="F203" s="10"/>
      <c r="G203" s="10"/>
    </row>
    <row r="204" spans="1:7" x14ac:dyDescent="0.2">
      <c r="A204" s="179">
        <f>+SHIPS!B223</f>
        <v>42705</v>
      </c>
      <c r="B204" s="10">
        <f>+IF('ELBA BOOK'!B215=0,0,((+PORTS!I209+PORTS!I517)/('ELBA BOOK'!$B215*PORTS!$I$9))+PORTS!I825)</f>
        <v>0.22815938077400719</v>
      </c>
      <c r="C204" s="10">
        <f>+C203*(1+PORTS!$J$8/12)</f>
        <v>0.36829490989421831</v>
      </c>
      <c r="D204" s="10"/>
      <c r="E204" s="10"/>
      <c r="F204" s="10"/>
      <c r="G204" s="10"/>
    </row>
    <row r="205" spans="1:7" x14ac:dyDescent="0.2">
      <c r="A205" s="179">
        <f>+SHIPS!B224</f>
        <v>42736</v>
      </c>
      <c r="B205" s="10">
        <f>+IF('ELBA BOOK'!B216=0,0,((+PORTS!I210+PORTS!I518)/('ELBA BOOK'!$B216*PORTS!$I$9))+PORTS!I826)</f>
        <v>0.22830238625140062</v>
      </c>
      <c r="C205" s="10">
        <f>+C204*(1+PORTS!$J$8/12)</f>
        <v>0.36867855042535808</v>
      </c>
      <c r="D205" s="10"/>
      <c r="E205" s="10"/>
      <c r="F205" s="10"/>
      <c r="G205" s="10"/>
    </row>
    <row r="206" spans="1:7" x14ac:dyDescent="0.2">
      <c r="A206" s="179">
        <f>+SHIPS!B225</f>
        <v>42767</v>
      </c>
      <c r="B206" s="10">
        <f>+IF('ELBA BOOK'!B217=0,0,((+PORTS!I211+PORTS!I519)/('ELBA BOOK'!$B217*PORTS!$I$9))+PORTS!I827)</f>
        <v>0.24943032477677424</v>
      </c>
      <c r="C206" s="10">
        <f>+C205*(1+PORTS!$J$8/12)</f>
        <v>0.36906259058205115</v>
      </c>
      <c r="D206" s="10"/>
      <c r="E206" s="10"/>
      <c r="F206" s="10"/>
      <c r="G206" s="10"/>
    </row>
    <row r="207" spans="1:7" x14ac:dyDescent="0.2">
      <c r="A207" s="179">
        <f>+SHIPS!B226</f>
        <v>42795</v>
      </c>
      <c r="B207" s="10">
        <f>+IF('ELBA BOOK'!B218=0,0,((+PORTS!I212+PORTS!I520)/('ELBA BOOK'!$B218*PORTS!$I$9))+PORTS!I828)</f>
        <v>0.22858884425347525</v>
      </c>
      <c r="C207" s="10">
        <f>+C206*(1+PORTS!$J$8/12)</f>
        <v>0.36944703078057411</v>
      </c>
      <c r="D207" s="10"/>
      <c r="E207" s="10"/>
      <c r="F207" s="10"/>
      <c r="G207" s="10"/>
    </row>
    <row r="208" spans="1:7" x14ac:dyDescent="0.2">
      <c r="A208" s="179">
        <f>+SHIPS!B227</f>
        <v>42826</v>
      </c>
      <c r="B208" s="10">
        <f>+IF('ELBA BOOK'!B219=0,0,((+PORTS!I213+PORTS!I521)/('ELBA BOOK'!$B219*PORTS!$I$9))+PORTS!I829)</f>
        <v>0.2352681909245945</v>
      </c>
      <c r="C208" s="10">
        <f>+C207*(1+PORTS!$J$8/12)</f>
        <v>0.36983187143763718</v>
      </c>
      <c r="D208" s="10"/>
      <c r="E208" s="10"/>
      <c r="F208" s="10"/>
      <c r="G208" s="10"/>
    </row>
    <row r="209" spans="1:7" x14ac:dyDescent="0.2">
      <c r="A209" s="179">
        <f>+SHIPS!B228</f>
        <v>42856</v>
      </c>
      <c r="B209" s="10">
        <f>+IF('ELBA BOOK'!B220=0,0,((+PORTS!I214+PORTS!I522)/('ELBA BOOK'!$B220*PORTS!$I$9))+PORTS!I830)</f>
        <v>0.22887589935388106</v>
      </c>
      <c r="C209" s="10">
        <f>+C208*(1+PORTS!$J$8/12)</f>
        <v>0.37021711297038468</v>
      </c>
      <c r="D209" s="10"/>
      <c r="E209" s="10"/>
      <c r="F209" s="10"/>
      <c r="G209" s="10"/>
    </row>
    <row r="210" spans="1:7" x14ac:dyDescent="0.2">
      <c r="A210" s="179">
        <f>+SHIPS!B229</f>
        <v>42887</v>
      </c>
      <c r="B210" s="10">
        <f>+IF('ELBA BOOK'!B221=0,0,((+PORTS!I215+PORTS!I523)/('ELBA BOOK'!$B221*PORTS!$I$9))+PORTS!I831)</f>
        <v>0.23556285458834586</v>
      </c>
      <c r="C210" s="10">
        <f>+C209*(1+PORTS!$J$8/12)</f>
        <v>0.37060275579639546</v>
      </c>
      <c r="D210" s="10"/>
      <c r="E210" s="10"/>
      <c r="F210" s="10"/>
      <c r="G210" s="10"/>
    </row>
    <row r="211" spans="1:7" x14ac:dyDescent="0.2">
      <c r="A211" s="179">
        <f>+SHIPS!B230</f>
        <v>42917</v>
      </c>
      <c r="B211" s="10">
        <f>+IF('ELBA BOOK'!B222=0,0,((+PORTS!I216+PORTS!I524)/('ELBA BOOK'!$B222*PORTS!$I$9))+PORTS!I832)</f>
        <v>0.2291635527972207</v>
      </c>
      <c r="C211" s="10">
        <f>+C210*(1+PORTS!$J$8/12)</f>
        <v>0.37098880033368337</v>
      </c>
      <c r="D211" s="10"/>
      <c r="E211" s="10"/>
      <c r="F211" s="10"/>
      <c r="G211" s="10"/>
    </row>
    <row r="212" spans="1:7" x14ac:dyDescent="0.2">
      <c r="A212" s="179">
        <f>+SHIPS!B231</f>
        <v>42948</v>
      </c>
      <c r="B212" s="10">
        <f>+IF('ELBA BOOK'!B223=0,0,((+PORTS!I217+PORTS!I525)/('ELBA BOOK'!$B223*PORTS!$I$9))+PORTS!I833)</f>
        <v>0.22930760428713831</v>
      </c>
      <c r="C212" s="10">
        <f>+C211*(1+PORTS!$J$8/12)</f>
        <v>0.37137524700069757</v>
      </c>
      <c r="D212" s="10"/>
      <c r="E212" s="10"/>
      <c r="F212" s="10"/>
      <c r="G212" s="10"/>
    </row>
    <row r="213" spans="1:7" x14ac:dyDescent="0.2">
      <c r="A213" s="179">
        <f>+SHIPS!B232</f>
        <v>42979</v>
      </c>
      <c r="B213" s="10">
        <f>+IF('ELBA BOOK'!B224=0,0,((+PORTS!I218+PORTS!I526)/('ELBA BOOK'!$B224*PORTS!$I$9))+PORTS!I834)</f>
        <v>0.23600600211337963</v>
      </c>
      <c r="C213" s="10">
        <f>+C212*(1+PORTS!$J$8/12)</f>
        <v>0.37176209621632328</v>
      </c>
      <c r="D213" s="10"/>
      <c r="E213" s="10"/>
      <c r="F213" s="10"/>
      <c r="G213" s="10"/>
    </row>
    <row r="214" spans="1:7" x14ac:dyDescent="0.2">
      <c r="A214" s="179">
        <f>+SHIPS!B233</f>
        <v>43009</v>
      </c>
      <c r="B214" s="10">
        <f>+IF('ELBA BOOK'!B225=0,0,((+PORTS!I219+PORTS!I527)/('ELBA BOOK'!$B225*PORTS!$I$9))+PORTS!I835)</f>
        <v>0.22959615758418545</v>
      </c>
      <c r="C214" s="10">
        <f>+C213*(1+PORTS!$J$8/12)</f>
        <v>0.37214934839988195</v>
      </c>
      <c r="D214" s="10"/>
      <c r="E214" s="10"/>
      <c r="F214" s="10"/>
      <c r="G214" s="10"/>
    </row>
    <row r="215" spans="1:7" x14ac:dyDescent="0.2">
      <c r="A215" s="179">
        <f>+SHIPS!B234</f>
        <v>43040</v>
      </c>
      <c r="B215" s="10">
        <f>+IF('ELBA BOOK'!B226=0,0,((+PORTS!I220+PORTS!I528)/('ELBA BOOK'!$B226*PORTS!$I$9))+PORTS!I836)</f>
        <v>0.2363022036843507</v>
      </c>
      <c r="C215" s="10">
        <f>+C214*(1+PORTS!$J$8/12)</f>
        <v>0.37253700397113182</v>
      </c>
      <c r="D215" s="10"/>
      <c r="E215" s="10"/>
      <c r="F215" s="10"/>
      <c r="G215" s="10"/>
    </row>
    <row r="216" spans="1:7" x14ac:dyDescent="0.2">
      <c r="A216" s="179">
        <f>+SHIPS!B235</f>
        <v>43070</v>
      </c>
      <c r="B216" s="10">
        <f>+IF('ELBA BOOK'!B227=0,0,((+PORTS!I221+PORTS!I529)/('ELBA BOOK'!$B227*PORTS!$I$9))+PORTS!I837)</f>
        <v>0.22988531234703513</v>
      </c>
      <c r="C216" s="10">
        <f>+C215*(1+PORTS!$J$8/12)</f>
        <v>0.37292506335026837</v>
      </c>
      <c r="D216" s="10"/>
      <c r="E216" s="10"/>
      <c r="F216" s="10"/>
      <c r="G216" s="10"/>
    </row>
    <row r="217" spans="1:7" x14ac:dyDescent="0.2">
      <c r="A217" s="179">
        <f>+SHIPS!B236</f>
        <v>43101</v>
      </c>
      <c r="B217" s="10">
        <f>+IF('ELBA BOOK'!B228=0,0,((+PORTS!I222+PORTS!I530)/('ELBA BOOK'!$B228*PORTS!$I$9))+PORTS!I838)</f>
        <v>0.2300301156698171</v>
      </c>
      <c r="C217" s="10">
        <f>+C216*(1+PORTS!$J$8/12)</f>
        <v>0.37331352695792486</v>
      </c>
      <c r="D217" s="10"/>
      <c r="E217" s="10"/>
      <c r="F217" s="10"/>
      <c r="G217" s="10"/>
    </row>
    <row r="218" spans="1:7" x14ac:dyDescent="0.2">
      <c r="A218" s="179">
        <f>+SHIPS!B237</f>
        <v>43132</v>
      </c>
      <c r="B218" s="10">
        <f>+IF('ELBA BOOK'!B229=0,0,((+PORTS!I223+PORTS!I531)/('ELBA BOOK'!$B229*PORTS!$I$9))+PORTS!I839)</f>
        <v>0.25130126564417266</v>
      </c>
      <c r="C218" s="10">
        <f>+C217*(1+PORTS!$J$8/12)</f>
        <v>0.37370239521517268</v>
      </c>
      <c r="D218" s="10"/>
      <c r="E218" s="10"/>
      <c r="F218" s="10"/>
      <c r="G218" s="10"/>
    </row>
    <row r="219" spans="1:7" x14ac:dyDescent="0.2">
      <c r="A219" s="179">
        <f>+SHIPS!B238</f>
        <v>43160</v>
      </c>
      <c r="B219" s="10">
        <f>+IF('ELBA BOOK'!B230=0,0,((+PORTS!I224+PORTS!I532)/('ELBA BOOK'!$B230*PORTS!$I$9))+PORTS!I840)</f>
        <v>0.23032017498288648</v>
      </c>
      <c r="C219" s="10">
        <f>+C218*(1+PORTS!$J$8/12)</f>
        <v>0.37409166854352177</v>
      </c>
      <c r="D219" s="10"/>
      <c r="E219" s="10"/>
      <c r="F219" s="10"/>
      <c r="G219" s="10"/>
    </row>
    <row r="220" spans="1:7" x14ac:dyDescent="0.2">
      <c r="A220" s="179">
        <f>+SHIPS!B239</f>
        <v>43191</v>
      </c>
      <c r="B220" s="10">
        <f>+IF('ELBA BOOK'!B231=0,0,((+PORTS!I225+PORTS!I533)/('ELBA BOOK'!$B231*PORTS!$I$9))+PORTS!I841)</f>
        <v>0.23704541158770942</v>
      </c>
      <c r="C220" s="10">
        <f>+C219*(1+PORTS!$J$8/12)</f>
        <v>0.37448134736492122</v>
      </c>
      <c r="D220" s="10"/>
      <c r="E220" s="10"/>
      <c r="F220" s="10"/>
      <c r="G220" s="10"/>
    </row>
    <row r="221" spans="1:7" x14ac:dyDescent="0.2">
      <c r="A221" s="179">
        <f>+SHIPS!B240</f>
        <v>43221</v>
      </c>
      <c r="B221" s="10">
        <f>+IF('ELBA BOOK'!B232=0,0,((+PORTS!I226+PORTS!I534)/('ELBA BOOK'!$B232*PORTS!$I$9))+PORTS!I842)</f>
        <v>0.23061083890092593</v>
      </c>
      <c r="C221" s="10">
        <f>+C220*(1+PORTS!$J$8/12)</f>
        <v>0.37487143210175966</v>
      </c>
      <c r="D221" s="10"/>
      <c r="E221" s="10"/>
      <c r="F221" s="10"/>
      <c r="G221" s="10"/>
    </row>
    <row r="222" spans="1:7" x14ac:dyDescent="0.2">
      <c r="A222" s="179">
        <f>+SHIPS!B241</f>
        <v>43252</v>
      </c>
      <c r="B222" s="10">
        <f>+IF('ELBA BOOK'!B233=0,0,((+PORTS!I227+PORTS!I535)/('ELBA BOOK'!$B233*PORTS!$I$9))+PORTS!I843)</f>
        <v>0.23734377972291679</v>
      </c>
      <c r="C222" s="10">
        <f>+C221*(1+PORTS!$J$8/12)</f>
        <v>0.37526192317686563</v>
      </c>
      <c r="D222" s="10"/>
      <c r="E222" s="10"/>
      <c r="F222" s="10"/>
      <c r="G222" s="10"/>
    </row>
    <row r="223" spans="1:7" x14ac:dyDescent="0.2">
      <c r="A223" s="179">
        <f>+SHIPS!B242</f>
        <v>43282</v>
      </c>
      <c r="B223" s="10">
        <f>+IF('ELBA BOOK'!B234=0,0,((+PORTS!I228+PORTS!I536)/('ELBA BOOK'!$B234*PORTS!$I$9))+PORTS!I844)</f>
        <v>0.23090210868418515</v>
      </c>
      <c r="C223" s="10">
        <f>+C222*(1+PORTS!$J$8/12)</f>
        <v>0.37565282101350816</v>
      </c>
      <c r="D223" s="10"/>
      <c r="E223" s="10"/>
      <c r="F223" s="10"/>
      <c r="G223" s="10"/>
    </row>
    <row r="224" spans="1:7" x14ac:dyDescent="0.2">
      <c r="A224" s="179">
        <f>+SHIPS!B243</f>
        <v>43313</v>
      </c>
      <c r="B224" s="10">
        <f>+IF('ELBA BOOK'!B235=0,0,((+PORTS!I229+PORTS!I537)/('ELBA BOOK'!$B235*PORTS!$I$9))+PORTS!I845)</f>
        <v>0.23104797116981834</v>
      </c>
      <c r="C224" s="10">
        <f>+C223*(1+PORTS!$J$8/12)</f>
        <v>0.37604412603539722</v>
      </c>
      <c r="D224" s="10"/>
      <c r="E224" s="10"/>
      <c r="F224" s="10"/>
      <c r="G224" s="10"/>
    </row>
    <row r="225" spans="1:7" x14ac:dyDescent="0.2">
      <c r="A225" s="179">
        <f>+SHIPS!B244</f>
        <v>43344</v>
      </c>
      <c r="B225" s="10">
        <f>+IF('ELBA BOOK'!B236=0,0,((+PORTS!I230+PORTS!I538)/('ELBA BOOK'!$B236*PORTS!$I$9))+PORTS!I846)</f>
        <v>0.23779249843829139</v>
      </c>
      <c r="C225" s="10">
        <f>+C224*(1+PORTS!$J$8/12)</f>
        <v>0.37643583866668406</v>
      </c>
      <c r="D225" s="10"/>
      <c r="E225" s="10"/>
      <c r="F225" s="10"/>
      <c r="G225" s="10"/>
    </row>
    <row r="226" spans="1:7" x14ac:dyDescent="0.2">
      <c r="A226" s="179">
        <f>+SHIPS!B245</f>
        <v>43374</v>
      </c>
      <c r="B226" s="10">
        <f>+IF('ELBA BOOK'!B237=0,0,((+PORTS!I231+PORTS!I539)/('ELBA BOOK'!$B237*PORTS!$I$9))+PORTS!I847)</f>
        <v>0.23134015211962328</v>
      </c>
      <c r="C226" s="10">
        <f>+C225*(1+PORTS!$J$8/12)</f>
        <v>0.37682795933196184</v>
      </c>
      <c r="D226" s="10"/>
      <c r="E226" s="10"/>
      <c r="F226" s="10"/>
      <c r="G226" s="10"/>
    </row>
    <row r="227" spans="1:7" x14ac:dyDescent="0.2">
      <c r="A227" s="179">
        <f>+SHIPS!B246</f>
        <v>43405</v>
      </c>
      <c r="B227" s="10">
        <f>+IF('ELBA BOOK'!B238=0,0,((+PORTS!I232+PORTS!I540)/('ELBA BOOK'!$B238*PORTS!$I$9))+PORTS!I848)</f>
        <v>0.23809242381507856</v>
      </c>
      <c r="C227" s="10">
        <f>+C226*(1+PORTS!$J$8/12)</f>
        <v>0.37722048845626593</v>
      </c>
      <c r="D227" s="10"/>
      <c r="E227" s="10"/>
      <c r="F227" s="10"/>
      <c r="G227" s="10"/>
    </row>
    <row r="228" spans="1:7" x14ac:dyDescent="0.2">
      <c r="A228" s="179">
        <f>+SHIPS!B247</f>
        <v>43435</v>
      </c>
      <c r="B228" s="10">
        <f>+IF('ELBA BOOK'!B239=0,0,((+PORTS!I233+PORTS!I541)/('ELBA BOOK'!$B239*PORTS!$I$9))+PORTS!I849)</f>
        <v>0.23163294209677696</v>
      </c>
      <c r="C228" s="10">
        <f>+C227*(1+PORTS!$J$8/12)</f>
        <v>0.37761342646507451</v>
      </c>
      <c r="D228" s="10"/>
      <c r="E228" s="10"/>
      <c r="F228" s="10"/>
      <c r="G228" s="10"/>
    </row>
    <row r="229" spans="1:7" x14ac:dyDescent="0.2">
      <c r="A229" s="179">
        <f>+SHIPS!B248</f>
        <v>43466</v>
      </c>
      <c r="B229" s="10">
        <f>+IF('ELBA BOOK'!B240=0,0,((+PORTS!I234+PORTS!I542)/('ELBA BOOK'!$B240*PORTS!$I$9))+PORTS!I850)</f>
        <v>0.23177956586721496</v>
      </c>
      <c r="C229" s="10">
        <f>+C228*(1+PORTS!$J$8/12)</f>
        <v>0.37800677378430891</v>
      </c>
      <c r="D229" s="10"/>
      <c r="E229" s="10"/>
      <c r="F229" s="10"/>
      <c r="G229" s="10"/>
    </row>
    <row r="230" spans="1:7" x14ac:dyDescent="0.2">
      <c r="A230" s="179">
        <f>+SHIPS!B249</f>
        <v>43497</v>
      </c>
      <c r="B230" s="10">
        <f>+IF('ELBA BOOK'!B241=0,0,((+PORTS!I235+PORTS!I543)/('ELBA BOOK'!$B241*PORTS!$I$9))+PORTS!I851)</f>
        <v>0.25319572772538784</v>
      </c>
      <c r="C230" s="10">
        <f>+C229*(1+PORTS!$J$8/12)</f>
        <v>0.3784005308403342</v>
      </c>
      <c r="D230" s="10"/>
      <c r="E230" s="10"/>
      <c r="F230" s="10"/>
      <c r="G230" s="10"/>
    </row>
    <row r="231" spans="1:7" x14ac:dyDescent="0.2">
      <c r="A231" s="179">
        <f>+SHIPS!B250</f>
        <v>43525</v>
      </c>
      <c r="B231" s="10">
        <f>+IF('ELBA BOOK'!B242=0,0,((+PORTS!I236+PORTS!I544)/('ELBA BOOK'!$B242*PORTS!$I$9))+PORTS!I852)</f>
        <v>0.23207327176647058</v>
      </c>
      <c r="C231" s="10">
        <f>+C230*(1+PORTS!$J$8/12)</f>
        <v>0.37879469805995952</v>
      </c>
      <c r="D231" s="10"/>
      <c r="E231" s="10"/>
      <c r="F231" s="10"/>
      <c r="G231" s="10"/>
    </row>
    <row r="232" spans="1:7" x14ac:dyDescent="0.2">
      <c r="A232" s="179">
        <f>+SHIPS!B251</f>
        <v>43556</v>
      </c>
      <c r="B232" s="10">
        <f>+IF('ELBA BOOK'!B243=0,0,((+PORTS!I237+PORTS!I545)/('ELBA BOOK'!$B243*PORTS!$I$9))+PORTS!I853)</f>
        <v>0</v>
      </c>
      <c r="C232" s="10">
        <f>+C231*(1+PORTS!$J$8/12)</f>
        <v>0.3791892758704386</v>
      </c>
      <c r="D232" s="10"/>
      <c r="E232" s="10"/>
      <c r="F232" s="10"/>
      <c r="G232" s="10"/>
    </row>
    <row r="233" spans="1:7" x14ac:dyDescent="0.2">
      <c r="A233" s="179">
        <f>+SHIPS!B252</f>
        <v>43586</v>
      </c>
      <c r="B233" s="10">
        <f>+IF('ELBA BOOK'!B244=0,0,((+PORTS!I238+PORTS!I546)/('ELBA BOOK'!$B244*PORTS!$I$9))+PORTS!I854)</f>
        <v>0</v>
      </c>
      <c r="C233" s="10">
        <f>+C232*(1+PORTS!$J$8/12)</f>
        <v>0.37958426469947026</v>
      </c>
      <c r="D233" s="10"/>
      <c r="E233" s="10"/>
      <c r="F233" s="10"/>
      <c r="G233" s="10"/>
    </row>
    <row r="234" spans="1:7" x14ac:dyDescent="0.2">
      <c r="A234" s="179">
        <f>+SHIPS!B253</f>
        <v>43617</v>
      </c>
      <c r="B234" s="10">
        <f>+IF('ELBA BOOK'!B245=0,0,((+PORTS!I239+PORTS!I547)/('ELBA BOOK'!$B245*PORTS!$I$9))+PORTS!I855)</f>
        <v>0</v>
      </c>
      <c r="C234" s="10">
        <f>+C233*(1+PORTS!$J$8/12)</f>
        <v>0.37997966497519886</v>
      </c>
      <c r="D234" s="10"/>
      <c r="E234" s="10"/>
      <c r="F234" s="10"/>
      <c r="G234" s="10"/>
    </row>
    <row r="235" spans="1:7" x14ac:dyDescent="0.2">
      <c r="A235" s="179">
        <f>+SHIPS!B254</f>
        <v>43647</v>
      </c>
      <c r="B235" s="10">
        <f>+IF('ELBA BOOK'!B246=0,0,((+PORTS!I240+PORTS!I548)/('ELBA BOOK'!$B246*PORTS!$I$9))+PORTS!I856)</f>
        <v>0</v>
      </c>
      <c r="C235" s="10">
        <f>+C234*(1+PORTS!$J$8/12)</f>
        <v>0.38037547712621467</v>
      </c>
      <c r="D235" s="10"/>
      <c r="E235" s="10"/>
      <c r="F235" s="10"/>
      <c r="G235" s="10"/>
    </row>
    <row r="236" spans="1:7" x14ac:dyDescent="0.2">
      <c r="A236" s="179">
        <f>+SHIPS!B255</f>
        <v>43678</v>
      </c>
      <c r="B236" s="10">
        <f>+IF('ELBA BOOK'!B247=0,0,((+PORTS!I241+PORTS!I549)/('ELBA BOOK'!$B247*PORTS!$I$9))+PORTS!I857)</f>
        <v>0</v>
      </c>
      <c r="C236" s="10">
        <f>+C235*(1+PORTS!$J$8/12)</f>
        <v>0.38077170158155443</v>
      </c>
      <c r="D236" s="10"/>
      <c r="E236" s="10"/>
      <c r="F236" s="10"/>
      <c r="G236" s="10"/>
    </row>
    <row r="237" spans="1:7" x14ac:dyDescent="0.2">
      <c r="A237" s="179">
        <f>+SHIPS!B256</f>
        <v>43709</v>
      </c>
      <c r="B237" s="10">
        <f>+IF('ELBA BOOK'!B248=0,0,((+PORTS!I242+PORTS!I550)/('ELBA BOOK'!$B248*PORTS!$I$9))+PORTS!I858)</f>
        <v>0</v>
      </c>
      <c r="C237" s="10">
        <f>+C236*(1+PORTS!$J$8/12)</f>
        <v>0.38116833877070189</v>
      </c>
      <c r="D237" s="10"/>
      <c r="E237" s="10"/>
      <c r="F237" s="10"/>
      <c r="G237" s="10"/>
    </row>
    <row r="238" spans="1:7" x14ac:dyDescent="0.2">
      <c r="A238" s="179">
        <f>+SHIPS!B257</f>
        <v>43739</v>
      </c>
      <c r="B238" s="10">
        <f>+IF('ELBA BOOK'!B249=0,0,((+PORTS!I243+PORTS!I551)/('ELBA BOOK'!$B249*PORTS!$I$9))+PORTS!I859)</f>
        <v>0</v>
      </c>
      <c r="C238" s="10">
        <f>+C237*(1+PORTS!$J$8/12)</f>
        <v>0.38156538912358801</v>
      </c>
      <c r="D238" s="10"/>
      <c r="E238" s="10"/>
      <c r="F238" s="10"/>
      <c r="G238" s="10"/>
    </row>
    <row r="239" spans="1:7" x14ac:dyDescent="0.2">
      <c r="A239" s="179">
        <f>+SHIPS!B258</f>
        <v>43770</v>
      </c>
      <c r="B239" s="10">
        <f>+IF('ELBA BOOK'!B250=0,0,((+PORTS!I244+PORTS!I552)/('ELBA BOOK'!$B250*PORTS!$I$9))+PORTS!I860)</f>
        <v>0</v>
      </c>
      <c r="C239" s="10">
        <f>+C238*(1+PORTS!$J$8/12)</f>
        <v>0.38196285307059175</v>
      </c>
      <c r="D239" s="10"/>
      <c r="E239" s="10"/>
      <c r="F239" s="10"/>
      <c r="G239" s="10"/>
    </row>
    <row r="240" spans="1:7" x14ac:dyDescent="0.2">
      <c r="A240" s="179">
        <f>+SHIPS!B259</f>
        <v>43800</v>
      </c>
      <c r="B240" s="10">
        <f>+IF('ELBA BOOK'!B251=0,0,((+PORTS!I245+PORTS!I553)/('ELBA BOOK'!$B251*PORTS!$I$9))+PORTS!I861)</f>
        <v>0</v>
      </c>
      <c r="C240" s="10">
        <f>+C239*(1+PORTS!$J$8/12)</f>
        <v>0.38236073104254026</v>
      </c>
      <c r="D240" s="10"/>
      <c r="E240" s="10"/>
      <c r="F240" s="10"/>
      <c r="G240" s="10"/>
    </row>
    <row r="241" spans="1:7" x14ac:dyDescent="0.2">
      <c r="A241" s="179">
        <f>+SHIPS!B260</f>
        <v>43831</v>
      </c>
      <c r="B241" s="10">
        <f>+IF('ELBA BOOK'!B252=0,0,((+PORTS!I246+PORTS!I554)/('ELBA BOOK'!$B252*PORTS!$I$9))+PORTS!I862)</f>
        <v>0</v>
      </c>
      <c r="C241" s="10">
        <f>+C240*(1+PORTS!$J$8/12)</f>
        <v>0.38275902347070956</v>
      </c>
      <c r="D241" s="10"/>
      <c r="E241" s="10"/>
      <c r="F241" s="10"/>
      <c r="G241" s="10"/>
    </row>
    <row r="242" spans="1:7" x14ac:dyDescent="0.2">
      <c r="A242" s="179">
        <f>+SHIPS!B261</f>
        <v>43862</v>
      </c>
      <c r="B242" s="10">
        <f>+IF('ELBA BOOK'!B253=0,0,((+PORTS!I247+PORTS!I555)/('ELBA BOOK'!$B253*PORTS!$I$9))+PORTS!I863)</f>
        <v>0</v>
      </c>
      <c r="C242" s="10">
        <f>+C241*(1+PORTS!$J$8/12)</f>
        <v>0.38315773078682486</v>
      </c>
      <c r="D242" s="10"/>
      <c r="E242" s="10"/>
      <c r="F242" s="10"/>
      <c r="G242" s="10"/>
    </row>
    <row r="243" spans="1:7" x14ac:dyDescent="0.2">
      <c r="A243" s="179">
        <f>+SHIPS!B262</f>
        <v>43891</v>
      </c>
      <c r="B243" s="10">
        <f>+IF('ELBA BOOK'!B254=0,0,((+PORTS!I248+PORTS!I556)/('ELBA BOOK'!$B254*PORTS!$I$9))+PORTS!I864)</f>
        <v>0</v>
      </c>
      <c r="C243" s="10">
        <f>+C242*(1+PORTS!$J$8/12)</f>
        <v>0.38355685342306112</v>
      </c>
      <c r="D243" s="10"/>
      <c r="E243" s="10"/>
      <c r="F243" s="10"/>
      <c r="G243" s="10"/>
    </row>
    <row r="244" spans="1:7" x14ac:dyDescent="0.2">
      <c r="A244" s="179">
        <f>+SHIPS!B263</f>
        <v>43922</v>
      </c>
      <c r="B244" s="10">
        <f>+IF('ELBA BOOK'!B255=0,0,((+PORTS!I249+PORTS!I557)/('ELBA BOOK'!$B255*PORTS!$I$9))+PORTS!I865)</f>
        <v>0</v>
      </c>
      <c r="C244" s="10">
        <f>+C243*(1+PORTS!$J$8/12)</f>
        <v>0.38395639181204344</v>
      </c>
      <c r="D244" s="10"/>
      <c r="E244" s="10"/>
      <c r="F244" s="10"/>
      <c r="G244" s="10"/>
    </row>
    <row r="245" spans="1:7" x14ac:dyDescent="0.2">
      <c r="A245" s="179">
        <f>+SHIPS!B264</f>
        <v>43952</v>
      </c>
      <c r="B245" s="10">
        <f>+IF('ELBA BOOK'!B256=0,0,((+PORTS!I250+PORTS!I558)/('ELBA BOOK'!$B256*PORTS!$I$9))+PORTS!I866)</f>
        <v>0</v>
      </c>
      <c r="C245" s="10">
        <f>+C244*(1+PORTS!$J$8/12)</f>
        <v>0.38435634638684762</v>
      </c>
      <c r="D245" s="10"/>
      <c r="E245" s="10"/>
      <c r="F245" s="10"/>
      <c r="G245" s="10"/>
    </row>
    <row r="246" spans="1:7" x14ac:dyDescent="0.2">
      <c r="A246" s="179">
        <f>+SHIPS!B265</f>
        <v>43983</v>
      </c>
      <c r="B246" s="10">
        <f>+IF('ELBA BOOK'!B257=0,0,((+PORTS!I251+PORTS!I559)/('ELBA BOOK'!$B257*PORTS!$I$9))+PORTS!I867)</f>
        <v>0</v>
      </c>
      <c r="C246" s="10">
        <f>+C245*(1+PORTS!$J$8/12)</f>
        <v>0.38475671758100055</v>
      </c>
      <c r="D246" s="10"/>
      <c r="E246" s="10"/>
      <c r="F246" s="10"/>
      <c r="G246" s="10"/>
    </row>
    <row r="247" spans="1:7" x14ac:dyDescent="0.2">
      <c r="A247" s="179">
        <f>+SHIPS!B266</f>
        <v>44013</v>
      </c>
      <c r="B247" s="10">
        <f>+IF('ELBA BOOK'!B258=0,0,((+PORTS!I252+PORTS!I560)/('ELBA BOOK'!$B258*PORTS!$I$9))+PORTS!I868)</f>
        <v>0</v>
      </c>
      <c r="C247" s="10">
        <f>+C246*(1+PORTS!$J$8/12)</f>
        <v>0.38515750582848074</v>
      </c>
      <c r="D247" s="10"/>
      <c r="E247" s="10"/>
      <c r="F247" s="10"/>
      <c r="G247" s="10"/>
    </row>
    <row r="248" spans="1:7" x14ac:dyDescent="0.2">
      <c r="A248" s="179">
        <f>+SHIPS!B267</f>
        <v>44044</v>
      </c>
      <c r="B248" s="10">
        <f>+IF('ELBA BOOK'!B259=0,0,((+PORTS!I253+PORTS!I561)/('ELBA BOOK'!$B259*PORTS!$I$9))+PORTS!I869)</f>
        <v>0</v>
      </c>
      <c r="C248" s="10">
        <f>+C247*(1+PORTS!$J$8/12)</f>
        <v>0.38555871156371874</v>
      </c>
      <c r="D248" s="10"/>
      <c r="E248" s="10"/>
      <c r="F248" s="10"/>
      <c r="G248" s="10"/>
    </row>
    <row r="249" spans="1:7" x14ac:dyDescent="0.2">
      <c r="A249" s="179">
        <f>+SHIPS!B268</f>
        <v>44075</v>
      </c>
      <c r="B249" s="10">
        <f>+IF('ELBA BOOK'!B260=0,0,((+PORTS!I254+PORTS!I562)/('ELBA BOOK'!$B260*PORTS!$I$9))+PORTS!I870)</f>
        <v>0</v>
      </c>
      <c r="C249" s="10">
        <f>+C248*(1+PORTS!$J$8/12)</f>
        <v>0.38596033522159756</v>
      </c>
      <c r="D249" s="10"/>
      <c r="E249" s="10"/>
      <c r="F249" s="10"/>
      <c r="G249" s="10"/>
    </row>
    <row r="250" spans="1:7" x14ac:dyDescent="0.2">
      <c r="A250" s="179">
        <f>+SHIPS!B269</f>
        <v>44105</v>
      </c>
      <c r="B250" s="10">
        <f>+IF('ELBA BOOK'!B261=0,0,((+PORTS!I255+PORTS!I563)/('ELBA BOOK'!$B261*PORTS!$I$9))+PORTS!I871)</f>
        <v>0</v>
      </c>
      <c r="C250" s="10">
        <f>+C249*(1+PORTS!$J$8/12)</f>
        <v>0.38636237723745337</v>
      </c>
      <c r="D250" s="10"/>
      <c r="E250" s="10"/>
      <c r="F250" s="10"/>
      <c r="G250" s="10"/>
    </row>
    <row r="251" spans="1:7" x14ac:dyDescent="0.2">
      <c r="A251" s="179">
        <f>+SHIPS!B270</f>
        <v>44136</v>
      </c>
      <c r="B251" s="10">
        <f>+IF('ELBA BOOK'!B262=0,0,((+PORTS!I256+PORTS!I564)/('ELBA BOOK'!$B262*PORTS!$I$9))+PORTS!I872)</f>
        <v>0</v>
      </c>
      <c r="C251" s="10">
        <f>+C250*(1+PORTS!$J$8/12)</f>
        <v>0.38676483804707568</v>
      </c>
      <c r="D251" s="10"/>
      <c r="E251" s="10"/>
      <c r="F251" s="10"/>
      <c r="G251" s="10"/>
    </row>
    <row r="252" spans="1:7" x14ac:dyDescent="0.2">
      <c r="A252" s="179">
        <f>+SHIPS!B271</f>
        <v>44166</v>
      </c>
      <c r="B252" s="10">
        <f>+IF('ELBA BOOK'!B263=0,0,((+PORTS!I257+PORTS!I565)/('ELBA BOOK'!$B263*PORTS!$I$9))+PORTS!I873)</f>
        <v>0</v>
      </c>
      <c r="C252" s="10">
        <f>+C251*(1+PORTS!$J$8/12)</f>
        <v>0.38716771808670802</v>
      </c>
      <c r="D252" s="10"/>
      <c r="E252" s="10"/>
      <c r="F252" s="10"/>
      <c r="G252" s="10"/>
    </row>
    <row r="253" spans="1:7" x14ac:dyDescent="0.2">
      <c r="A253" s="179">
        <f>+SHIPS!B272</f>
        <v>44197</v>
      </c>
      <c r="B253" s="10">
        <f>+IF('ELBA BOOK'!B264=0,0,((+PORTS!I258+PORTS!I566)/('ELBA BOOK'!$B264*PORTS!$I$9))+PORTS!I874)</f>
        <v>0</v>
      </c>
      <c r="C253" s="10">
        <f>+C252*(1+PORTS!$J$8/12)</f>
        <v>0.38757101779304831</v>
      </c>
      <c r="D253" s="10"/>
      <c r="E253" s="10"/>
      <c r="F253" s="10"/>
      <c r="G253" s="10"/>
    </row>
    <row r="254" spans="1:7" x14ac:dyDescent="0.2">
      <c r="A254" s="179">
        <f>+SHIPS!B273</f>
        <v>44228</v>
      </c>
      <c r="B254" s="10">
        <f>+IF('ELBA BOOK'!B265=0,0,((+PORTS!I259+PORTS!I567)/('ELBA BOOK'!$B265*PORTS!$I$9))+PORTS!I875)</f>
        <v>0</v>
      </c>
      <c r="C254" s="10">
        <f>+C253*(1+PORTS!$J$8/12)</f>
        <v>0.38797473760324935</v>
      </c>
      <c r="D254" s="10"/>
      <c r="E254" s="10"/>
      <c r="F254" s="10"/>
      <c r="G254" s="10"/>
    </row>
    <row r="255" spans="1:7" x14ac:dyDescent="0.2">
      <c r="A255" s="179">
        <f>+SHIPS!B274</f>
        <v>44256</v>
      </c>
      <c r="B255" s="10">
        <f>+IF('ELBA BOOK'!B266=0,0,((+PORTS!I260+PORTS!I568)/('ELBA BOOK'!$B266*PORTS!$I$9))+PORTS!I876)</f>
        <v>0</v>
      </c>
      <c r="C255" s="10">
        <f>+C254*(1+PORTS!$J$8/12)</f>
        <v>0.38837887795491938</v>
      </c>
      <c r="D255" s="10"/>
      <c r="E255" s="10"/>
      <c r="F255" s="10"/>
      <c r="G255" s="10"/>
    </row>
    <row r="256" spans="1:7" x14ac:dyDescent="0.2">
      <c r="A256" s="179">
        <f>+SHIPS!B275</f>
        <v>44287</v>
      </c>
      <c r="B256" s="10">
        <f>+IF('ELBA BOOK'!B267=0,0,((+PORTS!I261+PORTS!I569)/('ELBA BOOK'!$B267*PORTS!$I$9))+PORTS!I877)</f>
        <v>0</v>
      </c>
      <c r="C256" s="10">
        <f>+C255*(1+PORTS!$J$8/12)</f>
        <v>0.38878343928612241</v>
      </c>
      <c r="D256" s="10"/>
      <c r="E256" s="10"/>
      <c r="F256" s="10"/>
      <c r="G256" s="10"/>
    </row>
    <row r="257" spans="1:7" x14ac:dyDescent="0.2">
      <c r="A257" s="179">
        <f>+SHIPS!B276</f>
        <v>44317</v>
      </c>
      <c r="B257" s="10">
        <f>+IF('ELBA BOOK'!B268=0,0,((+PORTS!I262+PORTS!I570)/('ELBA BOOK'!$B268*PORTS!$I$9))+PORTS!I878)</f>
        <v>0</v>
      </c>
      <c r="C257" s="10">
        <f>+C256*(1+PORTS!$J$8/12)</f>
        <v>0.38918842203537879</v>
      </c>
      <c r="D257" s="10"/>
      <c r="E257" s="10"/>
      <c r="F257" s="10"/>
      <c r="G257" s="10"/>
    </row>
    <row r="258" spans="1:7" x14ac:dyDescent="0.2">
      <c r="A258" s="179">
        <f>+SHIPS!B277</f>
        <v>44348</v>
      </c>
      <c r="B258" s="10">
        <f>+IF('ELBA BOOK'!B269=0,0,((+PORTS!I263+PORTS!I571)/('ELBA BOOK'!$B269*PORTS!$I$9))+PORTS!I879)</f>
        <v>0</v>
      </c>
      <c r="C258" s="10">
        <f>+C257*(1+PORTS!$J$8/12)</f>
        <v>0.38959382664166564</v>
      </c>
      <c r="D258" s="10"/>
      <c r="E258" s="10"/>
      <c r="F258" s="10"/>
      <c r="G258" s="10"/>
    </row>
    <row r="259" spans="1:7" x14ac:dyDescent="0.2">
      <c r="A259" s="179">
        <f>+SHIPS!B278</f>
        <v>44378</v>
      </c>
      <c r="B259" s="10">
        <f>+IF('ELBA BOOK'!B270=0,0,((+PORTS!I264+PORTS!I572)/('ELBA BOOK'!$B270*PORTS!$I$9))+PORTS!I880)</f>
        <v>0</v>
      </c>
      <c r="C259" s="10">
        <f>+C258*(1+PORTS!$J$8/12)</f>
        <v>0.38999965354441735</v>
      </c>
      <c r="D259" s="10"/>
      <c r="E259" s="10"/>
      <c r="F259" s="10"/>
      <c r="G259" s="10"/>
    </row>
    <row r="260" spans="1:7" x14ac:dyDescent="0.2">
      <c r="A260" s="179">
        <f>+SHIPS!B279</f>
        <v>44409</v>
      </c>
      <c r="B260" s="10">
        <f>+IF('ELBA BOOK'!B271=0,0,((+PORTS!I265+PORTS!I573)/('ELBA BOOK'!$B271*PORTS!$I$9))+PORTS!I881)</f>
        <v>0</v>
      </c>
      <c r="C260" s="10">
        <f>+C259*(1+PORTS!$J$8/12)</f>
        <v>0.39040590318352608</v>
      </c>
      <c r="D260" s="10"/>
      <c r="E260" s="10"/>
      <c r="F260" s="10"/>
      <c r="G260" s="10"/>
    </row>
    <row r="261" spans="1:7" x14ac:dyDescent="0.2">
      <c r="A261" s="179">
        <f>+SHIPS!B280</f>
        <v>44440</v>
      </c>
      <c r="B261" s="10">
        <f>+IF('ELBA BOOK'!B272=0,0,((+PORTS!I266+PORTS!I574)/('ELBA BOOK'!$B272*PORTS!$I$9))+PORTS!I882)</f>
        <v>0</v>
      </c>
      <c r="C261" s="10">
        <f>+C260*(1+PORTS!$J$8/12)</f>
        <v>0.39081257599934222</v>
      </c>
      <c r="D261" s="10"/>
      <c r="E261" s="10"/>
      <c r="F261" s="10"/>
      <c r="G261" s="10"/>
    </row>
    <row r="262" spans="1:7" x14ac:dyDescent="0.2">
      <c r="A262" s="179">
        <f>+SHIPS!B281</f>
        <v>44470</v>
      </c>
      <c r="B262" s="10">
        <f>+IF('ELBA BOOK'!B273=0,0,((+PORTS!I267+PORTS!I575)/('ELBA BOOK'!$B273*PORTS!$I$9))+PORTS!I883)</f>
        <v>0</v>
      </c>
      <c r="C262" s="10">
        <f>+C261*(1+PORTS!$J$8/12)</f>
        <v>0.39121967243267486</v>
      </c>
      <c r="D262" s="10"/>
      <c r="E262" s="10"/>
      <c r="F262" s="10"/>
      <c r="G262" s="10"/>
    </row>
    <row r="263" spans="1:7" x14ac:dyDescent="0.2">
      <c r="A263" s="179">
        <f>+SHIPS!B282</f>
        <v>44501</v>
      </c>
      <c r="B263" s="10">
        <f>+IF('ELBA BOOK'!B274=0,0,((+PORTS!I268+PORTS!I576)/('ELBA BOOK'!$B274*PORTS!$I$9))+PORTS!I884)</f>
        <v>0</v>
      </c>
      <c r="C263" s="10">
        <f>+C262*(1+PORTS!$J$8/12)</f>
        <v>0.3916271929247922</v>
      </c>
      <c r="D263" s="10"/>
      <c r="E263" s="10"/>
      <c r="F263" s="10"/>
      <c r="G263" s="10"/>
    </row>
    <row r="264" spans="1:7" x14ac:dyDescent="0.2">
      <c r="A264" s="179">
        <f>+SHIPS!B283</f>
        <v>44531</v>
      </c>
      <c r="B264" s="10">
        <f>+IF('ELBA BOOK'!B275=0,0,((+PORTS!I269+PORTS!I577)/('ELBA BOOK'!$B275*PORTS!$I$9))+PORTS!I885)</f>
        <v>0</v>
      </c>
      <c r="C264" s="10">
        <f>+C263*(1+PORTS!$J$8/12)</f>
        <v>0.39203513791742217</v>
      </c>
      <c r="D264" s="10"/>
      <c r="E264" s="10"/>
      <c r="F264" s="10"/>
      <c r="G264" s="10"/>
    </row>
    <row r="265" spans="1:7" x14ac:dyDescent="0.2">
      <c r="A265" s="179">
        <f>+SHIPS!B284</f>
        <v>44562</v>
      </c>
      <c r="B265" s="10">
        <f>+IF('ELBA BOOK'!B276=0,0,((+PORTS!I270+PORTS!I578)/('ELBA BOOK'!$B276*PORTS!$I$9))+PORTS!I886)</f>
        <v>0</v>
      </c>
      <c r="C265" s="10">
        <f>+C264*(1+PORTS!$J$8/12)</f>
        <v>0.39244350785275278</v>
      </c>
      <c r="D265" s="10"/>
      <c r="E265" s="10"/>
      <c r="F265" s="10"/>
      <c r="G265" s="10"/>
    </row>
    <row r="266" spans="1:7" x14ac:dyDescent="0.2">
      <c r="A266" s="179">
        <f>+SHIPS!B285</f>
        <v>44593</v>
      </c>
      <c r="B266" s="10">
        <f>+IF('ELBA BOOK'!B277=0,0,((+PORTS!I271+PORTS!I579)/('ELBA BOOK'!$B277*PORTS!$I$9))+PORTS!I887)</f>
        <v>0</v>
      </c>
      <c r="C266" s="10">
        <f>+C265*(1+PORTS!$J$8/12)</f>
        <v>0.39285230317343273</v>
      </c>
      <c r="D266" s="10"/>
      <c r="E266" s="10"/>
      <c r="F266" s="10"/>
      <c r="G266" s="10"/>
    </row>
    <row r="267" spans="1:7" x14ac:dyDescent="0.2">
      <c r="A267" s="179">
        <f>+SHIPS!B286</f>
        <v>44621</v>
      </c>
      <c r="B267" s="10">
        <f>+IF('ELBA BOOK'!B278=0,0,((+PORTS!I272+PORTS!I580)/('ELBA BOOK'!$B278*PORTS!$I$9))+PORTS!I888)</f>
        <v>0</v>
      </c>
      <c r="C267" s="10">
        <f>+C266*(1+PORTS!$J$8/12)</f>
        <v>0.39326152432257172</v>
      </c>
      <c r="D267" s="10"/>
      <c r="E267" s="10"/>
      <c r="F267" s="10"/>
      <c r="G267" s="10"/>
    </row>
    <row r="268" spans="1:7" x14ac:dyDescent="0.2">
      <c r="A268" s="179">
        <f>+SHIPS!B287</f>
        <v>44652</v>
      </c>
      <c r="B268" s="10">
        <f>+IF('ELBA BOOK'!B279=0,0,((+PORTS!I273+PORTS!I581)/('ELBA BOOK'!$B279*PORTS!$I$9))+PORTS!I889)</f>
        <v>0</v>
      </c>
      <c r="C268" s="10">
        <f>+C267*(1+PORTS!$J$8/12)</f>
        <v>0.39367117174374106</v>
      </c>
      <c r="D268" s="10"/>
      <c r="E268" s="10"/>
      <c r="F268" s="10"/>
      <c r="G268" s="10"/>
    </row>
    <row r="269" spans="1:7" x14ac:dyDescent="0.2">
      <c r="A269" s="179">
        <f>+SHIPS!B288</f>
        <v>44682</v>
      </c>
      <c r="B269" s="10">
        <f>+IF('ELBA BOOK'!B280=0,0,((+PORTS!I274+PORTS!I582)/('ELBA BOOK'!$B280*PORTS!$I$9))+PORTS!I890)</f>
        <v>0</v>
      </c>
      <c r="C269" s="10">
        <f>+C268*(1+PORTS!$J$8/12)</f>
        <v>0.3940812458809741</v>
      </c>
      <c r="D269" s="10"/>
      <c r="E269" s="10"/>
      <c r="F269" s="10"/>
      <c r="G269" s="10"/>
    </row>
    <row r="270" spans="1:7" x14ac:dyDescent="0.2">
      <c r="A270" s="179">
        <f>+SHIPS!B289</f>
        <v>44713</v>
      </c>
      <c r="B270" s="10">
        <f>+IF('ELBA BOOK'!B281=0,0,((+PORTS!I275+PORTS!I583)/('ELBA BOOK'!$B281*PORTS!$I$9))+PORTS!I891)</f>
        <v>0</v>
      </c>
      <c r="C270" s="10">
        <f>+C269*(1+PORTS!$J$8/12)</f>
        <v>0.39449174717876673</v>
      </c>
      <c r="D270" s="10"/>
      <c r="E270" s="10"/>
      <c r="F270" s="10"/>
      <c r="G270" s="10"/>
    </row>
    <row r="271" spans="1:7" x14ac:dyDescent="0.2">
      <c r="A271" s="179">
        <f>+SHIPS!B290</f>
        <v>44743</v>
      </c>
      <c r="B271" s="10">
        <f>+IF('ELBA BOOK'!B282=0,0,((+PORTS!I276+PORTS!I584)/('ELBA BOOK'!$B282*PORTS!$I$9))+PORTS!I892)</f>
        <v>0</v>
      </c>
      <c r="C271" s="10">
        <f>+C270*(1+PORTS!$J$8/12)</f>
        <v>0.39490267608207791</v>
      </c>
      <c r="D271" s="10"/>
      <c r="E271" s="10"/>
      <c r="F271" s="10"/>
      <c r="G271" s="10"/>
    </row>
    <row r="272" spans="1:7" x14ac:dyDescent="0.2">
      <c r="A272" s="179">
        <f>+SHIPS!B291</f>
        <v>44774</v>
      </c>
      <c r="B272" s="10">
        <f>+IF('ELBA BOOK'!B283=0,0,((+PORTS!I277+PORTS!I585)/('ELBA BOOK'!$B283*PORTS!$I$9))+PORTS!I893)</f>
        <v>0</v>
      </c>
      <c r="C272" s="10">
        <f>+C271*(1+PORTS!$J$8/12)</f>
        <v>0.39531403303633006</v>
      </c>
      <c r="D272" s="10"/>
      <c r="E272" s="10"/>
      <c r="F272" s="10"/>
      <c r="G272" s="10"/>
    </row>
    <row r="273" spans="1:7" x14ac:dyDescent="0.2">
      <c r="A273" s="179">
        <f>+SHIPS!B292</f>
        <v>44805</v>
      </c>
      <c r="B273" s="10">
        <f>+IF('ELBA BOOK'!B284=0,0,((+PORTS!I278+PORTS!I586)/('ELBA BOOK'!$B284*PORTS!$I$9))+PORTS!I894)</f>
        <v>0</v>
      </c>
      <c r="C273" s="10">
        <f>+C272*(1+PORTS!$J$8/12)</f>
        <v>0.39572581848740956</v>
      </c>
      <c r="D273" s="10"/>
      <c r="E273" s="10"/>
      <c r="F273" s="10"/>
      <c r="G273" s="10"/>
    </row>
    <row r="274" spans="1:7" x14ac:dyDescent="0.2">
      <c r="A274" s="179">
        <f>+SHIPS!B293</f>
        <v>44835</v>
      </c>
      <c r="B274" s="10">
        <f>+IF('ELBA BOOK'!B285=0,0,((+PORTS!I279+PORTS!I587)/('ELBA BOOK'!$B285*PORTS!$I$9))+PORTS!I895)</f>
        <v>0</v>
      </c>
      <c r="C274" s="10">
        <f>+C273*(1+PORTS!$J$8/12)</f>
        <v>0.39613803288166727</v>
      </c>
      <c r="D274" s="10"/>
      <c r="E274" s="10"/>
      <c r="F274" s="10"/>
      <c r="G274" s="10"/>
    </row>
    <row r="275" spans="1:7" x14ac:dyDescent="0.2">
      <c r="A275" s="179">
        <f>+SHIPS!B294</f>
        <v>44866</v>
      </c>
      <c r="B275" s="10">
        <f>+IF('ELBA BOOK'!B286=0,0,((+PORTS!I280+PORTS!I588)/('ELBA BOOK'!$B286*PORTS!$I$9))+PORTS!I896)</f>
        <v>0</v>
      </c>
      <c r="C275" s="10">
        <f>+C274*(1+PORTS!$J$8/12)</f>
        <v>0.39655067666591898</v>
      </c>
      <c r="D275" s="10"/>
      <c r="E275" s="10"/>
      <c r="F275" s="10"/>
      <c r="G275" s="10"/>
    </row>
    <row r="276" spans="1:7" x14ac:dyDescent="0.2">
      <c r="A276" s="179">
        <f>+SHIPS!B295</f>
        <v>44896</v>
      </c>
      <c r="B276" s="10">
        <f>+IF('ELBA BOOK'!B287=0,0,((+PORTS!I281+PORTS!I589)/('ELBA BOOK'!$B287*PORTS!$I$9))+PORTS!I897)</f>
        <v>0</v>
      </c>
      <c r="C276" s="10">
        <f>+C275*(1+PORTS!$J$8/12)</f>
        <v>0.39696375028744596</v>
      </c>
      <c r="D276" s="10"/>
      <c r="E276" s="10"/>
      <c r="F276" s="10"/>
      <c r="G276" s="10"/>
    </row>
    <row r="277" spans="1:7" x14ac:dyDescent="0.2">
      <c r="A277" s="179">
        <f>+SHIPS!B296</f>
        <v>44927</v>
      </c>
      <c r="B277" s="10">
        <f>+IF('ELBA BOOK'!B288=0,0,((+PORTS!I282+PORTS!I590)/('ELBA BOOK'!$B288*PORTS!$I$9))+PORTS!I898)</f>
        <v>0</v>
      </c>
      <c r="C277" s="10">
        <f>+C276*(1+PORTS!$J$8/12)</f>
        <v>0.39737725419399533</v>
      </c>
      <c r="D277" s="10"/>
      <c r="E277" s="10"/>
      <c r="F277" s="10"/>
      <c r="G277" s="10"/>
    </row>
    <row r="278" spans="1:7" x14ac:dyDescent="0.2">
      <c r="A278" s="179">
        <f>+SHIPS!B297</f>
        <v>44958</v>
      </c>
      <c r="B278" s="10">
        <f>+IF('ELBA BOOK'!B289=0,0,((+PORTS!I283+PORTS!I591)/('ELBA BOOK'!$B289*PORTS!$I$9))+PORTS!I899)</f>
        <v>0</v>
      </c>
      <c r="C278" s="10">
        <f>+C277*(1+PORTS!$J$8/12)</f>
        <v>0.39779118883378073</v>
      </c>
      <c r="D278" s="10"/>
      <c r="E278" s="10"/>
      <c r="F278" s="10"/>
      <c r="G278" s="10"/>
    </row>
    <row r="279" spans="1:7" x14ac:dyDescent="0.2">
      <c r="A279" s="179">
        <f>+SHIPS!B298</f>
        <v>44986</v>
      </c>
      <c r="B279" s="10">
        <f>+IF('ELBA BOOK'!B290=0,0,((+PORTS!I284+PORTS!I592)/('ELBA BOOK'!$B290*PORTS!$I$9))+PORTS!I900)</f>
        <v>0</v>
      </c>
      <c r="C279" s="10">
        <f>+C278*(1+PORTS!$J$8/12)</f>
        <v>0.39820555465548257</v>
      </c>
      <c r="D279" s="10"/>
      <c r="E279" s="10"/>
      <c r="F279" s="10"/>
      <c r="G279" s="10"/>
    </row>
    <row r="280" spans="1:7" x14ac:dyDescent="0.2">
      <c r="A280" s="179">
        <f>+SHIPS!B299</f>
        <v>45017</v>
      </c>
      <c r="B280" s="10">
        <f>+IF('ELBA BOOK'!B291=0,0,((+PORTS!I285+PORTS!I593)/('ELBA BOOK'!$B291*PORTS!$I$9))+PORTS!I901)</f>
        <v>0</v>
      </c>
      <c r="C280" s="10">
        <f>+C279*(1+PORTS!$J$8/12)</f>
        <v>0.3986203521082487</v>
      </c>
      <c r="D280" s="10"/>
      <c r="E280" s="10"/>
      <c r="F280" s="10"/>
      <c r="G280" s="10"/>
    </row>
    <row r="281" spans="1:7" x14ac:dyDescent="0.2">
      <c r="A281" s="179">
        <f>+SHIPS!B300</f>
        <v>45047</v>
      </c>
      <c r="B281" s="10">
        <f>+IF('ELBA BOOK'!B292=0,0,((+PORTS!I286+PORTS!I594)/('ELBA BOOK'!$B292*PORTS!$I$9))+PORTS!I902)</f>
        <v>0</v>
      </c>
      <c r="C281" s="10">
        <f>+C280*(1+PORTS!$J$8/12)</f>
        <v>0.39903558164169478</v>
      </c>
      <c r="D281" s="10"/>
      <c r="E281" s="10"/>
      <c r="F281" s="10"/>
      <c r="G281" s="10"/>
    </row>
    <row r="282" spans="1:7" x14ac:dyDescent="0.2">
      <c r="A282" s="179">
        <f>+SHIPS!B301</f>
        <v>45078</v>
      </c>
      <c r="B282" s="10">
        <f>+IF('ELBA BOOK'!B293=0,0,((+PORTS!I287+PORTS!I595)/('ELBA BOOK'!$B293*PORTS!$I$9))+PORTS!I903)</f>
        <v>0</v>
      </c>
      <c r="C282" s="10">
        <f>+C281*(1+PORTS!$J$8/12)</f>
        <v>0.39945124370590485</v>
      </c>
      <c r="D282" s="10"/>
      <c r="E282" s="10"/>
      <c r="F282" s="10"/>
      <c r="G282" s="10"/>
    </row>
    <row r="283" spans="1:7" x14ac:dyDescent="0.2">
      <c r="A283" s="179">
        <f>+SHIPS!B302</f>
        <v>45108</v>
      </c>
      <c r="B283" s="10">
        <f>+IF('ELBA BOOK'!B294=0,0,((+PORTS!I288+PORTS!I596)/('ELBA BOOK'!$B294*PORTS!$I$9))+PORTS!I904)</f>
        <v>0</v>
      </c>
      <c r="C283" s="10">
        <f>+C282*(1+PORTS!$J$8/12)</f>
        <v>0.39986733875143182</v>
      </c>
      <c r="D283" s="10"/>
      <c r="E283" s="10"/>
      <c r="F283" s="10"/>
      <c r="G283" s="10"/>
    </row>
    <row r="284" spans="1:7" x14ac:dyDescent="0.2">
      <c r="A284" s="179">
        <f>+SHIPS!B303</f>
        <v>45139</v>
      </c>
      <c r="B284" s="10">
        <f>+IF('ELBA BOOK'!B295=0,0,((+PORTS!I289+PORTS!I597)/('ELBA BOOK'!$B295*PORTS!$I$9))+PORTS!I905)</f>
        <v>0</v>
      </c>
      <c r="C284" s="10">
        <f>+C283*(1+PORTS!$J$8/12)</f>
        <v>0.40028386722929787</v>
      </c>
      <c r="D284" s="10"/>
      <c r="E284" s="10"/>
      <c r="F284" s="10"/>
      <c r="G284" s="10"/>
    </row>
    <row r="285" spans="1:7" x14ac:dyDescent="0.2">
      <c r="A285" s="179">
        <f>+SHIPS!B304</f>
        <v>45170</v>
      </c>
      <c r="B285" s="10">
        <f>+IF('ELBA BOOK'!B296=0,0,((+PORTS!I290+PORTS!I598)/('ELBA BOOK'!$B296*PORTS!$I$9))+PORTS!I906)</f>
        <v>0</v>
      </c>
      <c r="C285" s="10">
        <f>+C284*(1+PORTS!$J$8/12)</f>
        <v>0.40070082959099501</v>
      </c>
      <c r="D285" s="10"/>
      <c r="E285" s="10"/>
      <c r="F285" s="10"/>
      <c r="G285" s="10"/>
    </row>
    <row r="286" spans="1:7" x14ac:dyDescent="0.2">
      <c r="A286" s="179">
        <f>+SHIPS!B305</f>
        <v>45200</v>
      </c>
      <c r="B286" s="10">
        <f>+IF('ELBA BOOK'!B297=0,0,((+PORTS!I291+PORTS!I599)/('ELBA BOOK'!$B297*PORTS!$I$9))+PORTS!I907)</f>
        <v>0</v>
      </c>
      <c r="C286" s="10">
        <f>+C285*(1+PORTS!$J$8/12)</f>
        <v>0.40111822628848559</v>
      </c>
      <c r="D286" s="10"/>
      <c r="E286" s="10"/>
      <c r="F286" s="10"/>
      <c r="G286" s="10"/>
    </row>
    <row r="287" spans="1:7" x14ac:dyDescent="0.2">
      <c r="A287" s="179">
        <f>+SHIPS!B306</f>
        <v>45231</v>
      </c>
      <c r="B287" s="10">
        <f>+IF('ELBA BOOK'!B298=0,0,((+PORTS!I292+PORTS!I600)/('ELBA BOOK'!$B298*PORTS!$I$9))+PORTS!I908)</f>
        <v>0</v>
      </c>
      <c r="C287" s="10">
        <f>+C286*(1+PORTS!$J$8/12)</f>
        <v>0.40153605777420276</v>
      </c>
      <c r="D287" s="10"/>
      <c r="E287" s="10"/>
      <c r="F287" s="10"/>
      <c r="G287" s="10"/>
    </row>
    <row r="288" spans="1:7" x14ac:dyDescent="0.2">
      <c r="A288" s="179">
        <f>+SHIPS!B307</f>
        <v>45261</v>
      </c>
      <c r="B288" s="10">
        <f>+IF('ELBA BOOK'!B299=0,0,((+PORTS!I293+PORTS!I601)/('ELBA BOOK'!$B299*PORTS!$I$9))+PORTS!I909)</f>
        <v>0</v>
      </c>
      <c r="C288" s="10">
        <f>+C287*(1+PORTS!$J$8/12)</f>
        <v>0.40195432450105084</v>
      </c>
      <c r="D288" s="10"/>
      <c r="E288" s="10"/>
      <c r="F288" s="10"/>
      <c r="G288" s="10"/>
    </row>
    <row r="289" spans="1:7" x14ac:dyDescent="0.2">
      <c r="A289" s="179">
        <f>+SHIPS!B308</f>
        <v>45292</v>
      </c>
      <c r="B289" s="10">
        <f>+IF('ELBA BOOK'!B300=0,0,((+PORTS!I294+PORTS!I602)/('ELBA BOOK'!$B300*PORTS!$I$9))+PORTS!I910)</f>
        <v>0</v>
      </c>
      <c r="C289" s="10">
        <f>+C288*(1+PORTS!$J$8/12)</f>
        <v>0.40237302692240606</v>
      </c>
      <c r="D289" s="10"/>
      <c r="E289" s="10"/>
      <c r="F289" s="10"/>
      <c r="G289" s="10"/>
    </row>
    <row r="290" spans="1:7" x14ac:dyDescent="0.2">
      <c r="A290" s="179">
        <f>+SHIPS!B309</f>
        <v>45323</v>
      </c>
      <c r="B290" s="10">
        <f>+IF('ELBA BOOK'!B301=0,0,((+PORTS!I295+PORTS!I603)/('ELBA BOOK'!$B301*PORTS!$I$9))+PORTS!I911)</f>
        <v>0</v>
      </c>
      <c r="C290" s="10">
        <f>+C289*(1+PORTS!$J$8/12)</f>
        <v>0.40279216549211688</v>
      </c>
      <c r="D290" s="10"/>
      <c r="E290" s="10"/>
      <c r="F290" s="10"/>
      <c r="G290" s="10"/>
    </row>
    <row r="291" spans="1:7" x14ac:dyDescent="0.2">
      <c r="A291" s="179">
        <f>+SHIPS!B310</f>
        <v>45352</v>
      </c>
      <c r="B291" s="10">
        <f>+IF('ELBA BOOK'!B302=0,0,((+PORTS!I296+PORTS!I604)/('ELBA BOOK'!$B302*PORTS!$I$9))+PORTS!I912)</f>
        <v>0</v>
      </c>
      <c r="C291" s="10">
        <f>+C290*(1+PORTS!$J$8/12)</f>
        <v>0.40321174066450449</v>
      </c>
      <c r="D291" s="10"/>
      <c r="E291" s="10"/>
      <c r="F291" s="10"/>
      <c r="G291" s="10"/>
    </row>
    <row r="292" spans="1:7" x14ac:dyDescent="0.2">
      <c r="A292" s="179">
        <f>+SHIPS!B311</f>
        <v>45383</v>
      </c>
      <c r="B292" s="10">
        <f>+IF('ELBA BOOK'!B303=0,0,((+PORTS!I297+PORTS!I605)/('ELBA BOOK'!$B303*PORTS!$I$9))+PORTS!I913)</f>
        <v>0</v>
      </c>
      <c r="C292" s="10">
        <f>+C291*(1+PORTS!$J$8/12)</f>
        <v>0.40363175289436332</v>
      </c>
      <c r="D292" s="10"/>
      <c r="E292" s="10"/>
      <c r="F292" s="10"/>
      <c r="G292" s="10"/>
    </row>
    <row r="293" spans="1:7" x14ac:dyDescent="0.2">
      <c r="A293" s="179">
        <f>+SHIPS!B312</f>
        <v>45413</v>
      </c>
      <c r="B293" s="10">
        <f>+IF('ELBA BOOK'!B304=0,0,((+PORTS!I298+PORTS!I606)/('ELBA BOOK'!$B304*PORTS!$I$9))+PORTS!I914)</f>
        <v>0</v>
      </c>
      <c r="C293" s="10">
        <f>+C292*(1+PORTS!$J$8/12)</f>
        <v>0.40405220263696157</v>
      </c>
      <c r="D293" s="10"/>
      <c r="E293" s="10"/>
      <c r="F293" s="10"/>
      <c r="G293" s="10"/>
    </row>
    <row r="294" spans="1:7" x14ac:dyDescent="0.2">
      <c r="A294" s="179">
        <f>+SHIPS!B313</f>
        <v>45444</v>
      </c>
      <c r="B294" s="10">
        <f>+IF('ELBA BOOK'!B305=0,0,((+PORTS!I299+PORTS!I607)/('ELBA BOOK'!$B305*PORTS!$I$9))+PORTS!I915)</f>
        <v>0</v>
      </c>
      <c r="C294" s="10">
        <f>+C293*(1+PORTS!$J$8/12)</f>
        <v>0.40447309034804169</v>
      </c>
      <c r="D294" s="10"/>
      <c r="E294" s="10"/>
      <c r="F294" s="10"/>
      <c r="G294" s="10"/>
    </row>
    <row r="295" spans="1:7" x14ac:dyDescent="0.2">
      <c r="A295" s="179">
        <f>+SHIPS!B314</f>
        <v>45474</v>
      </c>
      <c r="B295" s="10">
        <f>+IF('ELBA BOOK'!B306=0,0,((+PORTS!I300+PORTS!I608)/('ELBA BOOK'!$B306*PORTS!$I$9))+PORTS!I916)</f>
        <v>0</v>
      </c>
      <c r="C295" s="10">
        <f>+C294*(1+PORTS!$J$8/12)</f>
        <v>0.40489441648382085</v>
      </c>
      <c r="D295" s="10"/>
      <c r="E295" s="10"/>
      <c r="F295" s="10"/>
      <c r="G295" s="10"/>
    </row>
    <row r="296" spans="1:7" x14ac:dyDescent="0.2">
      <c r="A296" s="179">
        <f>+SHIPS!B315</f>
        <v>45505</v>
      </c>
      <c r="B296" s="10">
        <f>+IF('ELBA BOOK'!B307=0,0,((+PORTS!I301+PORTS!I609)/('ELBA BOOK'!$B307*PORTS!$I$9))+PORTS!I917)</f>
        <v>0</v>
      </c>
      <c r="C296" s="10">
        <f>+C295*(1+PORTS!$J$8/12)</f>
        <v>0.40531618150099147</v>
      </c>
      <c r="D296" s="10"/>
      <c r="E296" s="10"/>
      <c r="F296" s="10"/>
      <c r="G296" s="10"/>
    </row>
    <row r="297" spans="1:7" x14ac:dyDescent="0.2">
      <c r="A297" s="179">
        <f>+SHIPS!B316</f>
        <v>45536</v>
      </c>
      <c r="B297" s="10">
        <f>+IF('ELBA BOOK'!B308=0,0,((+PORTS!I302+PORTS!I610)/('ELBA BOOK'!$B308*PORTS!$I$9))+PORTS!I918)</f>
        <v>0</v>
      </c>
      <c r="C297" s="10">
        <f>+C296*(1+PORTS!$J$8/12)</f>
        <v>0.40573838585672162</v>
      </c>
      <c r="D297" s="10"/>
      <c r="E297" s="10"/>
      <c r="F297" s="10"/>
      <c r="G297" s="10"/>
    </row>
    <row r="298" spans="1:7" x14ac:dyDescent="0.2">
      <c r="A298" s="179">
        <f>+SHIPS!B317</f>
        <v>45566</v>
      </c>
      <c r="B298" s="10">
        <f>+IF('ELBA BOOK'!B309=0,0,((+PORTS!I303+PORTS!I611)/('ELBA BOOK'!$B309*PORTS!$I$9))+PORTS!I919)</f>
        <v>0</v>
      </c>
      <c r="C298" s="10">
        <f>+C297*(1+PORTS!$J$8/12)</f>
        <v>0.40616103000865567</v>
      </c>
      <c r="D298" s="10"/>
      <c r="E298" s="10"/>
      <c r="F298" s="10"/>
      <c r="G298" s="10"/>
    </row>
    <row r="299" spans="1:7" x14ac:dyDescent="0.2">
      <c r="A299" s="179">
        <f>+SHIPS!B318</f>
        <v>45597</v>
      </c>
      <c r="B299" s="10">
        <f>+IF('ELBA BOOK'!B310=0,0,((+PORTS!I304+PORTS!I612)/('ELBA BOOK'!$B310*PORTS!$I$9))+PORTS!I920)</f>
        <v>0</v>
      </c>
      <c r="C299" s="10">
        <f>+C298*(1+PORTS!$J$8/12)</f>
        <v>0.40658411441491465</v>
      </c>
      <c r="D299" s="10"/>
      <c r="E299" s="10"/>
      <c r="F299" s="10"/>
      <c r="G299" s="10"/>
    </row>
    <row r="300" spans="1:7" x14ac:dyDescent="0.2">
      <c r="A300" s="179">
        <f>+SHIPS!B319</f>
        <v>45627</v>
      </c>
      <c r="B300" s="10">
        <f>+IF('ELBA BOOK'!B311=0,0,((+PORTS!I305+PORTS!I613)/('ELBA BOOK'!$B311*PORTS!$I$9))+PORTS!I921)</f>
        <v>0</v>
      </c>
      <c r="C300" s="10">
        <f>+C299*(1+PORTS!$J$8/12)</f>
        <v>0.40700763953409685</v>
      </c>
      <c r="D300" s="10"/>
      <c r="E300" s="10"/>
      <c r="F300" s="10"/>
      <c r="G300" s="10"/>
    </row>
    <row r="301" spans="1:7" x14ac:dyDescent="0.2">
      <c r="A301" s="179">
        <f>+SHIPS!B320</f>
        <v>45658</v>
      </c>
      <c r="B301" s="10">
        <f>+IF('ELBA BOOK'!B312=0,0,((+PORTS!I306+PORTS!I614)/('ELBA BOOK'!$B312*PORTS!$I$9))+PORTS!I922)</f>
        <v>0</v>
      </c>
      <c r="C301" s="10">
        <f>+C300*(1+PORTS!$J$8/12)</f>
        <v>0.40743160582527815</v>
      </c>
      <c r="D301" s="10"/>
      <c r="E301" s="10"/>
      <c r="F301" s="10"/>
      <c r="G301" s="10"/>
    </row>
    <row r="302" spans="1:7" x14ac:dyDescent="0.2">
      <c r="A302" s="179">
        <f>+SHIPS!B321</f>
        <v>45689</v>
      </c>
      <c r="B302" s="10">
        <f>+IF('ELBA BOOK'!B313=0,0,((+PORTS!I307+PORTS!I615)/('ELBA BOOK'!$B313*PORTS!$I$9))+PORTS!I923)</f>
        <v>0</v>
      </c>
      <c r="C302" s="10">
        <f>+C301*(1+PORTS!$J$8/12)</f>
        <v>0.40785601374801278</v>
      </c>
      <c r="D302" s="10"/>
      <c r="E302" s="10"/>
      <c r="F302" s="10"/>
      <c r="G302" s="10"/>
    </row>
    <row r="303" spans="1:7" x14ac:dyDescent="0.2">
      <c r="A303" s="179">
        <f>+SHIPS!B322</f>
        <v>45717</v>
      </c>
      <c r="B303" s="10">
        <f>+IF('ELBA BOOK'!B314=0,0,((+PORTS!I308+PORTS!I616)/('ELBA BOOK'!$B314*PORTS!$I$9))+PORTS!I924)</f>
        <v>0</v>
      </c>
      <c r="C303" s="10">
        <f>+C302*(1+PORTS!$J$8/12)</f>
        <v>0.40828086376233358</v>
      </c>
      <c r="D303" s="10"/>
      <c r="E303" s="10"/>
      <c r="F303" s="10"/>
      <c r="G303" s="10"/>
    </row>
    <row r="304" spans="1:7" x14ac:dyDescent="0.2">
      <c r="A304" s="179">
        <f>+SHIPS!B323</f>
        <v>45748</v>
      </c>
      <c r="B304" s="10">
        <f>+IF('ELBA BOOK'!B315=0,0,((+PORTS!I309+PORTS!I617)/('ELBA BOOK'!$B315*PORTS!$I$9))+PORTS!I925)</f>
        <v>0</v>
      </c>
      <c r="C304" s="10">
        <f>+C303*(1+PORTS!$J$8/12)</f>
        <v>0.40870615632875268</v>
      </c>
      <c r="D304" s="10"/>
      <c r="E304" s="10"/>
      <c r="F304" s="10"/>
      <c r="G304" s="10"/>
    </row>
    <row r="305" spans="1:7" x14ac:dyDescent="0.2">
      <c r="A305" s="179">
        <f>+SHIPS!B324</f>
        <v>45778</v>
      </c>
      <c r="B305" s="10">
        <f>+IF('ELBA BOOK'!B316=0,0,((+PORTS!I310+PORTS!I618)/('ELBA BOOK'!$B316*PORTS!$I$9))+PORTS!I926)</f>
        <v>0</v>
      </c>
      <c r="C305" s="10">
        <f>+C304*(1+PORTS!$J$8/12)</f>
        <v>0.40913189190826177</v>
      </c>
      <c r="D305" s="10"/>
      <c r="E305" s="10"/>
      <c r="F305" s="10"/>
      <c r="G305" s="10"/>
    </row>
    <row r="306" spans="1:7" x14ac:dyDescent="0.2">
      <c r="A306" s="179">
        <f>+SHIPS!B325</f>
        <v>45809</v>
      </c>
      <c r="B306" s="10">
        <f>+IF('ELBA BOOK'!B317=0,0,((+PORTS!I311+PORTS!I619)/('ELBA BOOK'!$B317*PORTS!$I$9))+PORTS!I927)</f>
        <v>0</v>
      </c>
      <c r="C306" s="10">
        <f>+C305*(1+PORTS!$J$8/12)</f>
        <v>0.40955807096233288</v>
      </c>
      <c r="D306" s="10"/>
      <c r="E306" s="10"/>
      <c r="F306" s="10"/>
      <c r="G306" s="10"/>
    </row>
    <row r="307" spans="1:7" x14ac:dyDescent="0.2">
      <c r="A307" s="179">
        <f>+SHIPS!B326</f>
        <v>45839</v>
      </c>
      <c r="B307" s="10">
        <f>+IF('ELBA BOOK'!B318=0,0,((+PORTS!I312+PORTS!I620)/('ELBA BOOK'!$B318*PORTS!$I$9))+PORTS!I928)</f>
        <v>0</v>
      </c>
      <c r="C307" s="10">
        <f>+C306*(1+PORTS!$J$8/12)</f>
        <v>0.40998469395291859</v>
      </c>
      <c r="D307" s="10"/>
      <c r="E307" s="10"/>
      <c r="F307" s="10"/>
      <c r="G307" s="10"/>
    </row>
    <row r="308" spans="1:7" x14ac:dyDescent="0.2">
      <c r="A308" s="179">
        <f>+SHIPS!B327</f>
        <v>45870</v>
      </c>
      <c r="B308" s="10">
        <f>+IF('ELBA BOOK'!B319=0,0,((+PORTS!I313+PORTS!I621)/('ELBA BOOK'!$B319*PORTS!$I$9))+PORTS!I929)</f>
        <v>0</v>
      </c>
      <c r="C308" s="10">
        <f>+C307*(1+PORTS!$J$8/12)</f>
        <v>0.41041176134245283</v>
      </c>
      <c r="D308" s="10"/>
      <c r="E308" s="10"/>
      <c r="F308" s="10"/>
      <c r="G308" s="10"/>
    </row>
    <row r="309" spans="1:7" x14ac:dyDescent="0.2">
      <c r="A309" s="179">
        <f>+SHIPS!B328</f>
        <v>45901</v>
      </c>
      <c r="B309" s="10">
        <f>+IF('ELBA BOOK'!B320=0,0,((+PORTS!I314+PORTS!I622)/('ELBA BOOK'!$B320*PORTS!$I$9))+PORTS!I930)</f>
        <v>0</v>
      </c>
      <c r="C309" s="10">
        <f>+C308*(1+PORTS!$J$8/12)</f>
        <v>0.4108392735938512</v>
      </c>
      <c r="D309" s="10"/>
      <c r="E309" s="10"/>
      <c r="F309" s="10"/>
      <c r="G309" s="10"/>
    </row>
    <row r="310" spans="1:7" x14ac:dyDescent="0.2">
      <c r="A310" s="179">
        <f>+SHIPS!B329</f>
        <v>45931</v>
      </c>
      <c r="B310" s="10">
        <f>+IF('ELBA BOOK'!B321=0,0,((+PORTS!I315+PORTS!I623)/('ELBA BOOK'!$B321*PORTS!$I$9))+PORTS!I931)</f>
        <v>0</v>
      </c>
      <c r="C310" s="10">
        <f>+C309*(1+PORTS!$J$8/12)</f>
        <v>0.41126723117051145</v>
      </c>
      <c r="D310" s="10"/>
      <c r="E310" s="10"/>
      <c r="F310" s="10"/>
      <c r="G310" s="10"/>
    </row>
    <row r="311" spans="1:7" x14ac:dyDescent="0.2">
      <c r="A311" s="179">
        <f>+SHIPS!B330</f>
        <v>45962</v>
      </c>
      <c r="B311" s="10">
        <f>+IF('ELBA BOOK'!B322=0,0,((+PORTS!I316+PORTS!I624)/('ELBA BOOK'!$B322*PORTS!$I$9))+PORTS!I932)</f>
        <v>0</v>
      </c>
      <c r="C311" s="10">
        <f>+C310*(1+PORTS!$J$8/12)</f>
        <v>0.41169563453631403</v>
      </c>
      <c r="D311" s="10"/>
      <c r="E311" s="10"/>
      <c r="F311" s="10"/>
      <c r="G311" s="10"/>
    </row>
    <row r="312" spans="1:7" x14ac:dyDescent="0.2">
      <c r="A312" s="179">
        <f>+SHIPS!B331</f>
        <v>45992</v>
      </c>
      <c r="B312" s="10">
        <f>+IF('ELBA BOOK'!B323=0,0,((+PORTS!I317+PORTS!I625)/('ELBA BOOK'!$B323*PORTS!$I$9))+PORTS!I933)</f>
        <v>0</v>
      </c>
      <c r="C312" s="10">
        <f>+C311*(1+PORTS!$J$8/12)</f>
        <v>0.41212448415562264</v>
      </c>
      <c r="D312" s="10"/>
      <c r="E312" s="10"/>
      <c r="F312" s="10"/>
      <c r="G312" s="10"/>
    </row>
    <row r="313" spans="1:7" x14ac:dyDescent="0.2">
      <c r="A313" s="180">
        <f>+SHIPS!B332</f>
        <v>46023</v>
      </c>
      <c r="B313" s="10">
        <f>+IF('ELBA BOOK'!B324=0,0,((+PORTS!I318+PORTS!I626)/('ELBA BOOK'!$B324*PORTS!$I$9))+PORTS!I934)</f>
        <v>0</v>
      </c>
      <c r="C313" s="10">
        <f>+C312*(1+PORTS!$J$8/12)</f>
        <v>0.41255378049328473</v>
      </c>
      <c r="D313" s="10"/>
      <c r="E313" s="10"/>
      <c r="F313" s="10"/>
      <c r="G313" s="10"/>
    </row>
    <row r="314" spans="1:7" x14ac:dyDescent="0.2">
      <c r="A314" s="9"/>
    </row>
    <row r="315" spans="1:7" x14ac:dyDescent="0.2">
      <c r="A315" s="9"/>
    </row>
    <row r="316" spans="1:7" x14ac:dyDescent="0.2">
      <c r="A316" s="9"/>
    </row>
    <row r="317" spans="1:7" x14ac:dyDescent="0.2">
      <c r="A317" s="9"/>
    </row>
    <row r="318" spans="1:7" x14ac:dyDescent="0.2">
      <c r="A318" s="9"/>
    </row>
    <row r="319" spans="1:7" x14ac:dyDescent="0.2">
      <c r="A319" s="9"/>
    </row>
    <row r="320" spans="1:7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3"/>
  <sheetViews>
    <sheetView showGridLines="0" tabSelected="1" zoomScale="75" workbookViewId="0">
      <selection activeCell="F15" sqref="F15"/>
    </sheetView>
  </sheetViews>
  <sheetFormatPr defaultRowHeight="12.75" x14ac:dyDescent="0.2"/>
  <cols>
    <col min="1" max="1" width="22.5703125" bestFit="1" customWidth="1"/>
    <col min="2" max="7" width="11.85546875" customWidth="1"/>
    <col min="8" max="8" width="30" bestFit="1" customWidth="1"/>
    <col min="9" max="12" width="17.5703125" customWidth="1"/>
    <col min="13" max="13" width="14.85546875" bestFit="1" customWidth="1"/>
    <col min="14" max="14" width="11.85546875" customWidth="1"/>
  </cols>
  <sheetData>
    <row r="1" spans="1:14" x14ac:dyDescent="0.2">
      <c r="A1" s="94" t="s">
        <v>74</v>
      </c>
      <c r="B1" s="95"/>
      <c r="C1" s="95"/>
      <c r="D1" s="95"/>
      <c r="E1" s="95"/>
      <c r="F1" s="96"/>
      <c r="H1" s="94" t="s">
        <v>112</v>
      </c>
      <c r="I1" s="95"/>
      <c r="J1" s="95"/>
      <c r="K1" s="95"/>
      <c r="L1" s="95"/>
      <c r="M1" s="95"/>
      <c r="N1" s="96"/>
    </row>
    <row r="2" spans="1:14" x14ac:dyDescent="0.2">
      <c r="A2" s="154"/>
      <c r="B2" s="154"/>
      <c r="C2" s="154"/>
      <c r="D2" s="154"/>
      <c r="E2" s="154"/>
      <c r="F2" s="154"/>
      <c r="H2" s="313"/>
      <c r="I2" s="143"/>
      <c r="J2" s="83"/>
      <c r="K2" s="83"/>
      <c r="L2" s="83"/>
      <c r="M2" s="83"/>
      <c r="N2" s="84"/>
    </row>
    <row r="3" spans="1:14" x14ac:dyDescent="0.2">
      <c r="H3" s="314"/>
      <c r="I3" s="151"/>
      <c r="J3" s="152"/>
      <c r="K3" s="152"/>
      <c r="L3" s="152"/>
      <c r="M3" s="152"/>
      <c r="N3" s="153"/>
    </row>
    <row r="4" spans="1:14" x14ac:dyDescent="0.2">
      <c r="A4" s="97" t="s">
        <v>73</v>
      </c>
      <c r="B4" s="81" t="str">
        <f>+IF(SHIPS!C$5="","",SHIPS!C$5)</f>
        <v>HG</v>
      </c>
      <c r="C4" s="35" t="str">
        <f>+IF(SHIPS!D$5="","",SHIPS!D$5)</f>
        <v>EXMAR</v>
      </c>
      <c r="D4" s="35" t="str">
        <f>+IF(SHIPS!E$5="","",SHIPS!E$5)</f>
        <v/>
      </c>
      <c r="E4" s="35" t="str">
        <f>+IF(SHIPS!F$5="","",SHIPS!F$5)</f>
        <v/>
      </c>
      <c r="F4" s="36" t="str">
        <f>+IF(SHIPS!G$5="","",SHIPS!G$5)</f>
        <v/>
      </c>
      <c r="G4" s="3"/>
      <c r="H4" s="315" t="s">
        <v>73</v>
      </c>
      <c r="I4" s="140" t="s">
        <v>19</v>
      </c>
      <c r="J4" s="141" t="s">
        <v>27</v>
      </c>
      <c r="K4" s="141" t="s">
        <v>28</v>
      </c>
      <c r="L4" s="141" t="s">
        <v>29</v>
      </c>
      <c r="M4" s="141" t="s">
        <v>39</v>
      </c>
      <c r="N4" s="142"/>
    </row>
    <row r="5" spans="1:14" x14ac:dyDescent="0.2">
      <c r="A5" s="92" t="s">
        <v>40</v>
      </c>
      <c r="B5" s="148">
        <v>150000</v>
      </c>
      <c r="C5" s="147">
        <v>156000</v>
      </c>
      <c r="D5" s="149"/>
      <c r="E5" s="149"/>
      <c r="F5" s="149"/>
      <c r="G5" s="3"/>
      <c r="H5" s="291" t="s">
        <v>123</v>
      </c>
      <c r="I5" s="277">
        <f>58000000/0.922</f>
        <v>62906724.511930585</v>
      </c>
      <c r="J5" s="278"/>
      <c r="K5" s="279"/>
      <c r="L5" s="279"/>
      <c r="M5" s="277"/>
      <c r="N5" s="280"/>
    </row>
    <row r="6" spans="1:14" x14ac:dyDescent="0.2">
      <c r="A6" s="93" t="s">
        <v>19</v>
      </c>
      <c r="B6" s="150">
        <v>35000</v>
      </c>
      <c r="C6" s="147">
        <v>41000</v>
      </c>
      <c r="D6" s="149"/>
      <c r="E6" s="149"/>
      <c r="F6" s="149"/>
      <c r="G6" s="3"/>
      <c r="H6" s="292" t="s">
        <v>110</v>
      </c>
      <c r="I6" s="281">
        <v>2.5000000000000001E-2</v>
      </c>
      <c r="J6" s="282"/>
      <c r="K6" s="283"/>
      <c r="L6" s="283"/>
      <c r="M6" s="284"/>
      <c r="N6" s="285"/>
    </row>
    <row r="7" spans="1:14" x14ac:dyDescent="0.2">
      <c r="A7" s="92" t="s">
        <v>17</v>
      </c>
      <c r="B7" s="150">
        <v>40000</v>
      </c>
      <c r="C7" s="147">
        <v>46000</v>
      </c>
      <c r="D7" s="149"/>
      <c r="E7" s="149"/>
      <c r="F7" s="149"/>
      <c r="G7" s="3"/>
      <c r="H7" s="292" t="s">
        <v>115</v>
      </c>
      <c r="I7" s="281">
        <v>2.6599999999999999E-2</v>
      </c>
      <c r="J7" s="286">
        <v>0.3</v>
      </c>
      <c r="K7" s="283"/>
      <c r="L7" s="283"/>
      <c r="M7" s="284"/>
      <c r="N7" s="285"/>
    </row>
    <row r="8" spans="1:14" x14ac:dyDescent="0.2">
      <c r="A8" s="92" t="s">
        <v>27</v>
      </c>
      <c r="B8" s="150">
        <v>40000</v>
      </c>
      <c r="C8" s="147">
        <v>46000</v>
      </c>
      <c r="D8" s="149"/>
      <c r="E8" s="149"/>
      <c r="F8" s="149"/>
      <c r="G8" s="3"/>
      <c r="H8" s="292" t="s">
        <v>116</v>
      </c>
      <c r="I8" s="281">
        <v>1.2500000000000001E-2</v>
      </c>
      <c r="J8" s="281">
        <v>1.2500000000000001E-2</v>
      </c>
      <c r="K8" s="283"/>
      <c r="L8" s="283"/>
      <c r="M8" s="284"/>
      <c r="N8" s="285"/>
    </row>
    <row r="9" spans="1:14" x14ac:dyDescent="0.2">
      <c r="A9" s="92" t="s">
        <v>41</v>
      </c>
      <c r="B9" s="150">
        <v>40000</v>
      </c>
      <c r="C9" s="147">
        <v>46000</v>
      </c>
      <c r="D9" s="149"/>
      <c r="E9" s="149"/>
      <c r="F9" s="149"/>
      <c r="G9" s="3"/>
      <c r="H9" s="292" t="s">
        <v>131</v>
      </c>
      <c r="I9" s="281">
        <v>1</v>
      </c>
      <c r="J9" s="281">
        <v>1</v>
      </c>
      <c r="K9" s="283"/>
      <c r="L9" s="283"/>
      <c r="M9" s="284"/>
      <c r="N9" s="285"/>
    </row>
    <row r="10" spans="1:14" x14ac:dyDescent="0.2">
      <c r="A10" s="103" t="s">
        <v>38</v>
      </c>
      <c r="B10" s="98">
        <v>440000</v>
      </c>
      <c r="C10" s="99">
        <f>403846+121154</f>
        <v>525000</v>
      </c>
      <c r="D10" s="99"/>
      <c r="E10" s="99"/>
      <c r="F10" s="99"/>
      <c r="G10" s="3"/>
      <c r="H10" s="293"/>
      <c r="I10" s="287"/>
      <c r="J10" s="288"/>
      <c r="K10" s="289"/>
      <c r="L10" s="289"/>
      <c r="M10" s="287"/>
      <c r="N10" s="290"/>
    </row>
    <row r="11" spans="1:14" x14ac:dyDescent="0.2">
      <c r="A11" s="93" t="s">
        <v>75</v>
      </c>
      <c r="B11" s="150">
        <v>50000</v>
      </c>
      <c r="C11" s="147">
        <v>65000</v>
      </c>
      <c r="D11" s="99"/>
      <c r="E11" s="99"/>
      <c r="F11" s="99"/>
      <c r="G11" s="3"/>
      <c r="H11" s="308" t="s">
        <v>111</v>
      </c>
      <c r="I11" s="311" t="str">
        <f t="shared" ref="I11:N11" si="0">+I4</f>
        <v>ELBA</v>
      </c>
      <c r="J11" s="309" t="str">
        <f t="shared" si="0"/>
        <v>LAKE CHARLES</v>
      </c>
      <c r="K11" s="310" t="str">
        <f t="shared" si="0"/>
        <v>CABOT</v>
      </c>
      <c r="L11" s="310" t="str">
        <f t="shared" si="0"/>
        <v>COVE POINT</v>
      </c>
      <c r="M11" s="311" t="str">
        <f t="shared" si="0"/>
        <v>BARCELONA</v>
      </c>
      <c r="N11" s="312">
        <f t="shared" si="0"/>
        <v>0</v>
      </c>
    </row>
    <row r="12" spans="1:14" x14ac:dyDescent="0.2">
      <c r="B12" s="150"/>
      <c r="C12" s="147"/>
      <c r="D12" s="3"/>
      <c r="E12" s="3"/>
      <c r="F12" s="3"/>
      <c r="G12" s="3"/>
      <c r="H12" s="305">
        <f>+SHIPS!B26</f>
        <v>36708</v>
      </c>
      <c r="I12" s="277">
        <v>0</v>
      </c>
      <c r="J12" s="294"/>
      <c r="K12" s="295"/>
      <c r="L12" s="295"/>
      <c r="M12" s="296"/>
      <c r="N12" s="297"/>
    </row>
    <row r="13" spans="1:14" x14ac:dyDescent="0.2">
      <c r="B13" s="150"/>
      <c r="C13" s="147"/>
      <c r="D13" s="3"/>
      <c r="E13" s="3"/>
      <c r="F13" s="3"/>
      <c r="G13" s="3"/>
      <c r="H13" s="306">
        <f>+SHIPS!B27</f>
        <v>36739</v>
      </c>
      <c r="I13" s="284">
        <v>0</v>
      </c>
      <c r="J13" s="298"/>
      <c r="K13" s="299"/>
      <c r="L13" s="299"/>
      <c r="M13" s="213"/>
      <c r="N13" s="195"/>
    </row>
    <row r="14" spans="1:14" x14ac:dyDescent="0.2">
      <c r="B14" s="98"/>
      <c r="C14" s="147"/>
      <c r="D14" s="3"/>
      <c r="E14" s="3"/>
      <c r="F14" s="3"/>
      <c r="G14" s="3"/>
      <c r="H14" s="306">
        <f>+SHIPS!B28</f>
        <v>36770</v>
      </c>
      <c r="I14" s="284">
        <v>0</v>
      </c>
      <c r="J14" s="298"/>
      <c r="K14" s="299"/>
      <c r="L14" s="299"/>
      <c r="M14" s="213"/>
      <c r="N14" s="195"/>
    </row>
    <row r="15" spans="1:14" x14ac:dyDescent="0.2">
      <c r="A15" s="104"/>
      <c r="B15" s="150"/>
      <c r="C15" s="147"/>
      <c r="D15" s="105"/>
      <c r="E15" s="105"/>
      <c r="F15" s="105"/>
      <c r="G15" s="106"/>
      <c r="H15" s="306">
        <f>+SHIPS!B29</f>
        <v>36800</v>
      </c>
      <c r="I15" s="284">
        <v>0</v>
      </c>
      <c r="J15" s="137"/>
      <c r="K15" s="144"/>
      <c r="L15" s="144"/>
      <c r="M15" s="105"/>
      <c r="N15" s="300"/>
    </row>
    <row r="16" spans="1:14" x14ac:dyDescent="0.2">
      <c r="A16" s="104"/>
      <c r="B16" s="150"/>
      <c r="C16" s="147"/>
      <c r="D16" s="108"/>
      <c r="E16" s="108"/>
      <c r="F16" s="108"/>
      <c r="G16" s="106"/>
      <c r="H16" s="306">
        <f>+SHIPS!B30</f>
        <v>36831</v>
      </c>
      <c r="I16" s="284">
        <v>0</v>
      </c>
      <c r="J16" s="138"/>
      <c r="K16" s="145"/>
      <c r="L16" s="145"/>
      <c r="M16" s="108"/>
      <c r="N16" s="301"/>
    </row>
    <row r="17" spans="1:14" x14ac:dyDescent="0.2">
      <c r="A17" s="104"/>
      <c r="B17" s="150"/>
      <c r="C17" s="147"/>
      <c r="D17" s="108"/>
      <c r="E17" s="108"/>
      <c r="F17" s="108"/>
      <c r="G17" s="107"/>
      <c r="H17" s="306">
        <f>+SHIPS!B31</f>
        <v>36861</v>
      </c>
      <c r="I17" s="284">
        <v>0</v>
      </c>
      <c r="J17" s="138"/>
      <c r="K17" s="145"/>
      <c r="L17" s="145"/>
      <c r="M17" s="108"/>
      <c r="N17" s="301"/>
    </row>
    <row r="18" spans="1:14" x14ac:dyDescent="0.2">
      <c r="A18" s="107"/>
      <c r="B18" s="150"/>
      <c r="C18" s="147"/>
      <c r="D18" s="107"/>
      <c r="E18" s="116"/>
      <c r="F18" s="107"/>
      <c r="G18" s="107"/>
      <c r="H18" s="306">
        <f>+SHIPS!B32</f>
        <v>36892</v>
      </c>
      <c r="I18" s="284">
        <v>0</v>
      </c>
      <c r="J18" s="139"/>
      <c r="K18" s="146"/>
      <c r="L18" s="146"/>
      <c r="M18" s="116"/>
      <c r="N18" s="302"/>
    </row>
    <row r="19" spans="1:14" x14ac:dyDescent="0.2">
      <c r="A19" s="107"/>
      <c r="B19" s="150"/>
      <c r="C19" s="147"/>
      <c r="D19" s="107"/>
      <c r="E19" s="107"/>
      <c r="F19" s="107"/>
      <c r="G19" s="107"/>
      <c r="H19" s="306">
        <f>+SHIPS!B33</f>
        <v>36923</v>
      </c>
      <c r="I19" s="284">
        <v>0</v>
      </c>
      <c r="J19" s="139"/>
      <c r="K19" s="146"/>
      <c r="L19" s="146"/>
      <c r="M19" s="107"/>
      <c r="N19" s="302"/>
    </row>
    <row r="20" spans="1:14" x14ac:dyDescent="0.2">
      <c r="A20" s="107"/>
      <c r="B20" s="150"/>
      <c r="C20" s="147"/>
      <c r="D20" s="107"/>
      <c r="E20" s="107"/>
      <c r="F20" s="107"/>
      <c r="G20" s="107"/>
      <c r="H20" s="306">
        <f>+SHIPS!B34</f>
        <v>36951</v>
      </c>
      <c r="I20" s="284">
        <v>0</v>
      </c>
      <c r="J20" s="139"/>
      <c r="K20" s="146"/>
      <c r="L20" s="146"/>
      <c r="M20" s="107"/>
      <c r="N20" s="302"/>
    </row>
    <row r="21" spans="1:14" x14ac:dyDescent="0.2">
      <c r="A21" s="107"/>
      <c r="B21" s="150"/>
      <c r="C21" s="147"/>
      <c r="D21" s="107"/>
      <c r="E21" s="107"/>
      <c r="F21" s="107"/>
      <c r="G21" s="107"/>
      <c r="H21" s="306">
        <f>+SHIPS!B35</f>
        <v>36982</v>
      </c>
      <c r="I21" s="284">
        <v>0</v>
      </c>
      <c r="J21" s="139"/>
      <c r="K21" s="146"/>
      <c r="L21" s="146"/>
      <c r="M21" s="107"/>
      <c r="N21" s="302"/>
    </row>
    <row r="22" spans="1:14" x14ac:dyDescent="0.2">
      <c r="A22" s="107"/>
      <c r="B22" s="150"/>
      <c r="C22" s="147"/>
      <c r="D22" s="107"/>
      <c r="E22" s="107"/>
      <c r="F22" s="107"/>
      <c r="G22" s="107"/>
      <c r="H22" s="306">
        <f>+SHIPS!B36</f>
        <v>37012</v>
      </c>
      <c r="I22" s="284">
        <v>0</v>
      </c>
      <c r="J22" s="139"/>
      <c r="K22" s="146"/>
      <c r="L22" s="146"/>
      <c r="M22" s="107"/>
      <c r="N22" s="302"/>
    </row>
    <row r="23" spans="1:14" x14ac:dyDescent="0.2">
      <c r="A23" s="107"/>
      <c r="B23" s="150"/>
      <c r="C23" s="147"/>
      <c r="D23" s="107"/>
      <c r="E23" s="107"/>
      <c r="F23" s="107"/>
      <c r="G23" s="107"/>
      <c r="H23" s="306">
        <f>+SHIPS!B37</f>
        <v>37043</v>
      </c>
      <c r="I23" s="284">
        <v>0</v>
      </c>
      <c r="J23" s="139"/>
      <c r="K23" s="146"/>
      <c r="L23" s="146"/>
      <c r="M23" s="107"/>
      <c r="N23" s="302"/>
    </row>
    <row r="24" spans="1:14" x14ac:dyDescent="0.2">
      <c r="A24" s="107"/>
      <c r="B24" s="150"/>
      <c r="C24" s="147"/>
      <c r="D24" s="107"/>
      <c r="E24" s="107"/>
      <c r="F24" s="107"/>
      <c r="G24" s="107"/>
      <c r="H24" s="306">
        <f>+SHIPS!B38</f>
        <v>37073</v>
      </c>
      <c r="I24" s="284">
        <v>0</v>
      </c>
      <c r="J24" s="139"/>
      <c r="K24" s="146"/>
      <c r="L24" s="146"/>
      <c r="M24" s="107"/>
      <c r="N24" s="302"/>
    </row>
    <row r="25" spans="1:14" x14ac:dyDescent="0.2">
      <c r="B25" s="150"/>
      <c r="C25" s="147"/>
      <c r="H25" s="306">
        <f>+SHIPS!B39</f>
        <v>37104</v>
      </c>
      <c r="I25" s="284">
        <v>0</v>
      </c>
      <c r="J25" s="303"/>
      <c r="K25" s="304"/>
      <c r="L25" s="304"/>
      <c r="M25" s="157"/>
      <c r="N25" s="158"/>
    </row>
    <row r="26" spans="1:14" x14ac:dyDescent="0.2">
      <c r="B26" s="150"/>
      <c r="C26" s="147"/>
      <c r="H26" s="306">
        <f>+SHIPS!B40</f>
        <v>37135</v>
      </c>
      <c r="I26" s="284">
        <v>0</v>
      </c>
      <c r="J26" s="303"/>
      <c r="K26" s="304"/>
      <c r="L26" s="304"/>
      <c r="M26" s="157"/>
      <c r="N26" s="158"/>
    </row>
    <row r="27" spans="1:14" x14ac:dyDescent="0.2">
      <c r="B27" s="150"/>
      <c r="C27" s="147"/>
      <c r="H27" s="306">
        <f>+SHIPS!B41</f>
        <v>37165</v>
      </c>
      <c r="I27" s="284">
        <v>0</v>
      </c>
      <c r="J27" s="303"/>
      <c r="K27" s="304"/>
      <c r="L27" s="304"/>
      <c r="M27" s="157"/>
      <c r="N27" s="158"/>
    </row>
    <row r="28" spans="1:14" x14ac:dyDescent="0.2">
      <c r="B28" s="150"/>
      <c r="C28" s="147"/>
      <c r="H28" s="306">
        <f>+SHIPS!B42</f>
        <v>37196</v>
      </c>
      <c r="I28" s="284">
        <v>0</v>
      </c>
      <c r="J28" s="303"/>
      <c r="K28" s="304"/>
      <c r="L28" s="304"/>
      <c r="M28" s="157"/>
      <c r="N28" s="158"/>
    </row>
    <row r="29" spans="1:14" x14ac:dyDescent="0.2">
      <c r="B29" s="150"/>
      <c r="C29" s="147"/>
      <c r="H29" s="306">
        <f>+SHIPS!B43</f>
        <v>37226</v>
      </c>
      <c r="I29" s="284">
        <v>0</v>
      </c>
      <c r="J29" s="303"/>
      <c r="K29" s="304"/>
      <c r="L29" s="304"/>
      <c r="M29" s="157"/>
      <c r="N29" s="158"/>
    </row>
    <row r="30" spans="1:14" x14ac:dyDescent="0.2">
      <c r="B30" s="150"/>
      <c r="C30" s="147"/>
      <c r="H30" s="306">
        <f>+SHIPS!B44</f>
        <v>37257</v>
      </c>
      <c r="I30" s="284">
        <v>0</v>
      </c>
      <c r="J30" s="303"/>
      <c r="K30" s="304"/>
      <c r="L30" s="304"/>
      <c r="M30" s="157"/>
      <c r="N30" s="158"/>
    </row>
    <row r="31" spans="1:14" x14ac:dyDescent="0.2">
      <c r="B31" s="150"/>
      <c r="C31" s="147"/>
      <c r="H31" s="306">
        <f>+SHIPS!B45</f>
        <v>37288</v>
      </c>
      <c r="I31" s="284">
        <v>0</v>
      </c>
      <c r="J31" s="303"/>
      <c r="K31" s="304"/>
      <c r="L31" s="304"/>
      <c r="M31" s="157"/>
      <c r="N31" s="158"/>
    </row>
    <row r="32" spans="1:14" x14ac:dyDescent="0.2">
      <c r="B32" s="150"/>
      <c r="C32" s="147"/>
      <c r="H32" s="306">
        <f>+SHIPS!B46</f>
        <v>37316</v>
      </c>
      <c r="I32" s="284">
        <v>0</v>
      </c>
      <c r="J32" s="303"/>
      <c r="K32" s="304"/>
      <c r="L32" s="304"/>
      <c r="M32" s="157"/>
      <c r="N32" s="158"/>
    </row>
    <row r="33" spans="2:14" x14ac:dyDescent="0.2">
      <c r="B33" s="150"/>
      <c r="C33" s="147"/>
      <c r="H33" s="306">
        <f>+SHIPS!B47</f>
        <v>37347</v>
      </c>
      <c r="I33" s="284">
        <f>5822238.8509/12</f>
        <v>485186.57090833335</v>
      </c>
      <c r="J33" s="303"/>
      <c r="K33" s="304"/>
      <c r="L33" s="304"/>
      <c r="M33" s="157"/>
      <c r="N33" s="158"/>
    </row>
    <row r="34" spans="2:14" x14ac:dyDescent="0.2">
      <c r="B34" s="150"/>
      <c r="C34" s="147"/>
      <c r="H34" s="306">
        <f>+SHIPS!B48</f>
        <v>37377</v>
      </c>
      <c r="I34" s="284">
        <f t="shared" ref="I34:I81" si="1">+I33</f>
        <v>485186.57090833335</v>
      </c>
      <c r="J34" s="303"/>
      <c r="K34" s="304"/>
      <c r="L34" s="304"/>
      <c r="M34" s="157"/>
      <c r="N34" s="158"/>
    </row>
    <row r="35" spans="2:14" x14ac:dyDescent="0.2">
      <c r="B35" s="150"/>
      <c r="C35" s="147"/>
      <c r="H35" s="306">
        <f>+SHIPS!B49</f>
        <v>37408</v>
      </c>
      <c r="I35" s="284">
        <f t="shared" si="1"/>
        <v>485186.57090833335</v>
      </c>
      <c r="J35" s="303"/>
      <c r="K35" s="304"/>
      <c r="L35" s="304"/>
      <c r="M35" s="157"/>
      <c r="N35" s="158"/>
    </row>
    <row r="36" spans="2:14" x14ac:dyDescent="0.2">
      <c r="B36" s="150"/>
      <c r="C36" s="147"/>
      <c r="H36" s="306">
        <f>+SHIPS!B50</f>
        <v>37438</v>
      </c>
      <c r="I36" s="284">
        <f t="shared" si="1"/>
        <v>485186.57090833335</v>
      </c>
      <c r="J36" s="303"/>
      <c r="K36" s="304"/>
      <c r="L36" s="304"/>
      <c r="M36" s="157"/>
      <c r="N36" s="158"/>
    </row>
    <row r="37" spans="2:14" x14ac:dyDescent="0.2">
      <c r="B37" s="150"/>
      <c r="C37" s="147"/>
      <c r="H37" s="306">
        <f>+SHIPS!B51</f>
        <v>37469</v>
      </c>
      <c r="I37" s="284">
        <f t="shared" si="1"/>
        <v>485186.57090833335</v>
      </c>
      <c r="J37" s="303"/>
      <c r="K37" s="304"/>
      <c r="L37" s="304"/>
      <c r="M37" s="157"/>
      <c r="N37" s="158"/>
    </row>
    <row r="38" spans="2:14" x14ac:dyDescent="0.2">
      <c r="B38" s="150"/>
      <c r="C38" s="147"/>
      <c r="H38" s="306">
        <f>+SHIPS!B52</f>
        <v>37500</v>
      </c>
      <c r="I38" s="284">
        <f t="shared" si="1"/>
        <v>485186.57090833335</v>
      </c>
      <c r="J38" s="303"/>
      <c r="K38" s="304"/>
      <c r="L38" s="304"/>
      <c r="M38" s="157"/>
      <c r="N38" s="158"/>
    </row>
    <row r="39" spans="2:14" x14ac:dyDescent="0.2">
      <c r="B39" s="150"/>
      <c r="C39" s="147"/>
      <c r="H39" s="306">
        <f>+SHIPS!B53</f>
        <v>37530</v>
      </c>
      <c r="I39" s="284">
        <f t="shared" si="1"/>
        <v>485186.57090833335</v>
      </c>
      <c r="J39" s="303"/>
      <c r="K39" s="304"/>
      <c r="L39" s="304"/>
      <c r="M39" s="157"/>
      <c r="N39" s="158"/>
    </row>
    <row r="40" spans="2:14" x14ac:dyDescent="0.2">
      <c r="B40" s="150"/>
      <c r="C40" s="147"/>
      <c r="H40" s="306">
        <f>+SHIPS!B54</f>
        <v>37561</v>
      </c>
      <c r="I40" s="284">
        <f t="shared" si="1"/>
        <v>485186.57090833335</v>
      </c>
      <c r="J40" s="303"/>
      <c r="K40" s="304"/>
      <c r="L40" s="304"/>
      <c r="M40" s="157"/>
      <c r="N40" s="158"/>
    </row>
    <row r="41" spans="2:14" x14ac:dyDescent="0.2">
      <c r="B41" s="150"/>
      <c r="C41" s="147"/>
      <c r="H41" s="306">
        <f>+SHIPS!B55</f>
        <v>37591</v>
      </c>
      <c r="I41" s="284">
        <f t="shared" si="1"/>
        <v>485186.57090833335</v>
      </c>
      <c r="J41" s="303"/>
      <c r="K41" s="304"/>
      <c r="L41" s="304"/>
      <c r="M41" s="157"/>
      <c r="N41" s="158"/>
    </row>
    <row r="42" spans="2:14" x14ac:dyDescent="0.2">
      <c r="B42" s="150"/>
      <c r="C42" s="147"/>
      <c r="H42" s="306">
        <f>+SHIPS!B56</f>
        <v>37622</v>
      </c>
      <c r="I42" s="284">
        <f t="shared" si="1"/>
        <v>485186.57090833335</v>
      </c>
      <c r="J42" s="303"/>
      <c r="K42" s="304"/>
      <c r="L42" s="304"/>
      <c r="M42" s="157"/>
      <c r="N42" s="158"/>
    </row>
    <row r="43" spans="2:14" x14ac:dyDescent="0.2">
      <c r="B43" s="150"/>
      <c r="C43" s="147"/>
      <c r="H43" s="306">
        <f>+SHIPS!B57</f>
        <v>37653</v>
      </c>
      <c r="I43" s="284">
        <f t="shared" si="1"/>
        <v>485186.57090833335</v>
      </c>
      <c r="J43" s="303"/>
      <c r="K43" s="304"/>
      <c r="L43" s="304"/>
      <c r="M43" s="157"/>
      <c r="N43" s="158"/>
    </row>
    <row r="44" spans="2:14" x14ac:dyDescent="0.2">
      <c r="B44" s="150"/>
      <c r="C44" s="147"/>
      <c r="H44" s="306">
        <f>+SHIPS!B58</f>
        <v>37681</v>
      </c>
      <c r="I44" s="284">
        <f t="shared" si="1"/>
        <v>485186.57090833335</v>
      </c>
      <c r="J44" s="303"/>
      <c r="K44" s="304"/>
      <c r="L44" s="304"/>
      <c r="M44" s="157"/>
      <c r="N44" s="158"/>
    </row>
    <row r="45" spans="2:14" x14ac:dyDescent="0.2">
      <c r="B45" s="150"/>
      <c r="C45" s="147"/>
      <c r="H45" s="306">
        <f>+SHIPS!B59</f>
        <v>37712</v>
      </c>
      <c r="I45" s="284">
        <f t="shared" si="1"/>
        <v>485186.57090833335</v>
      </c>
      <c r="J45" s="303"/>
      <c r="K45" s="304"/>
      <c r="L45" s="304"/>
      <c r="M45" s="157"/>
      <c r="N45" s="158"/>
    </row>
    <row r="46" spans="2:14" x14ac:dyDescent="0.2">
      <c r="B46" s="150"/>
      <c r="C46" s="147"/>
      <c r="H46" s="306">
        <f>+SHIPS!B60</f>
        <v>37742</v>
      </c>
      <c r="I46" s="284">
        <f t="shared" si="1"/>
        <v>485186.57090833335</v>
      </c>
      <c r="J46" s="303"/>
      <c r="K46" s="304"/>
      <c r="L46" s="304"/>
      <c r="M46" s="157"/>
      <c r="N46" s="158"/>
    </row>
    <row r="47" spans="2:14" x14ac:dyDescent="0.2">
      <c r="B47" s="150"/>
      <c r="C47" s="147"/>
      <c r="H47" s="306">
        <f>+SHIPS!B61</f>
        <v>37773</v>
      </c>
      <c r="I47" s="284">
        <f t="shared" si="1"/>
        <v>485186.57090833335</v>
      </c>
      <c r="J47" s="303"/>
      <c r="K47" s="304"/>
      <c r="L47" s="304"/>
      <c r="M47" s="157"/>
      <c r="N47" s="158"/>
    </row>
    <row r="48" spans="2:14" x14ac:dyDescent="0.2">
      <c r="B48" s="150"/>
      <c r="C48" s="147"/>
      <c r="H48" s="306">
        <f>+SHIPS!B62</f>
        <v>37803</v>
      </c>
      <c r="I48" s="284">
        <f t="shared" si="1"/>
        <v>485186.57090833335</v>
      </c>
      <c r="J48" s="303"/>
      <c r="K48" s="304"/>
      <c r="L48" s="304"/>
      <c r="M48" s="157"/>
      <c r="N48" s="158"/>
    </row>
    <row r="49" spans="2:14" x14ac:dyDescent="0.2">
      <c r="B49" s="150"/>
      <c r="C49" s="147"/>
      <c r="H49" s="306">
        <f>+SHIPS!B63</f>
        <v>37834</v>
      </c>
      <c r="I49" s="284">
        <f t="shared" si="1"/>
        <v>485186.57090833335</v>
      </c>
      <c r="J49" s="303"/>
      <c r="K49" s="304"/>
      <c r="L49" s="304"/>
      <c r="M49" s="157"/>
      <c r="N49" s="158"/>
    </row>
    <row r="50" spans="2:14" x14ac:dyDescent="0.2">
      <c r="B50" s="150"/>
      <c r="C50" s="147"/>
      <c r="H50" s="306">
        <f>+SHIPS!B64</f>
        <v>37865</v>
      </c>
      <c r="I50" s="284">
        <f t="shared" si="1"/>
        <v>485186.57090833335</v>
      </c>
      <c r="J50" s="303"/>
      <c r="K50" s="304"/>
      <c r="L50" s="304"/>
      <c r="M50" s="157"/>
      <c r="N50" s="158"/>
    </row>
    <row r="51" spans="2:14" x14ac:dyDescent="0.2">
      <c r="B51" s="150"/>
      <c r="C51" s="147"/>
      <c r="H51" s="306">
        <f>+SHIPS!B65</f>
        <v>37895</v>
      </c>
      <c r="I51" s="284">
        <f t="shared" si="1"/>
        <v>485186.57090833335</v>
      </c>
      <c r="J51" s="303"/>
      <c r="K51" s="304"/>
      <c r="L51" s="304"/>
      <c r="M51" s="157"/>
      <c r="N51" s="158"/>
    </row>
    <row r="52" spans="2:14" x14ac:dyDescent="0.2">
      <c r="B52" s="150"/>
      <c r="C52" s="147"/>
      <c r="H52" s="306">
        <f>+SHIPS!B66</f>
        <v>37926</v>
      </c>
      <c r="I52" s="284">
        <f t="shared" si="1"/>
        <v>485186.57090833335</v>
      </c>
      <c r="J52" s="303"/>
      <c r="K52" s="304"/>
      <c r="L52" s="304"/>
      <c r="M52" s="157"/>
      <c r="N52" s="158"/>
    </row>
    <row r="53" spans="2:14" x14ac:dyDescent="0.2">
      <c r="B53" s="150"/>
      <c r="C53" s="147"/>
      <c r="H53" s="306">
        <f>+SHIPS!B67</f>
        <v>37956</v>
      </c>
      <c r="I53" s="284">
        <f t="shared" si="1"/>
        <v>485186.57090833335</v>
      </c>
      <c r="J53" s="303"/>
      <c r="K53" s="304"/>
      <c r="L53" s="304"/>
      <c r="M53" s="157"/>
      <c r="N53" s="158"/>
    </row>
    <row r="54" spans="2:14" x14ac:dyDescent="0.2">
      <c r="B54" s="150"/>
      <c r="C54" s="147"/>
      <c r="H54" s="306">
        <f>+SHIPS!B68</f>
        <v>37987</v>
      </c>
      <c r="I54" s="284">
        <f t="shared" si="1"/>
        <v>485186.57090833335</v>
      </c>
      <c r="J54" s="303"/>
      <c r="K54" s="304"/>
      <c r="L54" s="304"/>
      <c r="M54" s="157"/>
      <c r="N54" s="158"/>
    </row>
    <row r="55" spans="2:14" x14ac:dyDescent="0.2">
      <c r="B55" s="150"/>
      <c r="C55" s="147"/>
      <c r="H55" s="306">
        <f>+SHIPS!B69</f>
        <v>38018</v>
      </c>
      <c r="I55" s="284">
        <f t="shared" si="1"/>
        <v>485186.57090833335</v>
      </c>
      <c r="J55" s="303"/>
      <c r="K55" s="304"/>
      <c r="L55" s="304"/>
      <c r="M55" s="157"/>
      <c r="N55" s="158"/>
    </row>
    <row r="56" spans="2:14" x14ac:dyDescent="0.2">
      <c r="B56" s="150"/>
      <c r="C56" s="147"/>
      <c r="H56" s="306">
        <f>+SHIPS!B70</f>
        <v>38047</v>
      </c>
      <c r="I56" s="284">
        <f t="shared" si="1"/>
        <v>485186.57090833335</v>
      </c>
      <c r="J56" s="303"/>
      <c r="K56" s="304"/>
      <c r="L56" s="304"/>
      <c r="M56" s="157"/>
      <c r="N56" s="158"/>
    </row>
    <row r="57" spans="2:14" x14ac:dyDescent="0.2">
      <c r="B57" s="150"/>
      <c r="C57" s="147"/>
      <c r="H57" s="306">
        <f>+SHIPS!B71</f>
        <v>38078</v>
      </c>
      <c r="I57" s="284">
        <f t="shared" si="1"/>
        <v>485186.57090833335</v>
      </c>
      <c r="J57" s="303"/>
      <c r="K57" s="304"/>
      <c r="L57" s="304"/>
      <c r="M57" s="157"/>
      <c r="N57" s="158"/>
    </row>
    <row r="58" spans="2:14" x14ac:dyDescent="0.2">
      <c r="B58" s="150"/>
      <c r="C58" s="147"/>
      <c r="H58" s="306">
        <f>+SHIPS!B72</f>
        <v>38108</v>
      </c>
      <c r="I58" s="284">
        <f t="shared" si="1"/>
        <v>485186.57090833335</v>
      </c>
      <c r="J58" s="303"/>
      <c r="K58" s="304"/>
      <c r="L58" s="304"/>
      <c r="M58" s="157"/>
      <c r="N58" s="158"/>
    </row>
    <row r="59" spans="2:14" x14ac:dyDescent="0.2">
      <c r="B59" s="150"/>
      <c r="C59" s="147"/>
      <c r="H59" s="306">
        <f>+SHIPS!B73</f>
        <v>38139</v>
      </c>
      <c r="I59" s="284">
        <f t="shared" si="1"/>
        <v>485186.57090833335</v>
      </c>
      <c r="J59" s="303"/>
      <c r="K59" s="304"/>
      <c r="L59" s="304"/>
      <c r="M59" s="157"/>
      <c r="N59" s="158"/>
    </row>
    <row r="60" spans="2:14" x14ac:dyDescent="0.2">
      <c r="B60" s="150"/>
      <c r="C60" s="147"/>
      <c r="H60" s="306">
        <f>+SHIPS!B74</f>
        <v>38169</v>
      </c>
      <c r="I60" s="284">
        <f t="shared" si="1"/>
        <v>485186.57090833335</v>
      </c>
      <c r="J60" s="303"/>
      <c r="K60" s="304"/>
      <c r="L60" s="304"/>
      <c r="M60" s="157"/>
      <c r="N60" s="158"/>
    </row>
    <row r="61" spans="2:14" x14ac:dyDescent="0.2">
      <c r="B61" s="150"/>
      <c r="C61" s="147"/>
      <c r="H61" s="306">
        <f>+SHIPS!B75</f>
        <v>38200</v>
      </c>
      <c r="I61" s="284">
        <f t="shared" si="1"/>
        <v>485186.57090833335</v>
      </c>
      <c r="J61" s="303"/>
      <c r="K61" s="304"/>
      <c r="L61" s="304"/>
      <c r="M61" s="157"/>
      <c r="N61" s="158"/>
    </row>
    <row r="62" spans="2:14" x14ac:dyDescent="0.2">
      <c r="B62" s="150"/>
      <c r="C62" s="147"/>
      <c r="H62" s="306">
        <f>+SHIPS!B76</f>
        <v>38231</v>
      </c>
      <c r="I62" s="284">
        <f t="shared" si="1"/>
        <v>485186.57090833335</v>
      </c>
      <c r="J62" s="303"/>
      <c r="K62" s="304"/>
      <c r="L62" s="304"/>
      <c r="M62" s="157"/>
      <c r="N62" s="158"/>
    </row>
    <row r="63" spans="2:14" x14ac:dyDescent="0.2">
      <c r="B63" s="150"/>
      <c r="C63" s="147"/>
      <c r="H63" s="306">
        <f>+SHIPS!B77</f>
        <v>38261</v>
      </c>
      <c r="I63" s="284">
        <f t="shared" si="1"/>
        <v>485186.57090833335</v>
      </c>
      <c r="J63" s="303"/>
      <c r="K63" s="304"/>
      <c r="L63" s="304"/>
      <c r="M63" s="157"/>
      <c r="N63" s="158"/>
    </row>
    <row r="64" spans="2:14" x14ac:dyDescent="0.2">
      <c r="B64" s="150"/>
      <c r="C64" s="147"/>
      <c r="H64" s="306">
        <f>+SHIPS!B78</f>
        <v>38292</v>
      </c>
      <c r="I64" s="284">
        <f t="shared" si="1"/>
        <v>485186.57090833335</v>
      </c>
      <c r="J64" s="303"/>
      <c r="K64" s="304"/>
      <c r="L64" s="304"/>
      <c r="M64" s="157"/>
      <c r="N64" s="158"/>
    </row>
    <row r="65" spans="2:14" x14ac:dyDescent="0.2">
      <c r="B65" s="150"/>
      <c r="C65" s="147"/>
      <c r="H65" s="306">
        <f>+SHIPS!B79</f>
        <v>38322</v>
      </c>
      <c r="I65" s="284">
        <f t="shared" si="1"/>
        <v>485186.57090833335</v>
      </c>
      <c r="J65" s="303"/>
      <c r="K65" s="304"/>
      <c r="L65" s="304"/>
      <c r="M65" s="157"/>
      <c r="N65" s="158"/>
    </row>
    <row r="66" spans="2:14" x14ac:dyDescent="0.2">
      <c r="B66" s="150"/>
      <c r="C66" s="147"/>
      <c r="H66" s="306">
        <f>+SHIPS!B80</f>
        <v>38353</v>
      </c>
      <c r="I66" s="284">
        <f t="shared" si="1"/>
        <v>485186.57090833335</v>
      </c>
      <c r="J66" s="303"/>
      <c r="K66" s="304"/>
      <c r="L66" s="304"/>
      <c r="M66" s="157"/>
      <c r="N66" s="158"/>
    </row>
    <row r="67" spans="2:14" x14ac:dyDescent="0.2">
      <c r="B67" s="150"/>
      <c r="C67" s="147"/>
      <c r="H67" s="306">
        <f>+SHIPS!B81</f>
        <v>38384</v>
      </c>
      <c r="I67" s="284">
        <f t="shared" si="1"/>
        <v>485186.57090833335</v>
      </c>
      <c r="J67" s="303"/>
      <c r="K67" s="304"/>
      <c r="L67" s="304"/>
      <c r="M67" s="157"/>
      <c r="N67" s="158"/>
    </row>
    <row r="68" spans="2:14" x14ac:dyDescent="0.2">
      <c r="B68" s="150"/>
      <c r="C68" s="147"/>
      <c r="H68" s="306">
        <f>+SHIPS!B82</f>
        <v>38412</v>
      </c>
      <c r="I68" s="284">
        <f t="shared" si="1"/>
        <v>485186.57090833335</v>
      </c>
      <c r="J68" s="303"/>
      <c r="K68" s="304"/>
      <c r="L68" s="304"/>
      <c r="M68" s="157"/>
      <c r="N68" s="158"/>
    </row>
    <row r="69" spans="2:14" x14ac:dyDescent="0.2">
      <c r="B69" s="150"/>
      <c r="C69" s="147"/>
      <c r="H69" s="306">
        <f>+SHIPS!B83</f>
        <v>38443</v>
      </c>
      <c r="I69" s="284">
        <f t="shared" si="1"/>
        <v>485186.57090833335</v>
      </c>
      <c r="J69" s="303"/>
      <c r="K69" s="304"/>
      <c r="L69" s="304"/>
      <c r="M69" s="157"/>
      <c r="N69" s="158"/>
    </row>
    <row r="70" spans="2:14" x14ac:dyDescent="0.2">
      <c r="B70" s="150"/>
      <c r="C70" s="147"/>
      <c r="H70" s="306">
        <f>+SHIPS!B84</f>
        <v>38473</v>
      </c>
      <c r="I70" s="284">
        <f t="shared" si="1"/>
        <v>485186.57090833335</v>
      </c>
      <c r="J70" s="303"/>
      <c r="K70" s="304"/>
      <c r="L70" s="304"/>
      <c r="M70" s="157"/>
      <c r="N70" s="158"/>
    </row>
    <row r="71" spans="2:14" x14ac:dyDescent="0.2">
      <c r="B71" s="150"/>
      <c r="C71" s="147"/>
      <c r="H71" s="306">
        <f>+SHIPS!B85</f>
        <v>38504</v>
      </c>
      <c r="I71" s="284">
        <f t="shared" si="1"/>
        <v>485186.57090833335</v>
      </c>
      <c r="J71" s="303"/>
      <c r="K71" s="304"/>
      <c r="L71" s="304"/>
      <c r="M71" s="157"/>
      <c r="N71" s="158"/>
    </row>
    <row r="72" spans="2:14" x14ac:dyDescent="0.2">
      <c r="B72" s="150"/>
      <c r="C72" s="147"/>
      <c r="H72" s="306">
        <f>+SHIPS!B86</f>
        <v>38534</v>
      </c>
      <c r="I72" s="284">
        <f t="shared" si="1"/>
        <v>485186.57090833335</v>
      </c>
      <c r="J72" s="303"/>
      <c r="K72" s="304"/>
      <c r="L72" s="304"/>
      <c r="M72" s="157"/>
      <c r="N72" s="158"/>
    </row>
    <row r="73" spans="2:14" x14ac:dyDescent="0.2">
      <c r="B73" s="150"/>
      <c r="C73" s="147"/>
      <c r="H73" s="306">
        <f>+SHIPS!B87</f>
        <v>38565</v>
      </c>
      <c r="I73" s="284">
        <f t="shared" si="1"/>
        <v>485186.57090833335</v>
      </c>
      <c r="J73" s="303"/>
      <c r="K73" s="304"/>
      <c r="L73" s="304"/>
      <c r="M73" s="157"/>
      <c r="N73" s="158"/>
    </row>
    <row r="74" spans="2:14" x14ac:dyDescent="0.2">
      <c r="B74" s="150"/>
      <c r="C74" s="147"/>
      <c r="H74" s="306">
        <f>+SHIPS!B88</f>
        <v>38596</v>
      </c>
      <c r="I74" s="284">
        <f t="shared" si="1"/>
        <v>485186.57090833335</v>
      </c>
      <c r="J74" s="303"/>
      <c r="K74" s="304"/>
      <c r="L74" s="304"/>
      <c r="M74" s="157"/>
      <c r="N74" s="158"/>
    </row>
    <row r="75" spans="2:14" x14ac:dyDescent="0.2">
      <c r="B75" s="150"/>
      <c r="C75" s="147"/>
      <c r="H75" s="306">
        <f>+SHIPS!B89</f>
        <v>38626</v>
      </c>
      <c r="I75" s="284">
        <f t="shared" si="1"/>
        <v>485186.57090833335</v>
      </c>
      <c r="J75" s="303"/>
      <c r="K75" s="304"/>
      <c r="L75" s="304"/>
      <c r="M75" s="157"/>
      <c r="N75" s="158"/>
    </row>
    <row r="76" spans="2:14" x14ac:dyDescent="0.2">
      <c r="B76" s="150"/>
      <c r="C76" s="147"/>
      <c r="H76" s="306">
        <f>+SHIPS!B90</f>
        <v>38657</v>
      </c>
      <c r="I76" s="284">
        <f t="shared" si="1"/>
        <v>485186.57090833335</v>
      </c>
      <c r="J76" s="303"/>
      <c r="K76" s="304"/>
      <c r="L76" s="304"/>
      <c r="M76" s="157"/>
      <c r="N76" s="158"/>
    </row>
    <row r="77" spans="2:14" x14ac:dyDescent="0.2">
      <c r="B77" s="150"/>
      <c r="C77" s="147"/>
      <c r="H77" s="306">
        <f>+SHIPS!B91</f>
        <v>38687</v>
      </c>
      <c r="I77" s="284">
        <f t="shared" si="1"/>
        <v>485186.57090833335</v>
      </c>
      <c r="J77" s="303"/>
      <c r="K77" s="304"/>
      <c r="L77" s="304"/>
      <c r="M77" s="157"/>
      <c r="N77" s="158"/>
    </row>
    <row r="78" spans="2:14" x14ac:dyDescent="0.2">
      <c r="B78" s="150"/>
      <c r="C78" s="147"/>
      <c r="H78" s="306">
        <f>+SHIPS!B92</f>
        <v>38718</v>
      </c>
      <c r="I78" s="284">
        <f t="shared" si="1"/>
        <v>485186.57090833335</v>
      </c>
      <c r="J78" s="303"/>
      <c r="K78" s="304"/>
      <c r="L78" s="304"/>
      <c r="M78" s="157"/>
      <c r="N78" s="158"/>
    </row>
    <row r="79" spans="2:14" x14ac:dyDescent="0.2">
      <c r="B79" s="150"/>
      <c r="C79" s="147"/>
      <c r="H79" s="306">
        <f>+SHIPS!B93</f>
        <v>38749</v>
      </c>
      <c r="I79" s="284">
        <f t="shared" si="1"/>
        <v>485186.57090833335</v>
      </c>
      <c r="J79" s="303"/>
      <c r="K79" s="304"/>
      <c r="L79" s="304"/>
      <c r="M79" s="157"/>
      <c r="N79" s="158"/>
    </row>
    <row r="80" spans="2:14" x14ac:dyDescent="0.2">
      <c r="B80" s="150"/>
      <c r="C80" s="147"/>
      <c r="H80" s="306">
        <f>+SHIPS!B94</f>
        <v>38777</v>
      </c>
      <c r="I80" s="284">
        <f t="shared" si="1"/>
        <v>485186.57090833335</v>
      </c>
      <c r="J80" s="303"/>
      <c r="K80" s="304"/>
      <c r="L80" s="304"/>
      <c r="M80" s="157"/>
      <c r="N80" s="158"/>
    </row>
    <row r="81" spans="2:14" x14ac:dyDescent="0.2">
      <c r="B81" s="150"/>
      <c r="C81" s="147"/>
      <c r="H81" s="306">
        <f>+SHIPS!B95</f>
        <v>38808</v>
      </c>
      <c r="I81" s="284">
        <f t="shared" si="1"/>
        <v>485186.57090833335</v>
      </c>
      <c r="J81" s="303"/>
      <c r="K81" s="304"/>
      <c r="L81" s="304"/>
      <c r="M81" s="157"/>
      <c r="N81" s="158"/>
    </row>
    <row r="82" spans="2:14" x14ac:dyDescent="0.2">
      <c r="B82" s="150"/>
      <c r="C82" s="147"/>
      <c r="H82" s="306">
        <f>+SHIPS!B96</f>
        <v>38838</v>
      </c>
      <c r="I82" s="284">
        <f t="shared" ref="I82:I145" si="2">+I81</f>
        <v>485186.57090833335</v>
      </c>
      <c r="J82" s="303"/>
      <c r="K82" s="304"/>
      <c r="L82" s="304"/>
      <c r="M82" s="157"/>
      <c r="N82" s="158"/>
    </row>
    <row r="83" spans="2:14" x14ac:dyDescent="0.2">
      <c r="B83" s="150"/>
      <c r="C83" s="147"/>
      <c r="H83" s="306">
        <f>+SHIPS!B97</f>
        <v>38869</v>
      </c>
      <c r="I83" s="284">
        <f t="shared" si="2"/>
        <v>485186.57090833335</v>
      </c>
      <c r="J83" s="303"/>
      <c r="K83" s="304"/>
      <c r="L83" s="304"/>
      <c r="M83" s="157"/>
      <c r="N83" s="158"/>
    </row>
    <row r="84" spans="2:14" x14ac:dyDescent="0.2">
      <c r="B84" s="150"/>
      <c r="C84" s="147"/>
      <c r="H84" s="306">
        <f>+SHIPS!B98</f>
        <v>38899</v>
      </c>
      <c r="I84" s="284">
        <f t="shared" si="2"/>
        <v>485186.57090833335</v>
      </c>
      <c r="J84" s="303"/>
      <c r="K84" s="304"/>
      <c r="L84" s="304"/>
      <c r="M84" s="157"/>
      <c r="N84" s="158"/>
    </row>
    <row r="85" spans="2:14" x14ac:dyDescent="0.2">
      <c r="B85" s="150"/>
      <c r="C85" s="147"/>
      <c r="H85" s="306">
        <f>+SHIPS!B99</f>
        <v>38930</v>
      </c>
      <c r="I85" s="284">
        <f t="shared" si="2"/>
        <v>485186.57090833335</v>
      </c>
      <c r="J85" s="303"/>
      <c r="K85" s="304"/>
      <c r="L85" s="304"/>
      <c r="M85" s="157"/>
      <c r="N85" s="158"/>
    </row>
    <row r="86" spans="2:14" x14ac:dyDescent="0.2">
      <c r="B86" s="150"/>
      <c r="C86" s="147"/>
      <c r="H86" s="306">
        <f>+SHIPS!B100</f>
        <v>38961</v>
      </c>
      <c r="I86" s="284">
        <f t="shared" si="2"/>
        <v>485186.57090833335</v>
      </c>
      <c r="J86" s="303"/>
      <c r="K86" s="304"/>
      <c r="L86" s="304"/>
      <c r="M86" s="157"/>
      <c r="N86" s="158"/>
    </row>
    <row r="87" spans="2:14" x14ac:dyDescent="0.2">
      <c r="B87" s="150"/>
      <c r="C87" s="147"/>
      <c r="H87" s="306">
        <f>+SHIPS!B101</f>
        <v>38991</v>
      </c>
      <c r="I87" s="284">
        <f t="shared" si="2"/>
        <v>485186.57090833335</v>
      </c>
      <c r="J87" s="303"/>
      <c r="K87" s="304"/>
      <c r="L87" s="304"/>
      <c r="M87" s="157"/>
      <c r="N87" s="158"/>
    </row>
    <row r="88" spans="2:14" x14ac:dyDescent="0.2">
      <c r="B88" s="150"/>
      <c r="C88" s="147"/>
      <c r="H88" s="306">
        <f>+SHIPS!B102</f>
        <v>39022</v>
      </c>
      <c r="I88" s="284">
        <f t="shared" si="2"/>
        <v>485186.57090833335</v>
      </c>
      <c r="J88" s="303"/>
      <c r="K88" s="304"/>
      <c r="L88" s="304"/>
      <c r="M88" s="157"/>
      <c r="N88" s="158"/>
    </row>
    <row r="89" spans="2:14" x14ac:dyDescent="0.2">
      <c r="B89" s="150"/>
      <c r="C89" s="147"/>
      <c r="H89" s="306">
        <f>+SHIPS!B103</f>
        <v>39052</v>
      </c>
      <c r="I89" s="284">
        <f t="shared" si="2"/>
        <v>485186.57090833335</v>
      </c>
      <c r="J89" s="303"/>
      <c r="K89" s="304"/>
      <c r="L89" s="304"/>
      <c r="M89" s="157"/>
      <c r="N89" s="158"/>
    </row>
    <row r="90" spans="2:14" x14ac:dyDescent="0.2">
      <c r="B90" s="150"/>
      <c r="C90" s="147"/>
      <c r="H90" s="306">
        <f>+SHIPS!B104</f>
        <v>39083</v>
      </c>
      <c r="I90" s="284">
        <f t="shared" si="2"/>
        <v>485186.57090833335</v>
      </c>
      <c r="J90" s="303"/>
      <c r="K90" s="304"/>
      <c r="L90" s="304"/>
      <c r="M90" s="157"/>
      <c r="N90" s="158"/>
    </row>
    <row r="91" spans="2:14" x14ac:dyDescent="0.2">
      <c r="B91" s="150"/>
      <c r="C91" s="147"/>
      <c r="H91" s="306">
        <f>+SHIPS!B105</f>
        <v>39114</v>
      </c>
      <c r="I91" s="284">
        <f t="shared" si="2"/>
        <v>485186.57090833335</v>
      </c>
      <c r="J91" s="303"/>
      <c r="K91" s="304"/>
      <c r="L91" s="304"/>
      <c r="M91" s="157"/>
      <c r="N91" s="158"/>
    </row>
    <row r="92" spans="2:14" x14ac:dyDescent="0.2">
      <c r="B92" s="150"/>
      <c r="C92" s="147"/>
      <c r="H92" s="306">
        <f>+SHIPS!B106</f>
        <v>39142</v>
      </c>
      <c r="I92" s="284">
        <f t="shared" si="2"/>
        <v>485186.57090833335</v>
      </c>
      <c r="J92" s="303"/>
      <c r="K92" s="304"/>
      <c r="L92" s="304"/>
      <c r="M92" s="157"/>
      <c r="N92" s="158"/>
    </row>
    <row r="93" spans="2:14" x14ac:dyDescent="0.2">
      <c r="B93" s="150"/>
      <c r="C93" s="147"/>
      <c r="H93" s="306">
        <f>+SHIPS!B107</f>
        <v>39173</v>
      </c>
      <c r="I93" s="284">
        <f t="shared" si="2"/>
        <v>485186.57090833335</v>
      </c>
      <c r="J93" s="303"/>
      <c r="K93" s="304"/>
      <c r="L93" s="304"/>
      <c r="M93" s="157"/>
      <c r="N93" s="158"/>
    </row>
    <row r="94" spans="2:14" x14ac:dyDescent="0.2">
      <c r="B94" s="150"/>
      <c r="C94" s="147"/>
      <c r="H94" s="306">
        <f>+SHIPS!B108</f>
        <v>39203</v>
      </c>
      <c r="I94" s="284">
        <f t="shared" si="2"/>
        <v>485186.57090833335</v>
      </c>
      <c r="J94" s="303"/>
      <c r="K94" s="304"/>
      <c r="L94" s="304"/>
      <c r="M94" s="157"/>
      <c r="N94" s="158"/>
    </row>
    <row r="95" spans="2:14" x14ac:dyDescent="0.2">
      <c r="B95" s="150"/>
      <c r="C95" s="147"/>
      <c r="H95" s="306">
        <f>+SHIPS!B109</f>
        <v>39234</v>
      </c>
      <c r="I95" s="284">
        <f t="shared" si="2"/>
        <v>485186.57090833335</v>
      </c>
      <c r="J95" s="303"/>
      <c r="K95" s="304"/>
      <c r="L95" s="304"/>
      <c r="M95" s="157"/>
      <c r="N95" s="158"/>
    </row>
    <row r="96" spans="2:14" x14ac:dyDescent="0.2">
      <c r="B96" s="150"/>
      <c r="C96" s="147"/>
      <c r="H96" s="306">
        <f>+SHIPS!B110</f>
        <v>39264</v>
      </c>
      <c r="I96" s="284">
        <f t="shared" si="2"/>
        <v>485186.57090833335</v>
      </c>
      <c r="J96" s="303"/>
      <c r="K96" s="304"/>
      <c r="L96" s="304"/>
      <c r="M96" s="157"/>
      <c r="N96" s="158"/>
    </row>
    <row r="97" spans="2:14" x14ac:dyDescent="0.2">
      <c r="B97" s="150"/>
      <c r="C97" s="147"/>
      <c r="H97" s="306">
        <f>+SHIPS!B111</f>
        <v>39295</v>
      </c>
      <c r="I97" s="284">
        <f t="shared" si="2"/>
        <v>485186.57090833335</v>
      </c>
      <c r="J97" s="303"/>
      <c r="K97" s="304"/>
      <c r="L97" s="304"/>
      <c r="M97" s="157"/>
      <c r="N97" s="158"/>
    </row>
    <row r="98" spans="2:14" x14ac:dyDescent="0.2">
      <c r="B98" s="150"/>
      <c r="C98" s="147"/>
      <c r="H98" s="306">
        <f>+SHIPS!B112</f>
        <v>39326</v>
      </c>
      <c r="I98" s="284">
        <f t="shared" si="2"/>
        <v>485186.57090833335</v>
      </c>
      <c r="J98" s="303"/>
      <c r="K98" s="304"/>
      <c r="L98" s="304"/>
      <c r="M98" s="157"/>
      <c r="N98" s="158"/>
    </row>
    <row r="99" spans="2:14" x14ac:dyDescent="0.2">
      <c r="B99" s="150"/>
      <c r="C99" s="147"/>
      <c r="H99" s="306">
        <f>+SHIPS!B113</f>
        <v>39356</v>
      </c>
      <c r="I99" s="284">
        <f t="shared" si="2"/>
        <v>485186.57090833335</v>
      </c>
      <c r="J99" s="303"/>
      <c r="K99" s="304"/>
      <c r="L99" s="304"/>
      <c r="M99" s="157"/>
      <c r="N99" s="158"/>
    </row>
    <row r="100" spans="2:14" x14ac:dyDescent="0.2">
      <c r="B100" s="150"/>
      <c r="C100" s="147"/>
      <c r="H100" s="306">
        <f>+SHIPS!B114</f>
        <v>39387</v>
      </c>
      <c r="I100" s="284">
        <f t="shared" si="2"/>
        <v>485186.57090833335</v>
      </c>
      <c r="J100" s="303"/>
      <c r="K100" s="304"/>
      <c r="L100" s="304"/>
      <c r="M100" s="157"/>
      <c r="N100" s="158"/>
    </row>
    <row r="101" spans="2:14" x14ac:dyDescent="0.2">
      <c r="B101" s="150"/>
      <c r="C101" s="147"/>
      <c r="H101" s="306">
        <f>+SHIPS!B115</f>
        <v>39417</v>
      </c>
      <c r="I101" s="284">
        <f t="shared" si="2"/>
        <v>485186.57090833335</v>
      </c>
      <c r="J101" s="303"/>
      <c r="K101" s="304"/>
      <c r="L101" s="304"/>
      <c r="M101" s="157"/>
      <c r="N101" s="158"/>
    </row>
    <row r="102" spans="2:14" x14ac:dyDescent="0.2">
      <c r="B102" s="150"/>
      <c r="C102" s="147"/>
      <c r="H102" s="306">
        <f>+SHIPS!B116</f>
        <v>39448</v>
      </c>
      <c r="I102" s="284">
        <f t="shared" si="2"/>
        <v>485186.57090833335</v>
      </c>
      <c r="J102" s="303"/>
      <c r="K102" s="304"/>
      <c r="L102" s="304"/>
      <c r="M102" s="157"/>
      <c r="N102" s="158"/>
    </row>
    <row r="103" spans="2:14" x14ac:dyDescent="0.2">
      <c r="B103" s="150"/>
      <c r="C103" s="147"/>
      <c r="H103" s="306">
        <f>+SHIPS!B117</f>
        <v>39479</v>
      </c>
      <c r="I103" s="284">
        <f t="shared" si="2"/>
        <v>485186.57090833335</v>
      </c>
      <c r="J103" s="303"/>
      <c r="K103" s="304"/>
      <c r="L103" s="304"/>
      <c r="M103" s="157"/>
      <c r="N103" s="158"/>
    </row>
    <row r="104" spans="2:14" x14ac:dyDescent="0.2">
      <c r="B104" s="150"/>
      <c r="C104" s="147"/>
      <c r="H104" s="306">
        <f>+SHIPS!B118</f>
        <v>39508</v>
      </c>
      <c r="I104" s="284">
        <f t="shared" si="2"/>
        <v>485186.57090833335</v>
      </c>
      <c r="J104" s="303"/>
      <c r="K104" s="304"/>
      <c r="L104" s="304"/>
      <c r="M104" s="157"/>
      <c r="N104" s="158"/>
    </row>
    <row r="105" spans="2:14" x14ac:dyDescent="0.2">
      <c r="B105" s="150"/>
      <c r="C105" s="147"/>
      <c r="H105" s="306">
        <f>+SHIPS!B119</f>
        <v>39539</v>
      </c>
      <c r="I105" s="284">
        <f t="shared" si="2"/>
        <v>485186.57090833335</v>
      </c>
      <c r="J105" s="303"/>
      <c r="K105" s="304"/>
      <c r="L105" s="304"/>
      <c r="M105" s="157"/>
      <c r="N105" s="158"/>
    </row>
    <row r="106" spans="2:14" x14ac:dyDescent="0.2">
      <c r="B106" s="150"/>
      <c r="C106" s="147"/>
      <c r="H106" s="306">
        <f>+SHIPS!B120</f>
        <v>39569</v>
      </c>
      <c r="I106" s="284">
        <f t="shared" si="2"/>
        <v>485186.57090833335</v>
      </c>
      <c r="J106" s="303"/>
      <c r="K106" s="304"/>
      <c r="L106" s="304"/>
      <c r="M106" s="157"/>
      <c r="N106" s="158"/>
    </row>
    <row r="107" spans="2:14" x14ac:dyDescent="0.2">
      <c r="B107" s="150"/>
      <c r="C107" s="147"/>
      <c r="H107" s="306">
        <f>+SHIPS!B121</f>
        <v>39600</v>
      </c>
      <c r="I107" s="284">
        <f t="shared" si="2"/>
        <v>485186.57090833335</v>
      </c>
      <c r="J107" s="303"/>
      <c r="K107" s="304"/>
      <c r="L107" s="304"/>
      <c r="M107" s="157"/>
      <c r="N107" s="158"/>
    </row>
    <row r="108" spans="2:14" x14ac:dyDescent="0.2">
      <c r="B108" s="150"/>
      <c r="C108" s="147"/>
      <c r="H108" s="306">
        <f>+SHIPS!B122</f>
        <v>39630</v>
      </c>
      <c r="I108" s="284">
        <f t="shared" si="2"/>
        <v>485186.57090833335</v>
      </c>
      <c r="J108" s="303"/>
      <c r="K108" s="304"/>
      <c r="L108" s="304"/>
      <c r="M108" s="157"/>
      <c r="N108" s="158"/>
    </row>
    <row r="109" spans="2:14" x14ac:dyDescent="0.2">
      <c r="B109" s="150"/>
      <c r="C109" s="147"/>
      <c r="H109" s="306">
        <f>+SHIPS!B123</f>
        <v>39661</v>
      </c>
      <c r="I109" s="284">
        <f t="shared" si="2"/>
        <v>485186.57090833335</v>
      </c>
      <c r="J109" s="303"/>
      <c r="K109" s="304"/>
      <c r="L109" s="304"/>
      <c r="M109" s="157"/>
      <c r="N109" s="158"/>
    </row>
    <row r="110" spans="2:14" x14ac:dyDescent="0.2">
      <c r="B110" s="150"/>
      <c r="C110" s="147"/>
      <c r="H110" s="306">
        <f>+SHIPS!B124</f>
        <v>39692</v>
      </c>
      <c r="I110" s="284">
        <f t="shared" si="2"/>
        <v>485186.57090833335</v>
      </c>
      <c r="J110" s="303"/>
      <c r="K110" s="304"/>
      <c r="L110" s="304"/>
      <c r="M110" s="157"/>
      <c r="N110" s="158"/>
    </row>
    <row r="111" spans="2:14" x14ac:dyDescent="0.2">
      <c r="B111" s="150"/>
      <c r="C111" s="147"/>
      <c r="H111" s="306">
        <f>+SHIPS!B125</f>
        <v>39722</v>
      </c>
      <c r="I111" s="284">
        <f t="shared" si="2"/>
        <v>485186.57090833335</v>
      </c>
      <c r="J111" s="303"/>
      <c r="K111" s="304"/>
      <c r="L111" s="304"/>
      <c r="M111" s="157"/>
      <c r="N111" s="158"/>
    </row>
    <row r="112" spans="2:14" x14ac:dyDescent="0.2">
      <c r="B112" s="150"/>
      <c r="C112" s="147"/>
      <c r="H112" s="306">
        <f>+SHIPS!B126</f>
        <v>39753</v>
      </c>
      <c r="I112" s="284">
        <f t="shared" si="2"/>
        <v>485186.57090833335</v>
      </c>
      <c r="J112" s="303"/>
      <c r="K112" s="304"/>
      <c r="L112" s="304"/>
      <c r="M112" s="157"/>
      <c r="N112" s="158"/>
    </row>
    <row r="113" spans="2:14" x14ac:dyDescent="0.2">
      <c r="B113" s="150"/>
      <c r="C113" s="147"/>
      <c r="H113" s="306">
        <f>+SHIPS!B127</f>
        <v>39783</v>
      </c>
      <c r="I113" s="284">
        <f t="shared" si="2"/>
        <v>485186.57090833335</v>
      </c>
      <c r="J113" s="303"/>
      <c r="K113" s="304"/>
      <c r="L113" s="304"/>
      <c r="M113" s="157"/>
      <c r="N113" s="158"/>
    </row>
    <row r="114" spans="2:14" x14ac:dyDescent="0.2">
      <c r="B114" s="150"/>
      <c r="C114" s="147"/>
      <c r="H114" s="306">
        <f>+SHIPS!B128</f>
        <v>39814</v>
      </c>
      <c r="I114" s="284">
        <f t="shared" si="2"/>
        <v>485186.57090833335</v>
      </c>
      <c r="J114" s="303"/>
      <c r="K114" s="304"/>
      <c r="L114" s="304"/>
      <c r="M114" s="157"/>
      <c r="N114" s="158"/>
    </row>
    <row r="115" spans="2:14" x14ac:dyDescent="0.2">
      <c r="B115" s="150"/>
      <c r="C115" s="147"/>
      <c r="H115" s="306">
        <f>+SHIPS!B129</f>
        <v>39845</v>
      </c>
      <c r="I115" s="284">
        <f t="shared" si="2"/>
        <v>485186.57090833335</v>
      </c>
      <c r="J115" s="303"/>
      <c r="K115" s="304"/>
      <c r="L115" s="304"/>
      <c r="M115" s="157"/>
      <c r="N115" s="158"/>
    </row>
    <row r="116" spans="2:14" x14ac:dyDescent="0.2">
      <c r="B116" s="150"/>
      <c r="C116" s="147"/>
      <c r="H116" s="306">
        <f>+SHIPS!B130</f>
        <v>39873</v>
      </c>
      <c r="I116" s="284">
        <f t="shared" si="2"/>
        <v>485186.57090833335</v>
      </c>
      <c r="J116" s="303"/>
      <c r="K116" s="304"/>
      <c r="L116" s="304"/>
      <c r="M116" s="157"/>
      <c r="N116" s="158"/>
    </row>
    <row r="117" spans="2:14" x14ac:dyDescent="0.2">
      <c r="B117" s="150"/>
      <c r="C117" s="147"/>
      <c r="H117" s="306">
        <f>+SHIPS!B131</f>
        <v>39904</v>
      </c>
      <c r="I117" s="284">
        <f t="shared" si="2"/>
        <v>485186.57090833335</v>
      </c>
      <c r="J117" s="303"/>
      <c r="K117" s="304"/>
      <c r="L117" s="304"/>
      <c r="M117" s="157"/>
      <c r="N117" s="158"/>
    </row>
    <row r="118" spans="2:14" x14ac:dyDescent="0.2">
      <c r="B118" s="150"/>
      <c r="C118" s="147"/>
      <c r="H118" s="306">
        <f>+SHIPS!B132</f>
        <v>39934</v>
      </c>
      <c r="I118" s="284">
        <f t="shared" si="2"/>
        <v>485186.57090833335</v>
      </c>
      <c r="J118" s="303"/>
      <c r="K118" s="304"/>
      <c r="L118" s="304"/>
      <c r="M118" s="157"/>
      <c r="N118" s="158"/>
    </row>
    <row r="119" spans="2:14" x14ac:dyDescent="0.2">
      <c r="C119" s="147"/>
      <c r="H119" s="306">
        <f>+SHIPS!B133</f>
        <v>39965</v>
      </c>
      <c r="I119" s="284">
        <f t="shared" si="2"/>
        <v>485186.57090833335</v>
      </c>
      <c r="J119" s="303"/>
      <c r="K119" s="304"/>
      <c r="L119" s="304"/>
      <c r="M119" s="157"/>
      <c r="N119" s="158"/>
    </row>
    <row r="120" spans="2:14" x14ac:dyDescent="0.2">
      <c r="C120" s="147"/>
      <c r="H120" s="306">
        <f>+SHIPS!B134</f>
        <v>39995</v>
      </c>
      <c r="I120" s="284">
        <f t="shared" si="2"/>
        <v>485186.57090833335</v>
      </c>
      <c r="J120" s="303"/>
      <c r="K120" s="304"/>
      <c r="L120" s="304"/>
      <c r="M120" s="157"/>
      <c r="N120" s="158"/>
    </row>
    <row r="121" spans="2:14" x14ac:dyDescent="0.2">
      <c r="C121" s="147"/>
      <c r="H121" s="306">
        <f>+SHIPS!B135</f>
        <v>40026</v>
      </c>
      <c r="I121" s="284">
        <f t="shared" si="2"/>
        <v>485186.57090833335</v>
      </c>
      <c r="J121" s="303"/>
      <c r="K121" s="304"/>
      <c r="L121" s="304"/>
      <c r="M121" s="157"/>
      <c r="N121" s="158"/>
    </row>
    <row r="122" spans="2:14" x14ac:dyDescent="0.2">
      <c r="C122" s="147"/>
      <c r="H122" s="306">
        <f>+SHIPS!B136</f>
        <v>40057</v>
      </c>
      <c r="I122" s="284">
        <f t="shared" si="2"/>
        <v>485186.57090833335</v>
      </c>
      <c r="J122" s="303"/>
      <c r="K122" s="304"/>
      <c r="L122" s="304"/>
      <c r="M122" s="157"/>
      <c r="N122" s="158"/>
    </row>
    <row r="123" spans="2:14" x14ac:dyDescent="0.2">
      <c r="C123" s="147"/>
      <c r="H123" s="306">
        <f>+SHIPS!B137</f>
        <v>40087</v>
      </c>
      <c r="I123" s="284">
        <f t="shared" si="2"/>
        <v>485186.57090833335</v>
      </c>
      <c r="J123" s="303"/>
      <c r="K123" s="304"/>
      <c r="L123" s="304"/>
      <c r="M123" s="157"/>
      <c r="N123" s="158"/>
    </row>
    <row r="124" spans="2:14" x14ac:dyDescent="0.2">
      <c r="C124" s="147"/>
      <c r="H124" s="306">
        <f>+SHIPS!B138</f>
        <v>40118</v>
      </c>
      <c r="I124" s="284">
        <f t="shared" si="2"/>
        <v>485186.57090833335</v>
      </c>
      <c r="J124" s="303"/>
      <c r="K124" s="304"/>
      <c r="L124" s="304"/>
      <c r="M124" s="157"/>
      <c r="N124" s="158"/>
    </row>
    <row r="125" spans="2:14" x14ac:dyDescent="0.2">
      <c r="C125" s="147"/>
      <c r="H125" s="306">
        <f>+SHIPS!B139</f>
        <v>40148</v>
      </c>
      <c r="I125" s="284">
        <f t="shared" si="2"/>
        <v>485186.57090833335</v>
      </c>
      <c r="J125" s="303"/>
      <c r="K125" s="304"/>
      <c r="L125" s="304"/>
      <c r="M125" s="157"/>
      <c r="N125" s="158"/>
    </row>
    <row r="126" spans="2:14" x14ac:dyDescent="0.2">
      <c r="C126" s="147"/>
      <c r="H126" s="306">
        <f>+SHIPS!B140</f>
        <v>40179</v>
      </c>
      <c r="I126" s="284">
        <f t="shared" si="2"/>
        <v>485186.57090833335</v>
      </c>
      <c r="J126" s="303"/>
      <c r="K126" s="304"/>
      <c r="L126" s="304"/>
      <c r="M126" s="157"/>
      <c r="N126" s="158"/>
    </row>
    <row r="127" spans="2:14" x14ac:dyDescent="0.2">
      <c r="C127" s="147"/>
      <c r="H127" s="306">
        <f>+SHIPS!B141</f>
        <v>40210</v>
      </c>
      <c r="I127" s="284">
        <f t="shared" si="2"/>
        <v>485186.57090833335</v>
      </c>
      <c r="J127" s="303"/>
      <c r="K127" s="304"/>
      <c r="L127" s="304"/>
      <c r="M127" s="157"/>
      <c r="N127" s="158"/>
    </row>
    <row r="128" spans="2:14" x14ac:dyDescent="0.2">
      <c r="C128" s="147"/>
      <c r="H128" s="306">
        <f>+SHIPS!B142</f>
        <v>40238</v>
      </c>
      <c r="I128" s="284">
        <f t="shared" si="2"/>
        <v>485186.57090833335</v>
      </c>
      <c r="J128" s="303"/>
      <c r="K128" s="304"/>
      <c r="L128" s="304"/>
      <c r="M128" s="157"/>
      <c r="N128" s="158"/>
    </row>
    <row r="129" spans="3:14" x14ac:dyDescent="0.2">
      <c r="C129" s="147"/>
      <c r="H129" s="306">
        <f>+SHIPS!B143</f>
        <v>40269</v>
      </c>
      <c r="I129" s="284">
        <f t="shared" si="2"/>
        <v>485186.57090833335</v>
      </c>
      <c r="J129" s="303"/>
      <c r="K129" s="304"/>
      <c r="L129" s="304"/>
      <c r="M129" s="157"/>
      <c r="N129" s="158"/>
    </row>
    <row r="130" spans="3:14" x14ac:dyDescent="0.2">
      <c r="C130" s="147"/>
      <c r="H130" s="306">
        <f>+SHIPS!B144</f>
        <v>40299</v>
      </c>
      <c r="I130" s="284">
        <f t="shared" si="2"/>
        <v>485186.57090833335</v>
      </c>
      <c r="J130" s="303"/>
      <c r="K130" s="304"/>
      <c r="L130" s="304"/>
      <c r="M130" s="157"/>
      <c r="N130" s="158"/>
    </row>
    <row r="131" spans="3:14" x14ac:dyDescent="0.2">
      <c r="C131" s="147"/>
      <c r="H131" s="306">
        <f>+SHIPS!B145</f>
        <v>40330</v>
      </c>
      <c r="I131" s="284">
        <f t="shared" si="2"/>
        <v>485186.57090833335</v>
      </c>
      <c r="J131" s="303"/>
      <c r="K131" s="304"/>
      <c r="L131" s="304"/>
      <c r="M131" s="157"/>
      <c r="N131" s="158"/>
    </row>
    <row r="132" spans="3:14" x14ac:dyDescent="0.2">
      <c r="C132" s="147"/>
      <c r="H132" s="306">
        <f>+SHIPS!B146</f>
        <v>40360</v>
      </c>
      <c r="I132" s="284">
        <f t="shared" si="2"/>
        <v>485186.57090833335</v>
      </c>
      <c r="J132" s="303"/>
      <c r="K132" s="304"/>
      <c r="L132" s="304"/>
      <c r="M132" s="157"/>
      <c r="N132" s="158"/>
    </row>
    <row r="133" spans="3:14" x14ac:dyDescent="0.2">
      <c r="C133" s="147"/>
      <c r="H133" s="306">
        <f>+SHIPS!B147</f>
        <v>40391</v>
      </c>
      <c r="I133" s="284">
        <f t="shared" si="2"/>
        <v>485186.57090833335</v>
      </c>
      <c r="J133" s="303"/>
      <c r="K133" s="304"/>
      <c r="L133" s="304"/>
      <c r="M133" s="157"/>
      <c r="N133" s="158"/>
    </row>
    <row r="134" spans="3:14" x14ac:dyDescent="0.2">
      <c r="C134" s="147"/>
      <c r="H134" s="306">
        <f>+SHIPS!B148</f>
        <v>40422</v>
      </c>
      <c r="I134" s="284">
        <f t="shared" si="2"/>
        <v>485186.57090833335</v>
      </c>
      <c r="J134" s="303"/>
      <c r="K134" s="304"/>
      <c r="L134" s="304"/>
      <c r="M134" s="157"/>
      <c r="N134" s="158"/>
    </row>
    <row r="135" spans="3:14" x14ac:dyDescent="0.2">
      <c r="C135" s="147"/>
      <c r="H135" s="306">
        <f>+SHIPS!B149</f>
        <v>40452</v>
      </c>
      <c r="I135" s="284">
        <f t="shared" si="2"/>
        <v>485186.57090833335</v>
      </c>
      <c r="J135" s="303"/>
      <c r="K135" s="304"/>
      <c r="L135" s="304"/>
      <c r="M135" s="157"/>
      <c r="N135" s="158"/>
    </row>
    <row r="136" spans="3:14" x14ac:dyDescent="0.2">
      <c r="C136" s="147"/>
      <c r="H136" s="306">
        <f>+SHIPS!B150</f>
        <v>40483</v>
      </c>
      <c r="I136" s="284">
        <f t="shared" si="2"/>
        <v>485186.57090833335</v>
      </c>
      <c r="J136" s="303"/>
      <c r="K136" s="304"/>
      <c r="L136" s="304"/>
      <c r="M136" s="157"/>
      <c r="N136" s="158"/>
    </row>
    <row r="137" spans="3:14" x14ac:dyDescent="0.2">
      <c r="C137" s="147"/>
      <c r="H137" s="306">
        <f>+SHIPS!B151</f>
        <v>40513</v>
      </c>
      <c r="I137" s="284">
        <f t="shared" si="2"/>
        <v>485186.57090833335</v>
      </c>
      <c r="J137" s="303"/>
      <c r="K137" s="304"/>
      <c r="L137" s="304"/>
      <c r="M137" s="157"/>
      <c r="N137" s="158"/>
    </row>
    <row r="138" spans="3:14" x14ac:dyDescent="0.2">
      <c r="C138" s="147"/>
      <c r="H138" s="306">
        <f>+SHIPS!B152</f>
        <v>40544</v>
      </c>
      <c r="I138" s="284">
        <f t="shared" si="2"/>
        <v>485186.57090833335</v>
      </c>
      <c r="J138" s="303"/>
      <c r="K138" s="304"/>
      <c r="L138" s="304"/>
      <c r="M138" s="157"/>
      <c r="N138" s="158"/>
    </row>
    <row r="139" spans="3:14" x14ac:dyDescent="0.2">
      <c r="C139" s="147"/>
      <c r="H139" s="306">
        <f>+SHIPS!B153</f>
        <v>40575</v>
      </c>
      <c r="I139" s="284">
        <f t="shared" si="2"/>
        <v>485186.57090833335</v>
      </c>
      <c r="J139" s="303"/>
      <c r="K139" s="304"/>
      <c r="L139" s="304"/>
      <c r="M139" s="157"/>
      <c r="N139" s="158"/>
    </row>
    <row r="140" spans="3:14" x14ac:dyDescent="0.2">
      <c r="C140" s="147"/>
      <c r="H140" s="306">
        <f>+SHIPS!B154</f>
        <v>40603</v>
      </c>
      <c r="I140" s="284">
        <f t="shared" si="2"/>
        <v>485186.57090833335</v>
      </c>
      <c r="J140" s="303"/>
      <c r="K140" s="304"/>
      <c r="L140" s="304"/>
      <c r="M140" s="157"/>
      <c r="N140" s="158"/>
    </row>
    <row r="141" spans="3:14" x14ac:dyDescent="0.2">
      <c r="C141" s="147"/>
      <c r="H141" s="306">
        <f>+SHIPS!B155</f>
        <v>40634</v>
      </c>
      <c r="I141" s="284">
        <f t="shared" si="2"/>
        <v>485186.57090833335</v>
      </c>
      <c r="J141" s="303"/>
      <c r="K141" s="304"/>
      <c r="L141" s="304"/>
      <c r="M141" s="157"/>
      <c r="N141" s="158"/>
    </row>
    <row r="142" spans="3:14" x14ac:dyDescent="0.2">
      <c r="C142" s="147"/>
      <c r="H142" s="306">
        <f>+SHIPS!B156</f>
        <v>40664</v>
      </c>
      <c r="I142" s="284">
        <f t="shared" si="2"/>
        <v>485186.57090833335</v>
      </c>
      <c r="J142" s="303"/>
      <c r="K142" s="304"/>
      <c r="L142" s="304"/>
      <c r="M142" s="157"/>
      <c r="N142" s="158"/>
    </row>
    <row r="143" spans="3:14" x14ac:dyDescent="0.2">
      <c r="C143" s="147"/>
      <c r="H143" s="306">
        <f>+SHIPS!B157</f>
        <v>40695</v>
      </c>
      <c r="I143" s="284">
        <f t="shared" si="2"/>
        <v>485186.57090833335</v>
      </c>
      <c r="J143" s="303"/>
      <c r="K143" s="304"/>
      <c r="L143" s="304"/>
      <c r="M143" s="157"/>
      <c r="N143" s="158"/>
    </row>
    <row r="144" spans="3:14" x14ac:dyDescent="0.2">
      <c r="C144" s="147"/>
      <c r="H144" s="306">
        <f>+SHIPS!B158</f>
        <v>40725</v>
      </c>
      <c r="I144" s="284">
        <f t="shared" si="2"/>
        <v>485186.57090833335</v>
      </c>
      <c r="J144" s="303"/>
      <c r="K144" s="304"/>
      <c r="L144" s="304"/>
      <c r="M144" s="157"/>
      <c r="N144" s="158"/>
    </row>
    <row r="145" spans="3:14" x14ac:dyDescent="0.2">
      <c r="C145" s="147"/>
      <c r="H145" s="306">
        <f>+SHIPS!B159</f>
        <v>40756</v>
      </c>
      <c r="I145" s="284">
        <f t="shared" si="2"/>
        <v>485186.57090833335</v>
      </c>
      <c r="J145" s="303"/>
      <c r="K145" s="304"/>
      <c r="L145" s="304"/>
      <c r="M145" s="157"/>
      <c r="N145" s="158"/>
    </row>
    <row r="146" spans="3:14" x14ac:dyDescent="0.2">
      <c r="C146" s="147"/>
      <c r="H146" s="306">
        <f>+SHIPS!B160</f>
        <v>40787</v>
      </c>
      <c r="I146" s="284">
        <f t="shared" ref="I146:I209" si="3">+I145</f>
        <v>485186.57090833335</v>
      </c>
      <c r="J146" s="303"/>
      <c r="K146" s="304"/>
      <c r="L146" s="304"/>
      <c r="M146" s="157"/>
      <c r="N146" s="158"/>
    </row>
    <row r="147" spans="3:14" x14ac:dyDescent="0.2">
      <c r="C147" s="147"/>
      <c r="H147" s="306">
        <f>+SHIPS!B161</f>
        <v>40817</v>
      </c>
      <c r="I147" s="284">
        <f t="shared" si="3"/>
        <v>485186.57090833335</v>
      </c>
      <c r="J147" s="303"/>
      <c r="K147" s="304"/>
      <c r="L147" s="304"/>
      <c r="M147" s="157"/>
      <c r="N147" s="158"/>
    </row>
    <row r="148" spans="3:14" x14ac:dyDescent="0.2">
      <c r="C148" s="147"/>
      <c r="H148" s="306">
        <f>+SHIPS!B162</f>
        <v>40848</v>
      </c>
      <c r="I148" s="284">
        <f t="shared" si="3"/>
        <v>485186.57090833335</v>
      </c>
      <c r="J148" s="303"/>
      <c r="K148" s="304"/>
      <c r="L148" s="304"/>
      <c r="M148" s="157"/>
      <c r="N148" s="158"/>
    </row>
    <row r="149" spans="3:14" x14ac:dyDescent="0.2">
      <c r="C149" s="147"/>
      <c r="H149" s="306">
        <f>+SHIPS!B163</f>
        <v>40878</v>
      </c>
      <c r="I149" s="284">
        <f t="shared" si="3"/>
        <v>485186.57090833335</v>
      </c>
      <c r="J149" s="303"/>
      <c r="K149" s="304"/>
      <c r="L149" s="304"/>
      <c r="M149" s="157"/>
      <c r="N149" s="158"/>
    </row>
    <row r="150" spans="3:14" x14ac:dyDescent="0.2">
      <c r="C150" s="147"/>
      <c r="H150" s="306">
        <f>+SHIPS!B164</f>
        <v>40909</v>
      </c>
      <c r="I150" s="284">
        <f t="shared" si="3"/>
        <v>485186.57090833335</v>
      </c>
      <c r="J150" s="303"/>
      <c r="K150" s="304"/>
      <c r="L150" s="304"/>
      <c r="M150" s="157"/>
      <c r="N150" s="158"/>
    </row>
    <row r="151" spans="3:14" x14ac:dyDescent="0.2">
      <c r="C151" s="147"/>
      <c r="H151" s="306">
        <f>+SHIPS!B165</f>
        <v>40940</v>
      </c>
      <c r="I151" s="284">
        <f t="shared" si="3"/>
        <v>485186.57090833335</v>
      </c>
      <c r="J151" s="303"/>
      <c r="K151" s="304"/>
      <c r="L151" s="304"/>
      <c r="M151" s="157"/>
      <c r="N151" s="158"/>
    </row>
    <row r="152" spans="3:14" x14ac:dyDescent="0.2">
      <c r="C152" s="147"/>
      <c r="H152" s="306">
        <f>+SHIPS!B166</f>
        <v>40969</v>
      </c>
      <c r="I152" s="284">
        <f t="shared" si="3"/>
        <v>485186.57090833335</v>
      </c>
      <c r="J152" s="303"/>
      <c r="K152" s="304"/>
      <c r="L152" s="304"/>
      <c r="M152" s="157"/>
      <c r="N152" s="158"/>
    </row>
    <row r="153" spans="3:14" x14ac:dyDescent="0.2">
      <c r="C153" s="147"/>
      <c r="H153" s="306">
        <f>+SHIPS!B167</f>
        <v>41000</v>
      </c>
      <c r="I153" s="284">
        <f t="shared" si="3"/>
        <v>485186.57090833335</v>
      </c>
      <c r="J153" s="303"/>
      <c r="K153" s="304"/>
      <c r="L153" s="304"/>
      <c r="M153" s="157"/>
      <c r="N153" s="158"/>
    </row>
    <row r="154" spans="3:14" x14ac:dyDescent="0.2">
      <c r="C154" s="147"/>
      <c r="H154" s="306">
        <f>+SHIPS!B168</f>
        <v>41030</v>
      </c>
      <c r="I154" s="284">
        <f t="shared" si="3"/>
        <v>485186.57090833335</v>
      </c>
      <c r="J154" s="303"/>
      <c r="K154" s="304"/>
      <c r="L154" s="304"/>
      <c r="M154" s="157"/>
      <c r="N154" s="158"/>
    </row>
    <row r="155" spans="3:14" x14ac:dyDescent="0.2">
      <c r="C155" s="147"/>
      <c r="H155" s="306">
        <f>+SHIPS!B169</f>
        <v>41061</v>
      </c>
      <c r="I155" s="284">
        <f t="shared" si="3"/>
        <v>485186.57090833335</v>
      </c>
      <c r="J155" s="303"/>
      <c r="K155" s="304"/>
      <c r="L155" s="304"/>
      <c r="M155" s="157"/>
      <c r="N155" s="158"/>
    </row>
    <row r="156" spans="3:14" x14ac:dyDescent="0.2">
      <c r="C156" s="147"/>
      <c r="H156" s="306">
        <f>+SHIPS!B170</f>
        <v>41091</v>
      </c>
      <c r="I156" s="284">
        <f t="shared" si="3"/>
        <v>485186.57090833335</v>
      </c>
      <c r="J156" s="303"/>
      <c r="K156" s="304"/>
      <c r="L156" s="304"/>
      <c r="M156" s="157"/>
      <c r="N156" s="158"/>
    </row>
    <row r="157" spans="3:14" x14ac:dyDescent="0.2">
      <c r="C157" s="147"/>
      <c r="H157" s="306">
        <f>+SHIPS!B171</f>
        <v>41122</v>
      </c>
      <c r="I157" s="284">
        <f t="shared" si="3"/>
        <v>485186.57090833335</v>
      </c>
      <c r="J157" s="303"/>
      <c r="K157" s="304"/>
      <c r="L157" s="304"/>
      <c r="M157" s="157"/>
      <c r="N157" s="158"/>
    </row>
    <row r="158" spans="3:14" x14ac:dyDescent="0.2">
      <c r="C158" s="147"/>
      <c r="H158" s="306">
        <f>+SHIPS!B172</f>
        <v>41153</v>
      </c>
      <c r="I158" s="284">
        <f t="shared" si="3"/>
        <v>485186.57090833335</v>
      </c>
      <c r="J158" s="303"/>
      <c r="K158" s="304"/>
      <c r="L158" s="304"/>
      <c r="M158" s="157"/>
      <c r="N158" s="158"/>
    </row>
    <row r="159" spans="3:14" x14ac:dyDescent="0.2">
      <c r="C159" s="147"/>
      <c r="H159" s="306">
        <f>+SHIPS!B173</f>
        <v>41183</v>
      </c>
      <c r="I159" s="284">
        <f t="shared" si="3"/>
        <v>485186.57090833335</v>
      </c>
      <c r="J159" s="303"/>
      <c r="K159" s="304"/>
      <c r="L159" s="304"/>
      <c r="M159" s="157"/>
      <c r="N159" s="158"/>
    </row>
    <row r="160" spans="3:14" x14ac:dyDescent="0.2">
      <c r="C160" s="147"/>
      <c r="H160" s="306">
        <f>+SHIPS!B174</f>
        <v>41214</v>
      </c>
      <c r="I160" s="284">
        <f t="shared" si="3"/>
        <v>485186.57090833335</v>
      </c>
      <c r="J160" s="303"/>
      <c r="K160" s="304"/>
      <c r="L160" s="304"/>
      <c r="M160" s="157"/>
      <c r="N160" s="158"/>
    </row>
    <row r="161" spans="3:14" x14ac:dyDescent="0.2">
      <c r="C161" s="147"/>
      <c r="H161" s="306">
        <f>+SHIPS!B175</f>
        <v>41244</v>
      </c>
      <c r="I161" s="284">
        <f t="shared" si="3"/>
        <v>485186.57090833335</v>
      </c>
      <c r="J161" s="303"/>
      <c r="K161" s="304"/>
      <c r="L161" s="304"/>
      <c r="M161" s="157"/>
      <c r="N161" s="158"/>
    </row>
    <row r="162" spans="3:14" x14ac:dyDescent="0.2">
      <c r="C162" s="147"/>
      <c r="H162" s="306">
        <f>+SHIPS!B176</f>
        <v>41275</v>
      </c>
      <c r="I162" s="284">
        <f t="shared" si="3"/>
        <v>485186.57090833335</v>
      </c>
      <c r="J162" s="303"/>
      <c r="K162" s="304"/>
      <c r="L162" s="304"/>
      <c r="M162" s="157"/>
      <c r="N162" s="158"/>
    </row>
    <row r="163" spans="3:14" x14ac:dyDescent="0.2">
      <c r="C163" s="147"/>
      <c r="H163" s="306">
        <f>+SHIPS!B177</f>
        <v>41306</v>
      </c>
      <c r="I163" s="284">
        <f t="shared" si="3"/>
        <v>485186.57090833335</v>
      </c>
      <c r="J163" s="303"/>
      <c r="K163" s="304"/>
      <c r="L163" s="304"/>
      <c r="M163" s="157"/>
      <c r="N163" s="158"/>
    </row>
    <row r="164" spans="3:14" x14ac:dyDescent="0.2">
      <c r="C164" s="147"/>
      <c r="H164" s="306">
        <f>+SHIPS!B178</f>
        <v>41334</v>
      </c>
      <c r="I164" s="284">
        <f t="shared" si="3"/>
        <v>485186.57090833335</v>
      </c>
      <c r="J164" s="303"/>
      <c r="K164" s="304"/>
      <c r="L164" s="304"/>
      <c r="M164" s="157"/>
      <c r="N164" s="158"/>
    </row>
    <row r="165" spans="3:14" x14ac:dyDescent="0.2">
      <c r="C165" s="147"/>
      <c r="H165" s="306">
        <f>+SHIPS!B179</f>
        <v>41365</v>
      </c>
      <c r="I165" s="284">
        <f t="shared" si="3"/>
        <v>485186.57090833335</v>
      </c>
      <c r="J165" s="303"/>
      <c r="K165" s="304"/>
      <c r="L165" s="304"/>
      <c r="M165" s="157"/>
      <c r="N165" s="158"/>
    </row>
    <row r="166" spans="3:14" x14ac:dyDescent="0.2">
      <c r="C166" s="147"/>
      <c r="H166" s="306">
        <f>+SHIPS!B180</f>
        <v>41395</v>
      </c>
      <c r="I166" s="284">
        <f t="shared" si="3"/>
        <v>485186.57090833335</v>
      </c>
      <c r="J166" s="303"/>
      <c r="K166" s="304"/>
      <c r="L166" s="304"/>
      <c r="M166" s="157"/>
      <c r="N166" s="158"/>
    </row>
    <row r="167" spans="3:14" x14ac:dyDescent="0.2">
      <c r="C167" s="147"/>
      <c r="H167" s="306">
        <f>+SHIPS!B181</f>
        <v>41426</v>
      </c>
      <c r="I167" s="284">
        <f t="shared" si="3"/>
        <v>485186.57090833335</v>
      </c>
      <c r="J167" s="303"/>
      <c r="K167" s="304"/>
      <c r="L167" s="304"/>
      <c r="M167" s="157"/>
      <c r="N167" s="158"/>
    </row>
    <row r="168" spans="3:14" x14ac:dyDescent="0.2">
      <c r="C168" s="147"/>
      <c r="H168" s="306">
        <f>+SHIPS!B182</f>
        <v>41456</v>
      </c>
      <c r="I168" s="284">
        <f t="shared" si="3"/>
        <v>485186.57090833335</v>
      </c>
      <c r="J168" s="303"/>
      <c r="K168" s="304"/>
      <c r="L168" s="304"/>
      <c r="M168" s="157"/>
      <c r="N168" s="158"/>
    </row>
    <row r="169" spans="3:14" x14ac:dyDescent="0.2">
      <c r="C169" s="147"/>
      <c r="H169" s="306">
        <f>+SHIPS!B183</f>
        <v>41487</v>
      </c>
      <c r="I169" s="284">
        <f t="shared" si="3"/>
        <v>485186.57090833335</v>
      </c>
      <c r="J169" s="303"/>
      <c r="K169" s="304"/>
      <c r="L169" s="304"/>
      <c r="M169" s="157"/>
      <c r="N169" s="158"/>
    </row>
    <row r="170" spans="3:14" x14ac:dyDescent="0.2">
      <c r="C170" s="147"/>
      <c r="H170" s="306">
        <f>+SHIPS!B184</f>
        <v>41518</v>
      </c>
      <c r="I170" s="284">
        <f t="shared" si="3"/>
        <v>485186.57090833335</v>
      </c>
      <c r="J170" s="303"/>
      <c r="K170" s="304"/>
      <c r="L170" s="304"/>
      <c r="M170" s="157"/>
      <c r="N170" s="158"/>
    </row>
    <row r="171" spans="3:14" x14ac:dyDescent="0.2">
      <c r="C171" s="147"/>
      <c r="H171" s="306">
        <f>+SHIPS!B185</f>
        <v>41548</v>
      </c>
      <c r="I171" s="284">
        <f t="shared" si="3"/>
        <v>485186.57090833335</v>
      </c>
      <c r="J171" s="303"/>
      <c r="K171" s="304"/>
      <c r="L171" s="304"/>
      <c r="M171" s="157"/>
      <c r="N171" s="158"/>
    </row>
    <row r="172" spans="3:14" x14ac:dyDescent="0.2">
      <c r="C172" s="147"/>
      <c r="H172" s="306">
        <f>+SHIPS!B186</f>
        <v>41579</v>
      </c>
      <c r="I172" s="284">
        <f t="shared" si="3"/>
        <v>485186.57090833335</v>
      </c>
      <c r="J172" s="303"/>
      <c r="K172" s="304"/>
      <c r="L172" s="304"/>
      <c r="M172" s="157"/>
      <c r="N172" s="158"/>
    </row>
    <row r="173" spans="3:14" x14ac:dyDescent="0.2">
      <c r="C173" s="147"/>
      <c r="H173" s="306">
        <f>+SHIPS!B187</f>
        <v>41609</v>
      </c>
      <c r="I173" s="284">
        <f t="shared" si="3"/>
        <v>485186.57090833335</v>
      </c>
      <c r="J173" s="303"/>
      <c r="K173" s="304"/>
      <c r="L173" s="304"/>
      <c r="M173" s="157"/>
      <c r="N173" s="158"/>
    </row>
    <row r="174" spans="3:14" x14ac:dyDescent="0.2">
      <c r="C174" s="147"/>
      <c r="H174" s="306">
        <f>+SHIPS!B188</f>
        <v>41640</v>
      </c>
      <c r="I174" s="284">
        <f t="shared" si="3"/>
        <v>485186.57090833335</v>
      </c>
      <c r="J174" s="303"/>
      <c r="K174" s="304"/>
      <c r="L174" s="304"/>
      <c r="M174" s="157"/>
      <c r="N174" s="158"/>
    </row>
    <row r="175" spans="3:14" x14ac:dyDescent="0.2">
      <c r="C175" s="147"/>
      <c r="H175" s="306">
        <f>+SHIPS!B189</f>
        <v>41671</v>
      </c>
      <c r="I175" s="284">
        <f t="shared" si="3"/>
        <v>485186.57090833335</v>
      </c>
      <c r="J175" s="303"/>
      <c r="K175" s="304"/>
      <c r="L175" s="304"/>
      <c r="M175" s="157"/>
      <c r="N175" s="158"/>
    </row>
    <row r="176" spans="3:14" x14ac:dyDescent="0.2">
      <c r="C176" s="147"/>
      <c r="H176" s="306">
        <f>+SHIPS!B190</f>
        <v>41699</v>
      </c>
      <c r="I176" s="284">
        <f t="shared" si="3"/>
        <v>485186.57090833335</v>
      </c>
      <c r="J176" s="303"/>
      <c r="K176" s="304"/>
      <c r="L176" s="304"/>
      <c r="M176" s="157"/>
      <c r="N176" s="158"/>
    </row>
    <row r="177" spans="3:14" x14ac:dyDescent="0.2">
      <c r="C177" s="147"/>
      <c r="H177" s="306">
        <f>+SHIPS!B191</f>
        <v>41730</v>
      </c>
      <c r="I177" s="284">
        <f t="shared" si="3"/>
        <v>485186.57090833335</v>
      </c>
      <c r="J177" s="303"/>
      <c r="K177" s="304"/>
      <c r="L177" s="304"/>
      <c r="M177" s="157"/>
      <c r="N177" s="158"/>
    </row>
    <row r="178" spans="3:14" x14ac:dyDescent="0.2">
      <c r="C178" s="147"/>
      <c r="H178" s="306">
        <f>+SHIPS!B192</f>
        <v>41760</v>
      </c>
      <c r="I178" s="284">
        <f t="shared" si="3"/>
        <v>485186.57090833335</v>
      </c>
      <c r="J178" s="303"/>
      <c r="K178" s="304"/>
      <c r="L178" s="304"/>
      <c r="M178" s="157"/>
      <c r="N178" s="158"/>
    </row>
    <row r="179" spans="3:14" x14ac:dyDescent="0.2">
      <c r="C179" s="147"/>
      <c r="H179" s="306">
        <f>+SHIPS!B193</f>
        <v>41791</v>
      </c>
      <c r="I179" s="284">
        <f t="shared" si="3"/>
        <v>485186.57090833335</v>
      </c>
      <c r="J179" s="303"/>
      <c r="K179" s="304"/>
      <c r="L179" s="304"/>
      <c r="M179" s="157"/>
      <c r="N179" s="158"/>
    </row>
    <row r="180" spans="3:14" x14ac:dyDescent="0.2">
      <c r="C180" s="147"/>
      <c r="H180" s="306">
        <f>+SHIPS!B194</f>
        <v>41821</v>
      </c>
      <c r="I180" s="284">
        <f t="shared" si="3"/>
        <v>485186.57090833335</v>
      </c>
      <c r="J180" s="303"/>
      <c r="K180" s="304"/>
      <c r="L180" s="304"/>
      <c r="M180" s="157"/>
      <c r="N180" s="158"/>
    </row>
    <row r="181" spans="3:14" x14ac:dyDescent="0.2">
      <c r="C181" s="147"/>
      <c r="H181" s="306">
        <f>+SHIPS!B195</f>
        <v>41852</v>
      </c>
      <c r="I181" s="284">
        <f t="shared" si="3"/>
        <v>485186.57090833335</v>
      </c>
      <c r="J181" s="303"/>
      <c r="K181" s="304"/>
      <c r="L181" s="304"/>
      <c r="M181" s="157"/>
      <c r="N181" s="158"/>
    </row>
    <row r="182" spans="3:14" x14ac:dyDescent="0.2">
      <c r="C182" s="147"/>
      <c r="H182" s="306">
        <f>+SHIPS!B196</f>
        <v>41883</v>
      </c>
      <c r="I182" s="284">
        <f t="shared" si="3"/>
        <v>485186.57090833335</v>
      </c>
      <c r="J182" s="303"/>
      <c r="K182" s="304"/>
      <c r="L182" s="304"/>
      <c r="M182" s="157"/>
      <c r="N182" s="158"/>
    </row>
    <row r="183" spans="3:14" x14ac:dyDescent="0.2">
      <c r="C183" s="147"/>
      <c r="H183" s="306">
        <f>+SHIPS!B197</f>
        <v>41913</v>
      </c>
      <c r="I183" s="284">
        <f t="shared" si="3"/>
        <v>485186.57090833335</v>
      </c>
      <c r="J183" s="303"/>
      <c r="K183" s="304"/>
      <c r="L183" s="304"/>
      <c r="M183" s="157"/>
      <c r="N183" s="158"/>
    </row>
    <row r="184" spans="3:14" x14ac:dyDescent="0.2">
      <c r="C184" s="147"/>
      <c r="H184" s="306">
        <f>+SHIPS!B198</f>
        <v>41944</v>
      </c>
      <c r="I184" s="284">
        <f t="shared" si="3"/>
        <v>485186.57090833335</v>
      </c>
      <c r="J184" s="303"/>
      <c r="K184" s="304"/>
      <c r="L184" s="304"/>
      <c r="M184" s="157"/>
      <c r="N184" s="158"/>
    </row>
    <row r="185" spans="3:14" x14ac:dyDescent="0.2">
      <c r="C185" s="147"/>
      <c r="H185" s="306">
        <f>+SHIPS!B199</f>
        <v>41974</v>
      </c>
      <c r="I185" s="284">
        <f t="shared" si="3"/>
        <v>485186.57090833335</v>
      </c>
      <c r="J185" s="303"/>
      <c r="K185" s="304"/>
      <c r="L185" s="304"/>
      <c r="M185" s="157"/>
      <c r="N185" s="158"/>
    </row>
    <row r="186" spans="3:14" x14ac:dyDescent="0.2">
      <c r="C186" s="147"/>
      <c r="H186" s="306">
        <f>+SHIPS!B200</f>
        <v>42005</v>
      </c>
      <c r="I186" s="284">
        <f t="shared" si="3"/>
        <v>485186.57090833335</v>
      </c>
      <c r="J186" s="303"/>
      <c r="K186" s="304"/>
      <c r="L186" s="304"/>
      <c r="M186" s="157"/>
      <c r="N186" s="158"/>
    </row>
    <row r="187" spans="3:14" x14ac:dyDescent="0.2">
      <c r="C187" s="147"/>
      <c r="H187" s="306">
        <f>+SHIPS!B201</f>
        <v>42036</v>
      </c>
      <c r="I187" s="284">
        <f t="shared" si="3"/>
        <v>485186.57090833335</v>
      </c>
      <c r="J187" s="303"/>
      <c r="K187" s="304"/>
      <c r="L187" s="304"/>
      <c r="M187" s="157"/>
      <c r="N187" s="158"/>
    </row>
    <row r="188" spans="3:14" x14ac:dyDescent="0.2">
      <c r="C188" s="147"/>
      <c r="H188" s="306">
        <f>+SHIPS!B202</f>
        <v>42064</v>
      </c>
      <c r="I188" s="284">
        <f t="shared" si="3"/>
        <v>485186.57090833335</v>
      </c>
      <c r="J188" s="303"/>
      <c r="K188" s="304"/>
      <c r="L188" s="304"/>
      <c r="M188" s="157"/>
      <c r="N188" s="158"/>
    </row>
    <row r="189" spans="3:14" x14ac:dyDescent="0.2">
      <c r="C189" s="147"/>
      <c r="H189" s="306">
        <f>+SHIPS!B203</f>
        <v>42095</v>
      </c>
      <c r="I189" s="284">
        <f t="shared" si="3"/>
        <v>485186.57090833335</v>
      </c>
      <c r="J189" s="303"/>
      <c r="K189" s="304"/>
      <c r="L189" s="304"/>
      <c r="M189" s="157"/>
      <c r="N189" s="158"/>
    </row>
    <row r="190" spans="3:14" x14ac:dyDescent="0.2">
      <c r="C190" s="147"/>
      <c r="H190" s="306">
        <f>+SHIPS!B204</f>
        <v>42125</v>
      </c>
      <c r="I190" s="284">
        <f t="shared" si="3"/>
        <v>485186.57090833335</v>
      </c>
      <c r="J190" s="303"/>
      <c r="K190" s="304"/>
      <c r="L190" s="304"/>
      <c r="M190" s="157"/>
      <c r="N190" s="158"/>
    </row>
    <row r="191" spans="3:14" x14ac:dyDescent="0.2">
      <c r="C191" s="147"/>
      <c r="H191" s="306">
        <f>+SHIPS!B205</f>
        <v>42156</v>
      </c>
      <c r="I191" s="284">
        <f t="shared" si="3"/>
        <v>485186.57090833335</v>
      </c>
      <c r="J191" s="303"/>
      <c r="K191" s="304"/>
      <c r="L191" s="304"/>
      <c r="M191" s="157"/>
      <c r="N191" s="158"/>
    </row>
    <row r="192" spans="3:14" x14ac:dyDescent="0.2">
      <c r="C192" s="147"/>
      <c r="H192" s="306">
        <f>+SHIPS!B206</f>
        <v>42186</v>
      </c>
      <c r="I192" s="284">
        <f t="shared" si="3"/>
        <v>485186.57090833335</v>
      </c>
      <c r="J192" s="303"/>
      <c r="K192" s="304"/>
      <c r="L192" s="304"/>
      <c r="M192" s="157"/>
      <c r="N192" s="158"/>
    </row>
    <row r="193" spans="3:14" x14ac:dyDescent="0.2">
      <c r="C193" s="147"/>
      <c r="H193" s="306">
        <f>+SHIPS!B207</f>
        <v>42217</v>
      </c>
      <c r="I193" s="284">
        <f t="shared" si="3"/>
        <v>485186.57090833335</v>
      </c>
      <c r="J193" s="303"/>
      <c r="K193" s="304"/>
      <c r="L193" s="304"/>
      <c r="M193" s="157"/>
      <c r="N193" s="158"/>
    </row>
    <row r="194" spans="3:14" x14ac:dyDescent="0.2">
      <c r="C194" s="147"/>
      <c r="H194" s="306">
        <f>+SHIPS!B208</f>
        <v>42248</v>
      </c>
      <c r="I194" s="284">
        <f t="shared" si="3"/>
        <v>485186.57090833335</v>
      </c>
      <c r="J194" s="303"/>
      <c r="K194" s="304"/>
      <c r="L194" s="304"/>
      <c r="M194" s="157"/>
      <c r="N194" s="158"/>
    </row>
    <row r="195" spans="3:14" x14ac:dyDescent="0.2">
      <c r="C195" s="147"/>
      <c r="H195" s="306">
        <f>+SHIPS!B209</f>
        <v>42278</v>
      </c>
      <c r="I195" s="284">
        <f t="shared" si="3"/>
        <v>485186.57090833335</v>
      </c>
      <c r="J195" s="303"/>
      <c r="K195" s="304"/>
      <c r="L195" s="304"/>
      <c r="M195" s="157"/>
      <c r="N195" s="158"/>
    </row>
    <row r="196" spans="3:14" x14ac:dyDescent="0.2">
      <c r="C196" s="147"/>
      <c r="H196" s="306">
        <f>+SHIPS!B210</f>
        <v>42309</v>
      </c>
      <c r="I196" s="284">
        <f t="shared" si="3"/>
        <v>485186.57090833335</v>
      </c>
      <c r="J196" s="303"/>
      <c r="K196" s="304"/>
      <c r="L196" s="304"/>
      <c r="M196" s="157"/>
      <c r="N196" s="158"/>
    </row>
    <row r="197" spans="3:14" x14ac:dyDescent="0.2">
      <c r="C197" s="147"/>
      <c r="H197" s="306">
        <f>+SHIPS!B211</f>
        <v>42339</v>
      </c>
      <c r="I197" s="284">
        <f t="shared" si="3"/>
        <v>485186.57090833335</v>
      </c>
      <c r="J197" s="303"/>
      <c r="K197" s="304"/>
      <c r="L197" s="304"/>
      <c r="M197" s="157"/>
      <c r="N197" s="158"/>
    </row>
    <row r="198" spans="3:14" x14ac:dyDescent="0.2">
      <c r="C198" s="147"/>
      <c r="H198" s="306">
        <f>+SHIPS!B212</f>
        <v>42370</v>
      </c>
      <c r="I198" s="284">
        <f t="shared" si="3"/>
        <v>485186.57090833335</v>
      </c>
      <c r="J198" s="303"/>
      <c r="K198" s="304"/>
      <c r="L198" s="304"/>
      <c r="M198" s="157"/>
      <c r="N198" s="158"/>
    </row>
    <row r="199" spans="3:14" x14ac:dyDescent="0.2">
      <c r="C199" s="147"/>
      <c r="H199" s="306">
        <f>+SHIPS!B213</f>
        <v>42401</v>
      </c>
      <c r="I199" s="284">
        <f t="shared" si="3"/>
        <v>485186.57090833335</v>
      </c>
      <c r="J199" s="303"/>
      <c r="K199" s="304"/>
      <c r="L199" s="304"/>
      <c r="M199" s="157"/>
      <c r="N199" s="158"/>
    </row>
    <row r="200" spans="3:14" x14ac:dyDescent="0.2">
      <c r="C200" s="147"/>
      <c r="H200" s="306">
        <f>+SHIPS!B214</f>
        <v>42430</v>
      </c>
      <c r="I200" s="284">
        <f t="shared" si="3"/>
        <v>485186.57090833335</v>
      </c>
      <c r="J200" s="303"/>
      <c r="K200" s="304"/>
      <c r="L200" s="304"/>
      <c r="M200" s="157"/>
      <c r="N200" s="158"/>
    </row>
    <row r="201" spans="3:14" x14ac:dyDescent="0.2">
      <c r="C201" s="147"/>
      <c r="H201" s="306">
        <f>+SHIPS!B215</f>
        <v>42461</v>
      </c>
      <c r="I201" s="284">
        <f t="shared" si="3"/>
        <v>485186.57090833335</v>
      </c>
      <c r="J201" s="303"/>
      <c r="K201" s="304"/>
      <c r="L201" s="304"/>
      <c r="M201" s="157"/>
      <c r="N201" s="158"/>
    </row>
    <row r="202" spans="3:14" x14ac:dyDescent="0.2">
      <c r="C202" s="147"/>
      <c r="H202" s="306">
        <f>+SHIPS!B216</f>
        <v>42491</v>
      </c>
      <c r="I202" s="284">
        <f t="shared" si="3"/>
        <v>485186.57090833335</v>
      </c>
      <c r="J202" s="303"/>
      <c r="K202" s="304"/>
      <c r="L202" s="304"/>
      <c r="M202" s="157"/>
      <c r="N202" s="158"/>
    </row>
    <row r="203" spans="3:14" x14ac:dyDescent="0.2">
      <c r="C203" s="147"/>
      <c r="H203" s="306">
        <f>+SHIPS!B217</f>
        <v>42522</v>
      </c>
      <c r="I203" s="284">
        <f t="shared" si="3"/>
        <v>485186.57090833335</v>
      </c>
      <c r="J203" s="303"/>
      <c r="K203" s="304"/>
      <c r="L203" s="304"/>
      <c r="M203" s="157"/>
      <c r="N203" s="158"/>
    </row>
    <row r="204" spans="3:14" x14ac:dyDescent="0.2">
      <c r="C204" s="147"/>
      <c r="H204" s="306">
        <f>+SHIPS!B218</f>
        <v>42552</v>
      </c>
      <c r="I204" s="284">
        <f t="shared" si="3"/>
        <v>485186.57090833335</v>
      </c>
      <c r="J204" s="303"/>
      <c r="K204" s="304"/>
      <c r="L204" s="304"/>
      <c r="M204" s="157"/>
      <c r="N204" s="158"/>
    </row>
    <row r="205" spans="3:14" x14ac:dyDescent="0.2">
      <c r="C205" s="147"/>
      <c r="H205" s="306">
        <f>+SHIPS!B219</f>
        <v>42583</v>
      </c>
      <c r="I205" s="284">
        <f t="shared" si="3"/>
        <v>485186.57090833335</v>
      </c>
      <c r="J205" s="303"/>
      <c r="K205" s="304"/>
      <c r="L205" s="304"/>
      <c r="M205" s="157"/>
      <c r="N205" s="158"/>
    </row>
    <row r="206" spans="3:14" x14ac:dyDescent="0.2">
      <c r="C206" s="147"/>
      <c r="H206" s="306">
        <f>+SHIPS!B220</f>
        <v>42614</v>
      </c>
      <c r="I206" s="284">
        <f t="shared" si="3"/>
        <v>485186.57090833335</v>
      </c>
      <c r="J206" s="303"/>
      <c r="K206" s="304"/>
      <c r="L206" s="304"/>
      <c r="M206" s="157"/>
      <c r="N206" s="158"/>
    </row>
    <row r="207" spans="3:14" x14ac:dyDescent="0.2">
      <c r="C207" s="147"/>
      <c r="H207" s="306">
        <f>+SHIPS!B221</f>
        <v>42644</v>
      </c>
      <c r="I207" s="284">
        <f t="shared" si="3"/>
        <v>485186.57090833335</v>
      </c>
      <c r="J207" s="303"/>
      <c r="K207" s="304"/>
      <c r="L207" s="304"/>
      <c r="M207" s="157"/>
      <c r="N207" s="158"/>
    </row>
    <row r="208" spans="3:14" x14ac:dyDescent="0.2">
      <c r="C208" s="147"/>
      <c r="H208" s="306">
        <f>+SHIPS!B222</f>
        <v>42675</v>
      </c>
      <c r="I208" s="284">
        <f t="shared" si="3"/>
        <v>485186.57090833335</v>
      </c>
      <c r="J208" s="303"/>
      <c r="K208" s="304"/>
      <c r="L208" s="304"/>
      <c r="M208" s="157"/>
      <c r="N208" s="158"/>
    </row>
    <row r="209" spans="3:14" x14ac:dyDescent="0.2">
      <c r="C209" s="147"/>
      <c r="H209" s="306">
        <f>+SHIPS!B223</f>
        <v>42705</v>
      </c>
      <c r="I209" s="284">
        <f t="shared" si="3"/>
        <v>485186.57090833335</v>
      </c>
      <c r="J209" s="303"/>
      <c r="K209" s="304"/>
      <c r="L209" s="304"/>
      <c r="M209" s="157"/>
      <c r="N209" s="158"/>
    </row>
    <row r="210" spans="3:14" x14ac:dyDescent="0.2">
      <c r="C210" s="147"/>
      <c r="H210" s="306">
        <f>+SHIPS!B224</f>
        <v>42736</v>
      </c>
      <c r="I210" s="284">
        <f t="shared" ref="I210:I273" si="4">+I209</f>
        <v>485186.57090833335</v>
      </c>
      <c r="J210" s="303"/>
      <c r="K210" s="304"/>
      <c r="L210" s="304"/>
      <c r="M210" s="157"/>
      <c r="N210" s="158"/>
    </row>
    <row r="211" spans="3:14" x14ac:dyDescent="0.2">
      <c r="C211" s="147"/>
      <c r="H211" s="306">
        <f>+SHIPS!B225</f>
        <v>42767</v>
      </c>
      <c r="I211" s="284">
        <f t="shared" si="4"/>
        <v>485186.57090833335</v>
      </c>
      <c r="J211" s="303"/>
      <c r="K211" s="304"/>
      <c r="L211" s="304"/>
      <c r="M211" s="157"/>
      <c r="N211" s="158"/>
    </row>
    <row r="212" spans="3:14" x14ac:dyDescent="0.2">
      <c r="C212" s="147"/>
      <c r="H212" s="306">
        <f>+SHIPS!B226</f>
        <v>42795</v>
      </c>
      <c r="I212" s="284">
        <f t="shared" si="4"/>
        <v>485186.57090833335</v>
      </c>
      <c r="J212" s="303"/>
      <c r="K212" s="304"/>
      <c r="L212" s="304"/>
      <c r="M212" s="157"/>
      <c r="N212" s="158"/>
    </row>
    <row r="213" spans="3:14" x14ac:dyDescent="0.2">
      <c r="C213" s="147"/>
      <c r="H213" s="306">
        <f>+SHIPS!B227</f>
        <v>42826</v>
      </c>
      <c r="I213" s="284">
        <f t="shared" si="4"/>
        <v>485186.57090833335</v>
      </c>
      <c r="J213" s="303"/>
      <c r="K213" s="304"/>
      <c r="L213" s="304"/>
      <c r="M213" s="157"/>
      <c r="N213" s="158"/>
    </row>
    <row r="214" spans="3:14" x14ac:dyDescent="0.2">
      <c r="C214" s="147"/>
      <c r="H214" s="306">
        <f>+SHIPS!B228</f>
        <v>42856</v>
      </c>
      <c r="I214" s="284">
        <f t="shared" si="4"/>
        <v>485186.57090833335</v>
      </c>
      <c r="J214" s="303"/>
      <c r="K214" s="304"/>
      <c r="L214" s="304"/>
      <c r="M214" s="157"/>
      <c r="N214" s="158"/>
    </row>
    <row r="215" spans="3:14" x14ac:dyDescent="0.2">
      <c r="C215" s="147"/>
      <c r="H215" s="306">
        <f>+SHIPS!B229</f>
        <v>42887</v>
      </c>
      <c r="I215" s="284">
        <f t="shared" si="4"/>
        <v>485186.57090833335</v>
      </c>
      <c r="J215" s="303"/>
      <c r="K215" s="304"/>
      <c r="L215" s="304"/>
      <c r="M215" s="157"/>
      <c r="N215" s="158"/>
    </row>
    <row r="216" spans="3:14" x14ac:dyDescent="0.2">
      <c r="C216" s="147"/>
      <c r="H216" s="306">
        <f>+SHIPS!B230</f>
        <v>42917</v>
      </c>
      <c r="I216" s="284">
        <f t="shared" si="4"/>
        <v>485186.57090833335</v>
      </c>
      <c r="J216" s="157"/>
      <c r="K216" s="157"/>
      <c r="L216" s="157"/>
      <c r="M216" s="157"/>
      <c r="N216" s="158"/>
    </row>
    <row r="217" spans="3:14" x14ac:dyDescent="0.2">
      <c r="C217" s="147"/>
      <c r="H217" s="306">
        <f>+SHIPS!B231</f>
        <v>42948</v>
      </c>
      <c r="I217" s="284">
        <f t="shared" si="4"/>
        <v>485186.57090833335</v>
      </c>
      <c r="J217" s="157"/>
      <c r="K217" s="157"/>
      <c r="L217" s="157"/>
      <c r="M217" s="157"/>
      <c r="N217" s="158"/>
    </row>
    <row r="218" spans="3:14" x14ac:dyDescent="0.2">
      <c r="C218" s="147"/>
      <c r="H218" s="306">
        <f>+SHIPS!B232</f>
        <v>42979</v>
      </c>
      <c r="I218" s="284">
        <f t="shared" si="4"/>
        <v>485186.57090833335</v>
      </c>
      <c r="J218" s="157"/>
      <c r="K218" s="157"/>
      <c r="L218" s="157"/>
      <c r="M218" s="157"/>
      <c r="N218" s="158"/>
    </row>
    <row r="219" spans="3:14" x14ac:dyDescent="0.2">
      <c r="C219" s="147"/>
      <c r="H219" s="306">
        <f>+SHIPS!B233</f>
        <v>43009</v>
      </c>
      <c r="I219" s="284">
        <f t="shared" si="4"/>
        <v>485186.57090833335</v>
      </c>
      <c r="J219" s="157"/>
      <c r="K219" s="157"/>
      <c r="L219" s="157"/>
      <c r="M219" s="157"/>
      <c r="N219" s="158"/>
    </row>
    <row r="220" spans="3:14" x14ac:dyDescent="0.2">
      <c r="C220" s="147"/>
      <c r="H220" s="306">
        <f>+SHIPS!B234</f>
        <v>43040</v>
      </c>
      <c r="I220" s="284">
        <f t="shared" si="4"/>
        <v>485186.57090833335</v>
      </c>
      <c r="J220" s="157"/>
      <c r="K220" s="157"/>
      <c r="L220" s="157"/>
      <c r="M220" s="157"/>
      <c r="N220" s="158"/>
    </row>
    <row r="221" spans="3:14" x14ac:dyDescent="0.2">
      <c r="C221" s="147"/>
      <c r="H221" s="306">
        <f>+SHIPS!B235</f>
        <v>43070</v>
      </c>
      <c r="I221" s="284">
        <f t="shared" si="4"/>
        <v>485186.57090833335</v>
      </c>
      <c r="J221" s="157"/>
      <c r="K221" s="157"/>
      <c r="L221" s="157"/>
      <c r="M221" s="157"/>
      <c r="N221" s="158"/>
    </row>
    <row r="222" spans="3:14" x14ac:dyDescent="0.2">
      <c r="C222" s="147"/>
      <c r="H222" s="306">
        <f>+SHIPS!B236</f>
        <v>43101</v>
      </c>
      <c r="I222" s="284">
        <f t="shared" si="4"/>
        <v>485186.57090833335</v>
      </c>
      <c r="J222" s="157"/>
      <c r="K222" s="157"/>
      <c r="L222" s="157"/>
      <c r="M222" s="157"/>
      <c r="N222" s="158"/>
    </row>
    <row r="223" spans="3:14" x14ac:dyDescent="0.2">
      <c r="C223" s="147"/>
      <c r="H223" s="306">
        <f>+SHIPS!B237</f>
        <v>43132</v>
      </c>
      <c r="I223" s="284">
        <f t="shared" si="4"/>
        <v>485186.57090833335</v>
      </c>
      <c r="J223" s="157"/>
      <c r="K223" s="157"/>
      <c r="L223" s="157"/>
      <c r="M223" s="157"/>
      <c r="N223" s="158"/>
    </row>
    <row r="224" spans="3:14" x14ac:dyDescent="0.2">
      <c r="C224" s="147"/>
      <c r="H224" s="306">
        <f>+SHIPS!B238</f>
        <v>43160</v>
      </c>
      <c r="I224" s="284">
        <f t="shared" si="4"/>
        <v>485186.57090833335</v>
      </c>
      <c r="J224" s="157"/>
      <c r="K224" s="157"/>
      <c r="L224" s="157"/>
      <c r="M224" s="157"/>
      <c r="N224" s="158"/>
    </row>
    <row r="225" spans="3:14" x14ac:dyDescent="0.2">
      <c r="C225" s="147"/>
      <c r="H225" s="306">
        <f>+SHIPS!B239</f>
        <v>43191</v>
      </c>
      <c r="I225" s="284">
        <f t="shared" si="4"/>
        <v>485186.57090833335</v>
      </c>
      <c r="J225" s="157"/>
      <c r="K225" s="157"/>
      <c r="L225" s="157"/>
      <c r="M225" s="157"/>
      <c r="N225" s="158"/>
    </row>
    <row r="226" spans="3:14" x14ac:dyDescent="0.2">
      <c r="C226" s="147"/>
      <c r="H226" s="306">
        <f>+SHIPS!B240</f>
        <v>43221</v>
      </c>
      <c r="I226" s="284">
        <f t="shared" si="4"/>
        <v>485186.57090833335</v>
      </c>
      <c r="J226" s="157"/>
      <c r="K226" s="157"/>
      <c r="L226" s="157"/>
      <c r="M226" s="157"/>
      <c r="N226" s="158"/>
    </row>
    <row r="227" spans="3:14" x14ac:dyDescent="0.2">
      <c r="C227" s="147"/>
      <c r="H227" s="306">
        <f>+SHIPS!B241</f>
        <v>43252</v>
      </c>
      <c r="I227" s="284">
        <f t="shared" si="4"/>
        <v>485186.57090833335</v>
      </c>
      <c r="J227" s="157"/>
      <c r="K227" s="157"/>
      <c r="L227" s="157"/>
      <c r="M227" s="157"/>
      <c r="N227" s="158"/>
    </row>
    <row r="228" spans="3:14" x14ac:dyDescent="0.2">
      <c r="C228" s="147"/>
      <c r="H228" s="306">
        <f>+SHIPS!B242</f>
        <v>43282</v>
      </c>
      <c r="I228" s="284">
        <f t="shared" si="4"/>
        <v>485186.57090833335</v>
      </c>
      <c r="J228" s="157"/>
      <c r="K228" s="157"/>
      <c r="L228" s="157"/>
      <c r="M228" s="157"/>
      <c r="N228" s="158"/>
    </row>
    <row r="229" spans="3:14" x14ac:dyDescent="0.2">
      <c r="C229" s="147"/>
      <c r="H229" s="306">
        <f>+SHIPS!B243</f>
        <v>43313</v>
      </c>
      <c r="I229" s="284">
        <f t="shared" si="4"/>
        <v>485186.57090833335</v>
      </c>
      <c r="J229" s="157"/>
      <c r="K229" s="157"/>
      <c r="L229" s="157"/>
      <c r="M229" s="157"/>
      <c r="N229" s="158"/>
    </row>
    <row r="230" spans="3:14" x14ac:dyDescent="0.2">
      <c r="C230" s="147"/>
      <c r="H230" s="306">
        <f>+SHIPS!B244</f>
        <v>43344</v>
      </c>
      <c r="I230" s="284">
        <f t="shared" si="4"/>
        <v>485186.57090833335</v>
      </c>
      <c r="J230" s="157"/>
      <c r="K230" s="157"/>
      <c r="L230" s="157"/>
      <c r="M230" s="157"/>
      <c r="N230" s="158"/>
    </row>
    <row r="231" spans="3:14" x14ac:dyDescent="0.2">
      <c r="C231" s="147"/>
      <c r="H231" s="306">
        <f>+SHIPS!B245</f>
        <v>43374</v>
      </c>
      <c r="I231" s="284">
        <f t="shared" si="4"/>
        <v>485186.57090833335</v>
      </c>
      <c r="J231" s="157"/>
      <c r="K231" s="157"/>
      <c r="L231" s="157"/>
      <c r="M231" s="157"/>
      <c r="N231" s="158"/>
    </row>
    <row r="232" spans="3:14" x14ac:dyDescent="0.2">
      <c r="C232" s="147"/>
      <c r="H232" s="306">
        <f>+SHIPS!B246</f>
        <v>43405</v>
      </c>
      <c r="I232" s="284">
        <f t="shared" si="4"/>
        <v>485186.57090833335</v>
      </c>
      <c r="J232" s="157"/>
      <c r="K232" s="157"/>
      <c r="L232" s="157"/>
      <c r="M232" s="157"/>
      <c r="N232" s="158"/>
    </row>
    <row r="233" spans="3:14" x14ac:dyDescent="0.2">
      <c r="C233" s="147"/>
      <c r="H233" s="306">
        <f>+SHIPS!B247</f>
        <v>43435</v>
      </c>
      <c r="I233" s="284">
        <f t="shared" si="4"/>
        <v>485186.57090833335</v>
      </c>
      <c r="J233" s="157"/>
      <c r="K233" s="157"/>
      <c r="L233" s="157"/>
      <c r="M233" s="157"/>
      <c r="N233" s="158"/>
    </row>
    <row r="234" spans="3:14" x14ac:dyDescent="0.2">
      <c r="C234" s="147"/>
      <c r="H234" s="306">
        <f>+SHIPS!B248</f>
        <v>43466</v>
      </c>
      <c r="I234" s="284">
        <f t="shared" si="4"/>
        <v>485186.57090833335</v>
      </c>
      <c r="J234" s="157"/>
      <c r="K234" s="157"/>
      <c r="L234" s="157"/>
      <c r="M234" s="157"/>
      <c r="N234" s="158"/>
    </row>
    <row r="235" spans="3:14" x14ac:dyDescent="0.2">
      <c r="C235" s="147"/>
      <c r="H235" s="306">
        <f>+SHIPS!B249</f>
        <v>43497</v>
      </c>
      <c r="I235" s="284">
        <f t="shared" si="4"/>
        <v>485186.57090833335</v>
      </c>
      <c r="J235" s="157"/>
      <c r="K235" s="157"/>
      <c r="L235" s="157"/>
      <c r="M235" s="157"/>
      <c r="N235" s="158"/>
    </row>
    <row r="236" spans="3:14" x14ac:dyDescent="0.2">
      <c r="C236" s="147"/>
      <c r="H236" s="306">
        <f>+SHIPS!B250</f>
        <v>43525</v>
      </c>
      <c r="I236" s="284">
        <f t="shared" si="4"/>
        <v>485186.57090833335</v>
      </c>
      <c r="J236" s="157"/>
      <c r="K236" s="157"/>
      <c r="L236" s="157"/>
      <c r="M236" s="157"/>
      <c r="N236" s="158"/>
    </row>
    <row r="237" spans="3:14" x14ac:dyDescent="0.2">
      <c r="C237" s="147"/>
      <c r="H237" s="306">
        <f>+SHIPS!B251</f>
        <v>43556</v>
      </c>
      <c r="I237" s="284">
        <v>0</v>
      </c>
      <c r="J237" s="157"/>
      <c r="K237" s="157"/>
      <c r="L237" s="157"/>
      <c r="M237" s="157"/>
      <c r="N237" s="158"/>
    </row>
    <row r="238" spans="3:14" x14ac:dyDescent="0.2">
      <c r="C238" s="147"/>
      <c r="H238" s="306">
        <f>+SHIPS!B252</f>
        <v>43586</v>
      </c>
      <c r="I238" s="284">
        <f t="shared" si="4"/>
        <v>0</v>
      </c>
      <c r="J238" s="157"/>
      <c r="K238" s="157"/>
      <c r="L238" s="157"/>
      <c r="M238" s="157"/>
      <c r="N238" s="158"/>
    </row>
    <row r="239" spans="3:14" x14ac:dyDescent="0.2">
      <c r="C239" s="147"/>
      <c r="H239" s="306">
        <f>+SHIPS!B253</f>
        <v>43617</v>
      </c>
      <c r="I239" s="284">
        <f t="shared" si="4"/>
        <v>0</v>
      </c>
      <c r="J239" s="157"/>
      <c r="K239" s="157"/>
      <c r="L239" s="157"/>
      <c r="M239" s="157"/>
      <c r="N239" s="158"/>
    </row>
    <row r="240" spans="3:14" x14ac:dyDescent="0.2">
      <c r="C240" s="147"/>
      <c r="H240" s="306">
        <f>+SHIPS!B254</f>
        <v>43647</v>
      </c>
      <c r="I240" s="284">
        <f t="shared" si="4"/>
        <v>0</v>
      </c>
      <c r="J240" s="157"/>
      <c r="K240" s="157"/>
      <c r="L240" s="157"/>
      <c r="M240" s="157"/>
      <c r="N240" s="158"/>
    </row>
    <row r="241" spans="3:14" x14ac:dyDescent="0.2">
      <c r="C241" s="147"/>
      <c r="H241" s="306">
        <f>+SHIPS!B255</f>
        <v>43678</v>
      </c>
      <c r="I241" s="284">
        <f t="shared" si="4"/>
        <v>0</v>
      </c>
      <c r="J241" s="157"/>
      <c r="K241" s="157"/>
      <c r="L241" s="157"/>
      <c r="M241" s="157"/>
      <c r="N241" s="158"/>
    </row>
    <row r="242" spans="3:14" x14ac:dyDescent="0.2">
      <c r="C242" s="147"/>
      <c r="H242" s="306">
        <f>+SHIPS!B256</f>
        <v>43709</v>
      </c>
      <c r="I242" s="284">
        <f t="shared" si="4"/>
        <v>0</v>
      </c>
      <c r="J242" s="157"/>
      <c r="K242" s="157"/>
      <c r="L242" s="157"/>
      <c r="M242" s="157"/>
      <c r="N242" s="158"/>
    </row>
    <row r="243" spans="3:14" x14ac:dyDescent="0.2">
      <c r="C243" s="147"/>
      <c r="H243" s="306">
        <f>+SHIPS!B257</f>
        <v>43739</v>
      </c>
      <c r="I243" s="284">
        <f t="shared" si="4"/>
        <v>0</v>
      </c>
      <c r="J243" s="157"/>
      <c r="K243" s="157"/>
      <c r="L243" s="157"/>
      <c r="M243" s="157"/>
      <c r="N243" s="158"/>
    </row>
    <row r="244" spans="3:14" x14ac:dyDescent="0.2">
      <c r="C244" s="147"/>
      <c r="H244" s="306">
        <f>+SHIPS!B258</f>
        <v>43770</v>
      </c>
      <c r="I244" s="284">
        <f t="shared" si="4"/>
        <v>0</v>
      </c>
      <c r="J244" s="157"/>
      <c r="K244" s="157"/>
      <c r="L244" s="157"/>
      <c r="M244" s="157"/>
      <c r="N244" s="158"/>
    </row>
    <row r="245" spans="3:14" x14ac:dyDescent="0.2">
      <c r="C245" s="147"/>
      <c r="H245" s="306">
        <f>+SHIPS!B259</f>
        <v>43800</v>
      </c>
      <c r="I245" s="284">
        <f t="shared" si="4"/>
        <v>0</v>
      </c>
      <c r="J245" s="157"/>
      <c r="K245" s="157"/>
      <c r="L245" s="157"/>
      <c r="M245" s="157"/>
      <c r="N245" s="158"/>
    </row>
    <row r="246" spans="3:14" x14ac:dyDescent="0.2">
      <c r="C246" s="147"/>
      <c r="H246" s="306">
        <f>+SHIPS!B260</f>
        <v>43831</v>
      </c>
      <c r="I246" s="284">
        <f t="shared" si="4"/>
        <v>0</v>
      </c>
      <c r="J246" s="157"/>
      <c r="K246" s="157"/>
      <c r="L246" s="157"/>
      <c r="M246" s="157"/>
      <c r="N246" s="158"/>
    </row>
    <row r="247" spans="3:14" x14ac:dyDescent="0.2">
      <c r="C247" s="147"/>
      <c r="H247" s="306">
        <f>+SHIPS!B261</f>
        <v>43862</v>
      </c>
      <c r="I247" s="284">
        <f t="shared" si="4"/>
        <v>0</v>
      </c>
      <c r="J247" s="157"/>
      <c r="K247" s="157"/>
      <c r="L247" s="157"/>
      <c r="M247" s="157"/>
      <c r="N247" s="158"/>
    </row>
    <row r="248" spans="3:14" x14ac:dyDescent="0.2">
      <c r="C248" s="147"/>
      <c r="H248" s="306">
        <f>+SHIPS!B262</f>
        <v>43891</v>
      </c>
      <c r="I248" s="284">
        <f t="shared" si="4"/>
        <v>0</v>
      </c>
      <c r="J248" s="157"/>
      <c r="K248" s="157"/>
      <c r="L248" s="157"/>
      <c r="M248" s="157"/>
      <c r="N248" s="158"/>
    </row>
    <row r="249" spans="3:14" x14ac:dyDescent="0.2">
      <c r="C249" s="147"/>
      <c r="H249" s="306">
        <f>+SHIPS!B263</f>
        <v>43922</v>
      </c>
      <c r="I249" s="284">
        <f t="shared" si="4"/>
        <v>0</v>
      </c>
      <c r="J249" s="157"/>
      <c r="K249" s="157"/>
      <c r="L249" s="157"/>
      <c r="M249" s="157"/>
      <c r="N249" s="158"/>
    </row>
    <row r="250" spans="3:14" x14ac:dyDescent="0.2">
      <c r="C250" s="147"/>
      <c r="H250" s="306">
        <f>+SHIPS!B264</f>
        <v>43952</v>
      </c>
      <c r="I250" s="284">
        <f t="shared" si="4"/>
        <v>0</v>
      </c>
      <c r="J250" s="157"/>
      <c r="K250" s="157"/>
      <c r="L250" s="157"/>
      <c r="M250" s="157"/>
      <c r="N250" s="158"/>
    </row>
    <row r="251" spans="3:14" x14ac:dyDescent="0.2">
      <c r="C251" s="147"/>
      <c r="H251" s="306">
        <f>+SHIPS!B265</f>
        <v>43983</v>
      </c>
      <c r="I251" s="284">
        <f t="shared" si="4"/>
        <v>0</v>
      </c>
      <c r="J251" s="157"/>
      <c r="K251" s="157"/>
      <c r="L251" s="157"/>
      <c r="M251" s="157"/>
      <c r="N251" s="158"/>
    </row>
    <row r="252" spans="3:14" x14ac:dyDescent="0.2">
      <c r="C252" s="147"/>
      <c r="H252" s="306">
        <f>+SHIPS!B266</f>
        <v>44013</v>
      </c>
      <c r="I252" s="284">
        <f t="shared" si="4"/>
        <v>0</v>
      </c>
      <c r="J252" s="157"/>
      <c r="K252" s="157"/>
      <c r="L252" s="157"/>
      <c r="M252" s="157"/>
      <c r="N252" s="158"/>
    </row>
    <row r="253" spans="3:14" x14ac:dyDescent="0.2">
      <c r="C253" s="147"/>
      <c r="H253" s="306">
        <f>+SHIPS!B267</f>
        <v>44044</v>
      </c>
      <c r="I253" s="284">
        <f t="shared" si="4"/>
        <v>0</v>
      </c>
      <c r="J253" s="157"/>
      <c r="K253" s="157"/>
      <c r="L253" s="157"/>
      <c r="M253" s="157"/>
      <c r="N253" s="158"/>
    </row>
    <row r="254" spans="3:14" x14ac:dyDescent="0.2">
      <c r="C254" s="147"/>
      <c r="H254" s="306">
        <f>+SHIPS!B268</f>
        <v>44075</v>
      </c>
      <c r="I254" s="284">
        <f t="shared" si="4"/>
        <v>0</v>
      </c>
      <c r="J254" s="157"/>
      <c r="K254" s="157"/>
      <c r="L254" s="157"/>
      <c r="M254" s="157"/>
      <c r="N254" s="158"/>
    </row>
    <row r="255" spans="3:14" x14ac:dyDescent="0.2">
      <c r="C255" s="147"/>
      <c r="H255" s="306">
        <f>+SHIPS!B269</f>
        <v>44105</v>
      </c>
      <c r="I255" s="284">
        <f t="shared" si="4"/>
        <v>0</v>
      </c>
      <c r="J255" s="157"/>
      <c r="K255" s="157"/>
      <c r="L255" s="157"/>
      <c r="M255" s="157"/>
      <c r="N255" s="158"/>
    </row>
    <row r="256" spans="3:14" x14ac:dyDescent="0.2">
      <c r="C256" s="147"/>
      <c r="H256" s="306">
        <f>+SHIPS!B270</f>
        <v>44136</v>
      </c>
      <c r="I256" s="284">
        <f t="shared" si="4"/>
        <v>0</v>
      </c>
      <c r="J256" s="157"/>
      <c r="K256" s="157"/>
      <c r="L256" s="157"/>
      <c r="M256" s="157"/>
      <c r="N256" s="158"/>
    </row>
    <row r="257" spans="3:14" x14ac:dyDescent="0.2">
      <c r="C257" s="147"/>
      <c r="H257" s="306">
        <f>+SHIPS!B271</f>
        <v>44166</v>
      </c>
      <c r="I257" s="284">
        <f t="shared" si="4"/>
        <v>0</v>
      </c>
      <c r="J257" s="157"/>
      <c r="K257" s="157"/>
      <c r="L257" s="157"/>
      <c r="M257" s="157"/>
      <c r="N257" s="158"/>
    </row>
    <row r="258" spans="3:14" x14ac:dyDescent="0.2">
      <c r="C258" s="147"/>
      <c r="H258" s="306">
        <f>+SHIPS!B272</f>
        <v>44197</v>
      </c>
      <c r="I258" s="284">
        <f t="shared" si="4"/>
        <v>0</v>
      </c>
      <c r="J258" s="157"/>
      <c r="K258" s="157"/>
      <c r="L258" s="157"/>
      <c r="M258" s="157"/>
      <c r="N258" s="158"/>
    </row>
    <row r="259" spans="3:14" x14ac:dyDescent="0.2">
      <c r="C259" s="147"/>
      <c r="H259" s="306">
        <f>+SHIPS!B273</f>
        <v>44228</v>
      </c>
      <c r="I259" s="284">
        <f t="shared" si="4"/>
        <v>0</v>
      </c>
      <c r="J259" s="157"/>
      <c r="K259" s="157"/>
      <c r="L259" s="157"/>
      <c r="M259" s="157"/>
      <c r="N259" s="158"/>
    </row>
    <row r="260" spans="3:14" x14ac:dyDescent="0.2">
      <c r="C260" s="147"/>
      <c r="H260" s="306">
        <f>+SHIPS!B274</f>
        <v>44256</v>
      </c>
      <c r="I260" s="284">
        <f t="shared" si="4"/>
        <v>0</v>
      </c>
      <c r="J260" s="157"/>
      <c r="K260" s="157"/>
      <c r="L260" s="157"/>
      <c r="M260" s="157"/>
      <c r="N260" s="158"/>
    </row>
    <row r="261" spans="3:14" x14ac:dyDescent="0.2">
      <c r="C261" s="147"/>
      <c r="H261" s="306">
        <f>+SHIPS!B275</f>
        <v>44287</v>
      </c>
      <c r="I261" s="284">
        <f t="shared" si="4"/>
        <v>0</v>
      </c>
      <c r="J261" s="157"/>
      <c r="K261" s="157"/>
      <c r="L261" s="157"/>
      <c r="M261" s="157"/>
      <c r="N261" s="158"/>
    </row>
    <row r="262" spans="3:14" x14ac:dyDescent="0.2">
      <c r="C262" s="147"/>
      <c r="H262" s="306">
        <f>+SHIPS!B276</f>
        <v>44317</v>
      </c>
      <c r="I262" s="284">
        <f t="shared" si="4"/>
        <v>0</v>
      </c>
      <c r="J262" s="157"/>
      <c r="K262" s="157"/>
      <c r="L262" s="157"/>
      <c r="M262" s="157"/>
      <c r="N262" s="158"/>
    </row>
    <row r="263" spans="3:14" x14ac:dyDescent="0.2">
      <c r="C263" s="147"/>
      <c r="H263" s="306">
        <f>+SHIPS!B277</f>
        <v>44348</v>
      </c>
      <c r="I263" s="284">
        <f t="shared" si="4"/>
        <v>0</v>
      </c>
      <c r="J263" s="157"/>
      <c r="K263" s="157"/>
      <c r="L263" s="157"/>
      <c r="M263" s="157"/>
      <c r="N263" s="158"/>
    </row>
    <row r="264" spans="3:14" x14ac:dyDescent="0.2">
      <c r="C264" s="147"/>
      <c r="H264" s="306">
        <f>+SHIPS!B278</f>
        <v>44378</v>
      </c>
      <c r="I264" s="284">
        <f t="shared" si="4"/>
        <v>0</v>
      </c>
      <c r="J264" s="157"/>
      <c r="K264" s="157"/>
      <c r="L264" s="157"/>
      <c r="M264" s="157"/>
      <c r="N264" s="158"/>
    </row>
    <row r="265" spans="3:14" x14ac:dyDescent="0.2">
      <c r="C265" s="147"/>
      <c r="H265" s="306">
        <f>+SHIPS!B279</f>
        <v>44409</v>
      </c>
      <c r="I265" s="284">
        <f t="shared" si="4"/>
        <v>0</v>
      </c>
      <c r="J265" s="157"/>
      <c r="K265" s="157"/>
      <c r="L265" s="157"/>
      <c r="M265" s="157"/>
      <c r="N265" s="158"/>
    </row>
    <row r="266" spans="3:14" x14ac:dyDescent="0.2">
      <c r="C266" s="147"/>
      <c r="H266" s="306">
        <f>+SHIPS!B280</f>
        <v>44440</v>
      </c>
      <c r="I266" s="284">
        <f t="shared" si="4"/>
        <v>0</v>
      </c>
      <c r="J266" s="157"/>
      <c r="K266" s="157"/>
      <c r="L266" s="157"/>
      <c r="M266" s="157"/>
      <c r="N266" s="158"/>
    </row>
    <row r="267" spans="3:14" x14ac:dyDescent="0.2">
      <c r="H267" s="306">
        <f>+SHIPS!B281</f>
        <v>44470</v>
      </c>
      <c r="I267" s="284">
        <f t="shared" si="4"/>
        <v>0</v>
      </c>
      <c r="J267" s="157"/>
      <c r="K267" s="157"/>
      <c r="L267" s="157"/>
      <c r="M267" s="157"/>
      <c r="N267" s="158"/>
    </row>
    <row r="268" spans="3:14" x14ac:dyDescent="0.2">
      <c r="H268" s="306">
        <f>+SHIPS!B282</f>
        <v>44501</v>
      </c>
      <c r="I268" s="284">
        <f t="shared" si="4"/>
        <v>0</v>
      </c>
      <c r="J268" s="157"/>
      <c r="K268" s="157"/>
      <c r="L268" s="157"/>
      <c r="M268" s="157"/>
      <c r="N268" s="158"/>
    </row>
    <row r="269" spans="3:14" x14ac:dyDescent="0.2">
      <c r="H269" s="306">
        <f>+SHIPS!B283</f>
        <v>44531</v>
      </c>
      <c r="I269" s="284">
        <f t="shared" si="4"/>
        <v>0</v>
      </c>
      <c r="J269" s="157"/>
      <c r="K269" s="157"/>
      <c r="L269" s="157"/>
      <c r="M269" s="157"/>
      <c r="N269" s="158"/>
    </row>
    <row r="270" spans="3:14" x14ac:dyDescent="0.2">
      <c r="H270" s="306">
        <f>+SHIPS!B284</f>
        <v>44562</v>
      </c>
      <c r="I270" s="284">
        <f t="shared" si="4"/>
        <v>0</v>
      </c>
      <c r="J270" s="157"/>
      <c r="K270" s="157"/>
      <c r="L270" s="157"/>
      <c r="M270" s="157"/>
      <c r="N270" s="158"/>
    </row>
    <row r="271" spans="3:14" x14ac:dyDescent="0.2">
      <c r="H271" s="306">
        <f>+SHIPS!B285</f>
        <v>44593</v>
      </c>
      <c r="I271" s="284">
        <f t="shared" si="4"/>
        <v>0</v>
      </c>
      <c r="J271" s="157"/>
      <c r="K271" s="157"/>
      <c r="L271" s="157"/>
      <c r="M271" s="157"/>
      <c r="N271" s="158"/>
    </row>
    <row r="272" spans="3:14" x14ac:dyDescent="0.2">
      <c r="H272" s="306">
        <f>+SHIPS!B286</f>
        <v>44621</v>
      </c>
      <c r="I272" s="284">
        <f t="shared" si="4"/>
        <v>0</v>
      </c>
      <c r="J272" s="157"/>
      <c r="K272" s="157"/>
      <c r="L272" s="157"/>
      <c r="M272" s="157"/>
      <c r="N272" s="158"/>
    </row>
    <row r="273" spans="8:14" x14ac:dyDescent="0.2">
      <c r="H273" s="306">
        <f>+SHIPS!B287</f>
        <v>44652</v>
      </c>
      <c r="I273" s="284">
        <f t="shared" si="4"/>
        <v>0</v>
      </c>
      <c r="J273" s="157"/>
      <c r="K273" s="157"/>
      <c r="L273" s="157"/>
      <c r="M273" s="157"/>
      <c r="N273" s="158"/>
    </row>
    <row r="274" spans="8:14" x14ac:dyDescent="0.2">
      <c r="H274" s="306">
        <f>+SHIPS!B288</f>
        <v>44682</v>
      </c>
      <c r="I274" s="284">
        <f t="shared" ref="I274:I317" si="5">+I273</f>
        <v>0</v>
      </c>
      <c r="J274" s="157"/>
      <c r="K274" s="157"/>
      <c r="L274" s="157"/>
      <c r="M274" s="157"/>
      <c r="N274" s="158"/>
    </row>
    <row r="275" spans="8:14" x14ac:dyDescent="0.2">
      <c r="H275" s="306">
        <f>+SHIPS!B289</f>
        <v>44713</v>
      </c>
      <c r="I275" s="284">
        <f t="shared" si="5"/>
        <v>0</v>
      </c>
      <c r="J275" s="157"/>
      <c r="K275" s="157"/>
      <c r="L275" s="157"/>
      <c r="M275" s="157"/>
      <c r="N275" s="158"/>
    </row>
    <row r="276" spans="8:14" x14ac:dyDescent="0.2">
      <c r="H276" s="306">
        <f>+SHIPS!B290</f>
        <v>44743</v>
      </c>
      <c r="I276" s="284">
        <f t="shared" si="5"/>
        <v>0</v>
      </c>
      <c r="J276" s="157"/>
      <c r="K276" s="157"/>
      <c r="L276" s="157"/>
      <c r="M276" s="157"/>
      <c r="N276" s="158"/>
    </row>
    <row r="277" spans="8:14" x14ac:dyDescent="0.2">
      <c r="H277" s="306">
        <f>+SHIPS!B291</f>
        <v>44774</v>
      </c>
      <c r="I277" s="284">
        <f t="shared" si="5"/>
        <v>0</v>
      </c>
      <c r="J277" s="157"/>
      <c r="K277" s="157"/>
      <c r="L277" s="157"/>
      <c r="M277" s="157"/>
      <c r="N277" s="158"/>
    </row>
    <row r="278" spans="8:14" x14ac:dyDescent="0.2">
      <c r="H278" s="306">
        <f>+SHIPS!B292</f>
        <v>44805</v>
      </c>
      <c r="I278" s="284">
        <f t="shared" si="5"/>
        <v>0</v>
      </c>
      <c r="J278" s="157"/>
      <c r="K278" s="157"/>
      <c r="L278" s="157"/>
      <c r="M278" s="157"/>
      <c r="N278" s="158"/>
    </row>
    <row r="279" spans="8:14" x14ac:dyDescent="0.2">
      <c r="H279" s="306">
        <f>+SHIPS!B293</f>
        <v>44835</v>
      </c>
      <c r="I279" s="284">
        <f t="shared" si="5"/>
        <v>0</v>
      </c>
      <c r="J279" s="157"/>
      <c r="K279" s="157"/>
      <c r="L279" s="157"/>
      <c r="M279" s="157"/>
      <c r="N279" s="158"/>
    </row>
    <row r="280" spans="8:14" x14ac:dyDescent="0.2">
      <c r="H280" s="306">
        <f>+SHIPS!B294</f>
        <v>44866</v>
      </c>
      <c r="I280" s="284">
        <f t="shared" si="5"/>
        <v>0</v>
      </c>
      <c r="J280" s="157"/>
      <c r="K280" s="157"/>
      <c r="L280" s="157"/>
      <c r="M280" s="157"/>
      <c r="N280" s="158"/>
    </row>
    <row r="281" spans="8:14" x14ac:dyDescent="0.2">
      <c r="H281" s="306">
        <f>+SHIPS!B295</f>
        <v>44896</v>
      </c>
      <c r="I281" s="284">
        <f t="shared" si="5"/>
        <v>0</v>
      </c>
      <c r="J281" s="157"/>
      <c r="K281" s="157"/>
      <c r="L281" s="157"/>
      <c r="M281" s="157"/>
      <c r="N281" s="158"/>
    </row>
    <row r="282" spans="8:14" x14ac:dyDescent="0.2">
      <c r="H282" s="306">
        <f>+SHIPS!B296</f>
        <v>44927</v>
      </c>
      <c r="I282" s="284">
        <f t="shared" si="5"/>
        <v>0</v>
      </c>
      <c r="J282" s="157"/>
      <c r="K282" s="157"/>
      <c r="L282" s="157"/>
      <c r="M282" s="157"/>
      <c r="N282" s="158"/>
    </row>
    <row r="283" spans="8:14" x14ac:dyDescent="0.2">
      <c r="H283" s="306">
        <f>+SHIPS!B297</f>
        <v>44958</v>
      </c>
      <c r="I283" s="284">
        <f t="shared" si="5"/>
        <v>0</v>
      </c>
      <c r="J283" s="157"/>
      <c r="K283" s="157"/>
      <c r="L283" s="157"/>
      <c r="M283" s="157"/>
      <c r="N283" s="158"/>
    </row>
    <row r="284" spans="8:14" x14ac:dyDescent="0.2">
      <c r="H284" s="306">
        <f>+SHIPS!B298</f>
        <v>44986</v>
      </c>
      <c r="I284" s="284">
        <f t="shared" si="5"/>
        <v>0</v>
      </c>
      <c r="J284" s="157"/>
      <c r="K284" s="157"/>
      <c r="L284" s="157"/>
      <c r="M284" s="157"/>
      <c r="N284" s="158"/>
    </row>
    <row r="285" spans="8:14" x14ac:dyDescent="0.2">
      <c r="H285" s="306">
        <f>+SHIPS!B299</f>
        <v>45017</v>
      </c>
      <c r="I285" s="284">
        <f t="shared" si="5"/>
        <v>0</v>
      </c>
      <c r="J285" s="157"/>
      <c r="K285" s="157"/>
      <c r="L285" s="157"/>
      <c r="M285" s="157"/>
      <c r="N285" s="158"/>
    </row>
    <row r="286" spans="8:14" x14ac:dyDescent="0.2">
      <c r="H286" s="306">
        <f>+SHIPS!B300</f>
        <v>45047</v>
      </c>
      <c r="I286" s="284">
        <f t="shared" si="5"/>
        <v>0</v>
      </c>
      <c r="J286" s="157"/>
      <c r="K286" s="157"/>
      <c r="L286" s="157"/>
      <c r="M286" s="157"/>
      <c r="N286" s="158"/>
    </row>
    <row r="287" spans="8:14" x14ac:dyDescent="0.2">
      <c r="H287" s="306">
        <f>+SHIPS!B301</f>
        <v>45078</v>
      </c>
      <c r="I287" s="284">
        <f t="shared" si="5"/>
        <v>0</v>
      </c>
      <c r="J287" s="157"/>
      <c r="K287" s="157"/>
      <c r="L287" s="157"/>
      <c r="M287" s="157"/>
      <c r="N287" s="158"/>
    </row>
    <row r="288" spans="8:14" x14ac:dyDescent="0.2">
      <c r="H288" s="306">
        <f>+SHIPS!B302</f>
        <v>45108</v>
      </c>
      <c r="I288" s="284">
        <f t="shared" si="5"/>
        <v>0</v>
      </c>
      <c r="J288" s="157"/>
      <c r="K288" s="157"/>
      <c r="L288" s="157"/>
      <c r="M288" s="157"/>
      <c r="N288" s="158"/>
    </row>
    <row r="289" spans="8:14" x14ac:dyDescent="0.2">
      <c r="H289" s="306">
        <f>+SHIPS!B303</f>
        <v>45139</v>
      </c>
      <c r="I289" s="284">
        <f t="shared" si="5"/>
        <v>0</v>
      </c>
      <c r="J289" s="157"/>
      <c r="K289" s="157"/>
      <c r="L289" s="157"/>
      <c r="M289" s="157"/>
      <c r="N289" s="158"/>
    </row>
    <row r="290" spans="8:14" x14ac:dyDescent="0.2">
      <c r="H290" s="306">
        <f>+SHIPS!B304</f>
        <v>45170</v>
      </c>
      <c r="I290" s="284">
        <f t="shared" si="5"/>
        <v>0</v>
      </c>
      <c r="J290" s="157"/>
      <c r="K290" s="157"/>
      <c r="L290" s="157"/>
      <c r="M290" s="157"/>
      <c r="N290" s="158"/>
    </row>
    <row r="291" spans="8:14" x14ac:dyDescent="0.2">
      <c r="H291" s="306">
        <f>+SHIPS!B305</f>
        <v>45200</v>
      </c>
      <c r="I291" s="284">
        <f t="shared" si="5"/>
        <v>0</v>
      </c>
      <c r="J291" s="157"/>
      <c r="K291" s="157"/>
      <c r="L291" s="157"/>
      <c r="M291" s="157"/>
      <c r="N291" s="158"/>
    </row>
    <row r="292" spans="8:14" x14ac:dyDescent="0.2">
      <c r="H292" s="306">
        <f>+SHIPS!B306</f>
        <v>45231</v>
      </c>
      <c r="I292" s="284">
        <f t="shared" si="5"/>
        <v>0</v>
      </c>
      <c r="J292" s="157"/>
      <c r="K292" s="157"/>
      <c r="L292" s="157"/>
      <c r="M292" s="157"/>
      <c r="N292" s="158"/>
    </row>
    <row r="293" spans="8:14" x14ac:dyDescent="0.2">
      <c r="H293" s="306">
        <f>+SHIPS!B307</f>
        <v>45261</v>
      </c>
      <c r="I293" s="284">
        <f t="shared" si="5"/>
        <v>0</v>
      </c>
      <c r="J293" s="157"/>
      <c r="K293" s="157"/>
      <c r="L293" s="157"/>
      <c r="M293" s="157"/>
      <c r="N293" s="158"/>
    </row>
    <row r="294" spans="8:14" x14ac:dyDescent="0.2">
      <c r="H294" s="306">
        <f>+SHIPS!B308</f>
        <v>45292</v>
      </c>
      <c r="I294" s="284">
        <f t="shared" si="5"/>
        <v>0</v>
      </c>
      <c r="J294" s="157"/>
      <c r="K294" s="157"/>
      <c r="L294" s="157"/>
      <c r="M294" s="157"/>
      <c r="N294" s="158"/>
    </row>
    <row r="295" spans="8:14" x14ac:dyDescent="0.2">
      <c r="H295" s="306">
        <f>+SHIPS!B309</f>
        <v>45323</v>
      </c>
      <c r="I295" s="284">
        <f t="shared" si="5"/>
        <v>0</v>
      </c>
      <c r="J295" s="157"/>
      <c r="K295" s="157"/>
      <c r="L295" s="157"/>
      <c r="M295" s="157"/>
      <c r="N295" s="158"/>
    </row>
    <row r="296" spans="8:14" x14ac:dyDescent="0.2">
      <c r="H296" s="306">
        <f>+SHIPS!B310</f>
        <v>45352</v>
      </c>
      <c r="I296" s="284">
        <f t="shared" si="5"/>
        <v>0</v>
      </c>
      <c r="J296" s="157"/>
      <c r="K296" s="157"/>
      <c r="L296" s="157"/>
      <c r="M296" s="157"/>
      <c r="N296" s="158"/>
    </row>
    <row r="297" spans="8:14" x14ac:dyDescent="0.2">
      <c r="H297" s="306">
        <f>+SHIPS!B311</f>
        <v>45383</v>
      </c>
      <c r="I297" s="284">
        <f t="shared" si="5"/>
        <v>0</v>
      </c>
      <c r="J297" s="157"/>
      <c r="K297" s="157"/>
      <c r="L297" s="157"/>
      <c r="M297" s="157"/>
      <c r="N297" s="158"/>
    </row>
    <row r="298" spans="8:14" x14ac:dyDescent="0.2">
      <c r="H298" s="306">
        <f>+SHIPS!B312</f>
        <v>45413</v>
      </c>
      <c r="I298" s="284">
        <f t="shared" si="5"/>
        <v>0</v>
      </c>
      <c r="J298" s="157"/>
      <c r="K298" s="157"/>
      <c r="L298" s="157"/>
      <c r="M298" s="157"/>
      <c r="N298" s="158"/>
    </row>
    <row r="299" spans="8:14" x14ac:dyDescent="0.2">
      <c r="H299" s="306">
        <f>+SHIPS!B313</f>
        <v>45444</v>
      </c>
      <c r="I299" s="284">
        <f t="shared" si="5"/>
        <v>0</v>
      </c>
      <c r="J299" s="157"/>
      <c r="K299" s="157"/>
      <c r="L299" s="157"/>
      <c r="M299" s="157"/>
      <c r="N299" s="158"/>
    </row>
    <row r="300" spans="8:14" x14ac:dyDescent="0.2">
      <c r="H300" s="306">
        <f>+SHIPS!B314</f>
        <v>45474</v>
      </c>
      <c r="I300" s="284">
        <f t="shared" si="5"/>
        <v>0</v>
      </c>
      <c r="J300" s="157"/>
      <c r="K300" s="157"/>
      <c r="L300" s="157"/>
      <c r="M300" s="157"/>
      <c r="N300" s="158"/>
    </row>
    <row r="301" spans="8:14" x14ac:dyDescent="0.2">
      <c r="H301" s="306">
        <f>+SHIPS!B315</f>
        <v>45505</v>
      </c>
      <c r="I301" s="284">
        <f t="shared" si="5"/>
        <v>0</v>
      </c>
      <c r="J301" s="157"/>
      <c r="K301" s="157"/>
      <c r="L301" s="157"/>
      <c r="M301" s="157"/>
      <c r="N301" s="158"/>
    </row>
    <row r="302" spans="8:14" x14ac:dyDescent="0.2">
      <c r="H302" s="306">
        <f>+SHIPS!B316</f>
        <v>45536</v>
      </c>
      <c r="I302" s="284">
        <f t="shared" si="5"/>
        <v>0</v>
      </c>
      <c r="J302" s="157"/>
      <c r="K302" s="157"/>
      <c r="L302" s="157"/>
      <c r="M302" s="157"/>
      <c r="N302" s="158"/>
    </row>
    <row r="303" spans="8:14" x14ac:dyDescent="0.2">
      <c r="H303" s="306">
        <f>+SHIPS!B317</f>
        <v>45566</v>
      </c>
      <c r="I303" s="284">
        <f t="shared" si="5"/>
        <v>0</v>
      </c>
      <c r="J303" s="157"/>
      <c r="K303" s="157"/>
      <c r="L303" s="157"/>
      <c r="M303" s="157"/>
      <c r="N303" s="158"/>
    </row>
    <row r="304" spans="8:14" x14ac:dyDescent="0.2">
      <c r="H304" s="306">
        <f>+SHIPS!B318</f>
        <v>45597</v>
      </c>
      <c r="I304" s="284">
        <f t="shared" si="5"/>
        <v>0</v>
      </c>
      <c r="J304" s="157"/>
      <c r="K304" s="157"/>
      <c r="L304" s="157"/>
      <c r="M304" s="157"/>
      <c r="N304" s="158"/>
    </row>
    <row r="305" spans="8:14" x14ac:dyDescent="0.2">
      <c r="H305" s="306">
        <f>+SHIPS!B319</f>
        <v>45627</v>
      </c>
      <c r="I305" s="284">
        <f t="shared" si="5"/>
        <v>0</v>
      </c>
      <c r="J305" s="157"/>
      <c r="K305" s="157"/>
      <c r="L305" s="157"/>
      <c r="M305" s="157"/>
      <c r="N305" s="158"/>
    </row>
    <row r="306" spans="8:14" x14ac:dyDescent="0.2">
      <c r="H306" s="306">
        <f>+SHIPS!B320</f>
        <v>45658</v>
      </c>
      <c r="I306" s="284">
        <f t="shared" si="5"/>
        <v>0</v>
      </c>
      <c r="J306" s="157"/>
      <c r="K306" s="157"/>
      <c r="L306" s="157"/>
      <c r="M306" s="157"/>
      <c r="N306" s="158"/>
    </row>
    <row r="307" spans="8:14" x14ac:dyDescent="0.2">
      <c r="H307" s="306">
        <f>+SHIPS!B321</f>
        <v>45689</v>
      </c>
      <c r="I307" s="284">
        <f t="shared" si="5"/>
        <v>0</v>
      </c>
      <c r="J307" s="157"/>
      <c r="K307" s="157"/>
      <c r="L307" s="157"/>
      <c r="M307" s="157"/>
      <c r="N307" s="158"/>
    </row>
    <row r="308" spans="8:14" x14ac:dyDescent="0.2">
      <c r="H308" s="306">
        <f>+SHIPS!B322</f>
        <v>45717</v>
      </c>
      <c r="I308" s="284">
        <f t="shared" si="5"/>
        <v>0</v>
      </c>
      <c r="J308" s="157"/>
      <c r="K308" s="157"/>
      <c r="L308" s="157"/>
      <c r="M308" s="157"/>
      <c r="N308" s="158"/>
    </row>
    <row r="309" spans="8:14" x14ac:dyDescent="0.2">
      <c r="H309" s="306">
        <f>+SHIPS!B323</f>
        <v>45748</v>
      </c>
      <c r="I309" s="284">
        <f t="shared" si="5"/>
        <v>0</v>
      </c>
      <c r="J309" s="157"/>
      <c r="K309" s="157"/>
      <c r="L309" s="157"/>
      <c r="M309" s="157"/>
      <c r="N309" s="158"/>
    </row>
    <row r="310" spans="8:14" x14ac:dyDescent="0.2">
      <c r="H310" s="306">
        <f>+SHIPS!B324</f>
        <v>45778</v>
      </c>
      <c r="I310" s="284">
        <f t="shared" si="5"/>
        <v>0</v>
      </c>
      <c r="J310" s="157"/>
      <c r="K310" s="157"/>
      <c r="L310" s="157"/>
      <c r="M310" s="157"/>
      <c r="N310" s="158"/>
    </row>
    <row r="311" spans="8:14" x14ac:dyDescent="0.2">
      <c r="H311" s="306">
        <f>+SHIPS!B325</f>
        <v>45809</v>
      </c>
      <c r="I311" s="284">
        <f t="shared" si="5"/>
        <v>0</v>
      </c>
      <c r="J311" s="157"/>
      <c r="K311" s="157"/>
      <c r="L311" s="157"/>
      <c r="M311" s="157"/>
      <c r="N311" s="158"/>
    </row>
    <row r="312" spans="8:14" x14ac:dyDescent="0.2">
      <c r="H312" s="306">
        <f>+SHIPS!B326</f>
        <v>45839</v>
      </c>
      <c r="I312" s="284">
        <f t="shared" si="5"/>
        <v>0</v>
      </c>
      <c r="J312" s="157"/>
      <c r="K312" s="157"/>
      <c r="L312" s="157"/>
      <c r="M312" s="157"/>
      <c r="N312" s="158"/>
    </row>
    <row r="313" spans="8:14" x14ac:dyDescent="0.2">
      <c r="H313" s="306">
        <f>+SHIPS!B327</f>
        <v>45870</v>
      </c>
      <c r="I313" s="284">
        <f t="shared" si="5"/>
        <v>0</v>
      </c>
      <c r="J313" s="157"/>
      <c r="K313" s="157"/>
      <c r="L313" s="157"/>
      <c r="M313" s="157"/>
      <c r="N313" s="158"/>
    </row>
    <row r="314" spans="8:14" x14ac:dyDescent="0.2">
      <c r="H314" s="306">
        <f>+SHIPS!B328</f>
        <v>45901</v>
      </c>
      <c r="I314" s="284">
        <f t="shared" si="5"/>
        <v>0</v>
      </c>
      <c r="J314" s="157"/>
      <c r="K314" s="157"/>
      <c r="L314" s="157"/>
      <c r="M314" s="157"/>
      <c r="N314" s="158"/>
    </row>
    <row r="315" spans="8:14" x14ac:dyDescent="0.2">
      <c r="H315" s="306">
        <f>+SHIPS!B329</f>
        <v>45931</v>
      </c>
      <c r="I315" s="284">
        <f t="shared" si="5"/>
        <v>0</v>
      </c>
      <c r="J315" s="157"/>
      <c r="K315" s="157"/>
      <c r="L315" s="157"/>
      <c r="M315" s="157"/>
      <c r="N315" s="158"/>
    </row>
    <row r="316" spans="8:14" x14ac:dyDescent="0.2">
      <c r="H316" s="306">
        <f>+SHIPS!B330</f>
        <v>45962</v>
      </c>
      <c r="I316" s="284">
        <f t="shared" si="5"/>
        <v>0</v>
      </c>
      <c r="J316" s="157"/>
      <c r="K316" s="157"/>
      <c r="L316" s="157"/>
      <c r="M316" s="157"/>
      <c r="N316" s="158"/>
    </row>
    <row r="317" spans="8:14" x14ac:dyDescent="0.2">
      <c r="H317" s="307">
        <f>+SHIPS!B331</f>
        <v>45992</v>
      </c>
      <c r="I317" s="316">
        <f t="shared" si="5"/>
        <v>0</v>
      </c>
      <c r="J317" s="159"/>
      <c r="K317" s="159"/>
      <c r="L317" s="159"/>
      <c r="M317" s="159"/>
      <c r="N317" s="160"/>
    </row>
    <row r="318" spans="8:14" x14ac:dyDescent="0.2">
      <c r="H318" s="317"/>
      <c r="I318" s="318" t="str">
        <f t="shared" ref="I318:N318" si="6">+I11</f>
        <v>ELBA</v>
      </c>
      <c r="J318" s="318" t="str">
        <f t="shared" si="6"/>
        <v>LAKE CHARLES</v>
      </c>
      <c r="K318" s="318" t="str">
        <f t="shared" si="6"/>
        <v>CABOT</v>
      </c>
      <c r="L318" s="318" t="str">
        <f t="shared" si="6"/>
        <v>COVE POINT</v>
      </c>
      <c r="M318" s="318" t="str">
        <f t="shared" si="6"/>
        <v>BARCELONA</v>
      </c>
      <c r="N318" s="318">
        <f t="shared" si="6"/>
        <v>0</v>
      </c>
    </row>
    <row r="319" spans="8:14" x14ac:dyDescent="0.2">
      <c r="H319" s="319" t="s">
        <v>113</v>
      </c>
      <c r="I319" s="320">
        <v>1.2500000000000001E-2</v>
      </c>
      <c r="J319" s="309"/>
      <c r="K319" s="310"/>
      <c r="L319" s="310"/>
      <c r="M319" s="311"/>
      <c r="N319" s="312"/>
    </row>
    <row r="320" spans="8:14" x14ac:dyDescent="0.2">
      <c r="H320" s="305">
        <f>+H12</f>
        <v>36708</v>
      </c>
      <c r="I320" s="277">
        <v>0</v>
      </c>
      <c r="J320" s="294"/>
      <c r="K320" s="295"/>
      <c r="L320" s="295"/>
      <c r="M320" s="296"/>
      <c r="N320" s="297"/>
    </row>
    <row r="321" spans="8:14" x14ac:dyDescent="0.2">
      <c r="H321" s="306">
        <f t="shared" ref="H321:H384" si="7">+H13</f>
        <v>36739</v>
      </c>
      <c r="I321" s="284">
        <v>0</v>
      </c>
      <c r="J321" s="298"/>
      <c r="K321" s="299"/>
      <c r="L321" s="299"/>
      <c r="M321" s="213"/>
      <c r="N321" s="195"/>
    </row>
    <row r="322" spans="8:14" x14ac:dyDescent="0.2">
      <c r="H322" s="306">
        <f t="shared" si="7"/>
        <v>36770</v>
      </c>
      <c r="I322" s="284">
        <v>0</v>
      </c>
      <c r="J322" s="298"/>
      <c r="K322" s="299"/>
      <c r="L322" s="299"/>
      <c r="M322" s="213"/>
      <c r="N322" s="195"/>
    </row>
    <row r="323" spans="8:14" x14ac:dyDescent="0.2">
      <c r="H323" s="306">
        <f t="shared" si="7"/>
        <v>36800</v>
      </c>
      <c r="I323" s="284">
        <v>0</v>
      </c>
      <c r="J323" s="137"/>
      <c r="K323" s="144"/>
      <c r="L323" s="144"/>
      <c r="M323" s="105"/>
      <c r="N323" s="300"/>
    </row>
    <row r="324" spans="8:14" x14ac:dyDescent="0.2">
      <c r="H324" s="306">
        <f t="shared" si="7"/>
        <v>36831</v>
      </c>
      <c r="I324" s="284">
        <v>0</v>
      </c>
      <c r="J324" s="138"/>
      <c r="K324" s="145"/>
      <c r="L324" s="145"/>
      <c r="M324" s="108"/>
      <c r="N324" s="301"/>
    </row>
    <row r="325" spans="8:14" x14ac:dyDescent="0.2">
      <c r="H325" s="306">
        <f t="shared" si="7"/>
        <v>36861</v>
      </c>
      <c r="I325" s="284">
        <v>0</v>
      </c>
      <c r="J325" s="138"/>
      <c r="K325" s="145"/>
      <c r="L325" s="145"/>
      <c r="M325" s="108"/>
      <c r="N325" s="301"/>
    </row>
    <row r="326" spans="8:14" x14ac:dyDescent="0.2">
      <c r="H326" s="306">
        <f t="shared" si="7"/>
        <v>36892</v>
      </c>
      <c r="I326" s="284">
        <v>0</v>
      </c>
      <c r="J326" s="139"/>
      <c r="K326" s="146"/>
      <c r="L326" s="146"/>
      <c r="M326" s="116"/>
      <c r="N326" s="302"/>
    </row>
    <row r="327" spans="8:14" x14ac:dyDescent="0.2">
      <c r="H327" s="306">
        <f t="shared" si="7"/>
        <v>36923</v>
      </c>
      <c r="I327" s="284">
        <v>0</v>
      </c>
      <c r="J327" s="139"/>
      <c r="K327" s="146"/>
      <c r="L327" s="146"/>
      <c r="M327" s="107"/>
      <c r="N327" s="302"/>
    </row>
    <row r="328" spans="8:14" x14ac:dyDescent="0.2">
      <c r="H328" s="306">
        <f t="shared" si="7"/>
        <v>36951</v>
      </c>
      <c r="I328" s="284">
        <v>0</v>
      </c>
      <c r="J328" s="139"/>
      <c r="K328" s="146"/>
      <c r="L328" s="146"/>
      <c r="M328" s="107"/>
      <c r="N328" s="302"/>
    </row>
    <row r="329" spans="8:14" x14ac:dyDescent="0.2">
      <c r="H329" s="306">
        <f t="shared" si="7"/>
        <v>36982</v>
      </c>
      <c r="I329" s="284">
        <v>0</v>
      </c>
      <c r="J329" s="139"/>
      <c r="K329" s="146"/>
      <c r="L329" s="146"/>
      <c r="M329" s="107"/>
      <c r="N329" s="302"/>
    </row>
    <row r="330" spans="8:14" x14ac:dyDescent="0.2">
      <c r="H330" s="306">
        <f t="shared" si="7"/>
        <v>37012</v>
      </c>
      <c r="I330" s="284">
        <v>0</v>
      </c>
      <c r="J330" s="139"/>
      <c r="K330" s="146"/>
      <c r="L330" s="146"/>
      <c r="M330" s="107"/>
      <c r="N330" s="302"/>
    </row>
    <row r="331" spans="8:14" x14ac:dyDescent="0.2">
      <c r="H331" s="306">
        <f t="shared" si="7"/>
        <v>37043</v>
      </c>
      <c r="I331" s="284">
        <v>0</v>
      </c>
      <c r="J331" s="139"/>
      <c r="K331" s="146"/>
      <c r="L331" s="146"/>
      <c r="M331" s="107"/>
      <c r="N331" s="302"/>
    </row>
    <row r="332" spans="8:14" x14ac:dyDescent="0.2">
      <c r="H332" s="306">
        <f t="shared" si="7"/>
        <v>37073</v>
      </c>
      <c r="I332" s="284">
        <v>0</v>
      </c>
      <c r="J332" s="139"/>
      <c r="K332" s="146"/>
      <c r="L332" s="146"/>
      <c r="M332" s="107"/>
      <c r="N332" s="302"/>
    </row>
    <row r="333" spans="8:14" x14ac:dyDescent="0.2">
      <c r="H333" s="306">
        <f t="shared" si="7"/>
        <v>37104</v>
      </c>
      <c r="I333" s="284">
        <v>0</v>
      </c>
      <c r="J333" s="303"/>
      <c r="K333" s="304"/>
      <c r="L333" s="304"/>
      <c r="M333" s="157"/>
      <c r="N333" s="158"/>
    </row>
    <row r="334" spans="8:14" x14ac:dyDescent="0.2">
      <c r="H334" s="306">
        <f t="shared" si="7"/>
        <v>37135</v>
      </c>
      <c r="I334" s="284">
        <v>0</v>
      </c>
      <c r="J334" s="303"/>
      <c r="K334" s="304"/>
      <c r="L334" s="304"/>
      <c r="M334" s="157"/>
      <c r="N334" s="158"/>
    </row>
    <row r="335" spans="8:14" x14ac:dyDescent="0.2">
      <c r="H335" s="306">
        <f t="shared" si="7"/>
        <v>37165</v>
      </c>
      <c r="I335" s="284">
        <v>0</v>
      </c>
      <c r="J335" s="303"/>
      <c r="K335" s="304"/>
      <c r="L335" s="304"/>
      <c r="M335" s="157"/>
      <c r="N335" s="158"/>
    </row>
    <row r="336" spans="8:14" x14ac:dyDescent="0.2">
      <c r="H336" s="306">
        <f t="shared" si="7"/>
        <v>37196</v>
      </c>
      <c r="I336" s="284">
        <v>0</v>
      </c>
      <c r="J336" s="303"/>
      <c r="K336" s="304"/>
      <c r="L336" s="304"/>
      <c r="M336" s="157"/>
      <c r="N336" s="158"/>
    </row>
    <row r="337" spans="8:14" x14ac:dyDescent="0.2">
      <c r="H337" s="306">
        <f t="shared" si="7"/>
        <v>37226</v>
      </c>
      <c r="I337" s="284">
        <v>0</v>
      </c>
      <c r="J337" s="303"/>
      <c r="K337" s="304"/>
      <c r="L337" s="304"/>
      <c r="M337" s="157"/>
      <c r="N337" s="158"/>
    </row>
    <row r="338" spans="8:14" x14ac:dyDescent="0.2">
      <c r="H338" s="306">
        <f t="shared" si="7"/>
        <v>37257</v>
      </c>
      <c r="I338" s="284">
        <v>0</v>
      </c>
      <c r="J338" s="303"/>
      <c r="K338" s="304"/>
      <c r="L338" s="304"/>
      <c r="M338" s="157"/>
      <c r="N338" s="158"/>
    </row>
    <row r="339" spans="8:14" x14ac:dyDescent="0.2">
      <c r="H339" s="306">
        <f t="shared" si="7"/>
        <v>37288</v>
      </c>
      <c r="I339" s="284">
        <v>0</v>
      </c>
      <c r="J339" s="303"/>
      <c r="K339" s="304"/>
      <c r="L339" s="304"/>
      <c r="M339" s="157"/>
      <c r="N339" s="158"/>
    </row>
    <row r="340" spans="8:14" x14ac:dyDescent="0.2">
      <c r="H340" s="306">
        <f t="shared" si="7"/>
        <v>37316</v>
      </c>
      <c r="I340" s="284">
        <v>0</v>
      </c>
      <c r="J340" s="303"/>
      <c r="K340" s="304"/>
      <c r="L340" s="304"/>
      <c r="M340" s="157"/>
      <c r="N340" s="158"/>
    </row>
    <row r="341" spans="8:14" x14ac:dyDescent="0.2">
      <c r="H341" s="306">
        <f t="shared" si="7"/>
        <v>37347</v>
      </c>
      <c r="I341" s="284">
        <f>5588417.0635/12</f>
        <v>465701.42195833335</v>
      </c>
      <c r="J341" s="303"/>
      <c r="K341" s="304"/>
      <c r="L341" s="304"/>
      <c r="M341" s="157"/>
      <c r="N341" s="158"/>
    </row>
    <row r="342" spans="8:14" x14ac:dyDescent="0.2">
      <c r="H342" s="306">
        <f t="shared" si="7"/>
        <v>37377</v>
      </c>
      <c r="I342" s="284">
        <f t="shared" ref="I342:I389" si="8">+I341*(1+I$319/12)</f>
        <v>466186.5276062066</v>
      </c>
      <c r="J342" s="303"/>
      <c r="K342" s="304"/>
      <c r="L342" s="304"/>
      <c r="M342" s="157"/>
      <c r="N342" s="158"/>
    </row>
    <row r="343" spans="8:14" x14ac:dyDescent="0.2">
      <c r="H343" s="306">
        <f t="shared" si="7"/>
        <v>37408</v>
      </c>
      <c r="I343" s="284">
        <f t="shared" si="8"/>
        <v>466672.13857246301</v>
      </c>
      <c r="J343" s="303"/>
      <c r="K343" s="304"/>
      <c r="L343" s="304"/>
      <c r="M343" s="157"/>
      <c r="N343" s="158"/>
    </row>
    <row r="344" spans="8:14" x14ac:dyDescent="0.2">
      <c r="H344" s="306">
        <f t="shared" si="7"/>
        <v>37438</v>
      </c>
      <c r="I344" s="284">
        <f t="shared" si="8"/>
        <v>467158.25538347597</v>
      </c>
      <c r="J344" s="303"/>
      <c r="K344" s="304"/>
      <c r="L344" s="304"/>
      <c r="M344" s="157"/>
      <c r="N344" s="158"/>
    </row>
    <row r="345" spans="8:14" x14ac:dyDescent="0.2">
      <c r="H345" s="306">
        <f t="shared" si="7"/>
        <v>37469</v>
      </c>
      <c r="I345" s="284">
        <f t="shared" si="8"/>
        <v>467644.87856616708</v>
      </c>
      <c r="J345" s="303"/>
      <c r="K345" s="304"/>
      <c r="L345" s="304"/>
      <c r="M345" s="157"/>
      <c r="N345" s="158"/>
    </row>
    <row r="346" spans="8:14" x14ac:dyDescent="0.2">
      <c r="H346" s="306">
        <f t="shared" si="7"/>
        <v>37500</v>
      </c>
      <c r="I346" s="284">
        <f t="shared" si="8"/>
        <v>468132.00864800683</v>
      </c>
      <c r="J346" s="303"/>
      <c r="K346" s="304"/>
      <c r="L346" s="304"/>
      <c r="M346" s="157"/>
      <c r="N346" s="158"/>
    </row>
    <row r="347" spans="8:14" x14ac:dyDescent="0.2">
      <c r="H347" s="306">
        <f t="shared" si="7"/>
        <v>37530</v>
      </c>
      <c r="I347" s="284">
        <f t="shared" si="8"/>
        <v>468619.64615701512</v>
      </c>
      <c r="J347" s="303"/>
      <c r="K347" s="304"/>
      <c r="L347" s="304"/>
      <c r="M347" s="157"/>
      <c r="N347" s="158"/>
    </row>
    <row r="348" spans="8:14" x14ac:dyDescent="0.2">
      <c r="H348" s="306">
        <f t="shared" si="7"/>
        <v>37561</v>
      </c>
      <c r="I348" s="284">
        <f t="shared" si="8"/>
        <v>469107.79162176198</v>
      </c>
      <c r="J348" s="303"/>
      <c r="K348" s="304"/>
      <c r="L348" s="304"/>
      <c r="M348" s="157"/>
      <c r="N348" s="158"/>
    </row>
    <row r="349" spans="8:14" x14ac:dyDescent="0.2">
      <c r="H349" s="306">
        <f t="shared" si="7"/>
        <v>37591</v>
      </c>
      <c r="I349" s="284">
        <f t="shared" si="8"/>
        <v>469596.44557136798</v>
      </c>
      <c r="J349" s="303"/>
      <c r="K349" s="304"/>
      <c r="L349" s="304"/>
      <c r="M349" s="157"/>
      <c r="N349" s="158"/>
    </row>
    <row r="350" spans="8:14" x14ac:dyDescent="0.2">
      <c r="H350" s="306">
        <f t="shared" si="7"/>
        <v>37622</v>
      </c>
      <c r="I350" s="284">
        <f t="shared" si="8"/>
        <v>470085.60853550478</v>
      </c>
      <c r="J350" s="303"/>
      <c r="K350" s="304"/>
      <c r="L350" s="304"/>
      <c r="M350" s="157"/>
      <c r="N350" s="158"/>
    </row>
    <row r="351" spans="8:14" x14ac:dyDescent="0.2">
      <c r="H351" s="306">
        <f t="shared" si="7"/>
        <v>37653</v>
      </c>
      <c r="I351" s="284">
        <f t="shared" si="8"/>
        <v>470575.28104439593</v>
      </c>
      <c r="J351" s="303"/>
      <c r="K351" s="304"/>
      <c r="L351" s="304"/>
      <c r="M351" s="157"/>
      <c r="N351" s="158"/>
    </row>
    <row r="352" spans="8:14" x14ac:dyDescent="0.2">
      <c r="H352" s="306">
        <f t="shared" si="7"/>
        <v>37681</v>
      </c>
      <c r="I352" s="284">
        <f t="shared" si="8"/>
        <v>471065.46362881718</v>
      </c>
      <c r="J352" s="303"/>
      <c r="K352" s="304"/>
      <c r="L352" s="304"/>
      <c r="M352" s="157"/>
      <c r="N352" s="158"/>
    </row>
    <row r="353" spans="8:14" x14ac:dyDescent="0.2">
      <c r="H353" s="306">
        <f t="shared" si="7"/>
        <v>37712</v>
      </c>
      <c r="I353" s="284">
        <f t="shared" si="8"/>
        <v>471556.15682009718</v>
      </c>
      <c r="J353" s="303"/>
      <c r="K353" s="304"/>
      <c r="L353" s="304"/>
      <c r="M353" s="157"/>
      <c r="N353" s="158"/>
    </row>
    <row r="354" spans="8:14" x14ac:dyDescent="0.2">
      <c r="H354" s="306">
        <f t="shared" si="7"/>
        <v>37742</v>
      </c>
      <c r="I354" s="284">
        <f t="shared" si="8"/>
        <v>472047.36115011811</v>
      </c>
      <c r="J354" s="303"/>
      <c r="K354" s="304"/>
      <c r="L354" s="304"/>
      <c r="M354" s="157"/>
      <c r="N354" s="158"/>
    </row>
    <row r="355" spans="8:14" x14ac:dyDescent="0.2">
      <c r="H355" s="306">
        <f t="shared" si="7"/>
        <v>37773</v>
      </c>
      <c r="I355" s="284">
        <f t="shared" si="8"/>
        <v>472539.0771513161</v>
      </c>
      <c r="J355" s="303"/>
      <c r="K355" s="304"/>
      <c r="L355" s="304"/>
      <c r="M355" s="157"/>
      <c r="N355" s="158"/>
    </row>
    <row r="356" spans="8:14" x14ac:dyDescent="0.2">
      <c r="H356" s="306">
        <f t="shared" si="7"/>
        <v>37803</v>
      </c>
      <c r="I356" s="284">
        <f t="shared" si="8"/>
        <v>473031.30535668205</v>
      </c>
      <c r="J356" s="303"/>
      <c r="K356" s="304"/>
      <c r="L356" s="304"/>
      <c r="M356" s="157"/>
      <c r="N356" s="158"/>
    </row>
    <row r="357" spans="8:14" x14ac:dyDescent="0.2">
      <c r="H357" s="306">
        <f t="shared" si="7"/>
        <v>37834</v>
      </c>
      <c r="I357" s="284">
        <f t="shared" si="8"/>
        <v>473524.04629976192</v>
      </c>
      <c r="J357" s="303"/>
      <c r="K357" s="304"/>
      <c r="L357" s="304"/>
      <c r="M357" s="157"/>
      <c r="N357" s="158"/>
    </row>
    <row r="358" spans="8:14" x14ac:dyDescent="0.2">
      <c r="H358" s="306">
        <f t="shared" si="7"/>
        <v>37865</v>
      </c>
      <c r="I358" s="284">
        <f t="shared" si="8"/>
        <v>474017.30051465746</v>
      </c>
      <c r="J358" s="303"/>
      <c r="K358" s="304"/>
      <c r="L358" s="304"/>
      <c r="M358" s="157"/>
      <c r="N358" s="158"/>
    </row>
    <row r="359" spans="8:14" x14ac:dyDescent="0.2">
      <c r="H359" s="306">
        <f t="shared" si="7"/>
        <v>37895</v>
      </c>
      <c r="I359" s="284">
        <f t="shared" si="8"/>
        <v>474511.06853602687</v>
      </c>
      <c r="J359" s="303"/>
      <c r="K359" s="304"/>
      <c r="L359" s="304"/>
      <c r="M359" s="157"/>
      <c r="N359" s="158"/>
    </row>
    <row r="360" spans="8:14" x14ac:dyDescent="0.2">
      <c r="H360" s="306">
        <f t="shared" si="7"/>
        <v>37926</v>
      </c>
      <c r="I360" s="284">
        <f t="shared" si="8"/>
        <v>475005.35089908523</v>
      </c>
      <c r="J360" s="303"/>
      <c r="K360" s="304"/>
      <c r="L360" s="304"/>
      <c r="M360" s="157"/>
      <c r="N360" s="158"/>
    </row>
    <row r="361" spans="8:14" x14ac:dyDescent="0.2">
      <c r="H361" s="306">
        <f t="shared" si="7"/>
        <v>37956</v>
      </c>
      <c r="I361" s="284">
        <f t="shared" si="8"/>
        <v>475500.14813960507</v>
      </c>
      <c r="J361" s="303"/>
      <c r="K361" s="304"/>
      <c r="L361" s="304"/>
      <c r="M361" s="157"/>
      <c r="N361" s="158"/>
    </row>
    <row r="362" spans="8:14" x14ac:dyDescent="0.2">
      <c r="H362" s="306">
        <f t="shared" si="7"/>
        <v>37987</v>
      </c>
      <c r="I362" s="284">
        <f t="shared" si="8"/>
        <v>475995.46079391713</v>
      </c>
      <c r="J362" s="303"/>
      <c r="K362" s="304"/>
      <c r="L362" s="304"/>
      <c r="M362" s="157"/>
      <c r="N362" s="158"/>
    </row>
    <row r="363" spans="8:14" x14ac:dyDescent="0.2">
      <c r="H363" s="306">
        <f t="shared" si="7"/>
        <v>38018</v>
      </c>
      <c r="I363" s="284">
        <f t="shared" si="8"/>
        <v>476491.28939891077</v>
      </c>
      <c r="J363" s="303"/>
      <c r="K363" s="304"/>
      <c r="L363" s="304"/>
      <c r="M363" s="157"/>
      <c r="N363" s="158"/>
    </row>
    <row r="364" spans="8:14" x14ac:dyDescent="0.2">
      <c r="H364" s="306">
        <f t="shared" si="7"/>
        <v>38047</v>
      </c>
      <c r="I364" s="284">
        <f t="shared" si="8"/>
        <v>476987.63449203462</v>
      </c>
      <c r="J364" s="303"/>
      <c r="K364" s="304"/>
      <c r="L364" s="304"/>
      <c r="M364" s="157"/>
      <c r="N364" s="158"/>
    </row>
    <row r="365" spans="8:14" x14ac:dyDescent="0.2">
      <c r="H365" s="306">
        <f t="shared" si="7"/>
        <v>38078</v>
      </c>
      <c r="I365" s="284">
        <f t="shared" si="8"/>
        <v>477484.49661129713</v>
      </c>
      <c r="J365" s="303"/>
      <c r="K365" s="304"/>
      <c r="L365" s="304"/>
      <c r="M365" s="157"/>
      <c r="N365" s="158"/>
    </row>
    <row r="366" spans="8:14" x14ac:dyDescent="0.2">
      <c r="H366" s="306">
        <f t="shared" si="7"/>
        <v>38108</v>
      </c>
      <c r="I366" s="284">
        <f t="shared" si="8"/>
        <v>477981.8762952672</v>
      </c>
      <c r="J366" s="303"/>
      <c r="K366" s="304"/>
      <c r="L366" s="304"/>
      <c r="M366" s="157"/>
      <c r="N366" s="158"/>
    </row>
    <row r="367" spans="8:14" x14ac:dyDescent="0.2">
      <c r="H367" s="306">
        <f t="shared" si="7"/>
        <v>38139</v>
      </c>
      <c r="I367" s="284">
        <f t="shared" si="8"/>
        <v>478479.77408307476</v>
      </c>
      <c r="J367" s="303"/>
      <c r="K367" s="304"/>
      <c r="L367" s="304"/>
      <c r="M367" s="157"/>
      <c r="N367" s="158"/>
    </row>
    <row r="368" spans="8:14" x14ac:dyDescent="0.2">
      <c r="H368" s="306">
        <f t="shared" si="7"/>
        <v>38169</v>
      </c>
      <c r="I368" s="284">
        <f t="shared" si="8"/>
        <v>478978.19051441125</v>
      </c>
      <c r="J368" s="303"/>
      <c r="K368" s="304"/>
      <c r="L368" s="304"/>
      <c r="M368" s="157"/>
      <c r="N368" s="158"/>
    </row>
    <row r="369" spans="8:14" x14ac:dyDescent="0.2">
      <c r="H369" s="306">
        <f t="shared" si="7"/>
        <v>38200</v>
      </c>
      <c r="I369" s="284">
        <f t="shared" si="8"/>
        <v>479477.12612953043</v>
      </c>
      <c r="J369" s="303"/>
      <c r="K369" s="304"/>
      <c r="L369" s="304"/>
      <c r="M369" s="157"/>
      <c r="N369" s="158"/>
    </row>
    <row r="370" spans="8:14" x14ac:dyDescent="0.2">
      <c r="H370" s="306">
        <f t="shared" si="7"/>
        <v>38231</v>
      </c>
      <c r="I370" s="284">
        <f t="shared" si="8"/>
        <v>479976.58146924869</v>
      </c>
      <c r="J370" s="303"/>
      <c r="K370" s="304"/>
      <c r="L370" s="304"/>
      <c r="M370" s="157"/>
      <c r="N370" s="158"/>
    </row>
    <row r="371" spans="8:14" x14ac:dyDescent="0.2">
      <c r="H371" s="306">
        <f t="shared" si="7"/>
        <v>38261</v>
      </c>
      <c r="I371" s="284">
        <f t="shared" si="8"/>
        <v>480476.55707494577</v>
      </c>
      <c r="J371" s="303"/>
      <c r="K371" s="304"/>
      <c r="L371" s="304"/>
      <c r="M371" s="157"/>
      <c r="N371" s="158"/>
    </row>
    <row r="372" spans="8:14" x14ac:dyDescent="0.2">
      <c r="H372" s="306">
        <f t="shared" si="7"/>
        <v>38292</v>
      </c>
      <c r="I372" s="284">
        <f t="shared" si="8"/>
        <v>480977.05348856549</v>
      </c>
      <c r="J372" s="303"/>
      <c r="K372" s="304"/>
      <c r="L372" s="304"/>
      <c r="M372" s="157"/>
      <c r="N372" s="158"/>
    </row>
    <row r="373" spans="8:14" x14ac:dyDescent="0.2">
      <c r="H373" s="306">
        <f t="shared" si="7"/>
        <v>38322</v>
      </c>
      <c r="I373" s="284">
        <f t="shared" si="8"/>
        <v>481478.07125261606</v>
      </c>
      <c r="J373" s="303"/>
      <c r="K373" s="304"/>
      <c r="L373" s="304"/>
      <c r="M373" s="157"/>
      <c r="N373" s="158"/>
    </row>
    <row r="374" spans="8:14" x14ac:dyDescent="0.2">
      <c r="H374" s="306">
        <f t="shared" si="7"/>
        <v>38353</v>
      </c>
      <c r="I374" s="284">
        <f t="shared" si="8"/>
        <v>481979.61091017083</v>
      </c>
      <c r="J374" s="303"/>
      <c r="K374" s="304"/>
      <c r="L374" s="304"/>
      <c r="M374" s="157"/>
      <c r="N374" s="158"/>
    </row>
    <row r="375" spans="8:14" x14ac:dyDescent="0.2">
      <c r="H375" s="306">
        <f t="shared" si="7"/>
        <v>38384</v>
      </c>
      <c r="I375" s="284">
        <f t="shared" si="8"/>
        <v>482481.67300486891</v>
      </c>
      <c r="J375" s="303"/>
      <c r="K375" s="304"/>
      <c r="L375" s="304"/>
      <c r="M375" s="157"/>
      <c r="N375" s="158"/>
    </row>
    <row r="376" spans="8:14" x14ac:dyDescent="0.2">
      <c r="H376" s="306">
        <f t="shared" si="7"/>
        <v>38412</v>
      </c>
      <c r="I376" s="284">
        <f t="shared" si="8"/>
        <v>482984.25808091561</v>
      </c>
      <c r="J376" s="303"/>
      <c r="K376" s="304"/>
      <c r="L376" s="304"/>
      <c r="M376" s="157"/>
      <c r="N376" s="158"/>
    </row>
    <row r="377" spans="8:14" x14ac:dyDescent="0.2">
      <c r="H377" s="306">
        <f t="shared" si="7"/>
        <v>38443</v>
      </c>
      <c r="I377" s="284">
        <f t="shared" si="8"/>
        <v>483487.36668308318</v>
      </c>
      <c r="J377" s="303"/>
      <c r="K377" s="304"/>
      <c r="L377" s="304"/>
      <c r="M377" s="157"/>
      <c r="N377" s="158"/>
    </row>
    <row r="378" spans="8:14" x14ac:dyDescent="0.2">
      <c r="H378" s="306">
        <f t="shared" si="7"/>
        <v>38473</v>
      </c>
      <c r="I378" s="284">
        <f t="shared" si="8"/>
        <v>483990.99935671134</v>
      </c>
      <c r="J378" s="303"/>
      <c r="K378" s="304"/>
      <c r="L378" s="304"/>
      <c r="M378" s="157"/>
      <c r="N378" s="158"/>
    </row>
    <row r="379" spans="8:14" x14ac:dyDescent="0.2">
      <c r="H379" s="306">
        <f t="shared" si="7"/>
        <v>38504</v>
      </c>
      <c r="I379" s="284">
        <f t="shared" si="8"/>
        <v>484495.15664770786</v>
      </c>
      <c r="J379" s="303"/>
      <c r="K379" s="304"/>
      <c r="L379" s="304"/>
      <c r="M379" s="157"/>
      <c r="N379" s="158"/>
    </row>
    <row r="380" spans="8:14" x14ac:dyDescent="0.2">
      <c r="H380" s="306">
        <f t="shared" si="7"/>
        <v>38534</v>
      </c>
      <c r="I380" s="284">
        <f t="shared" si="8"/>
        <v>484999.83910254919</v>
      </c>
      <c r="J380" s="303"/>
      <c r="K380" s="304"/>
      <c r="L380" s="304"/>
      <c r="M380" s="157"/>
      <c r="N380" s="158"/>
    </row>
    <row r="381" spans="8:14" x14ac:dyDescent="0.2">
      <c r="H381" s="306">
        <f t="shared" si="7"/>
        <v>38565</v>
      </c>
      <c r="I381" s="284">
        <f t="shared" si="8"/>
        <v>485505.04726828099</v>
      </c>
      <c r="J381" s="303"/>
      <c r="K381" s="304"/>
      <c r="L381" s="304"/>
      <c r="M381" s="157"/>
      <c r="N381" s="158"/>
    </row>
    <row r="382" spans="8:14" x14ac:dyDescent="0.2">
      <c r="H382" s="306">
        <f t="shared" si="7"/>
        <v>38596</v>
      </c>
      <c r="I382" s="284">
        <f t="shared" si="8"/>
        <v>486010.78169251874</v>
      </c>
      <c r="J382" s="303"/>
      <c r="K382" s="304"/>
      <c r="L382" s="304"/>
      <c r="M382" s="157"/>
      <c r="N382" s="158"/>
    </row>
    <row r="383" spans="8:14" x14ac:dyDescent="0.2">
      <c r="H383" s="306">
        <f t="shared" si="7"/>
        <v>38626</v>
      </c>
      <c r="I383" s="284">
        <f t="shared" si="8"/>
        <v>486517.04292344843</v>
      </c>
      <c r="J383" s="303"/>
      <c r="K383" s="304"/>
      <c r="L383" s="304"/>
      <c r="M383" s="157"/>
      <c r="N383" s="158"/>
    </row>
    <row r="384" spans="8:14" x14ac:dyDescent="0.2">
      <c r="H384" s="306">
        <f t="shared" si="7"/>
        <v>38657</v>
      </c>
      <c r="I384" s="284">
        <f t="shared" si="8"/>
        <v>487023.831509827</v>
      </c>
      <c r="J384" s="303"/>
      <c r="K384" s="304"/>
      <c r="L384" s="304"/>
      <c r="M384" s="157"/>
      <c r="N384" s="158"/>
    </row>
    <row r="385" spans="8:14" x14ac:dyDescent="0.2">
      <c r="H385" s="306">
        <f t="shared" ref="H385:H448" si="9">+H77</f>
        <v>38687</v>
      </c>
      <c r="I385" s="284">
        <f t="shared" si="8"/>
        <v>487531.14800098306</v>
      </c>
      <c r="J385" s="303"/>
      <c r="K385" s="304"/>
      <c r="L385" s="304"/>
      <c r="M385" s="157"/>
      <c r="N385" s="158"/>
    </row>
    <row r="386" spans="8:14" x14ac:dyDescent="0.2">
      <c r="H386" s="306">
        <f t="shared" si="9"/>
        <v>38718</v>
      </c>
      <c r="I386" s="284">
        <f t="shared" si="8"/>
        <v>488038.99294681737</v>
      </c>
      <c r="J386" s="303"/>
      <c r="K386" s="304"/>
      <c r="L386" s="304"/>
      <c r="M386" s="157"/>
      <c r="N386" s="158"/>
    </row>
    <row r="387" spans="8:14" x14ac:dyDescent="0.2">
      <c r="H387" s="306">
        <f t="shared" si="9"/>
        <v>38749</v>
      </c>
      <c r="I387" s="284">
        <f t="shared" si="8"/>
        <v>488547.36689780361</v>
      </c>
      <c r="J387" s="303"/>
      <c r="K387" s="304"/>
      <c r="L387" s="304"/>
      <c r="M387" s="157"/>
      <c r="N387" s="158"/>
    </row>
    <row r="388" spans="8:14" x14ac:dyDescent="0.2">
      <c r="H388" s="306">
        <f t="shared" si="9"/>
        <v>38777</v>
      </c>
      <c r="I388" s="284">
        <f t="shared" si="8"/>
        <v>489056.27040498878</v>
      </c>
      <c r="J388" s="303"/>
      <c r="K388" s="304"/>
      <c r="L388" s="304"/>
      <c r="M388" s="157"/>
      <c r="N388" s="158"/>
    </row>
    <row r="389" spans="8:14" x14ac:dyDescent="0.2">
      <c r="H389" s="306">
        <f t="shared" si="9"/>
        <v>38808</v>
      </c>
      <c r="I389" s="284">
        <f t="shared" si="8"/>
        <v>489565.70401999395</v>
      </c>
      <c r="J389" s="303"/>
      <c r="K389" s="304"/>
      <c r="L389" s="304"/>
      <c r="M389" s="157"/>
      <c r="N389" s="158"/>
    </row>
    <row r="390" spans="8:14" x14ac:dyDescent="0.2">
      <c r="H390" s="306">
        <f t="shared" si="9"/>
        <v>38838</v>
      </c>
      <c r="I390" s="284">
        <f t="shared" ref="I390:I453" si="10">+I389*(1+I$319/12)</f>
        <v>490075.66829501477</v>
      </c>
      <c r="J390" s="303"/>
      <c r="K390" s="304"/>
      <c r="L390" s="304"/>
      <c r="M390" s="157"/>
      <c r="N390" s="158"/>
    </row>
    <row r="391" spans="8:14" x14ac:dyDescent="0.2">
      <c r="H391" s="306">
        <f t="shared" si="9"/>
        <v>38869</v>
      </c>
      <c r="I391" s="284">
        <f t="shared" si="10"/>
        <v>490586.16378282203</v>
      </c>
      <c r="J391" s="303"/>
      <c r="K391" s="304"/>
      <c r="L391" s="304"/>
      <c r="M391" s="157"/>
      <c r="N391" s="158"/>
    </row>
    <row r="392" spans="8:14" x14ac:dyDescent="0.2">
      <c r="H392" s="306">
        <f t="shared" si="9"/>
        <v>38899</v>
      </c>
      <c r="I392" s="284">
        <f t="shared" si="10"/>
        <v>491097.19103676244</v>
      </c>
      <c r="J392" s="303"/>
      <c r="K392" s="304"/>
      <c r="L392" s="304"/>
      <c r="M392" s="157"/>
      <c r="N392" s="158"/>
    </row>
    <row r="393" spans="8:14" x14ac:dyDescent="0.2">
      <c r="H393" s="306">
        <f t="shared" si="9"/>
        <v>38930</v>
      </c>
      <c r="I393" s="284">
        <f t="shared" si="10"/>
        <v>491608.75061075902</v>
      </c>
      <c r="J393" s="303"/>
      <c r="K393" s="304"/>
      <c r="L393" s="304"/>
      <c r="M393" s="157"/>
      <c r="N393" s="158"/>
    </row>
    <row r="394" spans="8:14" x14ac:dyDescent="0.2">
      <c r="H394" s="306">
        <f t="shared" si="9"/>
        <v>38961</v>
      </c>
      <c r="I394" s="284">
        <f t="shared" si="10"/>
        <v>492120.84305931185</v>
      </c>
      <c r="J394" s="303"/>
      <c r="K394" s="304"/>
      <c r="L394" s="304"/>
      <c r="M394" s="157"/>
      <c r="N394" s="158"/>
    </row>
    <row r="395" spans="8:14" x14ac:dyDescent="0.2">
      <c r="H395" s="306">
        <f t="shared" si="9"/>
        <v>38991</v>
      </c>
      <c r="I395" s="284">
        <f t="shared" si="10"/>
        <v>492633.46893749863</v>
      </c>
      <c r="J395" s="303"/>
      <c r="K395" s="304"/>
      <c r="L395" s="304"/>
      <c r="M395" s="157"/>
      <c r="N395" s="158"/>
    </row>
    <row r="396" spans="8:14" x14ac:dyDescent="0.2">
      <c r="H396" s="306">
        <f t="shared" si="9"/>
        <v>39022</v>
      </c>
      <c r="I396" s="284">
        <f t="shared" si="10"/>
        <v>493146.62880097516</v>
      </c>
      <c r="J396" s="303"/>
      <c r="K396" s="304"/>
      <c r="L396" s="304"/>
      <c r="M396" s="157"/>
      <c r="N396" s="158"/>
    </row>
    <row r="397" spans="8:14" x14ac:dyDescent="0.2">
      <c r="H397" s="306">
        <f t="shared" si="9"/>
        <v>39052</v>
      </c>
      <c r="I397" s="284">
        <f t="shared" si="10"/>
        <v>493660.32320597616</v>
      </c>
      <c r="J397" s="303"/>
      <c r="K397" s="304"/>
      <c r="L397" s="304"/>
      <c r="M397" s="157"/>
      <c r="N397" s="158"/>
    </row>
    <row r="398" spans="8:14" x14ac:dyDescent="0.2">
      <c r="H398" s="306">
        <f t="shared" si="9"/>
        <v>39083</v>
      </c>
      <c r="I398" s="284">
        <f t="shared" si="10"/>
        <v>494174.55270931567</v>
      </c>
      <c r="J398" s="303"/>
      <c r="K398" s="304"/>
      <c r="L398" s="304"/>
      <c r="M398" s="157"/>
      <c r="N398" s="158"/>
    </row>
    <row r="399" spans="8:14" x14ac:dyDescent="0.2">
      <c r="H399" s="306">
        <f t="shared" si="9"/>
        <v>39114</v>
      </c>
      <c r="I399" s="284">
        <f t="shared" si="10"/>
        <v>494689.31786838785</v>
      </c>
      <c r="J399" s="303"/>
      <c r="K399" s="304"/>
      <c r="L399" s="304"/>
      <c r="M399" s="157"/>
      <c r="N399" s="158"/>
    </row>
    <row r="400" spans="8:14" x14ac:dyDescent="0.2">
      <c r="H400" s="306">
        <f t="shared" si="9"/>
        <v>39142</v>
      </c>
      <c r="I400" s="284">
        <f t="shared" si="10"/>
        <v>495204.61924116738</v>
      </c>
      <c r="J400" s="303"/>
      <c r="K400" s="304"/>
      <c r="L400" s="304"/>
      <c r="M400" s="157"/>
      <c r="N400" s="158"/>
    </row>
    <row r="401" spans="8:14" x14ac:dyDescent="0.2">
      <c r="H401" s="306">
        <f t="shared" si="9"/>
        <v>39173</v>
      </c>
      <c r="I401" s="284">
        <f t="shared" si="10"/>
        <v>495720.45738621021</v>
      </c>
      <c r="J401" s="303"/>
      <c r="K401" s="304"/>
      <c r="L401" s="304"/>
      <c r="M401" s="157"/>
      <c r="N401" s="158"/>
    </row>
    <row r="402" spans="8:14" x14ac:dyDescent="0.2">
      <c r="H402" s="306">
        <f t="shared" si="9"/>
        <v>39203</v>
      </c>
      <c r="I402" s="284">
        <f t="shared" si="10"/>
        <v>496236.83286265418</v>
      </c>
      <c r="J402" s="303"/>
      <c r="K402" s="304"/>
      <c r="L402" s="304"/>
      <c r="M402" s="157"/>
      <c r="N402" s="158"/>
    </row>
    <row r="403" spans="8:14" x14ac:dyDescent="0.2">
      <c r="H403" s="306">
        <f t="shared" si="9"/>
        <v>39234</v>
      </c>
      <c r="I403" s="284">
        <f t="shared" si="10"/>
        <v>496753.74623021943</v>
      </c>
      <c r="J403" s="303"/>
      <c r="K403" s="304"/>
      <c r="L403" s="304"/>
      <c r="M403" s="157"/>
      <c r="N403" s="158"/>
    </row>
    <row r="404" spans="8:14" x14ac:dyDescent="0.2">
      <c r="H404" s="306">
        <f t="shared" si="9"/>
        <v>39264</v>
      </c>
      <c r="I404" s="284">
        <f t="shared" si="10"/>
        <v>497271.1980492092</v>
      </c>
      <c r="J404" s="303"/>
      <c r="K404" s="304"/>
      <c r="L404" s="304"/>
      <c r="M404" s="157"/>
      <c r="N404" s="158"/>
    </row>
    <row r="405" spans="8:14" x14ac:dyDescent="0.2">
      <c r="H405" s="306">
        <f t="shared" si="9"/>
        <v>39295</v>
      </c>
      <c r="I405" s="284">
        <f t="shared" si="10"/>
        <v>497789.18888051045</v>
      </c>
      <c r="J405" s="303"/>
      <c r="K405" s="304"/>
      <c r="L405" s="304"/>
      <c r="M405" s="157"/>
      <c r="N405" s="158"/>
    </row>
    <row r="406" spans="8:14" x14ac:dyDescent="0.2">
      <c r="H406" s="306">
        <f t="shared" si="9"/>
        <v>39326</v>
      </c>
      <c r="I406" s="284">
        <f t="shared" si="10"/>
        <v>498307.7192855943</v>
      </c>
      <c r="J406" s="303"/>
      <c r="K406" s="304"/>
      <c r="L406" s="304"/>
      <c r="M406" s="157"/>
      <c r="N406" s="158"/>
    </row>
    <row r="407" spans="8:14" x14ac:dyDescent="0.2">
      <c r="H407" s="306">
        <f t="shared" si="9"/>
        <v>39356</v>
      </c>
      <c r="I407" s="284">
        <f t="shared" si="10"/>
        <v>498826.78982651676</v>
      </c>
      <c r="J407" s="303"/>
      <c r="K407" s="304"/>
      <c r="L407" s="304"/>
      <c r="M407" s="157"/>
      <c r="N407" s="158"/>
    </row>
    <row r="408" spans="8:14" x14ac:dyDescent="0.2">
      <c r="H408" s="306">
        <f t="shared" si="9"/>
        <v>39387</v>
      </c>
      <c r="I408" s="284">
        <f t="shared" si="10"/>
        <v>499346.40106591937</v>
      </c>
      <c r="J408" s="303"/>
      <c r="K408" s="304"/>
      <c r="L408" s="304"/>
      <c r="M408" s="157"/>
      <c r="N408" s="158"/>
    </row>
    <row r="409" spans="8:14" x14ac:dyDescent="0.2">
      <c r="H409" s="306">
        <f t="shared" si="9"/>
        <v>39417</v>
      </c>
      <c r="I409" s="284">
        <f t="shared" si="10"/>
        <v>499866.55356702965</v>
      </c>
      <c r="J409" s="303"/>
      <c r="K409" s="304"/>
      <c r="L409" s="304"/>
      <c r="M409" s="157"/>
      <c r="N409" s="158"/>
    </row>
    <row r="410" spans="8:14" x14ac:dyDescent="0.2">
      <c r="H410" s="306">
        <f t="shared" si="9"/>
        <v>39448</v>
      </c>
      <c r="I410" s="284">
        <f t="shared" si="10"/>
        <v>500387.24789366196</v>
      </c>
      <c r="J410" s="303"/>
      <c r="K410" s="304"/>
      <c r="L410" s="304"/>
      <c r="M410" s="157"/>
      <c r="N410" s="158"/>
    </row>
    <row r="411" spans="8:14" x14ac:dyDescent="0.2">
      <c r="H411" s="306">
        <f t="shared" si="9"/>
        <v>39479</v>
      </c>
      <c r="I411" s="284">
        <f t="shared" si="10"/>
        <v>500908.48461021786</v>
      </c>
      <c r="J411" s="303"/>
      <c r="K411" s="304"/>
      <c r="L411" s="304"/>
      <c r="M411" s="157"/>
      <c r="N411" s="158"/>
    </row>
    <row r="412" spans="8:14" x14ac:dyDescent="0.2">
      <c r="H412" s="306">
        <f t="shared" si="9"/>
        <v>39508</v>
      </c>
      <c r="I412" s="284">
        <f t="shared" si="10"/>
        <v>501430.2642816868</v>
      </c>
      <c r="J412" s="303"/>
      <c r="K412" s="304"/>
      <c r="L412" s="304"/>
      <c r="M412" s="157"/>
      <c r="N412" s="158"/>
    </row>
    <row r="413" spans="8:14" x14ac:dyDescent="0.2">
      <c r="H413" s="306">
        <f t="shared" si="9"/>
        <v>39539</v>
      </c>
      <c r="I413" s="284">
        <f t="shared" si="10"/>
        <v>501952.58747364685</v>
      </c>
      <c r="J413" s="303"/>
      <c r="K413" s="304"/>
      <c r="L413" s="304"/>
      <c r="M413" s="157"/>
      <c r="N413" s="158"/>
    </row>
    <row r="414" spans="8:14" x14ac:dyDescent="0.2">
      <c r="H414" s="306">
        <f t="shared" si="9"/>
        <v>39569</v>
      </c>
      <c r="I414" s="284">
        <f t="shared" si="10"/>
        <v>502475.45475226518</v>
      </c>
      <c r="J414" s="303"/>
      <c r="K414" s="304"/>
      <c r="L414" s="304"/>
      <c r="M414" s="157"/>
      <c r="N414" s="158"/>
    </row>
    <row r="415" spans="8:14" x14ac:dyDescent="0.2">
      <c r="H415" s="306">
        <f t="shared" si="9"/>
        <v>39600</v>
      </c>
      <c r="I415" s="284">
        <f t="shared" si="10"/>
        <v>502998.86668429879</v>
      </c>
      <c r="J415" s="303"/>
      <c r="K415" s="304"/>
      <c r="L415" s="304"/>
      <c r="M415" s="157"/>
      <c r="N415" s="158"/>
    </row>
    <row r="416" spans="8:14" x14ac:dyDescent="0.2">
      <c r="H416" s="306">
        <f t="shared" si="9"/>
        <v>39630</v>
      </c>
      <c r="I416" s="284">
        <f t="shared" si="10"/>
        <v>503522.82383709488</v>
      </c>
      <c r="J416" s="303"/>
      <c r="K416" s="304"/>
      <c r="L416" s="304"/>
      <c r="M416" s="157"/>
      <c r="N416" s="158"/>
    </row>
    <row r="417" spans="8:14" x14ac:dyDescent="0.2">
      <c r="H417" s="306">
        <f t="shared" si="9"/>
        <v>39661</v>
      </c>
      <c r="I417" s="284">
        <f t="shared" si="10"/>
        <v>504047.32677859184</v>
      </c>
      <c r="J417" s="303"/>
      <c r="K417" s="304"/>
      <c r="L417" s="304"/>
      <c r="M417" s="157"/>
      <c r="N417" s="158"/>
    </row>
    <row r="418" spans="8:14" x14ac:dyDescent="0.2">
      <c r="H418" s="306">
        <f t="shared" si="9"/>
        <v>39692</v>
      </c>
      <c r="I418" s="284">
        <f t="shared" si="10"/>
        <v>504572.3760773195</v>
      </c>
      <c r="J418" s="303"/>
      <c r="K418" s="304"/>
      <c r="L418" s="304"/>
      <c r="M418" s="157"/>
      <c r="N418" s="158"/>
    </row>
    <row r="419" spans="8:14" x14ac:dyDescent="0.2">
      <c r="H419" s="306">
        <f t="shared" si="9"/>
        <v>39722</v>
      </c>
      <c r="I419" s="284">
        <f t="shared" si="10"/>
        <v>505097.97230239998</v>
      </c>
      <c r="J419" s="303"/>
      <c r="K419" s="304"/>
      <c r="L419" s="304"/>
      <c r="M419" s="157"/>
      <c r="N419" s="158"/>
    </row>
    <row r="420" spans="8:14" x14ac:dyDescent="0.2">
      <c r="H420" s="306">
        <f t="shared" si="9"/>
        <v>39753</v>
      </c>
      <c r="I420" s="284">
        <f t="shared" si="10"/>
        <v>505624.1160235483</v>
      </c>
      <c r="J420" s="303"/>
      <c r="K420" s="304"/>
      <c r="L420" s="304"/>
      <c r="M420" s="157"/>
      <c r="N420" s="158"/>
    </row>
    <row r="421" spans="8:14" x14ac:dyDescent="0.2">
      <c r="H421" s="306">
        <f t="shared" si="9"/>
        <v>39783</v>
      </c>
      <c r="I421" s="284">
        <f t="shared" si="10"/>
        <v>506150.80781107279</v>
      </c>
      <c r="J421" s="303"/>
      <c r="K421" s="304"/>
      <c r="L421" s="304"/>
      <c r="M421" s="157"/>
      <c r="N421" s="158"/>
    </row>
    <row r="422" spans="8:14" x14ac:dyDescent="0.2">
      <c r="H422" s="306">
        <f t="shared" si="9"/>
        <v>39814</v>
      </c>
      <c r="I422" s="284">
        <f t="shared" si="10"/>
        <v>506678.04823587596</v>
      </c>
      <c r="J422" s="303"/>
      <c r="K422" s="304"/>
      <c r="L422" s="304"/>
      <c r="M422" s="157"/>
      <c r="N422" s="158"/>
    </row>
    <row r="423" spans="8:14" x14ac:dyDescent="0.2">
      <c r="H423" s="306">
        <f t="shared" si="9"/>
        <v>39845</v>
      </c>
      <c r="I423" s="284">
        <f t="shared" si="10"/>
        <v>507205.83786945499</v>
      </c>
      <c r="J423" s="303"/>
      <c r="K423" s="304"/>
      <c r="L423" s="304"/>
      <c r="M423" s="157"/>
      <c r="N423" s="158"/>
    </row>
    <row r="424" spans="8:14" x14ac:dyDescent="0.2">
      <c r="H424" s="306">
        <f t="shared" si="9"/>
        <v>39873</v>
      </c>
      <c r="I424" s="284">
        <f t="shared" si="10"/>
        <v>507734.1772839023</v>
      </c>
      <c r="J424" s="303"/>
      <c r="K424" s="304"/>
      <c r="L424" s="304"/>
      <c r="M424" s="157"/>
      <c r="N424" s="158"/>
    </row>
    <row r="425" spans="8:14" x14ac:dyDescent="0.2">
      <c r="H425" s="306">
        <f t="shared" si="9"/>
        <v>39904</v>
      </c>
      <c r="I425" s="284">
        <f t="shared" si="10"/>
        <v>508263.06705190631</v>
      </c>
      <c r="J425" s="303"/>
      <c r="K425" s="304"/>
      <c r="L425" s="304"/>
      <c r="M425" s="157"/>
      <c r="N425" s="158"/>
    </row>
    <row r="426" spans="8:14" x14ac:dyDescent="0.2">
      <c r="H426" s="306">
        <f t="shared" si="9"/>
        <v>39934</v>
      </c>
      <c r="I426" s="284">
        <f t="shared" si="10"/>
        <v>508792.507746752</v>
      </c>
      <c r="J426" s="303"/>
      <c r="K426" s="304"/>
      <c r="L426" s="304"/>
      <c r="M426" s="157"/>
      <c r="N426" s="158"/>
    </row>
    <row r="427" spans="8:14" x14ac:dyDescent="0.2">
      <c r="H427" s="306">
        <f t="shared" si="9"/>
        <v>39965</v>
      </c>
      <c r="I427" s="284">
        <f t="shared" si="10"/>
        <v>509322.4999423215</v>
      </c>
      <c r="J427" s="303"/>
      <c r="K427" s="304"/>
      <c r="L427" s="304"/>
      <c r="M427" s="157"/>
      <c r="N427" s="158"/>
    </row>
    <row r="428" spans="8:14" x14ac:dyDescent="0.2">
      <c r="H428" s="306">
        <f t="shared" si="9"/>
        <v>39995</v>
      </c>
      <c r="I428" s="284">
        <f t="shared" si="10"/>
        <v>509853.04421309475</v>
      </c>
      <c r="J428" s="303"/>
      <c r="K428" s="304"/>
      <c r="L428" s="304"/>
      <c r="M428" s="157"/>
      <c r="N428" s="158"/>
    </row>
    <row r="429" spans="8:14" x14ac:dyDescent="0.2">
      <c r="H429" s="306">
        <f t="shared" si="9"/>
        <v>40026</v>
      </c>
      <c r="I429" s="284">
        <f t="shared" si="10"/>
        <v>510384.14113415004</v>
      </c>
      <c r="J429" s="303"/>
      <c r="K429" s="304"/>
      <c r="L429" s="304"/>
      <c r="M429" s="157"/>
      <c r="N429" s="158"/>
    </row>
    <row r="430" spans="8:14" x14ac:dyDescent="0.2">
      <c r="H430" s="306">
        <f t="shared" si="9"/>
        <v>40057</v>
      </c>
      <c r="I430" s="284">
        <f t="shared" si="10"/>
        <v>510915.79128116474</v>
      </c>
      <c r="J430" s="303"/>
      <c r="K430" s="304"/>
      <c r="L430" s="304"/>
      <c r="M430" s="157"/>
      <c r="N430" s="158"/>
    </row>
    <row r="431" spans="8:14" x14ac:dyDescent="0.2">
      <c r="H431" s="306">
        <f t="shared" si="9"/>
        <v>40087</v>
      </c>
      <c r="I431" s="284">
        <f t="shared" si="10"/>
        <v>511447.99523041589</v>
      </c>
      <c r="J431" s="303"/>
      <c r="K431" s="304"/>
      <c r="L431" s="304"/>
      <c r="M431" s="157"/>
      <c r="N431" s="158"/>
    </row>
    <row r="432" spans="8:14" x14ac:dyDescent="0.2">
      <c r="H432" s="306">
        <f t="shared" si="9"/>
        <v>40118</v>
      </c>
      <c r="I432" s="284">
        <f t="shared" si="10"/>
        <v>511980.75355878088</v>
      </c>
      <c r="J432" s="303"/>
      <c r="K432" s="304"/>
      <c r="L432" s="304"/>
      <c r="M432" s="157"/>
      <c r="N432" s="158"/>
    </row>
    <row r="433" spans="8:14" x14ac:dyDescent="0.2">
      <c r="H433" s="306">
        <f t="shared" si="9"/>
        <v>40148</v>
      </c>
      <c r="I433" s="284">
        <f t="shared" si="10"/>
        <v>512514.06684373791</v>
      </c>
      <c r="J433" s="303"/>
      <c r="K433" s="304"/>
      <c r="L433" s="304"/>
      <c r="M433" s="157"/>
      <c r="N433" s="158"/>
    </row>
    <row r="434" spans="8:14" x14ac:dyDescent="0.2">
      <c r="H434" s="306">
        <f t="shared" si="9"/>
        <v>40179</v>
      </c>
      <c r="I434" s="284">
        <f t="shared" si="10"/>
        <v>513047.93566336675</v>
      </c>
      <c r="J434" s="303"/>
      <c r="K434" s="304"/>
      <c r="L434" s="304"/>
      <c r="M434" s="157"/>
      <c r="N434" s="158"/>
    </row>
    <row r="435" spans="8:14" x14ac:dyDescent="0.2">
      <c r="H435" s="306">
        <f t="shared" si="9"/>
        <v>40210</v>
      </c>
      <c r="I435" s="284">
        <f t="shared" si="10"/>
        <v>513582.3605963494</v>
      </c>
      <c r="J435" s="303"/>
      <c r="K435" s="304"/>
      <c r="L435" s="304"/>
      <c r="M435" s="157"/>
      <c r="N435" s="158"/>
    </row>
    <row r="436" spans="8:14" x14ac:dyDescent="0.2">
      <c r="H436" s="306">
        <f t="shared" si="9"/>
        <v>40238</v>
      </c>
      <c r="I436" s="284">
        <f t="shared" si="10"/>
        <v>514117.34222197055</v>
      </c>
      <c r="J436" s="303"/>
      <c r="K436" s="304"/>
      <c r="L436" s="304"/>
      <c r="M436" s="157"/>
      <c r="N436" s="158"/>
    </row>
    <row r="437" spans="8:14" x14ac:dyDescent="0.2">
      <c r="H437" s="306">
        <f t="shared" si="9"/>
        <v>40269</v>
      </c>
      <c r="I437" s="284">
        <f t="shared" si="10"/>
        <v>514652.88112011843</v>
      </c>
      <c r="J437" s="303"/>
      <c r="K437" s="304"/>
      <c r="L437" s="304"/>
      <c r="M437" s="157"/>
      <c r="N437" s="158"/>
    </row>
    <row r="438" spans="8:14" x14ac:dyDescent="0.2">
      <c r="H438" s="306">
        <f t="shared" si="9"/>
        <v>40299</v>
      </c>
      <c r="I438" s="284">
        <f t="shared" si="10"/>
        <v>515188.97787128517</v>
      </c>
      <c r="J438" s="303"/>
      <c r="K438" s="304"/>
      <c r="L438" s="304"/>
      <c r="M438" s="157"/>
      <c r="N438" s="158"/>
    </row>
    <row r="439" spans="8:14" x14ac:dyDescent="0.2">
      <c r="H439" s="306">
        <f t="shared" si="9"/>
        <v>40330</v>
      </c>
      <c r="I439" s="284">
        <f t="shared" si="10"/>
        <v>515725.63305656775</v>
      </c>
      <c r="J439" s="303"/>
      <c r="K439" s="304"/>
      <c r="L439" s="304"/>
      <c r="M439" s="157"/>
      <c r="N439" s="158"/>
    </row>
    <row r="440" spans="8:14" x14ac:dyDescent="0.2">
      <c r="H440" s="306">
        <f t="shared" si="9"/>
        <v>40360</v>
      </c>
      <c r="I440" s="284">
        <f t="shared" si="10"/>
        <v>516262.84725766833</v>
      </c>
      <c r="J440" s="303"/>
      <c r="K440" s="304"/>
      <c r="L440" s="304"/>
      <c r="M440" s="157"/>
      <c r="N440" s="158"/>
    </row>
    <row r="441" spans="8:14" x14ac:dyDescent="0.2">
      <c r="H441" s="306">
        <f t="shared" si="9"/>
        <v>40391</v>
      </c>
      <c r="I441" s="284">
        <f t="shared" si="10"/>
        <v>516800.62105689506</v>
      </c>
      <c r="J441" s="303"/>
      <c r="K441" s="304"/>
      <c r="L441" s="304"/>
      <c r="M441" s="157"/>
      <c r="N441" s="158"/>
    </row>
    <row r="442" spans="8:14" x14ac:dyDescent="0.2">
      <c r="H442" s="306">
        <f t="shared" si="9"/>
        <v>40422</v>
      </c>
      <c r="I442" s="284">
        <f t="shared" si="10"/>
        <v>517338.95503716264</v>
      </c>
      <c r="J442" s="303"/>
      <c r="K442" s="304"/>
      <c r="L442" s="304"/>
      <c r="M442" s="157"/>
      <c r="N442" s="158"/>
    </row>
    <row r="443" spans="8:14" x14ac:dyDescent="0.2">
      <c r="H443" s="306">
        <f t="shared" si="9"/>
        <v>40452</v>
      </c>
      <c r="I443" s="284">
        <f t="shared" si="10"/>
        <v>517877.84978199296</v>
      </c>
      <c r="J443" s="303"/>
      <c r="K443" s="304"/>
      <c r="L443" s="304"/>
      <c r="M443" s="157"/>
      <c r="N443" s="158"/>
    </row>
    <row r="444" spans="8:14" x14ac:dyDescent="0.2">
      <c r="H444" s="306">
        <f t="shared" si="9"/>
        <v>40483</v>
      </c>
      <c r="I444" s="284">
        <f t="shared" si="10"/>
        <v>518417.30587551586</v>
      </c>
      <c r="J444" s="303"/>
      <c r="K444" s="304"/>
      <c r="L444" s="304"/>
      <c r="M444" s="157"/>
      <c r="N444" s="158"/>
    </row>
    <row r="445" spans="8:14" x14ac:dyDescent="0.2">
      <c r="H445" s="306">
        <f t="shared" si="9"/>
        <v>40513</v>
      </c>
      <c r="I445" s="284">
        <f t="shared" si="10"/>
        <v>518957.32390246948</v>
      </c>
      <c r="J445" s="303"/>
      <c r="K445" s="304"/>
      <c r="L445" s="304"/>
      <c r="M445" s="157"/>
      <c r="N445" s="158"/>
    </row>
    <row r="446" spans="8:14" x14ac:dyDescent="0.2">
      <c r="H446" s="306">
        <f t="shared" si="9"/>
        <v>40544</v>
      </c>
      <c r="I446" s="284">
        <f t="shared" si="10"/>
        <v>519497.90444820118</v>
      </c>
      <c r="J446" s="303"/>
      <c r="K446" s="304"/>
      <c r="L446" s="304"/>
      <c r="M446" s="157"/>
      <c r="N446" s="158"/>
    </row>
    <row r="447" spans="8:14" x14ac:dyDescent="0.2">
      <c r="H447" s="306">
        <f t="shared" si="9"/>
        <v>40575</v>
      </c>
      <c r="I447" s="284">
        <f t="shared" si="10"/>
        <v>520039.04809866805</v>
      </c>
      <c r="J447" s="303"/>
      <c r="K447" s="304"/>
      <c r="L447" s="304"/>
      <c r="M447" s="157"/>
      <c r="N447" s="158"/>
    </row>
    <row r="448" spans="8:14" x14ac:dyDescent="0.2">
      <c r="H448" s="306">
        <f t="shared" si="9"/>
        <v>40603</v>
      </c>
      <c r="I448" s="284">
        <f t="shared" si="10"/>
        <v>520580.75544043747</v>
      </c>
      <c r="J448" s="303"/>
      <c r="K448" s="304"/>
      <c r="L448" s="304"/>
      <c r="M448" s="157"/>
      <c r="N448" s="158"/>
    </row>
    <row r="449" spans="8:14" x14ac:dyDescent="0.2">
      <c r="H449" s="306">
        <f t="shared" ref="H449:H512" si="11">+H141</f>
        <v>40634</v>
      </c>
      <c r="I449" s="284">
        <f t="shared" si="10"/>
        <v>521123.02706068789</v>
      </c>
      <c r="J449" s="303"/>
      <c r="K449" s="304"/>
      <c r="L449" s="304"/>
      <c r="M449" s="157"/>
      <c r="N449" s="158"/>
    </row>
    <row r="450" spans="8:14" x14ac:dyDescent="0.2">
      <c r="H450" s="306">
        <f t="shared" si="11"/>
        <v>40664</v>
      </c>
      <c r="I450" s="284">
        <f t="shared" si="10"/>
        <v>521665.86354720942</v>
      </c>
      <c r="J450" s="303"/>
      <c r="K450" s="304"/>
      <c r="L450" s="304"/>
      <c r="M450" s="157"/>
      <c r="N450" s="158"/>
    </row>
    <row r="451" spans="8:14" x14ac:dyDescent="0.2">
      <c r="H451" s="306">
        <f t="shared" si="11"/>
        <v>40695</v>
      </c>
      <c r="I451" s="284">
        <f t="shared" si="10"/>
        <v>522209.26548840437</v>
      </c>
      <c r="J451" s="303"/>
      <c r="K451" s="304"/>
      <c r="L451" s="304"/>
      <c r="M451" s="157"/>
      <c r="N451" s="158"/>
    </row>
    <row r="452" spans="8:14" x14ac:dyDescent="0.2">
      <c r="H452" s="306">
        <f t="shared" si="11"/>
        <v>40725</v>
      </c>
      <c r="I452" s="284">
        <f t="shared" si="10"/>
        <v>522753.23347328807</v>
      </c>
      <c r="J452" s="303"/>
      <c r="K452" s="304"/>
      <c r="L452" s="304"/>
      <c r="M452" s="157"/>
      <c r="N452" s="158"/>
    </row>
    <row r="453" spans="8:14" x14ac:dyDescent="0.2">
      <c r="H453" s="306">
        <f t="shared" si="11"/>
        <v>40756</v>
      </c>
      <c r="I453" s="284">
        <f t="shared" si="10"/>
        <v>523297.76809148939</v>
      </c>
      <c r="J453" s="303"/>
      <c r="K453" s="304"/>
      <c r="L453" s="304"/>
      <c r="M453" s="157"/>
      <c r="N453" s="158"/>
    </row>
    <row r="454" spans="8:14" x14ac:dyDescent="0.2">
      <c r="H454" s="306">
        <f t="shared" si="11"/>
        <v>40787</v>
      </c>
      <c r="I454" s="284">
        <f t="shared" ref="I454:I517" si="12">+I453*(1+I$319/12)</f>
        <v>523842.86993325135</v>
      </c>
      <c r="J454" s="303"/>
      <c r="K454" s="304"/>
      <c r="L454" s="304"/>
      <c r="M454" s="157"/>
      <c r="N454" s="158"/>
    </row>
    <row r="455" spans="8:14" x14ac:dyDescent="0.2">
      <c r="H455" s="306">
        <f t="shared" si="11"/>
        <v>40817</v>
      </c>
      <c r="I455" s="284">
        <f t="shared" si="12"/>
        <v>524388.53958943184</v>
      </c>
      <c r="J455" s="303"/>
      <c r="K455" s="304"/>
      <c r="L455" s="304"/>
      <c r="M455" s="157"/>
      <c r="N455" s="158"/>
    </row>
    <row r="456" spans="8:14" x14ac:dyDescent="0.2">
      <c r="H456" s="306">
        <f t="shared" si="11"/>
        <v>40848</v>
      </c>
      <c r="I456" s="284">
        <f t="shared" si="12"/>
        <v>524934.77765150415</v>
      </c>
      <c r="J456" s="303"/>
      <c r="K456" s="304"/>
      <c r="L456" s="304"/>
      <c r="M456" s="157"/>
      <c r="N456" s="158"/>
    </row>
    <row r="457" spans="8:14" x14ac:dyDescent="0.2">
      <c r="H457" s="306">
        <f t="shared" si="11"/>
        <v>40878</v>
      </c>
      <c r="I457" s="284">
        <f t="shared" si="12"/>
        <v>525481.58471155772</v>
      </c>
      <c r="J457" s="303"/>
      <c r="K457" s="304"/>
      <c r="L457" s="304"/>
      <c r="M457" s="157"/>
      <c r="N457" s="158"/>
    </row>
    <row r="458" spans="8:14" x14ac:dyDescent="0.2">
      <c r="H458" s="306">
        <f t="shared" si="11"/>
        <v>40909</v>
      </c>
      <c r="I458" s="284">
        <f t="shared" si="12"/>
        <v>526028.96136229893</v>
      </c>
      <c r="J458" s="303"/>
      <c r="K458" s="304"/>
      <c r="L458" s="304"/>
      <c r="M458" s="157"/>
      <c r="N458" s="158"/>
    </row>
    <row r="459" spans="8:14" x14ac:dyDescent="0.2">
      <c r="H459" s="306">
        <f t="shared" si="11"/>
        <v>40940</v>
      </c>
      <c r="I459" s="284">
        <f t="shared" si="12"/>
        <v>526576.90819705126</v>
      </c>
      <c r="J459" s="303"/>
      <c r="K459" s="304"/>
      <c r="L459" s="304"/>
      <c r="M459" s="157"/>
      <c r="N459" s="158"/>
    </row>
    <row r="460" spans="8:14" x14ac:dyDescent="0.2">
      <c r="H460" s="306">
        <f t="shared" si="11"/>
        <v>40969</v>
      </c>
      <c r="I460" s="284">
        <f t="shared" si="12"/>
        <v>527125.4258097565</v>
      </c>
      <c r="J460" s="303"/>
      <c r="K460" s="304"/>
      <c r="L460" s="304"/>
      <c r="M460" s="157"/>
      <c r="N460" s="158"/>
    </row>
    <row r="461" spans="8:14" x14ac:dyDescent="0.2">
      <c r="H461" s="306">
        <f t="shared" si="11"/>
        <v>41000</v>
      </c>
      <c r="I461" s="284">
        <f t="shared" si="12"/>
        <v>527674.51479497494</v>
      </c>
      <c r="J461" s="303"/>
      <c r="K461" s="304"/>
      <c r="L461" s="304"/>
      <c r="M461" s="157"/>
      <c r="N461" s="158"/>
    </row>
    <row r="462" spans="8:14" x14ac:dyDescent="0.2">
      <c r="H462" s="306">
        <f t="shared" si="11"/>
        <v>41030</v>
      </c>
      <c r="I462" s="284">
        <f t="shared" si="12"/>
        <v>528224.1757478863</v>
      </c>
      <c r="J462" s="303"/>
      <c r="K462" s="304"/>
      <c r="L462" s="304"/>
      <c r="M462" s="157"/>
      <c r="N462" s="158"/>
    </row>
    <row r="463" spans="8:14" x14ac:dyDescent="0.2">
      <c r="H463" s="306">
        <f t="shared" si="11"/>
        <v>41061</v>
      </c>
      <c r="I463" s="284">
        <f t="shared" si="12"/>
        <v>528774.40926429036</v>
      </c>
      <c r="J463" s="303"/>
      <c r="K463" s="304"/>
      <c r="L463" s="304"/>
      <c r="M463" s="157"/>
      <c r="N463" s="158"/>
    </row>
    <row r="464" spans="8:14" x14ac:dyDescent="0.2">
      <c r="H464" s="306">
        <f t="shared" si="11"/>
        <v>41091</v>
      </c>
      <c r="I464" s="284">
        <f t="shared" si="12"/>
        <v>529325.21594060725</v>
      </c>
      <c r="J464" s="303"/>
      <c r="K464" s="304"/>
      <c r="L464" s="304"/>
      <c r="M464" s="157"/>
      <c r="N464" s="158"/>
    </row>
    <row r="465" spans="8:14" x14ac:dyDescent="0.2">
      <c r="H465" s="306">
        <f t="shared" si="11"/>
        <v>41122</v>
      </c>
      <c r="I465" s="284">
        <f t="shared" si="12"/>
        <v>529876.59637387865</v>
      </c>
      <c r="J465" s="303"/>
      <c r="K465" s="304"/>
      <c r="L465" s="304"/>
      <c r="M465" s="157"/>
      <c r="N465" s="158"/>
    </row>
    <row r="466" spans="8:14" x14ac:dyDescent="0.2">
      <c r="H466" s="306">
        <f t="shared" si="11"/>
        <v>41153</v>
      </c>
      <c r="I466" s="284">
        <f t="shared" si="12"/>
        <v>530428.55116176803</v>
      </c>
      <c r="J466" s="303"/>
      <c r="K466" s="304"/>
      <c r="L466" s="304"/>
      <c r="M466" s="157"/>
      <c r="N466" s="158"/>
    </row>
    <row r="467" spans="8:14" x14ac:dyDescent="0.2">
      <c r="H467" s="306">
        <f t="shared" si="11"/>
        <v>41183</v>
      </c>
      <c r="I467" s="284">
        <f t="shared" si="12"/>
        <v>530981.08090256155</v>
      </c>
      <c r="J467" s="303"/>
      <c r="K467" s="304"/>
      <c r="L467" s="304"/>
      <c r="M467" s="157"/>
      <c r="N467" s="158"/>
    </row>
    <row r="468" spans="8:14" x14ac:dyDescent="0.2">
      <c r="H468" s="306">
        <f t="shared" si="11"/>
        <v>41214</v>
      </c>
      <c r="I468" s="284">
        <f t="shared" si="12"/>
        <v>531534.18619516829</v>
      </c>
      <c r="J468" s="303"/>
      <c r="K468" s="304"/>
      <c r="L468" s="304"/>
      <c r="M468" s="157"/>
      <c r="N468" s="158"/>
    </row>
    <row r="469" spans="8:14" x14ac:dyDescent="0.2">
      <c r="H469" s="306">
        <f t="shared" si="11"/>
        <v>41244</v>
      </c>
      <c r="I469" s="284">
        <f t="shared" si="12"/>
        <v>532087.8676391216</v>
      </c>
      <c r="J469" s="303"/>
      <c r="K469" s="304"/>
      <c r="L469" s="304"/>
      <c r="M469" s="157"/>
      <c r="N469" s="158"/>
    </row>
    <row r="470" spans="8:14" x14ac:dyDescent="0.2">
      <c r="H470" s="306">
        <f t="shared" si="11"/>
        <v>41275</v>
      </c>
      <c r="I470" s="284">
        <f t="shared" si="12"/>
        <v>532642.125834579</v>
      </c>
      <c r="J470" s="303"/>
      <c r="K470" s="304"/>
      <c r="L470" s="304"/>
      <c r="M470" s="157"/>
      <c r="N470" s="158"/>
    </row>
    <row r="471" spans="8:14" x14ac:dyDescent="0.2">
      <c r="H471" s="306">
        <f t="shared" si="11"/>
        <v>41306</v>
      </c>
      <c r="I471" s="284">
        <f t="shared" si="12"/>
        <v>533196.96138232329</v>
      </c>
      <c r="J471" s="303"/>
      <c r="K471" s="304"/>
      <c r="L471" s="304"/>
      <c r="M471" s="157"/>
      <c r="N471" s="158"/>
    </row>
    <row r="472" spans="8:14" x14ac:dyDescent="0.2">
      <c r="H472" s="306">
        <f t="shared" si="11"/>
        <v>41334</v>
      </c>
      <c r="I472" s="284">
        <f t="shared" si="12"/>
        <v>533752.37488376314</v>
      </c>
      <c r="J472" s="303"/>
      <c r="K472" s="304"/>
      <c r="L472" s="304"/>
      <c r="M472" s="157"/>
      <c r="N472" s="158"/>
    </row>
    <row r="473" spans="8:14" x14ac:dyDescent="0.2">
      <c r="H473" s="306">
        <f t="shared" si="11"/>
        <v>41365</v>
      </c>
      <c r="I473" s="284">
        <f t="shared" si="12"/>
        <v>534308.36694093375</v>
      </c>
      <c r="J473" s="303"/>
      <c r="K473" s="304"/>
      <c r="L473" s="304"/>
      <c r="M473" s="157"/>
      <c r="N473" s="158"/>
    </row>
    <row r="474" spans="8:14" x14ac:dyDescent="0.2">
      <c r="H474" s="306">
        <f t="shared" si="11"/>
        <v>41395</v>
      </c>
      <c r="I474" s="284">
        <f t="shared" si="12"/>
        <v>534864.9381564972</v>
      </c>
      <c r="J474" s="303"/>
      <c r="K474" s="304"/>
      <c r="L474" s="304"/>
      <c r="M474" s="157"/>
      <c r="N474" s="158"/>
    </row>
    <row r="475" spans="8:14" x14ac:dyDescent="0.2">
      <c r="H475" s="306">
        <f t="shared" si="11"/>
        <v>41426</v>
      </c>
      <c r="I475" s="284">
        <f t="shared" si="12"/>
        <v>535422.08913374355</v>
      </c>
      <c r="J475" s="303"/>
      <c r="K475" s="304"/>
      <c r="L475" s="304"/>
      <c r="M475" s="157"/>
      <c r="N475" s="158"/>
    </row>
    <row r="476" spans="8:14" x14ac:dyDescent="0.2">
      <c r="H476" s="306">
        <f t="shared" si="11"/>
        <v>41456</v>
      </c>
      <c r="I476" s="284">
        <f t="shared" si="12"/>
        <v>535979.82047659112</v>
      </c>
      <c r="J476" s="303"/>
      <c r="K476" s="304"/>
      <c r="L476" s="304"/>
      <c r="M476" s="157"/>
      <c r="N476" s="158"/>
    </row>
    <row r="477" spans="8:14" x14ac:dyDescent="0.2">
      <c r="H477" s="306">
        <f t="shared" si="11"/>
        <v>41487</v>
      </c>
      <c r="I477" s="284">
        <f t="shared" si="12"/>
        <v>536538.13278958749</v>
      </c>
      <c r="J477" s="303"/>
      <c r="K477" s="304"/>
      <c r="L477" s="304"/>
      <c r="M477" s="157"/>
      <c r="N477" s="158"/>
    </row>
    <row r="478" spans="8:14" x14ac:dyDescent="0.2">
      <c r="H478" s="306">
        <f t="shared" si="11"/>
        <v>41518</v>
      </c>
      <c r="I478" s="284">
        <f t="shared" si="12"/>
        <v>537097.02667790989</v>
      </c>
      <c r="J478" s="303"/>
      <c r="K478" s="304"/>
      <c r="L478" s="304"/>
      <c r="M478" s="157"/>
      <c r="N478" s="158"/>
    </row>
    <row r="479" spans="8:14" x14ac:dyDescent="0.2">
      <c r="H479" s="306">
        <f t="shared" si="11"/>
        <v>41548</v>
      </c>
      <c r="I479" s="284">
        <f t="shared" si="12"/>
        <v>537656.50274736597</v>
      </c>
      <c r="J479" s="303"/>
      <c r="K479" s="304"/>
      <c r="L479" s="304"/>
      <c r="M479" s="157"/>
      <c r="N479" s="158"/>
    </row>
    <row r="480" spans="8:14" x14ac:dyDescent="0.2">
      <c r="H480" s="306">
        <f t="shared" si="11"/>
        <v>41579</v>
      </c>
      <c r="I480" s="284">
        <f t="shared" si="12"/>
        <v>538216.56160439446</v>
      </c>
      <c r="J480" s="303"/>
      <c r="K480" s="304"/>
      <c r="L480" s="304"/>
      <c r="M480" s="157"/>
      <c r="N480" s="158"/>
    </row>
    <row r="481" spans="8:14" x14ac:dyDescent="0.2">
      <c r="H481" s="306">
        <f t="shared" si="11"/>
        <v>41609</v>
      </c>
      <c r="I481" s="284">
        <f t="shared" si="12"/>
        <v>538777.20385606564</v>
      </c>
      <c r="J481" s="303"/>
      <c r="K481" s="304"/>
      <c r="L481" s="304"/>
      <c r="M481" s="157"/>
      <c r="N481" s="158"/>
    </row>
    <row r="482" spans="8:14" x14ac:dyDescent="0.2">
      <c r="H482" s="306">
        <f t="shared" si="11"/>
        <v>41640</v>
      </c>
      <c r="I482" s="284">
        <f t="shared" si="12"/>
        <v>539338.43011008238</v>
      </c>
      <c r="J482" s="303"/>
      <c r="K482" s="304"/>
      <c r="L482" s="304"/>
      <c r="M482" s="157"/>
      <c r="N482" s="158"/>
    </row>
    <row r="483" spans="8:14" x14ac:dyDescent="0.2">
      <c r="H483" s="306">
        <f t="shared" si="11"/>
        <v>41671</v>
      </c>
      <c r="I483" s="284">
        <f t="shared" si="12"/>
        <v>539900.2409747804</v>
      </c>
      <c r="J483" s="303"/>
      <c r="K483" s="304"/>
      <c r="L483" s="304"/>
      <c r="M483" s="157"/>
      <c r="N483" s="158"/>
    </row>
    <row r="484" spans="8:14" x14ac:dyDescent="0.2">
      <c r="H484" s="306">
        <f t="shared" si="11"/>
        <v>41699</v>
      </c>
      <c r="I484" s="284">
        <f t="shared" si="12"/>
        <v>540462.63705912908</v>
      </c>
      <c r="J484" s="303"/>
      <c r="K484" s="304"/>
      <c r="L484" s="304"/>
      <c r="M484" s="157"/>
      <c r="N484" s="158"/>
    </row>
    <row r="485" spans="8:14" x14ac:dyDescent="0.2">
      <c r="H485" s="306">
        <f t="shared" si="11"/>
        <v>41730</v>
      </c>
      <c r="I485" s="284">
        <f t="shared" si="12"/>
        <v>541025.61897273234</v>
      </c>
      <c r="J485" s="303"/>
      <c r="K485" s="304"/>
      <c r="L485" s="304"/>
      <c r="M485" s="157"/>
      <c r="N485" s="158"/>
    </row>
    <row r="486" spans="8:14" x14ac:dyDescent="0.2">
      <c r="H486" s="306">
        <f t="shared" si="11"/>
        <v>41760</v>
      </c>
      <c r="I486" s="284">
        <f t="shared" si="12"/>
        <v>541589.18732582894</v>
      </c>
      <c r="J486" s="303"/>
      <c r="K486" s="304"/>
      <c r="L486" s="304"/>
      <c r="M486" s="157"/>
      <c r="N486" s="158"/>
    </row>
    <row r="487" spans="8:14" x14ac:dyDescent="0.2">
      <c r="H487" s="306">
        <f t="shared" si="11"/>
        <v>41791</v>
      </c>
      <c r="I487" s="284">
        <f t="shared" si="12"/>
        <v>542153.34272929328</v>
      </c>
      <c r="J487" s="303"/>
      <c r="K487" s="304"/>
      <c r="L487" s="304"/>
      <c r="M487" s="157"/>
      <c r="N487" s="158"/>
    </row>
    <row r="488" spans="8:14" x14ac:dyDescent="0.2">
      <c r="H488" s="306">
        <f t="shared" si="11"/>
        <v>41821</v>
      </c>
      <c r="I488" s="284">
        <f t="shared" si="12"/>
        <v>542718.08579463628</v>
      </c>
      <c r="J488" s="303"/>
      <c r="K488" s="304"/>
      <c r="L488" s="304"/>
      <c r="M488" s="157"/>
      <c r="N488" s="158"/>
    </row>
    <row r="489" spans="8:14" x14ac:dyDescent="0.2">
      <c r="H489" s="306">
        <f t="shared" si="11"/>
        <v>41852</v>
      </c>
      <c r="I489" s="284">
        <f t="shared" si="12"/>
        <v>543283.41713400569</v>
      </c>
      <c r="J489" s="303"/>
      <c r="K489" s="304"/>
      <c r="L489" s="304"/>
      <c r="M489" s="157"/>
      <c r="N489" s="158"/>
    </row>
    <row r="490" spans="8:14" x14ac:dyDescent="0.2">
      <c r="H490" s="306">
        <f t="shared" si="11"/>
        <v>41883</v>
      </c>
      <c r="I490" s="284">
        <f t="shared" si="12"/>
        <v>543849.33736018697</v>
      </c>
      <c r="J490" s="303"/>
      <c r="K490" s="304"/>
      <c r="L490" s="304"/>
      <c r="M490" s="157"/>
      <c r="N490" s="158"/>
    </row>
    <row r="491" spans="8:14" x14ac:dyDescent="0.2">
      <c r="H491" s="306">
        <f t="shared" si="11"/>
        <v>41913</v>
      </c>
      <c r="I491" s="284">
        <f t="shared" si="12"/>
        <v>544415.84708660375</v>
      </c>
      <c r="J491" s="303"/>
      <c r="K491" s="304"/>
      <c r="L491" s="304"/>
      <c r="M491" s="157"/>
      <c r="N491" s="158"/>
    </row>
    <row r="492" spans="8:14" x14ac:dyDescent="0.2">
      <c r="H492" s="306">
        <f t="shared" si="11"/>
        <v>41944</v>
      </c>
      <c r="I492" s="284">
        <f t="shared" si="12"/>
        <v>544982.94692731893</v>
      </c>
      <c r="J492" s="303"/>
      <c r="K492" s="304"/>
      <c r="L492" s="304"/>
      <c r="M492" s="157"/>
      <c r="N492" s="158"/>
    </row>
    <row r="493" spans="8:14" x14ac:dyDescent="0.2">
      <c r="H493" s="306">
        <f t="shared" si="11"/>
        <v>41974</v>
      </c>
      <c r="I493" s="284">
        <f t="shared" si="12"/>
        <v>545550.63749703486</v>
      </c>
      <c r="J493" s="303"/>
      <c r="K493" s="304"/>
      <c r="L493" s="304"/>
      <c r="M493" s="157"/>
      <c r="N493" s="158"/>
    </row>
    <row r="494" spans="8:14" x14ac:dyDescent="0.2">
      <c r="H494" s="306">
        <f t="shared" si="11"/>
        <v>42005</v>
      </c>
      <c r="I494" s="284">
        <f t="shared" si="12"/>
        <v>546118.91941109428</v>
      </c>
      <c r="J494" s="303"/>
      <c r="K494" s="304"/>
      <c r="L494" s="304"/>
      <c r="M494" s="157"/>
      <c r="N494" s="158"/>
    </row>
    <row r="495" spans="8:14" x14ac:dyDescent="0.2">
      <c r="H495" s="306">
        <f t="shared" si="11"/>
        <v>42036</v>
      </c>
      <c r="I495" s="284">
        <f t="shared" si="12"/>
        <v>546687.79328548082</v>
      </c>
      <c r="J495" s="303"/>
      <c r="K495" s="304"/>
      <c r="L495" s="304"/>
      <c r="M495" s="157"/>
      <c r="N495" s="158"/>
    </row>
    <row r="496" spans="8:14" x14ac:dyDescent="0.2">
      <c r="H496" s="306">
        <f t="shared" si="11"/>
        <v>42064</v>
      </c>
      <c r="I496" s="284">
        <f t="shared" si="12"/>
        <v>547257.25973681977</v>
      </c>
      <c r="J496" s="303"/>
      <c r="K496" s="304"/>
      <c r="L496" s="304"/>
      <c r="M496" s="157"/>
      <c r="N496" s="158"/>
    </row>
    <row r="497" spans="8:14" x14ac:dyDescent="0.2">
      <c r="H497" s="306">
        <f t="shared" si="11"/>
        <v>42095</v>
      </c>
      <c r="I497" s="284">
        <f t="shared" si="12"/>
        <v>547827.31938237895</v>
      </c>
      <c r="J497" s="303"/>
      <c r="K497" s="304"/>
      <c r="L497" s="304"/>
      <c r="M497" s="157"/>
      <c r="N497" s="158"/>
    </row>
    <row r="498" spans="8:14" x14ac:dyDescent="0.2">
      <c r="H498" s="306">
        <f t="shared" si="11"/>
        <v>42125</v>
      </c>
      <c r="I498" s="284">
        <f t="shared" si="12"/>
        <v>548397.97284006886</v>
      </c>
      <c r="J498" s="303"/>
      <c r="K498" s="304"/>
      <c r="L498" s="304"/>
      <c r="M498" s="157"/>
      <c r="N498" s="158"/>
    </row>
    <row r="499" spans="8:14" x14ac:dyDescent="0.2">
      <c r="H499" s="306">
        <f t="shared" si="11"/>
        <v>42156</v>
      </c>
      <c r="I499" s="284">
        <f t="shared" si="12"/>
        <v>548969.22072844394</v>
      </c>
      <c r="J499" s="303"/>
      <c r="K499" s="304"/>
      <c r="L499" s="304"/>
      <c r="M499" s="157"/>
      <c r="N499" s="158"/>
    </row>
    <row r="500" spans="8:14" x14ac:dyDescent="0.2">
      <c r="H500" s="306">
        <f t="shared" si="11"/>
        <v>42186</v>
      </c>
      <c r="I500" s="284">
        <f t="shared" si="12"/>
        <v>549541.06366670271</v>
      </c>
      <c r="J500" s="303"/>
      <c r="K500" s="304"/>
      <c r="L500" s="304"/>
      <c r="M500" s="157"/>
      <c r="N500" s="158"/>
    </row>
    <row r="501" spans="8:14" x14ac:dyDescent="0.2">
      <c r="H501" s="306">
        <f t="shared" si="11"/>
        <v>42217</v>
      </c>
      <c r="I501" s="284">
        <f t="shared" si="12"/>
        <v>550113.5022746888</v>
      </c>
      <c r="J501" s="303"/>
      <c r="K501" s="304"/>
      <c r="L501" s="304"/>
      <c r="M501" s="157"/>
      <c r="N501" s="158"/>
    </row>
    <row r="502" spans="8:14" x14ac:dyDescent="0.2">
      <c r="H502" s="306">
        <f t="shared" si="11"/>
        <v>42248</v>
      </c>
      <c r="I502" s="284">
        <f t="shared" si="12"/>
        <v>550686.53717289155</v>
      </c>
      <c r="J502" s="303"/>
      <c r="K502" s="304"/>
      <c r="L502" s="304"/>
      <c r="M502" s="157"/>
      <c r="N502" s="158"/>
    </row>
    <row r="503" spans="8:14" x14ac:dyDescent="0.2">
      <c r="H503" s="306">
        <f t="shared" si="11"/>
        <v>42278</v>
      </c>
      <c r="I503" s="284">
        <f t="shared" si="12"/>
        <v>551260.16898244666</v>
      </c>
      <c r="J503" s="303"/>
      <c r="K503" s="304"/>
      <c r="L503" s="304"/>
      <c r="M503" s="157"/>
      <c r="N503" s="158"/>
    </row>
    <row r="504" spans="8:14" x14ac:dyDescent="0.2">
      <c r="H504" s="306">
        <f t="shared" si="11"/>
        <v>42309</v>
      </c>
      <c r="I504" s="284">
        <f t="shared" si="12"/>
        <v>551834.39832513663</v>
      </c>
      <c r="J504" s="303"/>
      <c r="K504" s="304"/>
      <c r="L504" s="304"/>
      <c r="M504" s="157"/>
      <c r="N504" s="158"/>
    </row>
    <row r="505" spans="8:14" x14ac:dyDescent="0.2">
      <c r="H505" s="306">
        <f t="shared" si="11"/>
        <v>42339</v>
      </c>
      <c r="I505" s="284">
        <f t="shared" si="12"/>
        <v>552409.22582339193</v>
      </c>
      <c r="J505" s="303"/>
      <c r="K505" s="304"/>
      <c r="L505" s="304"/>
      <c r="M505" s="157"/>
      <c r="N505" s="158"/>
    </row>
    <row r="506" spans="8:14" x14ac:dyDescent="0.2">
      <c r="H506" s="306">
        <f t="shared" si="11"/>
        <v>42370</v>
      </c>
      <c r="I506" s="284">
        <f t="shared" si="12"/>
        <v>552984.65210029122</v>
      </c>
      <c r="J506" s="303"/>
      <c r="K506" s="304"/>
      <c r="L506" s="304"/>
      <c r="M506" s="157"/>
      <c r="N506" s="158"/>
    </row>
    <row r="507" spans="8:14" x14ac:dyDescent="0.2">
      <c r="H507" s="306">
        <f t="shared" si="11"/>
        <v>42401</v>
      </c>
      <c r="I507" s="284">
        <f t="shared" si="12"/>
        <v>553560.67777956231</v>
      </c>
      <c r="J507" s="303"/>
      <c r="K507" s="304"/>
      <c r="L507" s="304"/>
      <c r="M507" s="157"/>
      <c r="N507" s="158"/>
    </row>
    <row r="508" spans="8:14" x14ac:dyDescent="0.2">
      <c r="H508" s="306">
        <f t="shared" si="11"/>
        <v>42430</v>
      </c>
      <c r="I508" s="284">
        <f t="shared" si="12"/>
        <v>554137.3034855827</v>
      </c>
      <c r="J508" s="303"/>
      <c r="K508" s="304"/>
      <c r="L508" s="304"/>
      <c r="M508" s="157"/>
      <c r="N508" s="158"/>
    </row>
    <row r="509" spans="8:14" x14ac:dyDescent="0.2">
      <c r="H509" s="306">
        <f t="shared" si="11"/>
        <v>42461</v>
      </c>
      <c r="I509" s="284">
        <f t="shared" si="12"/>
        <v>554714.52984338009</v>
      </c>
      <c r="J509" s="303"/>
      <c r="K509" s="304"/>
      <c r="L509" s="304"/>
      <c r="M509" s="157"/>
      <c r="N509" s="158"/>
    </row>
    <row r="510" spans="8:14" x14ac:dyDescent="0.2">
      <c r="H510" s="306">
        <f t="shared" si="11"/>
        <v>42491</v>
      </c>
      <c r="I510" s="284">
        <f t="shared" si="12"/>
        <v>555292.35747863352</v>
      </c>
      <c r="J510" s="303"/>
      <c r="K510" s="304"/>
      <c r="L510" s="304"/>
      <c r="M510" s="157"/>
      <c r="N510" s="158"/>
    </row>
    <row r="511" spans="8:14" x14ac:dyDescent="0.2">
      <c r="H511" s="306">
        <f t="shared" si="11"/>
        <v>42522</v>
      </c>
      <c r="I511" s="284">
        <f t="shared" si="12"/>
        <v>555870.78701767372</v>
      </c>
      <c r="J511" s="303"/>
      <c r="K511" s="304"/>
      <c r="L511" s="304"/>
      <c r="M511" s="157"/>
      <c r="N511" s="158"/>
    </row>
    <row r="512" spans="8:14" x14ac:dyDescent="0.2">
      <c r="H512" s="306">
        <f t="shared" si="11"/>
        <v>42552</v>
      </c>
      <c r="I512" s="284">
        <f t="shared" si="12"/>
        <v>556449.8190874838</v>
      </c>
      <c r="J512" s="303"/>
      <c r="K512" s="304"/>
      <c r="L512" s="304"/>
      <c r="M512" s="157"/>
      <c r="N512" s="158"/>
    </row>
    <row r="513" spans="8:14" x14ac:dyDescent="0.2">
      <c r="H513" s="306">
        <f t="shared" ref="H513:H576" si="13">+H205</f>
        <v>42583</v>
      </c>
      <c r="I513" s="284">
        <f t="shared" si="12"/>
        <v>557029.45431569987</v>
      </c>
      <c r="J513" s="303"/>
      <c r="K513" s="304"/>
      <c r="L513" s="304"/>
      <c r="M513" s="157"/>
      <c r="N513" s="158"/>
    </row>
    <row r="514" spans="8:14" x14ac:dyDescent="0.2">
      <c r="H514" s="306">
        <f t="shared" si="13"/>
        <v>42614</v>
      </c>
      <c r="I514" s="284">
        <f t="shared" si="12"/>
        <v>557609.69333061203</v>
      </c>
      <c r="J514" s="303"/>
      <c r="K514" s="304"/>
      <c r="L514" s="304"/>
      <c r="M514" s="157"/>
      <c r="N514" s="158"/>
    </row>
    <row r="515" spans="8:14" x14ac:dyDescent="0.2">
      <c r="H515" s="306">
        <f t="shared" si="13"/>
        <v>42644</v>
      </c>
      <c r="I515" s="284">
        <f t="shared" si="12"/>
        <v>558190.53676116467</v>
      </c>
      <c r="J515" s="303"/>
      <c r="K515" s="304"/>
      <c r="L515" s="304"/>
      <c r="M515" s="157"/>
      <c r="N515" s="158"/>
    </row>
    <row r="516" spans="8:14" x14ac:dyDescent="0.2">
      <c r="H516" s="306">
        <f t="shared" si="13"/>
        <v>42675</v>
      </c>
      <c r="I516" s="284">
        <f t="shared" si="12"/>
        <v>558771.98523695755</v>
      </c>
      <c r="J516" s="303"/>
      <c r="K516" s="304"/>
      <c r="L516" s="304"/>
      <c r="M516" s="157"/>
      <c r="N516" s="158"/>
    </row>
    <row r="517" spans="8:14" x14ac:dyDescent="0.2">
      <c r="H517" s="306">
        <f t="shared" si="13"/>
        <v>42705</v>
      </c>
      <c r="I517" s="284">
        <f t="shared" si="12"/>
        <v>559354.03938824602</v>
      </c>
      <c r="J517" s="303"/>
      <c r="K517" s="304"/>
      <c r="L517" s="304"/>
      <c r="M517" s="157"/>
      <c r="N517" s="158"/>
    </row>
    <row r="518" spans="8:14" x14ac:dyDescent="0.2">
      <c r="H518" s="306">
        <f t="shared" si="13"/>
        <v>42736</v>
      </c>
      <c r="I518" s="284">
        <f t="shared" ref="I518:I581" si="14">+I517*(1+I$319/12)</f>
        <v>559936.69984594209</v>
      </c>
      <c r="J518" s="303"/>
      <c r="K518" s="304"/>
      <c r="L518" s="304"/>
      <c r="M518" s="157"/>
      <c r="N518" s="158"/>
    </row>
    <row r="519" spans="8:14" x14ac:dyDescent="0.2">
      <c r="H519" s="306">
        <f t="shared" si="13"/>
        <v>42767</v>
      </c>
      <c r="I519" s="284">
        <f t="shared" si="14"/>
        <v>560519.96724161494</v>
      </c>
      <c r="J519" s="303"/>
      <c r="K519" s="304"/>
      <c r="L519" s="304"/>
      <c r="M519" s="157"/>
      <c r="N519" s="158"/>
    </row>
    <row r="520" spans="8:14" x14ac:dyDescent="0.2">
      <c r="H520" s="306">
        <f t="shared" si="13"/>
        <v>42795</v>
      </c>
      <c r="I520" s="284">
        <f t="shared" si="14"/>
        <v>561103.84220749163</v>
      </c>
      <c r="J520" s="303"/>
      <c r="K520" s="304"/>
      <c r="L520" s="304"/>
      <c r="M520" s="157"/>
      <c r="N520" s="158"/>
    </row>
    <row r="521" spans="8:14" x14ac:dyDescent="0.2">
      <c r="H521" s="306">
        <f t="shared" si="13"/>
        <v>42826</v>
      </c>
      <c r="I521" s="284">
        <f t="shared" si="14"/>
        <v>561688.32537645777</v>
      </c>
      <c r="J521" s="303"/>
      <c r="K521" s="304"/>
      <c r="L521" s="304"/>
      <c r="M521" s="157"/>
      <c r="N521" s="158"/>
    </row>
    <row r="522" spans="8:14" x14ac:dyDescent="0.2">
      <c r="H522" s="306">
        <f t="shared" si="13"/>
        <v>42856</v>
      </c>
      <c r="I522" s="284">
        <f t="shared" si="14"/>
        <v>562273.41738205822</v>
      </c>
      <c r="J522" s="303"/>
      <c r="K522" s="304"/>
      <c r="L522" s="304"/>
      <c r="M522" s="157"/>
      <c r="N522" s="158"/>
    </row>
    <row r="523" spans="8:14" x14ac:dyDescent="0.2">
      <c r="H523" s="306">
        <f t="shared" si="13"/>
        <v>42887</v>
      </c>
      <c r="I523" s="284">
        <f t="shared" si="14"/>
        <v>562859.11885849782</v>
      </c>
      <c r="J523" s="303"/>
      <c r="K523" s="304"/>
      <c r="L523" s="304"/>
      <c r="M523" s="157"/>
      <c r="N523" s="158"/>
    </row>
    <row r="524" spans="8:14" x14ac:dyDescent="0.2">
      <c r="H524" s="306">
        <f t="shared" si="13"/>
        <v>42917</v>
      </c>
      <c r="I524" s="284">
        <f t="shared" si="14"/>
        <v>563445.43044064206</v>
      </c>
      <c r="J524" s="157"/>
      <c r="K524" s="157"/>
      <c r="L524" s="157"/>
      <c r="M524" s="157"/>
      <c r="N524" s="158"/>
    </row>
    <row r="525" spans="8:14" x14ac:dyDescent="0.2">
      <c r="H525" s="306">
        <f t="shared" si="13"/>
        <v>42948</v>
      </c>
      <c r="I525" s="284">
        <f t="shared" si="14"/>
        <v>564032.35276401765</v>
      </c>
      <c r="J525" s="157"/>
      <c r="K525" s="157"/>
      <c r="L525" s="157"/>
      <c r="M525" s="157"/>
      <c r="N525" s="158"/>
    </row>
    <row r="526" spans="8:14" x14ac:dyDescent="0.2">
      <c r="H526" s="306">
        <f t="shared" si="13"/>
        <v>42979</v>
      </c>
      <c r="I526" s="284">
        <f t="shared" si="14"/>
        <v>564619.88646481349</v>
      </c>
      <c r="J526" s="157"/>
      <c r="K526" s="157"/>
      <c r="L526" s="157"/>
      <c r="M526" s="157"/>
      <c r="N526" s="158"/>
    </row>
    <row r="527" spans="8:14" x14ac:dyDescent="0.2">
      <c r="H527" s="306">
        <f t="shared" si="13"/>
        <v>43009</v>
      </c>
      <c r="I527" s="284">
        <f t="shared" si="14"/>
        <v>565208.032179881</v>
      </c>
      <c r="J527" s="157"/>
      <c r="K527" s="157"/>
      <c r="L527" s="157"/>
      <c r="M527" s="157"/>
      <c r="N527" s="158"/>
    </row>
    <row r="528" spans="8:14" x14ac:dyDescent="0.2">
      <c r="H528" s="306">
        <f t="shared" si="13"/>
        <v>43040</v>
      </c>
      <c r="I528" s="284">
        <f t="shared" si="14"/>
        <v>565796.79054673505</v>
      </c>
      <c r="J528" s="157"/>
      <c r="K528" s="157"/>
      <c r="L528" s="157"/>
      <c r="M528" s="157"/>
      <c r="N528" s="158"/>
    </row>
    <row r="529" spans="8:14" x14ac:dyDescent="0.2">
      <c r="H529" s="306">
        <f t="shared" si="13"/>
        <v>43070</v>
      </c>
      <c r="I529" s="284">
        <f t="shared" si="14"/>
        <v>566386.16220355453</v>
      </c>
      <c r="J529" s="157"/>
      <c r="K529" s="157"/>
      <c r="L529" s="157"/>
      <c r="M529" s="157"/>
      <c r="N529" s="158"/>
    </row>
    <row r="530" spans="8:14" x14ac:dyDescent="0.2">
      <c r="H530" s="306">
        <f t="shared" si="13"/>
        <v>43101</v>
      </c>
      <c r="I530" s="284">
        <f t="shared" si="14"/>
        <v>566976.14778918319</v>
      </c>
      <c r="J530" s="157"/>
      <c r="K530" s="157"/>
      <c r="L530" s="157"/>
      <c r="M530" s="157"/>
      <c r="N530" s="158"/>
    </row>
    <row r="531" spans="8:14" x14ac:dyDescent="0.2">
      <c r="H531" s="306">
        <f t="shared" si="13"/>
        <v>43132</v>
      </c>
      <c r="I531" s="284">
        <f t="shared" si="14"/>
        <v>567566.74794313021</v>
      </c>
      <c r="J531" s="157"/>
      <c r="K531" s="157"/>
      <c r="L531" s="157"/>
      <c r="M531" s="157"/>
      <c r="N531" s="158"/>
    </row>
    <row r="532" spans="8:14" x14ac:dyDescent="0.2">
      <c r="H532" s="306">
        <f t="shared" si="13"/>
        <v>43160</v>
      </c>
      <c r="I532" s="284">
        <f t="shared" si="14"/>
        <v>568157.96330557088</v>
      </c>
      <c r="J532" s="157"/>
      <c r="K532" s="157"/>
      <c r="L532" s="157"/>
      <c r="M532" s="157"/>
      <c r="N532" s="158"/>
    </row>
    <row r="533" spans="8:14" x14ac:dyDescent="0.2">
      <c r="H533" s="306">
        <f t="shared" si="13"/>
        <v>43191</v>
      </c>
      <c r="I533" s="284">
        <f t="shared" si="14"/>
        <v>568749.79451734747</v>
      </c>
      <c r="J533" s="157"/>
      <c r="K533" s="157"/>
      <c r="L533" s="157"/>
      <c r="M533" s="157"/>
      <c r="N533" s="158"/>
    </row>
    <row r="534" spans="8:14" x14ac:dyDescent="0.2">
      <c r="H534" s="306">
        <f t="shared" si="13"/>
        <v>43221</v>
      </c>
      <c r="I534" s="284">
        <f t="shared" si="14"/>
        <v>569342.24221996963</v>
      </c>
      <c r="J534" s="157"/>
      <c r="K534" s="157"/>
      <c r="L534" s="157"/>
      <c r="M534" s="157"/>
      <c r="N534" s="158"/>
    </row>
    <row r="535" spans="8:14" x14ac:dyDescent="0.2">
      <c r="H535" s="306">
        <f t="shared" si="13"/>
        <v>43252</v>
      </c>
      <c r="I535" s="284">
        <f t="shared" si="14"/>
        <v>569935.30705561535</v>
      </c>
      <c r="J535" s="157"/>
      <c r="K535" s="157"/>
      <c r="L535" s="157"/>
      <c r="M535" s="157"/>
      <c r="N535" s="158"/>
    </row>
    <row r="536" spans="8:14" x14ac:dyDescent="0.2">
      <c r="H536" s="306">
        <f t="shared" si="13"/>
        <v>43282</v>
      </c>
      <c r="I536" s="284">
        <f t="shared" si="14"/>
        <v>570528.98966713157</v>
      </c>
      <c r="J536" s="157"/>
      <c r="K536" s="157"/>
      <c r="L536" s="157"/>
      <c r="M536" s="157"/>
      <c r="N536" s="158"/>
    </row>
    <row r="537" spans="8:14" x14ac:dyDescent="0.2">
      <c r="H537" s="306">
        <f t="shared" si="13"/>
        <v>43313</v>
      </c>
      <c r="I537" s="284">
        <f t="shared" si="14"/>
        <v>571123.29069803481</v>
      </c>
      <c r="J537" s="157"/>
      <c r="K537" s="157"/>
      <c r="L537" s="157"/>
      <c r="M537" s="157"/>
      <c r="N537" s="158"/>
    </row>
    <row r="538" spans="8:14" x14ac:dyDescent="0.2">
      <c r="H538" s="306">
        <f t="shared" si="13"/>
        <v>43344</v>
      </c>
      <c r="I538" s="284">
        <f t="shared" si="14"/>
        <v>571718.21079251193</v>
      </c>
      <c r="J538" s="157"/>
      <c r="K538" s="157"/>
      <c r="L538" s="157"/>
      <c r="M538" s="157"/>
      <c r="N538" s="158"/>
    </row>
    <row r="539" spans="8:14" x14ac:dyDescent="0.2">
      <c r="H539" s="306">
        <f t="shared" si="13"/>
        <v>43374</v>
      </c>
      <c r="I539" s="284">
        <f t="shared" si="14"/>
        <v>572313.75059542072</v>
      </c>
      <c r="J539" s="157"/>
      <c r="K539" s="157"/>
      <c r="L539" s="157"/>
      <c r="M539" s="157"/>
      <c r="N539" s="158"/>
    </row>
    <row r="540" spans="8:14" x14ac:dyDescent="0.2">
      <c r="H540" s="306">
        <f t="shared" si="13"/>
        <v>43405</v>
      </c>
      <c r="I540" s="284">
        <f t="shared" si="14"/>
        <v>572909.91075229086</v>
      </c>
      <c r="J540" s="157"/>
      <c r="K540" s="157"/>
      <c r="L540" s="157"/>
      <c r="M540" s="157"/>
      <c r="N540" s="158"/>
    </row>
    <row r="541" spans="8:14" x14ac:dyDescent="0.2">
      <c r="H541" s="306">
        <f t="shared" si="13"/>
        <v>43435</v>
      </c>
      <c r="I541" s="284">
        <f t="shared" si="14"/>
        <v>573506.69190932449</v>
      </c>
      <c r="J541" s="157"/>
      <c r="K541" s="157"/>
      <c r="L541" s="157"/>
      <c r="M541" s="157"/>
      <c r="N541" s="158"/>
    </row>
    <row r="542" spans="8:14" x14ac:dyDescent="0.2">
      <c r="H542" s="306">
        <f t="shared" si="13"/>
        <v>43466</v>
      </c>
      <c r="I542" s="284">
        <f t="shared" si="14"/>
        <v>574104.09471339663</v>
      </c>
      <c r="J542" s="157"/>
      <c r="K542" s="157"/>
      <c r="L542" s="157"/>
      <c r="M542" s="157"/>
      <c r="N542" s="158"/>
    </row>
    <row r="543" spans="8:14" x14ac:dyDescent="0.2">
      <c r="H543" s="306">
        <f t="shared" si="13"/>
        <v>43497</v>
      </c>
      <c r="I543" s="284">
        <f t="shared" si="14"/>
        <v>574702.11981205642</v>
      </c>
      <c r="J543" s="157"/>
      <c r="K543" s="157"/>
      <c r="L543" s="157"/>
      <c r="M543" s="157"/>
      <c r="N543" s="158"/>
    </row>
    <row r="544" spans="8:14" x14ac:dyDescent="0.2">
      <c r="H544" s="306">
        <f t="shared" si="13"/>
        <v>43525</v>
      </c>
      <c r="I544" s="284">
        <f t="shared" si="14"/>
        <v>575300.76785352733</v>
      </c>
      <c r="J544" s="157"/>
      <c r="K544" s="157"/>
      <c r="L544" s="157"/>
      <c r="M544" s="157"/>
      <c r="N544" s="158"/>
    </row>
    <row r="545" spans="8:14" x14ac:dyDescent="0.2">
      <c r="H545" s="306">
        <f t="shared" si="13"/>
        <v>43556</v>
      </c>
      <c r="I545" s="284">
        <v>0</v>
      </c>
      <c r="J545" s="157"/>
      <c r="K545" s="157"/>
      <c r="L545" s="157"/>
      <c r="M545" s="157"/>
      <c r="N545" s="158"/>
    </row>
    <row r="546" spans="8:14" x14ac:dyDescent="0.2">
      <c r="H546" s="306">
        <f t="shared" si="13"/>
        <v>43586</v>
      </c>
      <c r="I546" s="284">
        <f t="shared" si="14"/>
        <v>0</v>
      </c>
      <c r="J546" s="157"/>
      <c r="K546" s="157"/>
      <c r="L546" s="157"/>
      <c r="M546" s="157"/>
      <c r="N546" s="158"/>
    </row>
    <row r="547" spans="8:14" x14ac:dyDescent="0.2">
      <c r="H547" s="306">
        <f t="shared" si="13"/>
        <v>43617</v>
      </c>
      <c r="I547" s="284">
        <f t="shared" si="14"/>
        <v>0</v>
      </c>
      <c r="J547" s="157"/>
      <c r="K547" s="157"/>
      <c r="L547" s="157"/>
      <c r="M547" s="157"/>
      <c r="N547" s="158"/>
    </row>
    <row r="548" spans="8:14" x14ac:dyDescent="0.2">
      <c r="H548" s="306">
        <f t="shared" si="13"/>
        <v>43647</v>
      </c>
      <c r="I548" s="284">
        <f t="shared" si="14"/>
        <v>0</v>
      </c>
      <c r="J548" s="157"/>
      <c r="K548" s="157"/>
      <c r="L548" s="157"/>
      <c r="M548" s="157"/>
      <c r="N548" s="158"/>
    </row>
    <row r="549" spans="8:14" x14ac:dyDescent="0.2">
      <c r="H549" s="306">
        <f t="shared" si="13"/>
        <v>43678</v>
      </c>
      <c r="I549" s="284">
        <f t="shared" si="14"/>
        <v>0</v>
      </c>
      <c r="J549" s="157"/>
      <c r="K549" s="157"/>
      <c r="L549" s="157"/>
      <c r="M549" s="157"/>
      <c r="N549" s="158"/>
    </row>
    <row r="550" spans="8:14" x14ac:dyDescent="0.2">
      <c r="H550" s="306">
        <f t="shared" si="13"/>
        <v>43709</v>
      </c>
      <c r="I550" s="284">
        <f t="shared" si="14"/>
        <v>0</v>
      </c>
      <c r="J550" s="157"/>
      <c r="K550" s="157"/>
      <c r="L550" s="157"/>
      <c r="M550" s="157"/>
      <c r="N550" s="158"/>
    </row>
    <row r="551" spans="8:14" x14ac:dyDescent="0.2">
      <c r="H551" s="306">
        <f t="shared" si="13"/>
        <v>43739</v>
      </c>
      <c r="I551" s="284">
        <f t="shared" si="14"/>
        <v>0</v>
      </c>
      <c r="J551" s="157"/>
      <c r="K551" s="157"/>
      <c r="L551" s="157"/>
      <c r="M551" s="157"/>
      <c r="N551" s="158"/>
    </row>
    <row r="552" spans="8:14" x14ac:dyDescent="0.2">
      <c r="H552" s="306">
        <f t="shared" si="13"/>
        <v>43770</v>
      </c>
      <c r="I552" s="284">
        <f t="shared" si="14"/>
        <v>0</v>
      </c>
      <c r="J552" s="157"/>
      <c r="K552" s="157"/>
      <c r="L552" s="157"/>
      <c r="M552" s="157"/>
      <c r="N552" s="158"/>
    </row>
    <row r="553" spans="8:14" x14ac:dyDescent="0.2">
      <c r="H553" s="306">
        <f t="shared" si="13"/>
        <v>43800</v>
      </c>
      <c r="I553" s="284">
        <f t="shared" si="14"/>
        <v>0</v>
      </c>
      <c r="J553" s="157"/>
      <c r="K553" s="157"/>
      <c r="L553" s="157"/>
      <c r="M553" s="157"/>
      <c r="N553" s="158"/>
    </row>
    <row r="554" spans="8:14" x14ac:dyDescent="0.2">
      <c r="H554" s="306">
        <f t="shared" si="13"/>
        <v>43831</v>
      </c>
      <c r="I554" s="284">
        <f t="shared" si="14"/>
        <v>0</v>
      </c>
      <c r="J554" s="157"/>
      <c r="K554" s="157"/>
      <c r="L554" s="157"/>
      <c r="M554" s="157"/>
      <c r="N554" s="158"/>
    </row>
    <row r="555" spans="8:14" x14ac:dyDescent="0.2">
      <c r="H555" s="306">
        <f t="shared" si="13"/>
        <v>43862</v>
      </c>
      <c r="I555" s="284">
        <f t="shared" si="14"/>
        <v>0</v>
      </c>
      <c r="J555" s="157"/>
      <c r="K555" s="157"/>
      <c r="L555" s="157"/>
      <c r="M555" s="157"/>
      <c r="N555" s="158"/>
    </row>
    <row r="556" spans="8:14" x14ac:dyDescent="0.2">
      <c r="H556" s="306">
        <f t="shared" si="13"/>
        <v>43891</v>
      </c>
      <c r="I556" s="284">
        <f t="shared" si="14"/>
        <v>0</v>
      </c>
      <c r="J556" s="157"/>
      <c r="K556" s="157"/>
      <c r="L556" s="157"/>
      <c r="M556" s="157"/>
      <c r="N556" s="158"/>
    </row>
    <row r="557" spans="8:14" x14ac:dyDescent="0.2">
      <c r="H557" s="306">
        <f t="shared" si="13"/>
        <v>43922</v>
      </c>
      <c r="I557" s="284">
        <f t="shared" si="14"/>
        <v>0</v>
      </c>
      <c r="J557" s="157"/>
      <c r="K557" s="157"/>
      <c r="L557" s="157"/>
      <c r="M557" s="157"/>
      <c r="N557" s="158"/>
    </row>
    <row r="558" spans="8:14" x14ac:dyDescent="0.2">
      <c r="H558" s="306">
        <f t="shared" si="13"/>
        <v>43952</v>
      </c>
      <c r="I558" s="284">
        <f t="shared" si="14"/>
        <v>0</v>
      </c>
      <c r="J558" s="157"/>
      <c r="K558" s="157"/>
      <c r="L558" s="157"/>
      <c r="M558" s="157"/>
      <c r="N558" s="158"/>
    </row>
    <row r="559" spans="8:14" x14ac:dyDescent="0.2">
      <c r="H559" s="306">
        <f t="shared" si="13"/>
        <v>43983</v>
      </c>
      <c r="I559" s="284">
        <f t="shared" si="14"/>
        <v>0</v>
      </c>
      <c r="J559" s="157"/>
      <c r="K559" s="157"/>
      <c r="L559" s="157"/>
      <c r="M559" s="157"/>
      <c r="N559" s="158"/>
    </row>
    <row r="560" spans="8:14" x14ac:dyDescent="0.2">
      <c r="H560" s="306">
        <f t="shared" si="13"/>
        <v>44013</v>
      </c>
      <c r="I560" s="284">
        <f t="shared" si="14"/>
        <v>0</v>
      </c>
      <c r="J560" s="157"/>
      <c r="K560" s="157"/>
      <c r="L560" s="157"/>
      <c r="M560" s="157"/>
      <c r="N560" s="158"/>
    </row>
    <row r="561" spans="8:14" x14ac:dyDescent="0.2">
      <c r="H561" s="306">
        <f t="shared" si="13"/>
        <v>44044</v>
      </c>
      <c r="I561" s="284">
        <f t="shared" si="14"/>
        <v>0</v>
      </c>
      <c r="J561" s="157"/>
      <c r="K561" s="157"/>
      <c r="L561" s="157"/>
      <c r="M561" s="157"/>
      <c r="N561" s="158"/>
    </row>
    <row r="562" spans="8:14" x14ac:dyDescent="0.2">
      <c r="H562" s="306">
        <f t="shared" si="13"/>
        <v>44075</v>
      </c>
      <c r="I562" s="284">
        <f t="shared" si="14"/>
        <v>0</v>
      </c>
      <c r="J562" s="157"/>
      <c r="K562" s="157"/>
      <c r="L562" s="157"/>
      <c r="M562" s="157"/>
      <c r="N562" s="158"/>
    </row>
    <row r="563" spans="8:14" x14ac:dyDescent="0.2">
      <c r="H563" s="306">
        <f t="shared" si="13"/>
        <v>44105</v>
      </c>
      <c r="I563" s="284">
        <f t="shared" si="14"/>
        <v>0</v>
      </c>
      <c r="J563" s="157"/>
      <c r="K563" s="157"/>
      <c r="L563" s="157"/>
      <c r="M563" s="157"/>
      <c r="N563" s="158"/>
    </row>
    <row r="564" spans="8:14" x14ac:dyDescent="0.2">
      <c r="H564" s="306">
        <f t="shared" si="13"/>
        <v>44136</v>
      </c>
      <c r="I564" s="284">
        <f t="shared" si="14"/>
        <v>0</v>
      </c>
      <c r="J564" s="157"/>
      <c r="K564" s="157"/>
      <c r="L564" s="157"/>
      <c r="M564" s="157"/>
      <c r="N564" s="158"/>
    </row>
    <row r="565" spans="8:14" x14ac:dyDescent="0.2">
      <c r="H565" s="306">
        <f t="shared" si="13"/>
        <v>44166</v>
      </c>
      <c r="I565" s="284">
        <f t="shared" si="14"/>
        <v>0</v>
      </c>
      <c r="J565" s="157"/>
      <c r="K565" s="157"/>
      <c r="L565" s="157"/>
      <c r="M565" s="157"/>
      <c r="N565" s="158"/>
    </row>
    <row r="566" spans="8:14" x14ac:dyDescent="0.2">
      <c r="H566" s="306">
        <f t="shared" si="13"/>
        <v>44197</v>
      </c>
      <c r="I566" s="284">
        <f t="shared" si="14"/>
        <v>0</v>
      </c>
      <c r="J566" s="157"/>
      <c r="K566" s="157"/>
      <c r="L566" s="157"/>
      <c r="M566" s="157"/>
      <c r="N566" s="158"/>
    </row>
    <row r="567" spans="8:14" x14ac:dyDescent="0.2">
      <c r="H567" s="306">
        <f t="shared" si="13"/>
        <v>44228</v>
      </c>
      <c r="I567" s="284">
        <f t="shared" si="14"/>
        <v>0</v>
      </c>
      <c r="J567" s="157"/>
      <c r="K567" s="157"/>
      <c r="L567" s="157"/>
      <c r="M567" s="157"/>
      <c r="N567" s="158"/>
    </row>
    <row r="568" spans="8:14" x14ac:dyDescent="0.2">
      <c r="H568" s="306">
        <f t="shared" si="13"/>
        <v>44256</v>
      </c>
      <c r="I568" s="284">
        <f t="shared" si="14"/>
        <v>0</v>
      </c>
      <c r="J568" s="157"/>
      <c r="K568" s="157"/>
      <c r="L568" s="157"/>
      <c r="M568" s="157"/>
      <c r="N568" s="158"/>
    </row>
    <row r="569" spans="8:14" x14ac:dyDescent="0.2">
      <c r="H569" s="306">
        <f t="shared" si="13"/>
        <v>44287</v>
      </c>
      <c r="I569" s="284">
        <f t="shared" si="14"/>
        <v>0</v>
      </c>
      <c r="J569" s="157"/>
      <c r="K569" s="157"/>
      <c r="L569" s="157"/>
      <c r="M569" s="157"/>
      <c r="N569" s="158"/>
    </row>
    <row r="570" spans="8:14" x14ac:dyDescent="0.2">
      <c r="H570" s="306">
        <f t="shared" si="13"/>
        <v>44317</v>
      </c>
      <c r="I570" s="284">
        <f t="shared" si="14"/>
        <v>0</v>
      </c>
      <c r="J570" s="157"/>
      <c r="K570" s="157"/>
      <c r="L570" s="157"/>
      <c r="M570" s="157"/>
      <c r="N570" s="158"/>
    </row>
    <row r="571" spans="8:14" x14ac:dyDescent="0.2">
      <c r="H571" s="306">
        <f t="shared" si="13"/>
        <v>44348</v>
      </c>
      <c r="I571" s="284">
        <f t="shared" si="14"/>
        <v>0</v>
      </c>
      <c r="J571" s="157"/>
      <c r="K571" s="157"/>
      <c r="L571" s="157"/>
      <c r="M571" s="157"/>
      <c r="N571" s="158"/>
    </row>
    <row r="572" spans="8:14" x14ac:dyDescent="0.2">
      <c r="H572" s="306">
        <f t="shared" si="13"/>
        <v>44378</v>
      </c>
      <c r="I572" s="284">
        <f t="shared" si="14"/>
        <v>0</v>
      </c>
      <c r="J572" s="157"/>
      <c r="K572" s="157"/>
      <c r="L572" s="157"/>
      <c r="M572" s="157"/>
      <c r="N572" s="158"/>
    </row>
    <row r="573" spans="8:14" x14ac:dyDescent="0.2">
      <c r="H573" s="306">
        <f t="shared" si="13"/>
        <v>44409</v>
      </c>
      <c r="I573" s="284">
        <f t="shared" si="14"/>
        <v>0</v>
      </c>
      <c r="J573" s="157"/>
      <c r="K573" s="157"/>
      <c r="L573" s="157"/>
      <c r="M573" s="157"/>
      <c r="N573" s="158"/>
    </row>
    <row r="574" spans="8:14" x14ac:dyDescent="0.2">
      <c r="H574" s="306">
        <f t="shared" si="13"/>
        <v>44440</v>
      </c>
      <c r="I574" s="284">
        <f t="shared" si="14"/>
        <v>0</v>
      </c>
      <c r="J574" s="157"/>
      <c r="K574" s="157"/>
      <c r="L574" s="157"/>
      <c r="M574" s="157"/>
      <c r="N574" s="158"/>
    </row>
    <row r="575" spans="8:14" x14ac:dyDescent="0.2">
      <c r="H575" s="306">
        <f t="shared" si="13"/>
        <v>44470</v>
      </c>
      <c r="I575" s="284">
        <f t="shared" si="14"/>
        <v>0</v>
      </c>
      <c r="J575" s="157"/>
      <c r="K575" s="157"/>
      <c r="L575" s="157"/>
      <c r="M575" s="157"/>
      <c r="N575" s="158"/>
    </row>
    <row r="576" spans="8:14" x14ac:dyDescent="0.2">
      <c r="H576" s="306">
        <f t="shared" si="13"/>
        <v>44501</v>
      </c>
      <c r="I576" s="284">
        <f t="shared" si="14"/>
        <v>0</v>
      </c>
      <c r="J576" s="157"/>
      <c r="K576" s="157"/>
      <c r="L576" s="157"/>
      <c r="M576" s="157"/>
      <c r="N576" s="158"/>
    </row>
    <row r="577" spans="8:14" x14ac:dyDescent="0.2">
      <c r="H577" s="306">
        <f t="shared" ref="H577:H625" si="15">+H269</f>
        <v>44531</v>
      </c>
      <c r="I577" s="284">
        <f t="shared" si="14"/>
        <v>0</v>
      </c>
      <c r="J577" s="157"/>
      <c r="K577" s="157"/>
      <c r="L577" s="157"/>
      <c r="M577" s="157"/>
      <c r="N577" s="158"/>
    </row>
    <row r="578" spans="8:14" x14ac:dyDescent="0.2">
      <c r="H578" s="306">
        <f t="shared" si="15"/>
        <v>44562</v>
      </c>
      <c r="I578" s="284">
        <f t="shared" si="14"/>
        <v>0</v>
      </c>
      <c r="J578" s="157"/>
      <c r="K578" s="157"/>
      <c r="L578" s="157"/>
      <c r="M578" s="157"/>
      <c r="N578" s="158"/>
    </row>
    <row r="579" spans="8:14" x14ac:dyDescent="0.2">
      <c r="H579" s="306">
        <f t="shared" si="15"/>
        <v>44593</v>
      </c>
      <c r="I579" s="284">
        <f t="shared" si="14"/>
        <v>0</v>
      </c>
      <c r="J579" s="157"/>
      <c r="K579" s="157"/>
      <c r="L579" s="157"/>
      <c r="M579" s="157"/>
      <c r="N579" s="158"/>
    </row>
    <row r="580" spans="8:14" x14ac:dyDescent="0.2">
      <c r="H580" s="306">
        <f t="shared" si="15"/>
        <v>44621</v>
      </c>
      <c r="I580" s="284">
        <f t="shared" si="14"/>
        <v>0</v>
      </c>
      <c r="J580" s="157"/>
      <c r="K580" s="157"/>
      <c r="L580" s="157"/>
      <c r="M580" s="157"/>
      <c r="N580" s="158"/>
    </row>
    <row r="581" spans="8:14" x14ac:dyDescent="0.2">
      <c r="H581" s="306">
        <f t="shared" si="15"/>
        <v>44652</v>
      </c>
      <c r="I581" s="284">
        <f t="shared" si="14"/>
        <v>0</v>
      </c>
      <c r="J581" s="157"/>
      <c r="K581" s="157"/>
      <c r="L581" s="157"/>
      <c r="M581" s="157"/>
      <c r="N581" s="158"/>
    </row>
    <row r="582" spans="8:14" x14ac:dyDescent="0.2">
      <c r="H582" s="306">
        <f t="shared" si="15"/>
        <v>44682</v>
      </c>
      <c r="I582" s="284">
        <f t="shared" ref="I582:I625" si="16">+I581*(1+I$319/12)</f>
        <v>0</v>
      </c>
      <c r="J582" s="157"/>
      <c r="K582" s="157"/>
      <c r="L582" s="157"/>
      <c r="M582" s="157"/>
      <c r="N582" s="158"/>
    </row>
    <row r="583" spans="8:14" x14ac:dyDescent="0.2">
      <c r="H583" s="306">
        <f t="shared" si="15"/>
        <v>44713</v>
      </c>
      <c r="I583" s="284">
        <f t="shared" si="16"/>
        <v>0</v>
      </c>
      <c r="J583" s="157"/>
      <c r="K583" s="157"/>
      <c r="L583" s="157"/>
      <c r="M583" s="157"/>
      <c r="N583" s="158"/>
    </row>
    <row r="584" spans="8:14" x14ac:dyDescent="0.2">
      <c r="H584" s="306">
        <f t="shared" si="15"/>
        <v>44743</v>
      </c>
      <c r="I584" s="284">
        <f t="shared" si="16"/>
        <v>0</v>
      </c>
      <c r="J584" s="157"/>
      <c r="K584" s="157"/>
      <c r="L584" s="157"/>
      <c r="M584" s="157"/>
      <c r="N584" s="158"/>
    </row>
    <row r="585" spans="8:14" x14ac:dyDescent="0.2">
      <c r="H585" s="306">
        <f t="shared" si="15"/>
        <v>44774</v>
      </c>
      <c r="I585" s="284">
        <f t="shared" si="16"/>
        <v>0</v>
      </c>
      <c r="J585" s="157"/>
      <c r="K585" s="157"/>
      <c r="L585" s="157"/>
      <c r="M585" s="157"/>
      <c r="N585" s="158"/>
    </row>
    <row r="586" spans="8:14" x14ac:dyDescent="0.2">
      <c r="H586" s="306">
        <f t="shared" si="15"/>
        <v>44805</v>
      </c>
      <c r="I586" s="284">
        <f t="shared" si="16"/>
        <v>0</v>
      </c>
      <c r="J586" s="157"/>
      <c r="K586" s="157"/>
      <c r="L586" s="157"/>
      <c r="M586" s="157"/>
      <c r="N586" s="158"/>
    </row>
    <row r="587" spans="8:14" x14ac:dyDescent="0.2">
      <c r="H587" s="306">
        <f t="shared" si="15"/>
        <v>44835</v>
      </c>
      <c r="I587" s="284">
        <f t="shared" si="16"/>
        <v>0</v>
      </c>
      <c r="J587" s="157"/>
      <c r="K587" s="157"/>
      <c r="L587" s="157"/>
      <c r="M587" s="157"/>
      <c r="N587" s="158"/>
    </row>
    <row r="588" spans="8:14" x14ac:dyDescent="0.2">
      <c r="H588" s="306">
        <f t="shared" si="15"/>
        <v>44866</v>
      </c>
      <c r="I588" s="284">
        <f t="shared" si="16"/>
        <v>0</v>
      </c>
      <c r="J588" s="157"/>
      <c r="K588" s="157"/>
      <c r="L588" s="157"/>
      <c r="M588" s="157"/>
      <c r="N588" s="158"/>
    </row>
    <row r="589" spans="8:14" x14ac:dyDescent="0.2">
      <c r="H589" s="306">
        <f t="shared" si="15"/>
        <v>44896</v>
      </c>
      <c r="I589" s="284">
        <f t="shared" si="16"/>
        <v>0</v>
      </c>
      <c r="J589" s="157"/>
      <c r="K589" s="157"/>
      <c r="L589" s="157"/>
      <c r="M589" s="157"/>
      <c r="N589" s="158"/>
    </row>
    <row r="590" spans="8:14" x14ac:dyDescent="0.2">
      <c r="H590" s="306">
        <f t="shared" si="15"/>
        <v>44927</v>
      </c>
      <c r="I590" s="284">
        <f t="shared" si="16"/>
        <v>0</v>
      </c>
      <c r="J590" s="157"/>
      <c r="K590" s="157"/>
      <c r="L590" s="157"/>
      <c r="M590" s="157"/>
      <c r="N590" s="158"/>
    </row>
    <row r="591" spans="8:14" x14ac:dyDescent="0.2">
      <c r="H591" s="306">
        <f t="shared" si="15"/>
        <v>44958</v>
      </c>
      <c r="I591" s="284">
        <f t="shared" si="16"/>
        <v>0</v>
      </c>
      <c r="J591" s="157"/>
      <c r="K591" s="157"/>
      <c r="L591" s="157"/>
      <c r="M591" s="157"/>
      <c r="N591" s="158"/>
    </row>
    <row r="592" spans="8:14" x14ac:dyDescent="0.2">
      <c r="H592" s="306">
        <f t="shared" si="15"/>
        <v>44986</v>
      </c>
      <c r="I592" s="284">
        <f t="shared" si="16"/>
        <v>0</v>
      </c>
      <c r="J592" s="157"/>
      <c r="K592" s="157"/>
      <c r="L592" s="157"/>
      <c r="M592" s="157"/>
      <c r="N592" s="158"/>
    </row>
    <row r="593" spans="8:14" x14ac:dyDescent="0.2">
      <c r="H593" s="306">
        <f t="shared" si="15"/>
        <v>45017</v>
      </c>
      <c r="I593" s="284">
        <f t="shared" si="16"/>
        <v>0</v>
      </c>
      <c r="J593" s="157"/>
      <c r="K593" s="157"/>
      <c r="L593" s="157"/>
      <c r="M593" s="157"/>
      <c r="N593" s="158"/>
    </row>
    <row r="594" spans="8:14" x14ac:dyDescent="0.2">
      <c r="H594" s="306">
        <f t="shared" si="15"/>
        <v>45047</v>
      </c>
      <c r="I594" s="284">
        <f t="shared" si="16"/>
        <v>0</v>
      </c>
      <c r="J594" s="157"/>
      <c r="K594" s="157"/>
      <c r="L594" s="157"/>
      <c r="M594" s="157"/>
      <c r="N594" s="158"/>
    </row>
    <row r="595" spans="8:14" x14ac:dyDescent="0.2">
      <c r="H595" s="306">
        <f t="shared" si="15"/>
        <v>45078</v>
      </c>
      <c r="I595" s="284">
        <f t="shared" si="16"/>
        <v>0</v>
      </c>
      <c r="J595" s="157"/>
      <c r="K595" s="157"/>
      <c r="L595" s="157"/>
      <c r="M595" s="157"/>
      <c r="N595" s="158"/>
    </row>
    <row r="596" spans="8:14" x14ac:dyDescent="0.2">
      <c r="H596" s="306">
        <f t="shared" si="15"/>
        <v>45108</v>
      </c>
      <c r="I596" s="284">
        <f t="shared" si="16"/>
        <v>0</v>
      </c>
      <c r="J596" s="157"/>
      <c r="K596" s="157"/>
      <c r="L596" s="157"/>
      <c r="M596" s="157"/>
      <c r="N596" s="158"/>
    </row>
    <row r="597" spans="8:14" x14ac:dyDescent="0.2">
      <c r="H597" s="306">
        <f t="shared" si="15"/>
        <v>45139</v>
      </c>
      <c r="I597" s="284">
        <f t="shared" si="16"/>
        <v>0</v>
      </c>
      <c r="J597" s="157"/>
      <c r="K597" s="157"/>
      <c r="L597" s="157"/>
      <c r="M597" s="157"/>
      <c r="N597" s="158"/>
    </row>
    <row r="598" spans="8:14" x14ac:dyDescent="0.2">
      <c r="H598" s="306">
        <f t="shared" si="15"/>
        <v>45170</v>
      </c>
      <c r="I598" s="284">
        <f t="shared" si="16"/>
        <v>0</v>
      </c>
      <c r="J598" s="157"/>
      <c r="K598" s="157"/>
      <c r="L598" s="157"/>
      <c r="M598" s="157"/>
      <c r="N598" s="158"/>
    </row>
    <row r="599" spans="8:14" x14ac:dyDescent="0.2">
      <c r="H599" s="306">
        <f t="shared" si="15"/>
        <v>45200</v>
      </c>
      <c r="I599" s="284">
        <f t="shared" si="16"/>
        <v>0</v>
      </c>
      <c r="J599" s="157"/>
      <c r="K599" s="157"/>
      <c r="L599" s="157"/>
      <c r="M599" s="157"/>
      <c r="N599" s="158"/>
    </row>
    <row r="600" spans="8:14" x14ac:dyDescent="0.2">
      <c r="H600" s="306">
        <f t="shared" si="15"/>
        <v>45231</v>
      </c>
      <c r="I600" s="284">
        <f t="shared" si="16"/>
        <v>0</v>
      </c>
      <c r="J600" s="157"/>
      <c r="K600" s="157"/>
      <c r="L600" s="157"/>
      <c r="M600" s="157"/>
      <c r="N600" s="158"/>
    </row>
    <row r="601" spans="8:14" x14ac:dyDescent="0.2">
      <c r="H601" s="306">
        <f t="shared" si="15"/>
        <v>45261</v>
      </c>
      <c r="I601" s="284">
        <f t="shared" si="16"/>
        <v>0</v>
      </c>
      <c r="J601" s="157"/>
      <c r="K601" s="157"/>
      <c r="L601" s="157"/>
      <c r="M601" s="157"/>
      <c r="N601" s="158"/>
    </row>
    <row r="602" spans="8:14" x14ac:dyDescent="0.2">
      <c r="H602" s="306">
        <f t="shared" si="15"/>
        <v>45292</v>
      </c>
      <c r="I602" s="284">
        <f t="shared" si="16"/>
        <v>0</v>
      </c>
      <c r="J602" s="157"/>
      <c r="K602" s="157"/>
      <c r="L602" s="157"/>
      <c r="M602" s="157"/>
      <c r="N602" s="158"/>
    </row>
    <row r="603" spans="8:14" x14ac:dyDescent="0.2">
      <c r="H603" s="306">
        <f t="shared" si="15"/>
        <v>45323</v>
      </c>
      <c r="I603" s="284">
        <f t="shared" si="16"/>
        <v>0</v>
      </c>
      <c r="J603" s="157"/>
      <c r="K603" s="157"/>
      <c r="L603" s="157"/>
      <c r="M603" s="157"/>
      <c r="N603" s="158"/>
    </row>
    <row r="604" spans="8:14" x14ac:dyDescent="0.2">
      <c r="H604" s="306">
        <f t="shared" si="15"/>
        <v>45352</v>
      </c>
      <c r="I604" s="284">
        <f t="shared" si="16"/>
        <v>0</v>
      </c>
      <c r="J604" s="157"/>
      <c r="K604" s="157"/>
      <c r="L604" s="157"/>
      <c r="M604" s="157"/>
      <c r="N604" s="158"/>
    </row>
    <row r="605" spans="8:14" x14ac:dyDescent="0.2">
      <c r="H605" s="306">
        <f t="shared" si="15"/>
        <v>45383</v>
      </c>
      <c r="I605" s="284">
        <f t="shared" si="16"/>
        <v>0</v>
      </c>
      <c r="J605" s="157"/>
      <c r="K605" s="157"/>
      <c r="L605" s="157"/>
      <c r="M605" s="157"/>
      <c r="N605" s="158"/>
    </row>
    <row r="606" spans="8:14" x14ac:dyDescent="0.2">
      <c r="H606" s="306">
        <f t="shared" si="15"/>
        <v>45413</v>
      </c>
      <c r="I606" s="284">
        <f t="shared" si="16"/>
        <v>0</v>
      </c>
      <c r="J606" s="157"/>
      <c r="K606" s="157"/>
      <c r="L606" s="157"/>
      <c r="M606" s="157"/>
      <c r="N606" s="158"/>
    </row>
    <row r="607" spans="8:14" x14ac:dyDescent="0.2">
      <c r="H607" s="306">
        <f t="shared" si="15"/>
        <v>45444</v>
      </c>
      <c r="I607" s="284">
        <f t="shared" si="16"/>
        <v>0</v>
      </c>
      <c r="J607" s="157"/>
      <c r="K607" s="157"/>
      <c r="L607" s="157"/>
      <c r="M607" s="157"/>
      <c r="N607" s="158"/>
    </row>
    <row r="608" spans="8:14" x14ac:dyDescent="0.2">
      <c r="H608" s="306">
        <f t="shared" si="15"/>
        <v>45474</v>
      </c>
      <c r="I608" s="284">
        <f t="shared" si="16"/>
        <v>0</v>
      </c>
      <c r="J608" s="157"/>
      <c r="K608" s="157"/>
      <c r="L608" s="157"/>
      <c r="M608" s="157"/>
      <c r="N608" s="158"/>
    </row>
    <row r="609" spans="8:14" x14ac:dyDescent="0.2">
      <c r="H609" s="306">
        <f t="shared" si="15"/>
        <v>45505</v>
      </c>
      <c r="I609" s="284">
        <f t="shared" si="16"/>
        <v>0</v>
      </c>
      <c r="J609" s="157"/>
      <c r="K609" s="157"/>
      <c r="L609" s="157"/>
      <c r="M609" s="157"/>
      <c r="N609" s="158"/>
    </row>
    <row r="610" spans="8:14" x14ac:dyDescent="0.2">
      <c r="H610" s="306">
        <f t="shared" si="15"/>
        <v>45536</v>
      </c>
      <c r="I610" s="284">
        <f t="shared" si="16"/>
        <v>0</v>
      </c>
      <c r="J610" s="157"/>
      <c r="K610" s="157"/>
      <c r="L610" s="157"/>
      <c r="M610" s="157"/>
      <c r="N610" s="158"/>
    </row>
    <row r="611" spans="8:14" x14ac:dyDescent="0.2">
      <c r="H611" s="306">
        <f t="shared" si="15"/>
        <v>45566</v>
      </c>
      <c r="I611" s="284">
        <f t="shared" si="16"/>
        <v>0</v>
      </c>
      <c r="J611" s="157"/>
      <c r="K611" s="157"/>
      <c r="L611" s="157"/>
      <c r="M611" s="157"/>
      <c r="N611" s="158"/>
    </row>
    <row r="612" spans="8:14" x14ac:dyDescent="0.2">
      <c r="H612" s="306">
        <f t="shared" si="15"/>
        <v>45597</v>
      </c>
      <c r="I612" s="284">
        <f t="shared" si="16"/>
        <v>0</v>
      </c>
      <c r="J612" s="157"/>
      <c r="K612" s="157"/>
      <c r="L612" s="157"/>
      <c r="M612" s="157"/>
      <c r="N612" s="158"/>
    </row>
    <row r="613" spans="8:14" x14ac:dyDescent="0.2">
      <c r="H613" s="306">
        <f t="shared" si="15"/>
        <v>45627</v>
      </c>
      <c r="I613" s="284">
        <f t="shared" si="16"/>
        <v>0</v>
      </c>
      <c r="J613" s="157"/>
      <c r="K613" s="157"/>
      <c r="L613" s="157"/>
      <c r="M613" s="157"/>
      <c r="N613" s="158"/>
    </row>
    <row r="614" spans="8:14" x14ac:dyDescent="0.2">
      <c r="H614" s="306">
        <f t="shared" si="15"/>
        <v>45658</v>
      </c>
      <c r="I614" s="284">
        <f t="shared" si="16"/>
        <v>0</v>
      </c>
      <c r="J614" s="157"/>
      <c r="K614" s="157"/>
      <c r="L614" s="157"/>
      <c r="M614" s="157"/>
      <c r="N614" s="158"/>
    </row>
    <row r="615" spans="8:14" x14ac:dyDescent="0.2">
      <c r="H615" s="306">
        <f t="shared" si="15"/>
        <v>45689</v>
      </c>
      <c r="I615" s="284">
        <f t="shared" si="16"/>
        <v>0</v>
      </c>
      <c r="J615" s="157"/>
      <c r="K615" s="157"/>
      <c r="L615" s="157"/>
      <c r="M615" s="157"/>
      <c r="N615" s="158"/>
    </row>
    <row r="616" spans="8:14" x14ac:dyDescent="0.2">
      <c r="H616" s="306">
        <f t="shared" si="15"/>
        <v>45717</v>
      </c>
      <c r="I616" s="284">
        <f t="shared" si="16"/>
        <v>0</v>
      </c>
      <c r="J616" s="157"/>
      <c r="K616" s="157"/>
      <c r="L616" s="157"/>
      <c r="M616" s="157"/>
      <c r="N616" s="158"/>
    </row>
    <row r="617" spans="8:14" x14ac:dyDescent="0.2">
      <c r="H617" s="306">
        <f t="shared" si="15"/>
        <v>45748</v>
      </c>
      <c r="I617" s="284">
        <f t="shared" si="16"/>
        <v>0</v>
      </c>
      <c r="J617" s="157"/>
      <c r="K617" s="157"/>
      <c r="L617" s="157"/>
      <c r="M617" s="157"/>
      <c r="N617" s="158"/>
    </row>
    <row r="618" spans="8:14" x14ac:dyDescent="0.2">
      <c r="H618" s="306">
        <f t="shared" si="15"/>
        <v>45778</v>
      </c>
      <c r="I618" s="284">
        <f t="shared" si="16"/>
        <v>0</v>
      </c>
      <c r="J618" s="157"/>
      <c r="K618" s="157"/>
      <c r="L618" s="157"/>
      <c r="M618" s="157"/>
      <c r="N618" s="158"/>
    </row>
    <row r="619" spans="8:14" x14ac:dyDescent="0.2">
      <c r="H619" s="306">
        <f t="shared" si="15"/>
        <v>45809</v>
      </c>
      <c r="I619" s="284">
        <f t="shared" si="16"/>
        <v>0</v>
      </c>
      <c r="J619" s="157"/>
      <c r="K619" s="157"/>
      <c r="L619" s="157"/>
      <c r="M619" s="157"/>
      <c r="N619" s="158"/>
    </row>
    <row r="620" spans="8:14" x14ac:dyDescent="0.2">
      <c r="H620" s="306">
        <f t="shared" si="15"/>
        <v>45839</v>
      </c>
      <c r="I620" s="284">
        <f t="shared" si="16"/>
        <v>0</v>
      </c>
      <c r="J620" s="157"/>
      <c r="K620" s="157"/>
      <c r="L620" s="157"/>
      <c r="M620" s="157"/>
      <c r="N620" s="158"/>
    </row>
    <row r="621" spans="8:14" x14ac:dyDescent="0.2">
      <c r="H621" s="306">
        <f t="shared" si="15"/>
        <v>45870</v>
      </c>
      <c r="I621" s="284">
        <f t="shared" si="16"/>
        <v>0</v>
      </c>
      <c r="J621" s="157"/>
      <c r="K621" s="157"/>
      <c r="L621" s="157"/>
      <c r="M621" s="157"/>
      <c r="N621" s="158"/>
    </row>
    <row r="622" spans="8:14" x14ac:dyDescent="0.2">
      <c r="H622" s="306">
        <f t="shared" si="15"/>
        <v>45901</v>
      </c>
      <c r="I622" s="284">
        <f t="shared" si="16"/>
        <v>0</v>
      </c>
      <c r="J622" s="157"/>
      <c r="K622" s="157"/>
      <c r="L622" s="157"/>
      <c r="M622" s="157"/>
      <c r="N622" s="158"/>
    </row>
    <row r="623" spans="8:14" x14ac:dyDescent="0.2">
      <c r="H623" s="306">
        <f t="shared" si="15"/>
        <v>45931</v>
      </c>
      <c r="I623" s="284">
        <f t="shared" si="16"/>
        <v>0</v>
      </c>
      <c r="J623" s="157"/>
      <c r="K623" s="157"/>
      <c r="L623" s="157"/>
      <c r="M623" s="157"/>
      <c r="N623" s="158"/>
    </row>
    <row r="624" spans="8:14" x14ac:dyDescent="0.2">
      <c r="H624" s="306">
        <f t="shared" si="15"/>
        <v>45962</v>
      </c>
      <c r="I624" s="284">
        <f t="shared" si="16"/>
        <v>0</v>
      </c>
      <c r="J624" s="157"/>
      <c r="K624" s="157"/>
      <c r="L624" s="157"/>
      <c r="M624" s="157"/>
      <c r="N624" s="158"/>
    </row>
    <row r="625" spans="8:14" x14ac:dyDescent="0.2">
      <c r="H625" s="307">
        <f t="shared" si="15"/>
        <v>45992</v>
      </c>
      <c r="I625" s="316">
        <f t="shared" si="16"/>
        <v>0</v>
      </c>
      <c r="J625" s="159"/>
      <c r="K625" s="159"/>
      <c r="L625" s="159"/>
      <c r="M625" s="159"/>
      <c r="N625" s="160"/>
    </row>
    <row r="626" spans="8:14" x14ac:dyDescent="0.2">
      <c r="H626" s="317"/>
      <c r="I626" s="318" t="str">
        <f t="shared" ref="I626:N626" si="17">+I4</f>
        <v>ELBA</v>
      </c>
      <c r="J626" s="318" t="str">
        <f t="shared" si="17"/>
        <v>LAKE CHARLES</v>
      </c>
      <c r="K626" s="318" t="str">
        <f t="shared" si="17"/>
        <v>CABOT</v>
      </c>
      <c r="L626" s="318" t="str">
        <f t="shared" si="17"/>
        <v>COVE POINT</v>
      </c>
      <c r="M626" s="318" t="str">
        <f t="shared" si="17"/>
        <v>BARCELONA</v>
      </c>
      <c r="N626" s="318">
        <f t="shared" si="17"/>
        <v>0</v>
      </c>
    </row>
    <row r="627" spans="8:14" x14ac:dyDescent="0.2">
      <c r="H627" s="319" t="s">
        <v>114</v>
      </c>
      <c r="I627" s="395">
        <v>2.6599999999999999E-2</v>
      </c>
      <c r="J627" s="309"/>
      <c r="K627" s="310"/>
      <c r="L627" s="310"/>
      <c r="M627" s="311"/>
      <c r="N627" s="312"/>
    </row>
    <row r="628" spans="8:14" x14ac:dyDescent="0.2">
      <c r="H628" s="305">
        <f>+H320</f>
        <v>36708</v>
      </c>
      <c r="I628" s="396">
        <v>0</v>
      </c>
      <c r="J628" s="277"/>
      <c r="K628" s="295"/>
      <c r="L628" s="295"/>
      <c r="M628" s="296"/>
      <c r="N628" s="297"/>
    </row>
    <row r="629" spans="8:14" x14ac:dyDescent="0.2">
      <c r="H629" s="306">
        <f t="shared" ref="H629:H692" si="18">+H321</f>
        <v>36739</v>
      </c>
      <c r="I629" s="397">
        <v>0</v>
      </c>
      <c r="J629" s="284"/>
      <c r="K629" s="299"/>
      <c r="L629" s="299"/>
      <c r="M629" s="213"/>
      <c r="N629" s="195"/>
    </row>
    <row r="630" spans="8:14" x14ac:dyDescent="0.2">
      <c r="H630" s="306">
        <f t="shared" si="18"/>
        <v>36770</v>
      </c>
      <c r="I630" s="397">
        <v>0</v>
      </c>
      <c r="J630" s="284"/>
      <c r="K630" s="299"/>
      <c r="L630" s="299"/>
      <c r="M630" s="213"/>
      <c r="N630" s="195"/>
    </row>
    <row r="631" spans="8:14" x14ac:dyDescent="0.2">
      <c r="H631" s="306">
        <f t="shared" si="18"/>
        <v>36800</v>
      </c>
      <c r="I631" s="397">
        <v>0</v>
      </c>
      <c r="J631" s="284"/>
      <c r="K631" s="144"/>
      <c r="L631" s="144"/>
      <c r="M631" s="105"/>
      <c r="N631" s="300"/>
    </row>
    <row r="632" spans="8:14" x14ac:dyDescent="0.2">
      <c r="H632" s="306">
        <f t="shared" si="18"/>
        <v>36831</v>
      </c>
      <c r="I632" s="398">
        <f>+I627</f>
        <v>2.6599999999999999E-2</v>
      </c>
      <c r="J632" s="394"/>
      <c r="K632" s="145"/>
      <c r="L632" s="145"/>
      <c r="M632" s="108"/>
      <c r="N632" s="301"/>
    </row>
    <row r="633" spans="8:14" x14ac:dyDescent="0.2">
      <c r="H633" s="306">
        <f t="shared" si="18"/>
        <v>36861</v>
      </c>
      <c r="I633" s="398">
        <f>+I632*(1+I$8/12)</f>
        <v>2.662770833333333E-2</v>
      </c>
      <c r="J633" s="394"/>
      <c r="K633" s="145"/>
      <c r="L633" s="145"/>
      <c r="M633" s="108"/>
      <c r="N633" s="301"/>
    </row>
    <row r="634" spans="8:14" x14ac:dyDescent="0.2">
      <c r="H634" s="306">
        <f t="shared" si="18"/>
        <v>36892</v>
      </c>
      <c r="I634" s="398">
        <f t="shared" ref="I634:I697" si="19">+I633*(1+I$8/12)</f>
        <v>2.6655445529513884E-2</v>
      </c>
      <c r="J634" s="394"/>
      <c r="K634" s="146"/>
      <c r="L634" s="146"/>
      <c r="M634" s="116"/>
      <c r="N634" s="302"/>
    </row>
    <row r="635" spans="8:14" x14ac:dyDescent="0.2">
      <c r="H635" s="306">
        <f t="shared" si="18"/>
        <v>36923</v>
      </c>
      <c r="I635" s="398">
        <f t="shared" si="19"/>
        <v>2.6683211618607126E-2</v>
      </c>
      <c r="J635" s="394"/>
      <c r="K635" s="146"/>
      <c r="L635" s="146"/>
      <c r="M635" s="107"/>
      <c r="N635" s="302"/>
    </row>
    <row r="636" spans="8:14" x14ac:dyDescent="0.2">
      <c r="H636" s="306">
        <f t="shared" si="18"/>
        <v>36951</v>
      </c>
      <c r="I636" s="398">
        <f t="shared" si="19"/>
        <v>2.6711006630709841E-2</v>
      </c>
      <c r="J636" s="394"/>
      <c r="K636" s="146"/>
      <c r="L636" s="146"/>
      <c r="M636" s="107"/>
      <c r="N636" s="302"/>
    </row>
    <row r="637" spans="8:14" x14ac:dyDescent="0.2">
      <c r="H637" s="306">
        <f t="shared" si="18"/>
        <v>36982</v>
      </c>
      <c r="I637" s="398">
        <f t="shared" si="19"/>
        <v>2.6738830595950162E-2</v>
      </c>
      <c r="J637" s="394"/>
      <c r="K637" s="146"/>
      <c r="L637" s="146"/>
      <c r="M637" s="107"/>
      <c r="N637" s="302"/>
    </row>
    <row r="638" spans="8:14" x14ac:dyDescent="0.2">
      <c r="H638" s="306">
        <f t="shared" si="18"/>
        <v>37012</v>
      </c>
      <c r="I638" s="398">
        <f t="shared" si="19"/>
        <v>2.6766683544487607E-2</v>
      </c>
      <c r="J638" s="394"/>
      <c r="K638" s="146"/>
      <c r="L638" s="146"/>
      <c r="M638" s="107"/>
      <c r="N638" s="302"/>
    </row>
    <row r="639" spans="8:14" x14ac:dyDescent="0.2">
      <c r="H639" s="306">
        <f t="shared" si="18"/>
        <v>37043</v>
      </c>
      <c r="I639" s="398">
        <f t="shared" si="19"/>
        <v>2.6794565506513112E-2</v>
      </c>
      <c r="J639" s="394"/>
      <c r="K639" s="146"/>
      <c r="L639" s="146"/>
      <c r="M639" s="107"/>
      <c r="N639" s="302"/>
    </row>
    <row r="640" spans="8:14" x14ac:dyDescent="0.2">
      <c r="H640" s="306">
        <f t="shared" si="18"/>
        <v>37073</v>
      </c>
      <c r="I640" s="398">
        <f t="shared" si="19"/>
        <v>2.682247651224906E-2</v>
      </c>
      <c r="J640" s="394"/>
      <c r="K640" s="146"/>
      <c r="L640" s="146"/>
      <c r="M640" s="107"/>
      <c r="N640" s="302"/>
    </row>
    <row r="641" spans="8:14" x14ac:dyDescent="0.2">
      <c r="H641" s="306">
        <f t="shared" si="18"/>
        <v>37104</v>
      </c>
      <c r="I641" s="398">
        <f t="shared" si="19"/>
        <v>2.6850416591949318E-2</v>
      </c>
      <c r="J641" s="394"/>
      <c r="K641" s="304"/>
      <c r="L641" s="304"/>
      <c r="M641" s="157"/>
      <c r="N641" s="158"/>
    </row>
    <row r="642" spans="8:14" x14ac:dyDescent="0.2">
      <c r="H642" s="306">
        <f t="shared" si="18"/>
        <v>37135</v>
      </c>
      <c r="I642" s="398">
        <f t="shared" si="19"/>
        <v>2.6878385775899263E-2</v>
      </c>
      <c r="J642" s="394"/>
      <c r="K642" s="304"/>
      <c r="L642" s="304"/>
      <c r="M642" s="157"/>
      <c r="N642" s="158"/>
    </row>
    <row r="643" spans="8:14" x14ac:dyDescent="0.2">
      <c r="H643" s="306">
        <f t="shared" si="18"/>
        <v>37165</v>
      </c>
      <c r="I643" s="398">
        <f t="shared" si="19"/>
        <v>2.6906384094415824E-2</v>
      </c>
      <c r="J643" s="394"/>
      <c r="K643" s="304"/>
      <c r="L643" s="304"/>
      <c r="M643" s="157"/>
      <c r="N643" s="158"/>
    </row>
    <row r="644" spans="8:14" x14ac:dyDescent="0.2">
      <c r="H644" s="306">
        <f t="shared" si="18"/>
        <v>37196</v>
      </c>
      <c r="I644" s="398">
        <f t="shared" si="19"/>
        <v>2.6934411577847504E-2</v>
      </c>
      <c r="J644" s="394"/>
      <c r="K644" s="304"/>
      <c r="L644" s="304"/>
      <c r="M644" s="157"/>
      <c r="N644" s="158"/>
    </row>
    <row r="645" spans="8:14" x14ac:dyDescent="0.2">
      <c r="H645" s="306">
        <f t="shared" si="18"/>
        <v>37226</v>
      </c>
      <c r="I645" s="398">
        <f t="shared" si="19"/>
        <v>2.6962468256574428E-2</v>
      </c>
      <c r="J645" s="394"/>
      <c r="K645" s="304"/>
      <c r="L645" s="304"/>
      <c r="M645" s="157"/>
      <c r="N645" s="158"/>
    </row>
    <row r="646" spans="8:14" x14ac:dyDescent="0.2">
      <c r="H646" s="306">
        <f t="shared" si="18"/>
        <v>37257</v>
      </c>
      <c r="I646" s="398">
        <f t="shared" si="19"/>
        <v>2.6990554161008359E-2</v>
      </c>
      <c r="J646" s="394"/>
      <c r="K646" s="304"/>
      <c r="L646" s="304"/>
      <c r="M646" s="157"/>
      <c r="N646" s="158"/>
    </row>
    <row r="647" spans="8:14" x14ac:dyDescent="0.2">
      <c r="H647" s="306">
        <f t="shared" si="18"/>
        <v>37288</v>
      </c>
      <c r="I647" s="398">
        <f t="shared" si="19"/>
        <v>2.7018669321592741E-2</v>
      </c>
      <c r="J647" s="394"/>
      <c r="K647" s="304"/>
      <c r="L647" s="304"/>
      <c r="M647" s="157"/>
      <c r="N647" s="158"/>
    </row>
    <row r="648" spans="8:14" x14ac:dyDescent="0.2">
      <c r="H648" s="306">
        <f t="shared" si="18"/>
        <v>37316</v>
      </c>
      <c r="I648" s="398">
        <f t="shared" si="19"/>
        <v>2.7046813768802733E-2</v>
      </c>
      <c r="J648" s="394"/>
      <c r="K648" s="304"/>
      <c r="L648" s="304"/>
      <c r="M648" s="157"/>
      <c r="N648" s="158"/>
    </row>
    <row r="649" spans="8:14" x14ac:dyDescent="0.2">
      <c r="H649" s="306">
        <f t="shared" si="18"/>
        <v>37347</v>
      </c>
      <c r="I649" s="398">
        <f t="shared" si="19"/>
        <v>2.7074987533145235E-2</v>
      </c>
      <c r="J649" s="394"/>
      <c r="K649" s="304"/>
      <c r="L649" s="304"/>
      <c r="M649" s="157"/>
      <c r="N649" s="158"/>
    </row>
    <row r="650" spans="8:14" x14ac:dyDescent="0.2">
      <c r="H650" s="306">
        <f t="shared" si="18"/>
        <v>37377</v>
      </c>
      <c r="I650" s="398">
        <f t="shared" si="19"/>
        <v>2.7103190645158926E-2</v>
      </c>
      <c r="J650" s="394"/>
      <c r="K650" s="304"/>
      <c r="L650" s="304"/>
      <c r="M650" s="157"/>
      <c r="N650" s="158"/>
    </row>
    <row r="651" spans="8:14" x14ac:dyDescent="0.2">
      <c r="H651" s="306">
        <f t="shared" si="18"/>
        <v>37408</v>
      </c>
      <c r="I651" s="398">
        <f t="shared" si="19"/>
        <v>2.7131423135414296E-2</v>
      </c>
      <c r="J651" s="394"/>
      <c r="K651" s="304"/>
      <c r="L651" s="304"/>
      <c r="M651" s="157"/>
      <c r="N651" s="158"/>
    </row>
    <row r="652" spans="8:14" x14ac:dyDescent="0.2">
      <c r="H652" s="306">
        <f t="shared" si="18"/>
        <v>37438</v>
      </c>
      <c r="I652" s="398">
        <f t="shared" si="19"/>
        <v>2.7159685034513683E-2</v>
      </c>
      <c r="J652" s="394"/>
      <c r="K652" s="304"/>
      <c r="L652" s="304"/>
      <c r="M652" s="157"/>
      <c r="N652" s="158"/>
    </row>
    <row r="653" spans="8:14" x14ac:dyDescent="0.2">
      <c r="H653" s="306">
        <f t="shared" si="18"/>
        <v>37469</v>
      </c>
      <c r="I653" s="398">
        <f t="shared" si="19"/>
        <v>2.71879763730913E-2</v>
      </c>
      <c r="J653" s="394"/>
      <c r="K653" s="304"/>
      <c r="L653" s="304"/>
      <c r="M653" s="157"/>
      <c r="N653" s="158"/>
    </row>
    <row r="654" spans="8:14" x14ac:dyDescent="0.2">
      <c r="H654" s="306">
        <f t="shared" si="18"/>
        <v>37500</v>
      </c>
      <c r="I654" s="398">
        <f t="shared" si="19"/>
        <v>2.721629718181327E-2</v>
      </c>
      <c r="J654" s="394"/>
      <c r="K654" s="304"/>
      <c r="L654" s="304"/>
      <c r="M654" s="157"/>
      <c r="N654" s="158"/>
    </row>
    <row r="655" spans="8:14" x14ac:dyDescent="0.2">
      <c r="H655" s="306">
        <f t="shared" si="18"/>
        <v>37530</v>
      </c>
      <c r="I655" s="398">
        <f t="shared" si="19"/>
        <v>2.7244647491377658E-2</v>
      </c>
      <c r="J655" s="394"/>
      <c r="K655" s="304"/>
      <c r="L655" s="304"/>
      <c r="M655" s="157"/>
      <c r="N655" s="158"/>
    </row>
    <row r="656" spans="8:14" x14ac:dyDescent="0.2">
      <c r="H656" s="306">
        <f t="shared" si="18"/>
        <v>37561</v>
      </c>
      <c r="I656" s="398">
        <f t="shared" si="19"/>
        <v>2.7273027332514507E-2</v>
      </c>
      <c r="J656" s="394"/>
      <c r="K656" s="304"/>
      <c r="L656" s="304"/>
      <c r="M656" s="157"/>
      <c r="N656" s="158"/>
    </row>
    <row r="657" spans="8:14" x14ac:dyDescent="0.2">
      <c r="H657" s="306">
        <f t="shared" si="18"/>
        <v>37591</v>
      </c>
      <c r="I657" s="398">
        <f t="shared" si="19"/>
        <v>2.7301436735985875E-2</v>
      </c>
      <c r="J657" s="394"/>
      <c r="K657" s="304"/>
      <c r="L657" s="304"/>
      <c r="M657" s="157"/>
      <c r="N657" s="158"/>
    </row>
    <row r="658" spans="8:14" x14ac:dyDescent="0.2">
      <c r="H658" s="306">
        <f t="shared" si="18"/>
        <v>37622</v>
      </c>
      <c r="I658" s="398">
        <f t="shared" si="19"/>
        <v>2.732987573258586E-2</v>
      </c>
      <c r="J658" s="394"/>
      <c r="K658" s="304"/>
      <c r="L658" s="304"/>
      <c r="M658" s="157"/>
      <c r="N658" s="158"/>
    </row>
    <row r="659" spans="8:14" x14ac:dyDescent="0.2">
      <c r="H659" s="306">
        <f t="shared" si="18"/>
        <v>37653</v>
      </c>
      <c r="I659" s="398">
        <f t="shared" si="19"/>
        <v>2.7358344353140635E-2</v>
      </c>
      <c r="J659" s="394"/>
      <c r="K659" s="304"/>
      <c r="L659" s="304"/>
      <c r="M659" s="157"/>
      <c r="N659" s="158"/>
    </row>
    <row r="660" spans="8:14" x14ac:dyDescent="0.2">
      <c r="H660" s="306">
        <f t="shared" si="18"/>
        <v>37681</v>
      </c>
      <c r="I660" s="398">
        <f t="shared" si="19"/>
        <v>2.7386842628508486E-2</v>
      </c>
      <c r="J660" s="394"/>
      <c r="K660" s="304"/>
      <c r="L660" s="304"/>
      <c r="M660" s="157"/>
      <c r="N660" s="158"/>
    </row>
    <row r="661" spans="8:14" x14ac:dyDescent="0.2">
      <c r="H661" s="306">
        <f t="shared" si="18"/>
        <v>37712</v>
      </c>
      <c r="I661" s="398">
        <f t="shared" si="19"/>
        <v>2.7415370589579848E-2</v>
      </c>
      <c r="J661" s="394"/>
      <c r="K661" s="304"/>
      <c r="L661" s="304"/>
      <c r="M661" s="157"/>
      <c r="N661" s="158"/>
    </row>
    <row r="662" spans="8:14" x14ac:dyDescent="0.2">
      <c r="H662" s="306">
        <f t="shared" si="18"/>
        <v>37742</v>
      </c>
      <c r="I662" s="398">
        <f t="shared" si="19"/>
        <v>2.7443928267277325E-2</v>
      </c>
      <c r="J662" s="394"/>
      <c r="K662" s="304"/>
      <c r="L662" s="304"/>
      <c r="M662" s="157"/>
      <c r="N662" s="158"/>
    </row>
    <row r="663" spans="8:14" x14ac:dyDescent="0.2">
      <c r="H663" s="306">
        <f t="shared" si="18"/>
        <v>37773</v>
      </c>
      <c r="I663" s="398">
        <f t="shared" si="19"/>
        <v>2.7472515692555738E-2</v>
      </c>
      <c r="J663" s="394"/>
      <c r="K663" s="304"/>
      <c r="L663" s="304"/>
      <c r="M663" s="157"/>
      <c r="N663" s="158"/>
    </row>
    <row r="664" spans="8:14" x14ac:dyDescent="0.2">
      <c r="H664" s="306">
        <f t="shared" si="18"/>
        <v>37803</v>
      </c>
      <c r="I664" s="398">
        <f t="shared" si="19"/>
        <v>2.7501132896402148E-2</v>
      </c>
      <c r="J664" s="394"/>
      <c r="K664" s="304"/>
      <c r="L664" s="304"/>
      <c r="M664" s="157"/>
      <c r="N664" s="158"/>
    </row>
    <row r="665" spans="8:14" x14ac:dyDescent="0.2">
      <c r="H665" s="306">
        <f t="shared" si="18"/>
        <v>37834</v>
      </c>
      <c r="I665" s="398">
        <f t="shared" si="19"/>
        <v>2.7529779909835898E-2</v>
      </c>
      <c r="J665" s="394"/>
      <c r="K665" s="304"/>
      <c r="L665" s="304"/>
      <c r="M665" s="157"/>
      <c r="N665" s="158"/>
    </row>
    <row r="666" spans="8:14" x14ac:dyDescent="0.2">
      <c r="H666" s="306">
        <f t="shared" si="18"/>
        <v>37865</v>
      </c>
      <c r="I666" s="398">
        <f t="shared" si="19"/>
        <v>2.7558456763908643E-2</v>
      </c>
      <c r="J666" s="394"/>
      <c r="K666" s="304"/>
      <c r="L666" s="304"/>
      <c r="M666" s="157"/>
      <c r="N666" s="158"/>
    </row>
    <row r="667" spans="8:14" x14ac:dyDescent="0.2">
      <c r="H667" s="306">
        <f t="shared" si="18"/>
        <v>37895</v>
      </c>
      <c r="I667" s="398">
        <f t="shared" si="19"/>
        <v>2.7587163489704379E-2</v>
      </c>
      <c r="J667" s="394"/>
      <c r="K667" s="304"/>
      <c r="L667" s="304"/>
      <c r="M667" s="157"/>
      <c r="N667" s="158"/>
    </row>
    <row r="668" spans="8:14" x14ac:dyDescent="0.2">
      <c r="H668" s="306">
        <f t="shared" si="18"/>
        <v>37926</v>
      </c>
      <c r="I668" s="398">
        <f t="shared" si="19"/>
        <v>2.7615900118339486E-2</v>
      </c>
      <c r="J668" s="394"/>
      <c r="K668" s="304"/>
      <c r="L668" s="304"/>
      <c r="M668" s="157"/>
      <c r="N668" s="158"/>
    </row>
    <row r="669" spans="8:14" x14ac:dyDescent="0.2">
      <c r="H669" s="306">
        <f t="shared" si="18"/>
        <v>37956</v>
      </c>
      <c r="I669" s="398">
        <f t="shared" si="19"/>
        <v>2.7644666680962753E-2</v>
      </c>
      <c r="J669" s="394"/>
      <c r="K669" s="304"/>
      <c r="L669" s="304"/>
      <c r="M669" s="157"/>
      <c r="N669" s="158"/>
    </row>
    <row r="670" spans="8:14" x14ac:dyDescent="0.2">
      <c r="H670" s="306">
        <f t="shared" si="18"/>
        <v>37987</v>
      </c>
      <c r="I670" s="398">
        <f t="shared" si="19"/>
        <v>2.7673463208755422E-2</v>
      </c>
      <c r="J670" s="394"/>
      <c r="K670" s="304"/>
      <c r="L670" s="304"/>
      <c r="M670" s="157"/>
      <c r="N670" s="158"/>
    </row>
    <row r="671" spans="8:14" x14ac:dyDescent="0.2">
      <c r="H671" s="306">
        <f t="shared" si="18"/>
        <v>38018</v>
      </c>
      <c r="I671" s="398">
        <f t="shared" si="19"/>
        <v>2.7702289732931207E-2</v>
      </c>
      <c r="J671" s="394"/>
      <c r="K671" s="304"/>
      <c r="L671" s="304"/>
      <c r="M671" s="157"/>
      <c r="N671" s="158"/>
    </row>
    <row r="672" spans="8:14" x14ac:dyDescent="0.2">
      <c r="H672" s="306">
        <f t="shared" si="18"/>
        <v>38047</v>
      </c>
      <c r="I672" s="398">
        <f t="shared" si="19"/>
        <v>2.773114628473634E-2</v>
      </c>
      <c r="J672" s="394"/>
      <c r="K672" s="304"/>
      <c r="L672" s="304"/>
      <c r="M672" s="157"/>
      <c r="N672" s="158"/>
    </row>
    <row r="673" spans="8:14" x14ac:dyDescent="0.2">
      <c r="H673" s="306">
        <f t="shared" si="18"/>
        <v>38078</v>
      </c>
      <c r="I673" s="398">
        <f t="shared" si="19"/>
        <v>2.7760032895449607E-2</v>
      </c>
      <c r="J673" s="394"/>
      <c r="K673" s="304"/>
      <c r="L673" s="304"/>
      <c r="M673" s="157"/>
      <c r="N673" s="158"/>
    </row>
    <row r="674" spans="8:14" x14ac:dyDescent="0.2">
      <c r="H674" s="306">
        <f t="shared" si="18"/>
        <v>38108</v>
      </c>
      <c r="I674" s="398">
        <f t="shared" si="19"/>
        <v>2.7788949596382364E-2</v>
      </c>
      <c r="J674" s="394"/>
      <c r="K674" s="304"/>
      <c r="L674" s="304"/>
      <c r="M674" s="157"/>
      <c r="N674" s="158"/>
    </row>
    <row r="675" spans="8:14" x14ac:dyDescent="0.2">
      <c r="H675" s="306">
        <f t="shared" si="18"/>
        <v>38139</v>
      </c>
      <c r="I675" s="398">
        <f t="shared" si="19"/>
        <v>2.7817896418878593E-2</v>
      </c>
      <c r="J675" s="394"/>
      <c r="K675" s="304"/>
      <c r="L675" s="304"/>
      <c r="M675" s="157"/>
      <c r="N675" s="158"/>
    </row>
    <row r="676" spans="8:14" x14ac:dyDescent="0.2">
      <c r="H676" s="306">
        <f t="shared" si="18"/>
        <v>38169</v>
      </c>
      <c r="I676" s="398">
        <f t="shared" si="19"/>
        <v>2.7846873394314922E-2</v>
      </c>
      <c r="J676" s="394"/>
      <c r="K676" s="304"/>
      <c r="L676" s="304"/>
      <c r="M676" s="157"/>
      <c r="N676" s="158"/>
    </row>
    <row r="677" spans="8:14" x14ac:dyDescent="0.2">
      <c r="H677" s="306">
        <f t="shared" si="18"/>
        <v>38200</v>
      </c>
      <c r="I677" s="398">
        <f t="shared" si="19"/>
        <v>2.7875880554100667E-2</v>
      </c>
      <c r="J677" s="394"/>
      <c r="K677" s="304"/>
      <c r="L677" s="304"/>
      <c r="M677" s="157"/>
      <c r="N677" s="158"/>
    </row>
    <row r="678" spans="8:14" x14ac:dyDescent="0.2">
      <c r="H678" s="306">
        <f t="shared" si="18"/>
        <v>38231</v>
      </c>
      <c r="I678" s="398">
        <f t="shared" si="19"/>
        <v>2.7904917929677853E-2</v>
      </c>
      <c r="J678" s="394"/>
      <c r="K678" s="304"/>
      <c r="L678" s="304"/>
      <c r="M678" s="157"/>
      <c r="N678" s="158"/>
    </row>
    <row r="679" spans="8:14" x14ac:dyDescent="0.2">
      <c r="H679" s="306">
        <f t="shared" si="18"/>
        <v>38261</v>
      </c>
      <c r="I679" s="398">
        <f t="shared" si="19"/>
        <v>2.7933985552521266E-2</v>
      </c>
      <c r="J679" s="394"/>
      <c r="K679" s="304"/>
      <c r="L679" s="304"/>
      <c r="M679" s="157"/>
      <c r="N679" s="158"/>
    </row>
    <row r="680" spans="8:14" x14ac:dyDescent="0.2">
      <c r="H680" s="306">
        <f t="shared" si="18"/>
        <v>38292</v>
      </c>
      <c r="I680" s="398">
        <f t="shared" si="19"/>
        <v>2.7963083454138473E-2</v>
      </c>
      <c r="J680" s="394"/>
      <c r="K680" s="304"/>
      <c r="L680" s="304"/>
      <c r="M680" s="157"/>
      <c r="N680" s="158"/>
    </row>
    <row r="681" spans="8:14" x14ac:dyDescent="0.2">
      <c r="H681" s="306">
        <f t="shared" si="18"/>
        <v>38322</v>
      </c>
      <c r="I681" s="398">
        <f t="shared" si="19"/>
        <v>2.7992211666069865E-2</v>
      </c>
      <c r="J681" s="394"/>
      <c r="K681" s="304"/>
      <c r="L681" s="304"/>
      <c r="M681" s="157"/>
      <c r="N681" s="158"/>
    </row>
    <row r="682" spans="8:14" x14ac:dyDescent="0.2">
      <c r="H682" s="306">
        <f t="shared" si="18"/>
        <v>38353</v>
      </c>
      <c r="I682" s="398">
        <f t="shared" si="19"/>
        <v>2.8021370219888687E-2</v>
      </c>
      <c r="J682" s="394"/>
      <c r="K682" s="304"/>
      <c r="L682" s="304"/>
      <c r="M682" s="157"/>
      <c r="N682" s="158"/>
    </row>
    <row r="683" spans="8:14" x14ac:dyDescent="0.2">
      <c r="H683" s="306">
        <f t="shared" si="18"/>
        <v>38384</v>
      </c>
      <c r="I683" s="398">
        <f t="shared" si="19"/>
        <v>2.805055914720107E-2</v>
      </c>
      <c r="J683" s="394"/>
      <c r="K683" s="304"/>
      <c r="L683" s="304"/>
      <c r="M683" s="157"/>
      <c r="N683" s="158"/>
    </row>
    <row r="684" spans="8:14" x14ac:dyDescent="0.2">
      <c r="H684" s="306">
        <f t="shared" si="18"/>
        <v>38412</v>
      </c>
      <c r="I684" s="398">
        <f t="shared" si="19"/>
        <v>2.8079778479646069E-2</v>
      </c>
      <c r="J684" s="394"/>
      <c r="K684" s="304"/>
      <c r="L684" s="304"/>
      <c r="M684" s="157"/>
      <c r="N684" s="158"/>
    </row>
    <row r="685" spans="8:14" x14ac:dyDescent="0.2">
      <c r="H685" s="306">
        <f t="shared" si="18"/>
        <v>38443</v>
      </c>
      <c r="I685" s="398">
        <f t="shared" si="19"/>
        <v>2.81090282488957E-2</v>
      </c>
      <c r="J685" s="394"/>
      <c r="K685" s="304"/>
      <c r="L685" s="304"/>
      <c r="M685" s="157"/>
      <c r="N685" s="158"/>
    </row>
    <row r="686" spans="8:14" x14ac:dyDescent="0.2">
      <c r="H686" s="306">
        <f t="shared" si="18"/>
        <v>38473</v>
      </c>
      <c r="I686" s="398">
        <f t="shared" si="19"/>
        <v>2.8138308486654964E-2</v>
      </c>
      <c r="J686" s="394"/>
      <c r="K686" s="304"/>
      <c r="L686" s="304"/>
      <c r="M686" s="157"/>
      <c r="N686" s="158"/>
    </row>
    <row r="687" spans="8:14" x14ac:dyDescent="0.2">
      <c r="H687" s="306">
        <f t="shared" si="18"/>
        <v>38504</v>
      </c>
      <c r="I687" s="398">
        <f t="shared" si="19"/>
        <v>2.8167619224661895E-2</v>
      </c>
      <c r="J687" s="394"/>
      <c r="K687" s="304"/>
      <c r="L687" s="304"/>
      <c r="M687" s="157"/>
      <c r="N687" s="158"/>
    </row>
    <row r="688" spans="8:14" x14ac:dyDescent="0.2">
      <c r="H688" s="306">
        <f t="shared" si="18"/>
        <v>38534</v>
      </c>
      <c r="I688" s="398">
        <f t="shared" si="19"/>
        <v>2.8196960494687583E-2</v>
      </c>
      <c r="J688" s="394"/>
      <c r="K688" s="304"/>
      <c r="L688" s="304"/>
      <c r="M688" s="157"/>
      <c r="N688" s="158"/>
    </row>
    <row r="689" spans="8:14" x14ac:dyDescent="0.2">
      <c r="H689" s="306">
        <f t="shared" si="18"/>
        <v>38565</v>
      </c>
      <c r="I689" s="398">
        <f t="shared" si="19"/>
        <v>2.8226332328536215E-2</v>
      </c>
      <c r="J689" s="394"/>
      <c r="K689" s="304"/>
      <c r="L689" s="304"/>
      <c r="M689" s="157"/>
      <c r="N689" s="158"/>
    </row>
    <row r="690" spans="8:14" x14ac:dyDescent="0.2">
      <c r="H690" s="306">
        <f t="shared" si="18"/>
        <v>38596</v>
      </c>
      <c r="I690" s="398">
        <f t="shared" si="19"/>
        <v>2.8255734758045107E-2</v>
      </c>
      <c r="J690" s="394"/>
      <c r="K690" s="304"/>
      <c r="L690" s="304"/>
      <c r="M690" s="157"/>
      <c r="N690" s="158"/>
    </row>
    <row r="691" spans="8:14" x14ac:dyDescent="0.2">
      <c r="H691" s="306">
        <f t="shared" si="18"/>
        <v>38626</v>
      </c>
      <c r="I691" s="398">
        <f t="shared" si="19"/>
        <v>2.8285167815084736E-2</v>
      </c>
      <c r="J691" s="394"/>
      <c r="K691" s="304"/>
      <c r="L691" s="304"/>
      <c r="M691" s="157"/>
      <c r="N691" s="158"/>
    </row>
    <row r="692" spans="8:14" x14ac:dyDescent="0.2">
      <c r="H692" s="306">
        <f t="shared" si="18"/>
        <v>38657</v>
      </c>
      <c r="I692" s="398">
        <f t="shared" si="19"/>
        <v>2.8314631531558779E-2</v>
      </c>
      <c r="J692" s="394"/>
      <c r="K692" s="304"/>
      <c r="L692" s="304"/>
      <c r="M692" s="157"/>
      <c r="N692" s="158"/>
    </row>
    <row r="693" spans="8:14" x14ac:dyDescent="0.2">
      <c r="H693" s="306">
        <f t="shared" ref="H693:H756" si="20">+H385</f>
        <v>38687</v>
      </c>
      <c r="I693" s="398">
        <f t="shared" si="19"/>
        <v>2.8344125939404153E-2</v>
      </c>
      <c r="J693" s="394"/>
      <c r="K693" s="304"/>
      <c r="L693" s="304"/>
      <c r="M693" s="157"/>
      <c r="N693" s="158"/>
    </row>
    <row r="694" spans="8:14" x14ac:dyDescent="0.2">
      <c r="H694" s="306">
        <f t="shared" si="20"/>
        <v>38718</v>
      </c>
      <c r="I694" s="398">
        <f t="shared" si="19"/>
        <v>2.8373651070591029E-2</v>
      </c>
      <c r="J694" s="394"/>
      <c r="K694" s="304"/>
      <c r="L694" s="304"/>
      <c r="M694" s="157"/>
      <c r="N694" s="158"/>
    </row>
    <row r="695" spans="8:14" x14ac:dyDescent="0.2">
      <c r="H695" s="306">
        <f t="shared" si="20"/>
        <v>38749</v>
      </c>
      <c r="I695" s="398">
        <f t="shared" si="19"/>
        <v>2.8403206957122892E-2</v>
      </c>
      <c r="J695" s="394"/>
      <c r="K695" s="304"/>
      <c r="L695" s="304"/>
      <c r="M695" s="157"/>
      <c r="N695" s="158"/>
    </row>
    <row r="696" spans="8:14" x14ac:dyDescent="0.2">
      <c r="H696" s="306">
        <f t="shared" si="20"/>
        <v>38777</v>
      </c>
      <c r="I696" s="398">
        <f t="shared" si="19"/>
        <v>2.8432793631036561E-2</v>
      </c>
      <c r="J696" s="394"/>
      <c r="K696" s="304"/>
      <c r="L696" s="304"/>
      <c r="M696" s="157"/>
      <c r="N696" s="158"/>
    </row>
    <row r="697" spans="8:14" x14ac:dyDescent="0.2">
      <c r="H697" s="306">
        <f t="shared" si="20"/>
        <v>38808</v>
      </c>
      <c r="I697" s="398">
        <f t="shared" si="19"/>
        <v>2.8462411124402221E-2</v>
      </c>
      <c r="J697" s="394"/>
      <c r="K697" s="304"/>
      <c r="L697" s="304"/>
      <c r="M697" s="157"/>
      <c r="N697" s="158"/>
    </row>
    <row r="698" spans="8:14" x14ac:dyDescent="0.2">
      <c r="H698" s="306">
        <f t="shared" si="20"/>
        <v>38838</v>
      </c>
      <c r="I698" s="398">
        <f t="shared" ref="I698:I761" si="21">+I697*(1+I$8/12)</f>
        <v>2.8492059469323473E-2</v>
      </c>
      <c r="J698" s="394"/>
      <c r="K698" s="304"/>
      <c r="L698" s="304"/>
      <c r="M698" s="157"/>
      <c r="N698" s="158"/>
    </row>
    <row r="699" spans="8:14" x14ac:dyDescent="0.2">
      <c r="H699" s="306">
        <f t="shared" si="20"/>
        <v>38869</v>
      </c>
      <c r="I699" s="398">
        <f t="shared" si="21"/>
        <v>2.8521738697937348E-2</v>
      </c>
      <c r="J699" s="394"/>
      <c r="K699" s="304"/>
      <c r="L699" s="304"/>
      <c r="M699" s="157"/>
      <c r="N699" s="158"/>
    </row>
    <row r="700" spans="8:14" x14ac:dyDescent="0.2">
      <c r="H700" s="306">
        <f t="shared" si="20"/>
        <v>38899</v>
      </c>
      <c r="I700" s="398">
        <f t="shared" si="21"/>
        <v>2.8551448842414364E-2</v>
      </c>
      <c r="J700" s="394"/>
      <c r="K700" s="304"/>
      <c r="L700" s="304"/>
      <c r="M700" s="157"/>
      <c r="N700" s="158"/>
    </row>
    <row r="701" spans="8:14" x14ac:dyDescent="0.2">
      <c r="H701" s="306">
        <f t="shared" si="20"/>
        <v>38930</v>
      </c>
      <c r="I701" s="398">
        <f t="shared" si="21"/>
        <v>2.8581189934958545E-2</v>
      </c>
      <c r="J701" s="394"/>
      <c r="K701" s="304"/>
      <c r="L701" s="304"/>
      <c r="M701" s="157"/>
      <c r="N701" s="158"/>
    </row>
    <row r="702" spans="8:14" x14ac:dyDescent="0.2">
      <c r="H702" s="306">
        <f t="shared" si="20"/>
        <v>38961</v>
      </c>
      <c r="I702" s="398">
        <f t="shared" si="21"/>
        <v>2.8610962007807456E-2</v>
      </c>
      <c r="J702" s="394"/>
      <c r="K702" s="304"/>
      <c r="L702" s="304"/>
      <c r="M702" s="157"/>
      <c r="N702" s="158"/>
    </row>
    <row r="703" spans="8:14" x14ac:dyDescent="0.2">
      <c r="H703" s="306">
        <f t="shared" si="20"/>
        <v>38991</v>
      </c>
      <c r="I703" s="398">
        <f t="shared" si="21"/>
        <v>2.8640765093232254E-2</v>
      </c>
      <c r="J703" s="394"/>
      <c r="K703" s="304"/>
      <c r="L703" s="304"/>
      <c r="M703" s="157"/>
      <c r="N703" s="158"/>
    </row>
    <row r="704" spans="8:14" x14ac:dyDescent="0.2">
      <c r="H704" s="306">
        <f t="shared" si="20"/>
        <v>39022</v>
      </c>
      <c r="I704" s="398">
        <f t="shared" si="21"/>
        <v>2.8670599223537704E-2</v>
      </c>
      <c r="J704" s="394"/>
      <c r="K704" s="304"/>
      <c r="L704" s="304"/>
      <c r="M704" s="157"/>
      <c r="N704" s="158"/>
    </row>
    <row r="705" spans="8:14" x14ac:dyDescent="0.2">
      <c r="H705" s="306">
        <f t="shared" si="20"/>
        <v>39052</v>
      </c>
      <c r="I705" s="398">
        <f t="shared" si="21"/>
        <v>2.8700464431062219E-2</v>
      </c>
      <c r="J705" s="394"/>
      <c r="K705" s="304"/>
      <c r="L705" s="304"/>
      <c r="M705" s="157"/>
      <c r="N705" s="158"/>
    </row>
    <row r="706" spans="8:14" x14ac:dyDescent="0.2">
      <c r="H706" s="306">
        <f t="shared" si="20"/>
        <v>39083</v>
      </c>
      <c r="I706" s="398">
        <f t="shared" si="21"/>
        <v>2.8730360748177908E-2</v>
      </c>
      <c r="J706" s="394"/>
      <c r="K706" s="304"/>
      <c r="L706" s="304"/>
      <c r="M706" s="157"/>
      <c r="N706" s="158"/>
    </row>
    <row r="707" spans="8:14" x14ac:dyDescent="0.2">
      <c r="H707" s="306">
        <f t="shared" si="20"/>
        <v>39114</v>
      </c>
      <c r="I707" s="398">
        <f t="shared" si="21"/>
        <v>2.8760288207290593E-2</v>
      </c>
      <c r="J707" s="394"/>
      <c r="K707" s="304"/>
      <c r="L707" s="304"/>
      <c r="M707" s="157"/>
      <c r="N707" s="158"/>
    </row>
    <row r="708" spans="8:14" x14ac:dyDescent="0.2">
      <c r="H708" s="306">
        <f t="shared" si="20"/>
        <v>39142</v>
      </c>
      <c r="I708" s="398">
        <f t="shared" si="21"/>
        <v>2.8790246840839851E-2</v>
      </c>
      <c r="J708" s="394"/>
      <c r="K708" s="304"/>
      <c r="L708" s="304"/>
      <c r="M708" s="157"/>
      <c r="N708" s="158"/>
    </row>
    <row r="709" spans="8:14" x14ac:dyDescent="0.2">
      <c r="H709" s="306">
        <f t="shared" si="20"/>
        <v>39173</v>
      </c>
      <c r="I709" s="398">
        <f t="shared" si="21"/>
        <v>2.8820236681299058E-2</v>
      </c>
      <c r="J709" s="394"/>
      <c r="K709" s="304"/>
      <c r="L709" s="304"/>
      <c r="M709" s="157"/>
      <c r="N709" s="158"/>
    </row>
    <row r="710" spans="8:14" x14ac:dyDescent="0.2">
      <c r="H710" s="306">
        <f t="shared" si="20"/>
        <v>39203</v>
      </c>
      <c r="I710" s="398">
        <f t="shared" si="21"/>
        <v>2.8850257761175408E-2</v>
      </c>
      <c r="J710" s="394"/>
      <c r="K710" s="304"/>
      <c r="L710" s="304"/>
      <c r="M710" s="157"/>
      <c r="N710" s="158"/>
    </row>
    <row r="711" spans="8:14" x14ac:dyDescent="0.2">
      <c r="H711" s="306">
        <f t="shared" si="20"/>
        <v>39234</v>
      </c>
      <c r="I711" s="398">
        <f t="shared" si="21"/>
        <v>2.8880310113009965E-2</v>
      </c>
      <c r="J711" s="394"/>
      <c r="K711" s="304"/>
      <c r="L711" s="304"/>
      <c r="M711" s="157"/>
      <c r="N711" s="158"/>
    </row>
    <row r="712" spans="8:14" x14ac:dyDescent="0.2">
      <c r="H712" s="306">
        <f t="shared" si="20"/>
        <v>39264</v>
      </c>
      <c r="I712" s="398">
        <f t="shared" si="21"/>
        <v>2.8910393769377683E-2</v>
      </c>
      <c r="J712" s="394"/>
      <c r="K712" s="304"/>
      <c r="L712" s="304"/>
      <c r="M712" s="157"/>
      <c r="N712" s="158"/>
    </row>
    <row r="713" spans="8:14" x14ac:dyDescent="0.2">
      <c r="H713" s="306">
        <f t="shared" si="20"/>
        <v>39295</v>
      </c>
      <c r="I713" s="398">
        <f t="shared" si="21"/>
        <v>2.8940508762887448E-2</v>
      </c>
      <c r="J713" s="394"/>
      <c r="K713" s="304"/>
      <c r="L713" s="304"/>
      <c r="M713" s="157"/>
      <c r="N713" s="158"/>
    </row>
    <row r="714" spans="8:14" x14ac:dyDescent="0.2">
      <c r="H714" s="306">
        <f t="shared" si="20"/>
        <v>39326</v>
      </c>
      <c r="I714" s="398">
        <f t="shared" si="21"/>
        <v>2.8970655126182122E-2</v>
      </c>
      <c r="J714" s="394"/>
      <c r="K714" s="304"/>
      <c r="L714" s="304"/>
      <c r="M714" s="157"/>
      <c r="N714" s="158"/>
    </row>
    <row r="715" spans="8:14" x14ac:dyDescent="0.2">
      <c r="H715" s="306">
        <f t="shared" si="20"/>
        <v>39356</v>
      </c>
      <c r="I715" s="398">
        <f t="shared" si="21"/>
        <v>2.9000832891938558E-2</v>
      </c>
      <c r="J715" s="394"/>
      <c r="K715" s="304"/>
      <c r="L715" s="304"/>
      <c r="M715" s="157"/>
      <c r="N715" s="158"/>
    </row>
    <row r="716" spans="8:14" x14ac:dyDescent="0.2">
      <c r="H716" s="306">
        <f t="shared" si="20"/>
        <v>39387</v>
      </c>
      <c r="I716" s="398">
        <f t="shared" si="21"/>
        <v>2.9031042092867658E-2</v>
      </c>
      <c r="J716" s="394"/>
      <c r="K716" s="304"/>
      <c r="L716" s="304"/>
      <c r="M716" s="157"/>
      <c r="N716" s="158"/>
    </row>
    <row r="717" spans="8:14" x14ac:dyDescent="0.2">
      <c r="H717" s="306">
        <f t="shared" si="20"/>
        <v>39417</v>
      </c>
      <c r="I717" s="398">
        <f t="shared" si="21"/>
        <v>2.9061282761714394E-2</v>
      </c>
      <c r="J717" s="394"/>
      <c r="K717" s="304"/>
      <c r="L717" s="304"/>
      <c r="M717" s="157"/>
      <c r="N717" s="158"/>
    </row>
    <row r="718" spans="8:14" x14ac:dyDescent="0.2">
      <c r="H718" s="306">
        <f t="shared" si="20"/>
        <v>39448</v>
      </c>
      <c r="I718" s="398">
        <f t="shared" si="21"/>
        <v>2.9091554931257844E-2</v>
      </c>
      <c r="J718" s="394"/>
      <c r="K718" s="304"/>
      <c r="L718" s="304"/>
      <c r="M718" s="157"/>
      <c r="N718" s="158"/>
    </row>
    <row r="719" spans="8:14" x14ac:dyDescent="0.2">
      <c r="H719" s="306">
        <f t="shared" si="20"/>
        <v>39479</v>
      </c>
      <c r="I719" s="398">
        <f t="shared" si="21"/>
        <v>2.9121858634311236E-2</v>
      </c>
      <c r="J719" s="394"/>
      <c r="K719" s="304"/>
      <c r="L719" s="304"/>
      <c r="M719" s="157"/>
      <c r="N719" s="158"/>
    </row>
    <row r="720" spans="8:14" x14ac:dyDescent="0.2">
      <c r="H720" s="306">
        <f t="shared" si="20"/>
        <v>39508</v>
      </c>
      <c r="I720" s="398">
        <f t="shared" si="21"/>
        <v>2.9152193903721976E-2</v>
      </c>
      <c r="J720" s="394"/>
      <c r="K720" s="304"/>
      <c r="L720" s="304"/>
      <c r="M720" s="157"/>
      <c r="N720" s="158"/>
    </row>
    <row r="721" spans="8:14" x14ac:dyDescent="0.2">
      <c r="H721" s="306">
        <f t="shared" si="20"/>
        <v>39539</v>
      </c>
      <c r="I721" s="398">
        <f t="shared" si="21"/>
        <v>2.9182560772371684E-2</v>
      </c>
      <c r="J721" s="394"/>
      <c r="K721" s="304"/>
      <c r="L721" s="304"/>
      <c r="M721" s="157"/>
      <c r="N721" s="158"/>
    </row>
    <row r="722" spans="8:14" x14ac:dyDescent="0.2">
      <c r="H722" s="306">
        <f t="shared" si="20"/>
        <v>39569</v>
      </c>
      <c r="I722" s="398">
        <f t="shared" si="21"/>
        <v>2.9212959273176235E-2</v>
      </c>
      <c r="J722" s="394"/>
      <c r="K722" s="304"/>
      <c r="L722" s="304"/>
      <c r="M722" s="157"/>
      <c r="N722" s="158"/>
    </row>
    <row r="723" spans="8:14" x14ac:dyDescent="0.2">
      <c r="H723" s="306">
        <f t="shared" si="20"/>
        <v>39600</v>
      </c>
      <c r="I723" s="398">
        <f t="shared" si="21"/>
        <v>2.9243389439085794E-2</v>
      </c>
      <c r="J723" s="394"/>
      <c r="K723" s="304"/>
      <c r="L723" s="304"/>
      <c r="M723" s="157"/>
      <c r="N723" s="158"/>
    </row>
    <row r="724" spans="8:14" x14ac:dyDescent="0.2">
      <c r="H724" s="306">
        <f t="shared" si="20"/>
        <v>39630</v>
      </c>
      <c r="I724" s="398">
        <f t="shared" si="21"/>
        <v>2.9273851303084839E-2</v>
      </c>
      <c r="J724" s="394"/>
      <c r="K724" s="304"/>
      <c r="L724" s="304"/>
      <c r="M724" s="157"/>
      <c r="N724" s="158"/>
    </row>
    <row r="725" spans="8:14" x14ac:dyDescent="0.2">
      <c r="H725" s="306">
        <f t="shared" si="20"/>
        <v>39661</v>
      </c>
      <c r="I725" s="398">
        <f t="shared" si="21"/>
        <v>2.9304344898192218E-2</v>
      </c>
      <c r="J725" s="394"/>
      <c r="K725" s="304"/>
      <c r="L725" s="304"/>
      <c r="M725" s="157"/>
      <c r="N725" s="158"/>
    </row>
    <row r="726" spans="8:14" x14ac:dyDescent="0.2">
      <c r="H726" s="306">
        <f t="shared" si="20"/>
        <v>39692</v>
      </c>
      <c r="I726" s="398">
        <f t="shared" si="21"/>
        <v>2.9334870257461166E-2</v>
      </c>
      <c r="J726" s="394"/>
      <c r="K726" s="304"/>
      <c r="L726" s="304"/>
      <c r="M726" s="157"/>
      <c r="N726" s="158"/>
    </row>
    <row r="727" spans="8:14" x14ac:dyDescent="0.2">
      <c r="H727" s="306">
        <f t="shared" si="20"/>
        <v>39722</v>
      </c>
      <c r="I727" s="398">
        <f t="shared" si="21"/>
        <v>2.9365427413979354E-2</v>
      </c>
      <c r="J727" s="394"/>
      <c r="K727" s="304"/>
      <c r="L727" s="304"/>
      <c r="M727" s="157"/>
      <c r="N727" s="158"/>
    </row>
    <row r="728" spans="8:14" x14ac:dyDescent="0.2">
      <c r="H728" s="306">
        <f t="shared" si="20"/>
        <v>39753</v>
      </c>
      <c r="I728" s="398">
        <f t="shared" si="21"/>
        <v>2.9396016400868915E-2</v>
      </c>
      <c r="J728" s="394"/>
      <c r="K728" s="304"/>
      <c r="L728" s="304"/>
      <c r="M728" s="157"/>
      <c r="N728" s="158"/>
    </row>
    <row r="729" spans="8:14" x14ac:dyDescent="0.2">
      <c r="H729" s="306">
        <f t="shared" si="20"/>
        <v>39783</v>
      </c>
      <c r="I729" s="398">
        <f t="shared" si="21"/>
        <v>2.9426637251286487E-2</v>
      </c>
      <c r="J729" s="394"/>
      <c r="K729" s="304"/>
      <c r="L729" s="304"/>
      <c r="M729" s="157"/>
      <c r="N729" s="158"/>
    </row>
    <row r="730" spans="8:14" x14ac:dyDescent="0.2">
      <c r="H730" s="306">
        <f t="shared" si="20"/>
        <v>39814</v>
      </c>
      <c r="I730" s="398">
        <f t="shared" si="21"/>
        <v>2.9457289998423241E-2</v>
      </c>
      <c r="J730" s="394"/>
      <c r="K730" s="304"/>
      <c r="L730" s="304"/>
      <c r="M730" s="157"/>
      <c r="N730" s="158"/>
    </row>
    <row r="731" spans="8:14" x14ac:dyDescent="0.2">
      <c r="H731" s="306">
        <f t="shared" si="20"/>
        <v>39845</v>
      </c>
      <c r="I731" s="398">
        <f t="shared" si="21"/>
        <v>2.948797467550493E-2</v>
      </c>
      <c r="J731" s="394"/>
      <c r="K731" s="304"/>
      <c r="L731" s="304"/>
      <c r="M731" s="157"/>
      <c r="N731" s="158"/>
    </row>
    <row r="732" spans="8:14" x14ac:dyDescent="0.2">
      <c r="H732" s="306">
        <f t="shared" si="20"/>
        <v>39873</v>
      </c>
      <c r="I732" s="398">
        <f t="shared" si="21"/>
        <v>2.9518691315791913E-2</v>
      </c>
      <c r="J732" s="394"/>
      <c r="K732" s="304"/>
      <c r="L732" s="304"/>
      <c r="M732" s="157"/>
      <c r="N732" s="158"/>
    </row>
    <row r="733" spans="8:14" x14ac:dyDescent="0.2">
      <c r="H733" s="306">
        <f t="shared" si="20"/>
        <v>39904</v>
      </c>
      <c r="I733" s="398">
        <f t="shared" si="21"/>
        <v>2.9549439952579196E-2</v>
      </c>
      <c r="J733" s="394"/>
      <c r="K733" s="304"/>
      <c r="L733" s="304"/>
      <c r="M733" s="157"/>
      <c r="N733" s="158"/>
    </row>
    <row r="734" spans="8:14" x14ac:dyDescent="0.2">
      <c r="H734" s="306">
        <f t="shared" si="20"/>
        <v>39934</v>
      </c>
      <c r="I734" s="398">
        <f t="shared" si="21"/>
        <v>2.9580220619196466E-2</v>
      </c>
      <c r="J734" s="394"/>
      <c r="K734" s="304"/>
      <c r="L734" s="304"/>
      <c r="M734" s="157"/>
      <c r="N734" s="158"/>
    </row>
    <row r="735" spans="8:14" x14ac:dyDescent="0.2">
      <c r="H735" s="306">
        <f t="shared" si="20"/>
        <v>39965</v>
      </c>
      <c r="I735" s="398">
        <f t="shared" si="21"/>
        <v>2.9611033349008126E-2</v>
      </c>
      <c r="J735" s="394"/>
      <c r="K735" s="304"/>
      <c r="L735" s="304"/>
      <c r="M735" s="157"/>
      <c r="N735" s="158"/>
    </row>
    <row r="736" spans="8:14" x14ac:dyDescent="0.2">
      <c r="H736" s="306">
        <f t="shared" si="20"/>
        <v>39995</v>
      </c>
      <c r="I736" s="398">
        <f t="shared" si="21"/>
        <v>2.964187817541334E-2</v>
      </c>
      <c r="J736" s="394"/>
      <c r="K736" s="304"/>
      <c r="L736" s="304"/>
      <c r="M736" s="157"/>
      <c r="N736" s="158"/>
    </row>
    <row r="737" spans="8:14" x14ac:dyDescent="0.2">
      <c r="H737" s="306">
        <f t="shared" si="20"/>
        <v>40026</v>
      </c>
      <c r="I737" s="398">
        <f t="shared" si="21"/>
        <v>2.967275513184606E-2</v>
      </c>
      <c r="J737" s="394"/>
      <c r="K737" s="304"/>
      <c r="L737" s="304"/>
      <c r="M737" s="157"/>
      <c r="N737" s="158"/>
    </row>
    <row r="738" spans="8:14" x14ac:dyDescent="0.2">
      <c r="H738" s="306">
        <f t="shared" si="20"/>
        <v>40057</v>
      </c>
      <c r="I738" s="398">
        <f t="shared" si="21"/>
        <v>2.9703664251775064E-2</v>
      </c>
      <c r="J738" s="394"/>
      <c r="K738" s="304"/>
      <c r="L738" s="304"/>
      <c r="M738" s="157"/>
      <c r="N738" s="158"/>
    </row>
    <row r="739" spans="8:14" x14ac:dyDescent="0.2">
      <c r="H739" s="306">
        <f t="shared" si="20"/>
        <v>40087</v>
      </c>
      <c r="I739" s="398">
        <f t="shared" si="21"/>
        <v>2.9734605568703994E-2</v>
      </c>
      <c r="J739" s="394"/>
      <c r="K739" s="304"/>
      <c r="L739" s="304"/>
      <c r="M739" s="157"/>
      <c r="N739" s="158"/>
    </row>
    <row r="740" spans="8:14" x14ac:dyDescent="0.2">
      <c r="H740" s="306">
        <f t="shared" si="20"/>
        <v>40118</v>
      </c>
      <c r="I740" s="398">
        <f t="shared" si="21"/>
        <v>2.9765579116171392E-2</v>
      </c>
      <c r="J740" s="394"/>
      <c r="K740" s="304"/>
      <c r="L740" s="304"/>
      <c r="M740" s="157"/>
      <c r="N740" s="158"/>
    </row>
    <row r="741" spans="8:14" x14ac:dyDescent="0.2">
      <c r="H741" s="306">
        <f t="shared" si="20"/>
        <v>40148</v>
      </c>
      <c r="I741" s="398">
        <f t="shared" si="21"/>
        <v>2.9796584927750735E-2</v>
      </c>
      <c r="J741" s="394"/>
      <c r="K741" s="304"/>
      <c r="L741" s="304"/>
      <c r="M741" s="157"/>
      <c r="N741" s="158"/>
    </row>
    <row r="742" spans="8:14" x14ac:dyDescent="0.2">
      <c r="H742" s="306">
        <f t="shared" si="20"/>
        <v>40179</v>
      </c>
      <c r="I742" s="398">
        <f t="shared" si="21"/>
        <v>2.9827623037050475E-2</v>
      </c>
      <c r="J742" s="394"/>
      <c r="K742" s="304"/>
      <c r="L742" s="304"/>
      <c r="M742" s="157"/>
      <c r="N742" s="158"/>
    </row>
    <row r="743" spans="8:14" x14ac:dyDescent="0.2">
      <c r="H743" s="306">
        <f t="shared" si="20"/>
        <v>40210</v>
      </c>
      <c r="I743" s="398">
        <f t="shared" si="21"/>
        <v>2.9858693477714068E-2</v>
      </c>
      <c r="J743" s="394"/>
      <c r="K743" s="304"/>
      <c r="L743" s="304"/>
      <c r="M743" s="157"/>
      <c r="N743" s="158"/>
    </row>
    <row r="744" spans="8:14" x14ac:dyDescent="0.2">
      <c r="H744" s="306">
        <f t="shared" si="20"/>
        <v>40238</v>
      </c>
      <c r="I744" s="398">
        <f t="shared" si="21"/>
        <v>2.988979628342002E-2</v>
      </c>
      <c r="J744" s="394"/>
      <c r="K744" s="304"/>
      <c r="L744" s="304"/>
      <c r="M744" s="157"/>
      <c r="N744" s="158"/>
    </row>
    <row r="745" spans="8:14" x14ac:dyDescent="0.2">
      <c r="H745" s="306">
        <f t="shared" si="20"/>
        <v>40269</v>
      </c>
      <c r="I745" s="398">
        <f t="shared" si="21"/>
        <v>2.9920931487881913E-2</v>
      </c>
      <c r="J745" s="394"/>
      <c r="K745" s="304"/>
      <c r="L745" s="304"/>
      <c r="M745" s="157"/>
      <c r="N745" s="158"/>
    </row>
    <row r="746" spans="8:14" x14ac:dyDescent="0.2">
      <c r="H746" s="306">
        <f t="shared" si="20"/>
        <v>40299</v>
      </c>
      <c r="I746" s="398">
        <f t="shared" si="21"/>
        <v>2.9952099124848454E-2</v>
      </c>
      <c r="J746" s="394"/>
      <c r="K746" s="304"/>
      <c r="L746" s="304"/>
      <c r="M746" s="157"/>
      <c r="N746" s="158"/>
    </row>
    <row r="747" spans="8:14" x14ac:dyDescent="0.2">
      <c r="H747" s="306">
        <f t="shared" si="20"/>
        <v>40330</v>
      </c>
      <c r="I747" s="398">
        <f t="shared" si="21"/>
        <v>2.9983299228103503E-2</v>
      </c>
      <c r="J747" s="394"/>
      <c r="K747" s="304"/>
      <c r="L747" s="304"/>
      <c r="M747" s="157"/>
      <c r="N747" s="158"/>
    </row>
    <row r="748" spans="8:14" x14ac:dyDescent="0.2">
      <c r="H748" s="306">
        <f t="shared" si="20"/>
        <v>40360</v>
      </c>
      <c r="I748" s="398">
        <f t="shared" si="21"/>
        <v>3.0014531831466108E-2</v>
      </c>
      <c r="J748" s="394"/>
      <c r="K748" s="304"/>
      <c r="L748" s="304"/>
      <c r="M748" s="157"/>
      <c r="N748" s="158"/>
    </row>
    <row r="749" spans="8:14" x14ac:dyDescent="0.2">
      <c r="H749" s="306">
        <f t="shared" si="20"/>
        <v>40391</v>
      </c>
      <c r="I749" s="398">
        <f t="shared" si="21"/>
        <v>3.0045796968790551E-2</v>
      </c>
      <c r="J749" s="394"/>
      <c r="K749" s="304"/>
      <c r="L749" s="304"/>
      <c r="M749" s="157"/>
      <c r="N749" s="158"/>
    </row>
    <row r="750" spans="8:14" x14ac:dyDescent="0.2">
      <c r="H750" s="306">
        <f t="shared" si="20"/>
        <v>40422</v>
      </c>
      <c r="I750" s="398">
        <f t="shared" si="21"/>
        <v>3.0077094673966371E-2</v>
      </c>
      <c r="J750" s="394"/>
      <c r="K750" s="304"/>
      <c r="L750" s="304"/>
      <c r="M750" s="157"/>
      <c r="N750" s="158"/>
    </row>
    <row r="751" spans="8:14" x14ac:dyDescent="0.2">
      <c r="H751" s="306">
        <f t="shared" si="20"/>
        <v>40452</v>
      </c>
      <c r="I751" s="398">
        <f t="shared" si="21"/>
        <v>3.0108424980918418E-2</v>
      </c>
      <c r="J751" s="394"/>
      <c r="K751" s="304"/>
      <c r="L751" s="304"/>
      <c r="M751" s="157"/>
      <c r="N751" s="158"/>
    </row>
    <row r="752" spans="8:14" x14ac:dyDescent="0.2">
      <c r="H752" s="306">
        <f t="shared" si="20"/>
        <v>40483</v>
      </c>
      <c r="I752" s="398">
        <f t="shared" si="21"/>
        <v>3.0139787923606873E-2</v>
      </c>
      <c r="J752" s="394"/>
      <c r="K752" s="304"/>
      <c r="L752" s="304"/>
      <c r="M752" s="157"/>
      <c r="N752" s="158"/>
    </row>
    <row r="753" spans="8:14" x14ac:dyDescent="0.2">
      <c r="H753" s="306">
        <f t="shared" si="20"/>
        <v>40513</v>
      </c>
      <c r="I753" s="398">
        <f t="shared" si="21"/>
        <v>3.0171183536027296E-2</v>
      </c>
      <c r="J753" s="394"/>
      <c r="K753" s="304"/>
      <c r="L753" s="304"/>
      <c r="M753" s="157"/>
      <c r="N753" s="158"/>
    </row>
    <row r="754" spans="8:14" x14ac:dyDescent="0.2">
      <c r="H754" s="306">
        <f t="shared" si="20"/>
        <v>40544</v>
      </c>
      <c r="I754" s="398">
        <f t="shared" si="21"/>
        <v>3.0202611852210657E-2</v>
      </c>
      <c r="J754" s="394"/>
      <c r="K754" s="304"/>
      <c r="L754" s="304"/>
      <c r="M754" s="157"/>
      <c r="N754" s="158"/>
    </row>
    <row r="755" spans="8:14" x14ac:dyDescent="0.2">
      <c r="H755" s="306">
        <f t="shared" si="20"/>
        <v>40575</v>
      </c>
      <c r="I755" s="398">
        <f t="shared" si="21"/>
        <v>3.0234072906223375E-2</v>
      </c>
      <c r="J755" s="394"/>
      <c r="K755" s="304"/>
      <c r="L755" s="304"/>
      <c r="M755" s="157"/>
      <c r="N755" s="158"/>
    </row>
    <row r="756" spans="8:14" x14ac:dyDescent="0.2">
      <c r="H756" s="306">
        <f t="shared" si="20"/>
        <v>40603</v>
      </c>
      <c r="I756" s="398">
        <f t="shared" si="21"/>
        <v>3.0265566732167355E-2</v>
      </c>
      <c r="J756" s="394"/>
      <c r="K756" s="304"/>
      <c r="L756" s="304"/>
      <c r="M756" s="157"/>
      <c r="N756" s="158"/>
    </row>
    <row r="757" spans="8:14" x14ac:dyDescent="0.2">
      <c r="H757" s="306">
        <f t="shared" ref="H757:H820" si="22">+H449</f>
        <v>40634</v>
      </c>
      <c r="I757" s="398">
        <f t="shared" si="21"/>
        <v>3.0297093364180027E-2</v>
      </c>
      <c r="J757" s="394"/>
      <c r="K757" s="304"/>
      <c r="L757" s="304"/>
      <c r="M757" s="157"/>
      <c r="N757" s="158"/>
    </row>
    <row r="758" spans="8:14" x14ac:dyDescent="0.2">
      <c r="H758" s="306">
        <f t="shared" si="22"/>
        <v>40664</v>
      </c>
      <c r="I758" s="398">
        <f t="shared" si="21"/>
        <v>3.0328652836434381E-2</v>
      </c>
      <c r="J758" s="394"/>
      <c r="K758" s="304"/>
      <c r="L758" s="304"/>
      <c r="M758" s="157"/>
      <c r="N758" s="158"/>
    </row>
    <row r="759" spans="8:14" x14ac:dyDescent="0.2">
      <c r="H759" s="306">
        <f t="shared" si="22"/>
        <v>40695</v>
      </c>
      <c r="I759" s="398">
        <f t="shared" si="21"/>
        <v>3.0360245183138998E-2</v>
      </c>
      <c r="J759" s="394"/>
      <c r="K759" s="304"/>
      <c r="L759" s="304"/>
      <c r="M759" s="157"/>
      <c r="N759" s="158"/>
    </row>
    <row r="760" spans="8:14" x14ac:dyDescent="0.2">
      <c r="H760" s="306">
        <f t="shared" si="22"/>
        <v>40725</v>
      </c>
      <c r="I760" s="398">
        <f t="shared" si="21"/>
        <v>3.03918704385381E-2</v>
      </c>
      <c r="J760" s="394"/>
      <c r="K760" s="304"/>
      <c r="L760" s="304"/>
      <c r="M760" s="157"/>
      <c r="N760" s="158"/>
    </row>
    <row r="761" spans="8:14" x14ac:dyDescent="0.2">
      <c r="H761" s="306">
        <f t="shared" si="22"/>
        <v>40756</v>
      </c>
      <c r="I761" s="398">
        <f t="shared" si="21"/>
        <v>3.0423528636911574E-2</v>
      </c>
      <c r="J761" s="394"/>
      <c r="K761" s="304"/>
      <c r="L761" s="304"/>
      <c r="M761" s="157"/>
      <c r="N761" s="158"/>
    </row>
    <row r="762" spans="8:14" x14ac:dyDescent="0.2">
      <c r="H762" s="306">
        <f t="shared" si="22"/>
        <v>40787</v>
      </c>
      <c r="I762" s="398">
        <f t="shared" ref="I762:I825" si="23">+I761*(1+I$8/12)</f>
        <v>3.0455219812575023E-2</v>
      </c>
      <c r="J762" s="394"/>
      <c r="K762" s="304"/>
      <c r="L762" s="304"/>
      <c r="M762" s="157"/>
      <c r="N762" s="158"/>
    </row>
    <row r="763" spans="8:14" x14ac:dyDescent="0.2">
      <c r="H763" s="306">
        <f t="shared" si="22"/>
        <v>40817</v>
      </c>
      <c r="I763" s="398">
        <f t="shared" si="23"/>
        <v>3.0486943999879786E-2</v>
      </c>
      <c r="J763" s="394"/>
      <c r="K763" s="304"/>
      <c r="L763" s="304"/>
      <c r="M763" s="157"/>
      <c r="N763" s="158"/>
    </row>
    <row r="764" spans="8:14" x14ac:dyDescent="0.2">
      <c r="H764" s="306">
        <f t="shared" si="22"/>
        <v>40848</v>
      </c>
      <c r="I764" s="398">
        <f t="shared" si="23"/>
        <v>3.0518701233212993E-2</v>
      </c>
      <c r="J764" s="394"/>
      <c r="K764" s="304"/>
      <c r="L764" s="304"/>
      <c r="M764" s="157"/>
      <c r="N764" s="158"/>
    </row>
    <row r="765" spans="8:14" x14ac:dyDescent="0.2">
      <c r="H765" s="306">
        <f t="shared" si="22"/>
        <v>40878</v>
      </c>
      <c r="I765" s="398">
        <f t="shared" si="23"/>
        <v>3.0550491546997589E-2</v>
      </c>
      <c r="J765" s="394"/>
      <c r="K765" s="304"/>
      <c r="L765" s="304"/>
      <c r="M765" s="157"/>
      <c r="N765" s="158"/>
    </row>
    <row r="766" spans="8:14" x14ac:dyDescent="0.2">
      <c r="H766" s="306">
        <f t="shared" si="22"/>
        <v>40909</v>
      </c>
      <c r="I766" s="398">
        <f t="shared" si="23"/>
        <v>3.0582314975692377E-2</v>
      </c>
      <c r="J766" s="394"/>
      <c r="K766" s="304"/>
      <c r="L766" s="304"/>
      <c r="M766" s="157"/>
      <c r="N766" s="158"/>
    </row>
    <row r="767" spans="8:14" x14ac:dyDescent="0.2">
      <c r="H767" s="306">
        <f t="shared" si="22"/>
        <v>40940</v>
      </c>
      <c r="I767" s="398">
        <f t="shared" si="23"/>
        <v>3.0614171553792056E-2</v>
      </c>
      <c r="J767" s="394"/>
      <c r="K767" s="304"/>
      <c r="L767" s="304"/>
      <c r="M767" s="157"/>
      <c r="N767" s="158"/>
    </row>
    <row r="768" spans="8:14" x14ac:dyDescent="0.2">
      <c r="H768" s="306">
        <f t="shared" si="22"/>
        <v>40969</v>
      </c>
      <c r="I768" s="398">
        <f t="shared" si="23"/>
        <v>3.0646061315827255E-2</v>
      </c>
      <c r="J768" s="394"/>
      <c r="K768" s="304"/>
      <c r="L768" s="304"/>
      <c r="M768" s="157"/>
      <c r="N768" s="158"/>
    </row>
    <row r="769" spans="8:14" x14ac:dyDescent="0.2">
      <c r="H769" s="306">
        <f t="shared" si="22"/>
        <v>41000</v>
      </c>
      <c r="I769" s="398">
        <f t="shared" si="23"/>
        <v>3.0677984296364574E-2</v>
      </c>
      <c r="J769" s="394"/>
      <c r="K769" s="304"/>
      <c r="L769" s="304"/>
      <c r="M769" s="157"/>
      <c r="N769" s="158"/>
    </row>
    <row r="770" spans="8:14" x14ac:dyDescent="0.2">
      <c r="H770" s="306">
        <f t="shared" si="22"/>
        <v>41030</v>
      </c>
      <c r="I770" s="398">
        <f t="shared" si="23"/>
        <v>3.070994053000662E-2</v>
      </c>
      <c r="J770" s="394"/>
      <c r="K770" s="304"/>
      <c r="L770" s="304"/>
      <c r="M770" s="157"/>
      <c r="N770" s="158"/>
    </row>
    <row r="771" spans="8:14" x14ac:dyDescent="0.2">
      <c r="H771" s="306">
        <f t="shared" si="22"/>
        <v>41061</v>
      </c>
      <c r="I771" s="398">
        <f t="shared" si="23"/>
        <v>3.0741930051392041E-2</v>
      </c>
      <c r="J771" s="394"/>
      <c r="K771" s="304"/>
      <c r="L771" s="304"/>
      <c r="M771" s="157"/>
      <c r="N771" s="158"/>
    </row>
    <row r="772" spans="8:14" x14ac:dyDescent="0.2">
      <c r="H772" s="306">
        <f t="shared" si="22"/>
        <v>41091</v>
      </c>
      <c r="I772" s="398">
        <f t="shared" si="23"/>
        <v>3.0773952895195571E-2</v>
      </c>
      <c r="J772" s="394"/>
      <c r="K772" s="304"/>
      <c r="L772" s="304"/>
      <c r="M772" s="157"/>
      <c r="N772" s="158"/>
    </row>
    <row r="773" spans="8:14" x14ac:dyDescent="0.2">
      <c r="H773" s="306">
        <f t="shared" si="22"/>
        <v>41122</v>
      </c>
      <c r="I773" s="398">
        <f t="shared" si="23"/>
        <v>3.0806009096128063E-2</v>
      </c>
      <c r="J773" s="394"/>
      <c r="K773" s="304"/>
      <c r="L773" s="304"/>
      <c r="M773" s="157"/>
      <c r="N773" s="158"/>
    </row>
    <row r="774" spans="8:14" x14ac:dyDescent="0.2">
      <c r="H774" s="306">
        <f t="shared" si="22"/>
        <v>41153</v>
      </c>
      <c r="I774" s="398">
        <f t="shared" si="23"/>
        <v>3.0838098688936527E-2</v>
      </c>
      <c r="J774" s="394"/>
      <c r="K774" s="304"/>
      <c r="L774" s="304"/>
      <c r="M774" s="157"/>
      <c r="N774" s="158"/>
    </row>
    <row r="775" spans="8:14" x14ac:dyDescent="0.2">
      <c r="H775" s="306">
        <f t="shared" si="22"/>
        <v>41183</v>
      </c>
      <c r="I775" s="398">
        <f t="shared" si="23"/>
        <v>3.0870221708404168E-2</v>
      </c>
      <c r="J775" s="394"/>
      <c r="K775" s="304"/>
      <c r="L775" s="304"/>
      <c r="M775" s="157"/>
      <c r="N775" s="158"/>
    </row>
    <row r="776" spans="8:14" x14ac:dyDescent="0.2">
      <c r="H776" s="306">
        <f t="shared" si="22"/>
        <v>41214</v>
      </c>
      <c r="I776" s="398">
        <f t="shared" si="23"/>
        <v>3.0902378189350422E-2</v>
      </c>
      <c r="J776" s="394"/>
      <c r="K776" s="304"/>
      <c r="L776" s="304"/>
      <c r="M776" s="157"/>
      <c r="N776" s="158"/>
    </row>
    <row r="777" spans="8:14" x14ac:dyDescent="0.2">
      <c r="H777" s="306">
        <f t="shared" si="22"/>
        <v>41244</v>
      </c>
      <c r="I777" s="398">
        <f t="shared" si="23"/>
        <v>3.0934568166630993E-2</v>
      </c>
      <c r="J777" s="394"/>
      <c r="K777" s="304"/>
      <c r="L777" s="304"/>
      <c r="M777" s="157"/>
      <c r="N777" s="158"/>
    </row>
    <row r="778" spans="8:14" x14ac:dyDescent="0.2">
      <c r="H778" s="306">
        <f t="shared" si="22"/>
        <v>41275</v>
      </c>
      <c r="I778" s="398">
        <f t="shared" si="23"/>
        <v>3.0966791675137897E-2</v>
      </c>
      <c r="J778" s="394"/>
      <c r="K778" s="304"/>
      <c r="L778" s="304"/>
      <c r="M778" s="157"/>
      <c r="N778" s="158"/>
    </row>
    <row r="779" spans="8:14" x14ac:dyDescent="0.2">
      <c r="H779" s="306">
        <f t="shared" si="22"/>
        <v>41306</v>
      </c>
      <c r="I779" s="398">
        <f t="shared" si="23"/>
        <v>3.0999048749799498E-2</v>
      </c>
      <c r="J779" s="394"/>
      <c r="K779" s="304"/>
      <c r="L779" s="304"/>
      <c r="M779" s="157"/>
      <c r="N779" s="158"/>
    </row>
    <row r="780" spans="8:14" x14ac:dyDescent="0.2">
      <c r="H780" s="306">
        <f t="shared" si="22"/>
        <v>41334</v>
      </c>
      <c r="I780" s="398">
        <f t="shared" si="23"/>
        <v>3.1031339425580538E-2</v>
      </c>
      <c r="J780" s="394"/>
      <c r="K780" s="304"/>
      <c r="L780" s="304"/>
      <c r="M780" s="157"/>
      <c r="N780" s="158"/>
    </row>
    <row r="781" spans="8:14" x14ac:dyDescent="0.2">
      <c r="H781" s="306">
        <f t="shared" si="22"/>
        <v>41365</v>
      </c>
      <c r="I781" s="398">
        <f t="shared" si="23"/>
        <v>3.1063663737482181E-2</v>
      </c>
      <c r="J781" s="394"/>
      <c r="K781" s="304"/>
      <c r="L781" s="304"/>
      <c r="M781" s="157"/>
      <c r="N781" s="158"/>
    </row>
    <row r="782" spans="8:14" x14ac:dyDescent="0.2">
      <c r="H782" s="306">
        <f t="shared" si="22"/>
        <v>41395</v>
      </c>
      <c r="I782" s="398">
        <f t="shared" si="23"/>
        <v>3.1096021720542058E-2</v>
      </c>
      <c r="J782" s="394"/>
      <c r="K782" s="304"/>
      <c r="L782" s="304"/>
      <c r="M782" s="157"/>
      <c r="N782" s="158"/>
    </row>
    <row r="783" spans="8:14" x14ac:dyDescent="0.2">
      <c r="H783" s="306">
        <f t="shared" si="22"/>
        <v>41426</v>
      </c>
      <c r="I783" s="398">
        <f t="shared" si="23"/>
        <v>3.1128413409834289E-2</v>
      </c>
      <c r="J783" s="394"/>
      <c r="K783" s="304"/>
      <c r="L783" s="304"/>
      <c r="M783" s="157"/>
      <c r="N783" s="158"/>
    </row>
    <row r="784" spans="8:14" x14ac:dyDescent="0.2">
      <c r="H784" s="306">
        <f t="shared" si="22"/>
        <v>41456</v>
      </c>
      <c r="I784" s="398">
        <f t="shared" si="23"/>
        <v>3.1160838840469531E-2</v>
      </c>
      <c r="J784" s="394"/>
      <c r="K784" s="304"/>
      <c r="L784" s="304"/>
      <c r="M784" s="157"/>
      <c r="N784" s="158"/>
    </row>
    <row r="785" spans="8:14" x14ac:dyDescent="0.2">
      <c r="H785" s="306">
        <f t="shared" si="22"/>
        <v>41487</v>
      </c>
      <c r="I785" s="398">
        <f t="shared" si="23"/>
        <v>3.1193298047595019E-2</v>
      </c>
      <c r="J785" s="394"/>
      <c r="K785" s="304"/>
      <c r="L785" s="304"/>
      <c r="M785" s="157"/>
      <c r="N785" s="158"/>
    </row>
    <row r="786" spans="8:14" x14ac:dyDescent="0.2">
      <c r="H786" s="306">
        <f t="shared" si="22"/>
        <v>41518</v>
      </c>
      <c r="I786" s="398">
        <f t="shared" si="23"/>
        <v>3.1225791066394597E-2</v>
      </c>
      <c r="J786" s="394"/>
      <c r="K786" s="304"/>
      <c r="L786" s="304"/>
      <c r="M786" s="157"/>
      <c r="N786" s="158"/>
    </row>
    <row r="787" spans="8:14" x14ac:dyDescent="0.2">
      <c r="H787" s="306">
        <f t="shared" si="22"/>
        <v>41548</v>
      </c>
      <c r="I787" s="398">
        <f t="shared" si="23"/>
        <v>3.1258317932088754E-2</v>
      </c>
      <c r="J787" s="394"/>
      <c r="K787" s="304"/>
      <c r="L787" s="304"/>
      <c r="M787" s="157"/>
      <c r="N787" s="158"/>
    </row>
    <row r="788" spans="8:14" x14ac:dyDescent="0.2">
      <c r="H788" s="306">
        <f t="shared" si="22"/>
        <v>41579</v>
      </c>
      <c r="I788" s="398">
        <f t="shared" si="23"/>
        <v>3.1290878679934679E-2</v>
      </c>
      <c r="J788" s="394"/>
      <c r="K788" s="304"/>
      <c r="L788" s="304"/>
      <c r="M788" s="157"/>
      <c r="N788" s="158"/>
    </row>
    <row r="789" spans="8:14" x14ac:dyDescent="0.2">
      <c r="H789" s="306">
        <f t="shared" si="22"/>
        <v>41609</v>
      </c>
      <c r="I789" s="398">
        <f t="shared" si="23"/>
        <v>3.1323473345226276E-2</v>
      </c>
      <c r="J789" s="394"/>
      <c r="K789" s="304"/>
      <c r="L789" s="304"/>
      <c r="M789" s="157"/>
      <c r="N789" s="158"/>
    </row>
    <row r="790" spans="8:14" x14ac:dyDescent="0.2">
      <c r="H790" s="306">
        <f t="shared" si="22"/>
        <v>41640</v>
      </c>
      <c r="I790" s="398">
        <f t="shared" si="23"/>
        <v>3.135610196329422E-2</v>
      </c>
      <c r="J790" s="394"/>
      <c r="K790" s="304"/>
      <c r="L790" s="304"/>
      <c r="M790" s="157"/>
      <c r="N790" s="158"/>
    </row>
    <row r="791" spans="8:14" x14ac:dyDescent="0.2">
      <c r="H791" s="306">
        <f t="shared" si="22"/>
        <v>41671</v>
      </c>
      <c r="I791" s="398">
        <f t="shared" si="23"/>
        <v>3.1388764569505984E-2</v>
      </c>
      <c r="J791" s="394"/>
      <c r="K791" s="304"/>
      <c r="L791" s="304"/>
      <c r="M791" s="157"/>
      <c r="N791" s="158"/>
    </row>
    <row r="792" spans="8:14" x14ac:dyDescent="0.2">
      <c r="H792" s="306">
        <f t="shared" si="22"/>
        <v>41699</v>
      </c>
      <c r="I792" s="398">
        <f t="shared" si="23"/>
        <v>3.1421461199265886E-2</v>
      </c>
      <c r="J792" s="394"/>
      <c r="K792" s="304"/>
      <c r="L792" s="304"/>
      <c r="M792" s="157"/>
      <c r="N792" s="158"/>
    </row>
    <row r="793" spans="8:14" x14ac:dyDescent="0.2">
      <c r="H793" s="306">
        <f t="shared" si="22"/>
        <v>41730</v>
      </c>
      <c r="I793" s="398">
        <f t="shared" si="23"/>
        <v>3.1454191888015119E-2</v>
      </c>
      <c r="J793" s="394"/>
      <c r="K793" s="304"/>
      <c r="L793" s="304"/>
      <c r="M793" s="157"/>
      <c r="N793" s="158"/>
    </row>
    <row r="794" spans="8:14" x14ac:dyDescent="0.2">
      <c r="H794" s="306">
        <f t="shared" si="22"/>
        <v>41760</v>
      </c>
      <c r="I794" s="398">
        <f t="shared" si="23"/>
        <v>3.1486956671231803E-2</v>
      </c>
      <c r="J794" s="394"/>
      <c r="K794" s="304"/>
      <c r="L794" s="304"/>
      <c r="M794" s="157"/>
      <c r="N794" s="158"/>
    </row>
    <row r="795" spans="8:14" x14ac:dyDescent="0.2">
      <c r="H795" s="306">
        <f t="shared" si="22"/>
        <v>41791</v>
      </c>
      <c r="I795" s="398">
        <f t="shared" si="23"/>
        <v>3.1519755584431E-2</v>
      </c>
      <c r="J795" s="394"/>
      <c r="K795" s="304"/>
      <c r="L795" s="304"/>
      <c r="M795" s="157"/>
      <c r="N795" s="158"/>
    </row>
    <row r="796" spans="8:14" x14ac:dyDescent="0.2">
      <c r="H796" s="306">
        <f t="shared" si="22"/>
        <v>41821</v>
      </c>
      <c r="I796" s="398">
        <f t="shared" si="23"/>
        <v>3.155258866316478E-2</v>
      </c>
      <c r="J796" s="394"/>
      <c r="K796" s="304"/>
      <c r="L796" s="304"/>
      <c r="M796" s="157"/>
      <c r="N796" s="158"/>
    </row>
    <row r="797" spans="8:14" x14ac:dyDescent="0.2">
      <c r="H797" s="306">
        <f t="shared" si="22"/>
        <v>41852</v>
      </c>
      <c r="I797" s="398">
        <f t="shared" si="23"/>
        <v>3.1585455943022242E-2</v>
      </c>
      <c r="J797" s="394"/>
      <c r="K797" s="304"/>
      <c r="L797" s="304"/>
      <c r="M797" s="157"/>
      <c r="N797" s="158"/>
    </row>
    <row r="798" spans="8:14" x14ac:dyDescent="0.2">
      <c r="H798" s="306">
        <f t="shared" si="22"/>
        <v>41883</v>
      </c>
      <c r="I798" s="398">
        <f t="shared" si="23"/>
        <v>3.1618357459629556E-2</v>
      </c>
      <c r="J798" s="394"/>
      <c r="K798" s="304"/>
      <c r="L798" s="304"/>
      <c r="M798" s="157"/>
      <c r="N798" s="158"/>
    </row>
    <row r="799" spans="8:14" x14ac:dyDescent="0.2">
      <c r="H799" s="306">
        <f t="shared" si="22"/>
        <v>41913</v>
      </c>
      <c r="I799" s="398">
        <f t="shared" si="23"/>
        <v>3.165129324865E-2</v>
      </c>
      <c r="J799" s="394"/>
      <c r="K799" s="304"/>
      <c r="L799" s="304"/>
      <c r="M799" s="157"/>
      <c r="N799" s="158"/>
    </row>
    <row r="800" spans="8:14" x14ac:dyDescent="0.2">
      <c r="H800" s="306">
        <f t="shared" si="22"/>
        <v>41944</v>
      </c>
      <c r="I800" s="398">
        <f t="shared" si="23"/>
        <v>3.168426334578401E-2</v>
      </c>
      <c r="J800" s="394"/>
      <c r="K800" s="304"/>
      <c r="L800" s="304"/>
      <c r="M800" s="157"/>
      <c r="N800" s="158"/>
    </row>
    <row r="801" spans="8:14" x14ac:dyDescent="0.2">
      <c r="H801" s="306">
        <f t="shared" si="22"/>
        <v>41974</v>
      </c>
      <c r="I801" s="398">
        <f t="shared" si="23"/>
        <v>3.1717267786769199E-2</v>
      </c>
      <c r="J801" s="394"/>
      <c r="K801" s="304"/>
      <c r="L801" s="304"/>
      <c r="M801" s="157"/>
      <c r="N801" s="158"/>
    </row>
    <row r="802" spans="8:14" x14ac:dyDescent="0.2">
      <c r="H802" s="306">
        <f t="shared" si="22"/>
        <v>42005</v>
      </c>
      <c r="I802" s="398">
        <f t="shared" si="23"/>
        <v>3.1750306607380416E-2</v>
      </c>
      <c r="J802" s="394"/>
      <c r="K802" s="304"/>
      <c r="L802" s="304"/>
      <c r="M802" s="157"/>
      <c r="N802" s="158"/>
    </row>
    <row r="803" spans="8:14" x14ac:dyDescent="0.2">
      <c r="H803" s="306">
        <f t="shared" si="22"/>
        <v>42036</v>
      </c>
      <c r="I803" s="398">
        <f t="shared" si="23"/>
        <v>3.1783379843429771E-2</v>
      </c>
      <c r="J803" s="394"/>
      <c r="K803" s="304"/>
      <c r="L803" s="304"/>
      <c r="M803" s="157"/>
      <c r="N803" s="158"/>
    </row>
    <row r="804" spans="8:14" x14ac:dyDescent="0.2">
      <c r="H804" s="306">
        <f t="shared" si="22"/>
        <v>42064</v>
      </c>
      <c r="I804" s="398">
        <f t="shared" si="23"/>
        <v>3.1816487530766678E-2</v>
      </c>
      <c r="J804" s="394"/>
      <c r="K804" s="304"/>
      <c r="L804" s="304"/>
      <c r="M804" s="157"/>
      <c r="N804" s="158"/>
    </row>
    <row r="805" spans="8:14" x14ac:dyDescent="0.2">
      <c r="H805" s="306">
        <f t="shared" si="22"/>
        <v>42095</v>
      </c>
      <c r="I805" s="398">
        <f t="shared" si="23"/>
        <v>3.1849629705277889E-2</v>
      </c>
      <c r="J805" s="394"/>
      <c r="K805" s="304"/>
      <c r="L805" s="304"/>
      <c r="M805" s="157"/>
      <c r="N805" s="158"/>
    </row>
    <row r="806" spans="8:14" x14ac:dyDescent="0.2">
      <c r="H806" s="306">
        <f t="shared" si="22"/>
        <v>42125</v>
      </c>
      <c r="I806" s="398">
        <f t="shared" si="23"/>
        <v>3.1882806402887549E-2</v>
      </c>
      <c r="J806" s="394"/>
      <c r="K806" s="304"/>
      <c r="L806" s="304"/>
      <c r="M806" s="157"/>
      <c r="N806" s="158"/>
    </row>
    <row r="807" spans="8:14" x14ac:dyDescent="0.2">
      <c r="H807" s="306">
        <f t="shared" si="22"/>
        <v>42156</v>
      </c>
      <c r="I807" s="398">
        <f t="shared" si="23"/>
        <v>3.1916017659557219E-2</v>
      </c>
      <c r="J807" s="394"/>
      <c r="K807" s="304"/>
      <c r="L807" s="304"/>
      <c r="M807" s="157"/>
      <c r="N807" s="158"/>
    </row>
    <row r="808" spans="8:14" x14ac:dyDescent="0.2">
      <c r="H808" s="306">
        <f t="shared" si="22"/>
        <v>42186</v>
      </c>
      <c r="I808" s="398">
        <f t="shared" si="23"/>
        <v>3.1949263511285922E-2</v>
      </c>
      <c r="J808" s="394"/>
      <c r="K808" s="304"/>
      <c r="L808" s="304"/>
      <c r="M808" s="157"/>
      <c r="N808" s="158"/>
    </row>
    <row r="809" spans="8:14" x14ac:dyDescent="0.2">
      <c r="H809" s="306">
        <f t="shared" si="22"/>
        <v>42217</v>
      </c>
      <c r="I809" s="398">
        <f t="shared" si="23"/>
        <v>3.1982543994110178E-2</v>
      </c>
      <c r="J809" s="394"/>
      <c r="K809" s="304"/>
      <c r="L809" s="304"/>
      <c r="M809" s="157"/>
      <c r="N809" s="158"/>
    </row>
    <row r="810" spans="8:14" x14ac:dyDescent="0.2">
      <c r="H810" s="306">
        <f t="shared" si="22"/>
        <v>42248</v>
      </c>
      <c r="I810" s="398">
        <f t="shared" si="23"/>
        <v>3.2015859144104042E-2</v>
      </c>
      <c r="J810" s="394"/>
      <c r="K810" s="304"/>
      <c r="L810" s="304"/>
      <c r="M810" s="157"/>
      <c r="N810" s="158"/>
    </row>
    <row r="811" spans="8:14" x14ac:dyDescent="0.2">
      <c r="H811" s="306">
        <f t="shared" si="22"/>
        <v>42278</v>
      </c>
      <c r="I811" s="398">
        <f t="shared" si="23"/>
        <v>3.2049208997379147E-2</v>
      </c>
      <c r="J811" s="394"/>
      <c r="K811" s="304"/>
      <c r="L811" s="304"/>
      <c r="M811" s="157"/>
      <c r="N811" s="158"/>
    </row>
    <row r="812" spans="8:14" x14ac:dyDescent="0.2">
      <c r="H812" s="306">
        <f t="shared" si="22"/>
        <v>42309</v>
      </c>
      <c r="I812" s="398">
        <f t="shared" si="23"/>
        <v>3.2082593590084751E-2</v>
      </c>
      <c r="J812" s="394"/>
      <c r="K812" s="304"/>
      <c r="L812" s="304"/>
      <c r="M812" s="157"/>
      <c r="N812" s="158"/>
    </row>
    <row r="813" spans="8:14" x14ac:dyDescent="0.2">
      <c r="H813" s="306">
        <f t="shared" si="22"/>
        <v>42339</v>
      </c>
      <c r="I813" s="398">
        <f t="shared" si="23"/>
        <v>3.2116012958407755E-2</v>
      </c>
      <c r="J813" s="394"/>
      <c r="K813" s="304"/>
      <c r="L813" s="304"/>
      <c r="M813" s="157"/>
      <c r="N813" s="158"/>
    </row>
    <row r="814" spans="8:14" x14ac:dyDescent="0.2">
      <c r="H814" s="306">
        <f t="shared" si="22"/>
        <v>42370</v>
      </c>
      <c r="I814" s="398">
        <f t="shared" si="23"/>
        <v>3.2149467138572758E-2</v>
      </c>
      <c r="J814" s="394"/>
      <c r="K814" s="304"/>
      <c r="L814" s="304"/>
      <c r="M814" s="157"/>
      <c r="N814" s="158"/>
    </row>
    <row r="815" spans="8:14" x14ac:dyDescent="0.2">
      <c r="H815" s="306">
        <f t="shared" si="22"/>
        <v>42401</v>
      </c>
      <c r="I815" s="398">
        <f t="shared" si="23"/>
        <v>3.2182956166842101E-2</v>
      </c>
      <c r="J815" s="394"/>
      <c r="K815" s="304"/>
      <c r="L815" s="304"/>
      <c r="M815" s="157"/>
      <c r="N815" s="158"/>
    </row>
    <row r="816" spans="8:14" x14ac:dyDescent="0.2">
      <c r="H816" s="306">
        <f t="shared" si="22"/>
        <v>42430</v>
      </c>
      <c r="I816" s="398">
        <f t="shared" si="23"/>
        <v>3.2216480079515893E-2</v>
      </c>
      <c r="J816" s="394"/>
      <c r="K816" s="304"/>
      <c r="L816" s="304"/>
      <c r="M816" s="157"/>
      <c r="N816" s="158"/>
    </row>
    <row r="817" spans="8:14" x14ac:dyDescent="0.2">
      <c r="H817" s="306">
        <f t="shared" si="22"/>
        <v>42461</v>
      </c>
      <c r="I817" s="398">
        <f t="shared" si="23"/>
        <v>3.2250038912932051E-2</v>
      </c>
      <c r="J817" s="394"/>
      <c r="K817" s="304"/>
      <c r="L817" s="304"/>
      <c r="M817" s="157"/>
      <c r="N817" s="158"/>
    </row>
    <row r="818" spans="8:14" x14ac:dyDescent="0.2">
      <c r="H818" s="306">
        <f t="shared" si="22"/>
        <v>42491</v>
      </c>
      <c r="I818" s="398">
        <f t="shared" si="23"/>
        <v>3.2283632703466354E-2</v>
      </c>
      <c r="J818" s="394"/>
      <c r="K818" s="304"/>
      <c r="L818" s="304"/>
      <c r="M818" s="157"/>
      <c r="N818" s="158"/>
    </row>
    <row r="819" spans="8:14" x14ac:dyDescent="0.2">
      <c r="H819" s="306">
        <f t="shared" si="22"/>
        <v>42522</v>
      </c>
      <c r="I819" s="398">
        <f t="shared" si="23"/>
        <v>3.2317261487532466E-2</v>
      </c>
      <c r="J819" s="394"/>
      <c r="K819" s="304"/>
      <c r="L819" s="304"/>
      <c r="M819" s="157"/>
      <c r="N819" s="158"/>
    </row>
    <row r="820" spans="8:14" x14ac:dyDescent="0.2">
      <c r="H820" s="306">
        <f t="shared" si="22"/>
        <v>42552</v>
      </c>
      <c r="I820" s="398">
        <f t="shared" si="23"/>
        <v>3.2350925301581977E-2</v>
      </c>
      <c r="J820" s="394"/>
      <c r="K820" s="304"/>
      <c r="L820" s="304"/>
      <c r="M820" s="157"/>
      <c r="N820" s="158"/>
    </row>
    <row r="821" spans="8:14" x14ac:dyDescent="0.2">
      <c r="H821" s="306">
        <f t="shared" ref="H821:H884" si="24">+H513</f>
        <v>42583</v>
      </c>
      <c r="I821" s="398">
        <f t="shared" si="23"/>
        <v>3.2384624182104457E-2</v>
      </c>
      <c r="J821" s="394"/>
      <c r="K821" s="304"/>
      <c r="L821" s="304"/>
      <c r="M821" s="157"/>
      <c r="N821" s="158"/>
    </row>
    <row r="822" spans="8:14" x14ac:dyDescent="0.2">
      <c r="H822" s="306">
        <f t="shared" si="24"/>
        <v>42614</v>
      </c>
      <c r="I822" s="398">
        <f t="shared" si="23"/>
        <v>3.2418358165627478E-2</v>
      </c>
      <c r="J822" s="394"/>
      <c r="K822" s="304"/>
      <c r="L822" s="304"/>
      <c r="M822" s="157"/>
      <c r="N822" s="158"/>
    </row>
    <row r="823" spans="8:14" x14ac:dyDescent="0.2">
      <c r="H823" s="306">
        <f t="shared" si="24"/>
        <v>42644</v>
      </c>
      <c r="I823" s="398">
        <f t="shared" si="23"/>
        <v>3.2452127288716673E-2</v>
      </c>
      <c r="J823" s="394"/>
      <c r="K823" s="304"/>
      <c r="L823" s="304"/>
      <c r="M823" s="157"/>
      <c r="N823" s="158"/>
    </row>
    <row r="824" spans="8:14" x14ac:dyDescent="0.2">
      <c r="H824" s="306">
        <f t="shared" si="24"/>
        <v>42675</v>
      </c>
      <c r="I824" s="398">
        <f t="shared" si="23"/>
        <v>3.2485931587975754E-2</v>
      </c>
      <c r="J824" s="394"/>
      <c r="K824" s="304"/>
      <c r="L824" s="304"/>
      <c r="M824" s="157"/>
      <c r="N824" s="158"/>
    </row>
    <row r="825" spans="8:14" x14ac:dyDescent="0.2">
      <c r="H825" s="306">
        <f t="shared" si="24"/>
        <v>42705</v>
      </c>
      <c r="I825" s="398">
        <f t="shared" si="23"/>
        <v>3.2519771100046557E-2</v>
      </c>
      <c r="J825" s="394"/>
      <c r="K825" s="304"/>
      <c r="L825" s="304"/>
      <c r="M825" s="157"/>
      <c r="N825" s="158"/>
    </row>
    <row r="826" spans="8:14" x14ac:dyDescent="0.2">
      <c r="H826" s="306">
        <f t="shared" si="24"/>
        <v>42736</v>
      </c>
      <c r="I826" s="398">
        <f t="shared" ref="I826:I889" si="25">+I825*(1+I$8/12)</f>
        <v>3.2553645861609103E-2</v>
      </c>
      <c r="J826" s="394"/>
      <c r="K826" s="304"/>
      <c r="L826" s="304"/>
      <c r="M826" s="157"/>
      <c r="N826" s="158"/>
    </row>
    <row r="827" spans="8:14" x14ac:dyDescent="0.2">
      <c r="H827" s="306">
        <f t="shared" si="24"/>
        <v>42767</v>
      </c>
      <c r="I827" s="398">
        <f t="shared" si="25"/>
        <v>3.2587555909381609E-2</v>
      </c>
      <c r="J827" s="394"/>
      <c r="K827" s="304"/>
      <c r="L827" s="304"/>
      <c r="M827" s="157"/>
      <c r="N827" s="158"/>
    </row>
    <row r="828" spans="8:14" x14ac:dyDescent="0.2">
      <c r="H828" s="306">
        <f t="shared" si="24"/>
        <v>42795</v>
      </c>
      <c r="I828" s="398">
        <f t="shared" si="25"/>
        <v>3.2621501280120549E-2</v>
      </c>
      <c r="J828" s="394"/>
      <c r="K828" s="304"/>
      <c r="L828" s="304"/>
      <c r="M828" s="157"/>
      <c r="N828" s="158"/>
    </row>
    <row r="829" spans="8:14" x14ac:dyDescent="0.2">
      <c r="H829" s="306">
        <f t="shared" si="24"/>
        <v>42826</v>
      </c>
      <c r="I829" s="398">
        <f t="shared" si="25"/>
        <v>3.2655482010620671E-2</v>
      </c>
      <c r="J829" s="394"/>
      <c r="K829" s="304"/>
      <c r="L829" s="304"/>
      <c r="M829" s="157"/>
      <c r="N829" s="158"/>
    </row>
    <row r="830" spans="8:14" x14ac:dyDescent="0.2">
      <c r="H830" s="306">
        <f t="shared" si="24"/>
        <v>42856</v>
      </c>
      <c r="I830" s="398">
        <f t="shared" si="25"/>
        <v>3.2689498137715066E-2</v>
      </c>
      <c r="J830" s="394"/>
      <c r="K830" s="304"/>
      <c r="L830" s="304"/>
      <c r="M830" s="157"/>
      <c r="N830" s="158"/>
    </row>
    <row r="831" spans="8:14" x14ac:dyDescent="0.2">
      <c r="H831" s="306">
        <f t="shared" si="24"/>
        <v>42887</v>
      </c>
      <c r="I831" s="398">
        <f t="shared" si="25"/>
        <v>3.2723549698275185E-2</v>
      </c>
      <c r="J831" s="394"/>
      <c r="K831" s="304"/>
      <c r="L831" s="304"/>
      <c r="M831" s="157"/>
      <c r="N831" s="158"/>
    </row>
    <row r="832" spans="8:14" x14ac:dyDescent="0.2">
      <c r="H832" s="306">
        <f t="shared" si="24"/>
        <v>42917</v>
      </c>
      <c r="I832" s="398">
        <f t="shared" si="25"/>
        <v>3.2757636729210886E-2</v>
      </c>
      <c r="J832" s="394"/>
      <c r="K832" s="157"/>
      <c r="L832" s="157"/>
      <c r="M832" s="157"/>
      <c r="N832" s="158"/>
    </row>
    <row r="833" spans="8:14" x14ac:dyDescent="0.2">
      <c r="H833" s="306">
        <f t="shared" si="24"/>
        <v>42948</v>
      </c>
      <c r="I833" s="398">
        <f t="shared" si="25"/>
        <v>3.279175926747048E-2</v>
      </c>
      <c r="J833" s="394"/>
      <c r="K833" s="157"/>
      <c r="L833" s="157"/>
      <c r="M833" s="157"/>
      <c r="N833" s="158"/>
    </row>
    <row r="834" spans="8:14" x14ac:dyDescent="0.2">
      <c r="H834" s="306">
        <f t="shared" si="24"/>
        <v>42979</v>
      </c>
      <c r="I834" s="398">
        <f t="shared" si="25"/>
        <v>3.2825917350040756E-2</v>
      </c>
      <c r="J834" s="394"/>
      <c r="K834" s="157"/>
      <c r="L834" s="157"/>
      <c r="M834" s="157"/>
      <c r="N834" s="158"/>
    </row>
    <row r="835" spans="8:14" x14ac:dyDescent="0.2">
      <c r="H835" s="306">
        <f t="shared" si="24"/>
        <v>43009</v>
      </c>
      <c r="I835" s="398">
        <f t="shared" si="25"/>
        <v>3.2860111013947049E-2</v>
      </c>
      <c r="J835" s="394"/>
      <c r="K835" s="157"/>
      <c r="L835" s="157"/>
      <c r="M835" s="157"/>
      <c r="N835" s="158"/>
    </row>
    <row r="836" spans="8:14" x14ac:dyDescent="0.2">
      <c r="H836" s="306">
        <f t="shared" si="24"/>
        <v>43040</v>
      </c>
      <c r="I836" s="398">
        <f t="shared" si="25"/>
        <v>3.2894340296253245E-2</v>
      </c>
      <c r="J836" s="394"/>
      <c r="K836" s="157"/>
      <c r="L836" s="157"/>
      <c r="M836" s="157"/>
      <c r="N836" s="158"/>
    </row>
    <row r="837" spans="8:14" x14ac:dyDescent="0.2">
      <c r="H837" s="306">
        <f t="shared" si="24"/>
        <v>43070</v>
      </c>
      <c r="I837" s="398">
        <f t="shared" si="25"/>
        <v>3.2928605234061839E-2</v>
      </c>
      <c r="J837" s="394"/>
      <c r="K837" s="157"/>
      <c r="L837" s="157"/>
      <c r="M837" s="157"/>
      <c r="N837" s="158"/>
    </row>
    <row r="838" spans="8:14" x14ac:dyDescent="0.2">
      <c r="H838" s="306">
        <f t="shared" si="24"/>
        <v>43101</v>
      </c>
      <c r="I838" s="398">
        <f t="shared" si="25"/>
        <v>3.2962905864513982E-2</v>
      </c>
      <c r="J838" s="394"/>
      <c r="K838" s="157"/>
      <c r="L838" s="157"/>
      <c r="M838" s="157"/>
      <c r="N838" s="158"/>
    </row>
    <row r="839" spans="8:14" x14ac:dyDescent="0.2">
      <c r="H839" s="306">
        <f t="shared" si="24"/>
        <v>43132</v>
      </c>
      <c r="I839" s="398">
        <f t="shared" si="25"/>
        <v>3.2997242224789516E-2</v>
      </c>
      <c r="J839" s="394"/>
      <c r="K839" s="157"/>
      <c r="L839" s="157"/>
      <c r="M839" s="157"/>
      <c r="N839" s="158"/>
    </row>
    <row r="840" spans="8:14" x14ac:dyDescent="0.2">
      <c r="H840" s="306">
        <f t="shared" si="24"/>
        <v>43160</v>
      </c>
      <c r="I840" s="398">
        <f t="shared" si="25"/>
        <v>3.3031614352107004E-2</v>
      </c>
      <c r="J840" s="394"/>
      <c r="K840" s="157"/>
      <c r="L840" s="157"/>
      <c r="M840" s="157"/>
      <c r="N840" s="158"/>
    </row>
    <row r="841" spans="8:14" x14ac:dyDescent="0.2">
      <c r="H841" s="306">
        <f t="shared" si="24"/>
        <v>43191</v>
      </c>
      <c r="I841" s="398">
        <f t="shared" si="25"/>
        <v>3.3066022283723781E-2</v>
      </c>
      <c r="J841" s="394"/>
      <c r="K841" s="157"/>
      <c r="L841" s="157"/>
      <c r="M841" s="157"/>
      <c r="N841" s="158"/>
    </row>
    <row r="842" spans="8:14" x14ac:dyDescent="0.2">
      <c r="H842" s="306">
        <f t="shared" si="24"/>
        <v>43221</v>
      </c>
      <c r="I842" s="398">
        <f t="shared" si="25"/>
        <v>3.3100466056935993E-2</v>
      </c>
      <c r="J842" s="394"/>
      <c r="K842" s="157"/>
      <c r="L842" s="157"/>
      <c r="M842" s="157"/>
      <c r="N842" s="158"/>
    </row>
    <row r="843" spans="8:14" x14ac:dyDescent="0.2">
      <c r="H843" s="306">
        <f t="shared" si="24"/>
        <v>43252</v>
      </c>
      <c r="I843" s="398">
        <f t="shared" si="25"/>
        <v>3.3134945709078635E-2</v>
      </c>
      <c r="J843" s="394"/>
      <c r="K843" s="157"/>
      <c r="L843" s="157"/>
      <c r="M843" s="157"/>
      <c r="N843" s="158"/>
    </row>
    <row r="844" spans="8:14" x14ac:dyDescent="0.2">
      <c r="H844" s="306">
        <f t="shared" si="24"/>
        <v>43282</v>
      </c>
      <c r="I844" s="398">
        <f t="shared" si="25"/>
        <v>3.316946127752559E-2</v>
      </c>
      <c r="J844" s="394"/>
      <c r="K844" s="157"/>
      <c r="L844" s="157"/>
      <c r="M844" s="157"/>
      <c r="N844" s="158"/>
    </row>
    <row r="845" spans="8:14" x14ac:dyDescent="0.2">
      <c r="H845" s="306">
        <f t="shared" si="24"/>
        <v>43313</v>
      </c>
      <c r="I845" s="398">
        <f t="shared" si="25"/>
        <v>3.3204012799689681E-2</v>
      </c>
      <c r="J845" s="394"/>
      <c r="K845" s="157"/>
      <c r="L845" s="157"/>
      <c r="M845" s="157"/>
      <c r="N845" s="158"/>
    </row>
    <row r="846" spans="8:14" x14ac:dyDescent="0.2">
      <c r="H846" s="306">
        <f t="shared" si="24"/>
        <v>43344</v>
      </c>
      <c r="I846" s="398">
        <f t="shared" si="25"/>
        <v>3.3238600313022691E-2</v>
      </c>
      <c r="J846" s="394"/>
      <c r="K846" s="157"/>
      <c r="L846" s="157"/>
      <c r="M846" s="157"/>
      <c r="N846" s="158"/>
    </row>
    <row r="847" spans="8:14" x14ac:dyDescent="0.2">
      <c r="H847" s="306">
        <f t="shared" si="24"/>
        <v>43374</v>
      </c>
      <c r="I847" s="398">
        <f t="shared" si="25"/>
        <v>3.3273223855015424E-2</v>
      </c>
      <c r="J847" s="394"/>
      <c r="K847" s="157"/>
      <c r="L847" s="157"/>
      <c r="M847" s="157"/>
      <c r="N847" s="158"/>
    </row>
    <row r="848" spans="8:14" x14ac:dyDescent="0.2">
      <c r="H848" s="306">
        <f t="shared" si="24"/>
        <v>43405</v>
      </c>
      <c r="I848" s="398">
        <f t="shared" si="25"/>
        <v>3.3307883463197727E-2</v>
      </c>
      <c r="J848" s="394"/>
      <c r="K848" s="157"/>
      <c r="L848" s="157"/>
      <c r="M848" s="157"/>
      <c r="N848" s="158"/>
    </row>
    <row r="849" spans="8:14" x14ac:dyDescent="0.2">
      <c r="H849" s="306">
        <f t="shared" si="24"/>
        <v>43435</v>
      </c>
      <c r="I849" s="398">
        <f t="shared" si="25"/>
        <v>3.3342579175138554E-2</v>
      </c>
      <c r="J849" s="394"/>
      <c r="K849" s="157"/>
      <c r="L849" s="157"/>
      <c r="M849" s="157"/>
      <c r="N849" s="158"/>
    </row>
    <row r="850" spans="8:14" x14ac:dyDescent="0.2">
      <c r="H850" s="306">
        <f t="shared" si="24"/>
        <v>43466</v>
      </c>
      <c r="I850" s="397">
        <f t="shared" si="25"/>
        <v>3.3377311028445988E-2</v>
      </c>
      <c r="J850" s="157"/>
      <c r="K850" s="157"/>
      <c r="L850" s="157"/>
      <c r="M850" s="157"/>
      <c r="N850" s="158"/>
    </row>
    <row r="851" spans="8:14" x14ac:dyDescent="0.2">
      <c r="H851" s="306">
        <f t="shared" si="24"/>
        <v>43497</v>
      </c>
      <c r="I851" s="397">
        <f t="shared" si="25"/>
        <v>3.3412079060767284E-2</v>
      </c>
      <c r="J851" s="157"/>
      <c r="K851" s="157"/>
      <c r="L851" s="157"/>
      <c r="M851" s="157"/>
      <c r="N851" s="158"/>
    </row>
    <row r="852" spans="8:14" x14ac:dyDescent="0.2">
      <c r="H852" s="306">
        <f t="shared" si="24"/>
        <v>43525</v>
      </c>
      <c r="I852" s="397">
        <f t="shared" si="25"/>
        <v>3.3446883309788913E-2</v>
      </c>
      <c r="J852" s="157"/>
      <c r="K852" s="157"/>
      <c r="L852" s="157"/>
      <c r="M852" s="157"/>
      <c r="N852" s="158"/>
    </row>
    <row r="853" spans="8:14" x14ac:dyDescent="0.2">
      <c r="H853" s="306">
        <f t="shared" si="24"/>
        <v>43556</v>
      </c>
      <c r="I853" s="397">
        <f t="shared" si="25"/>
        <v>3.3481723813236608E-2</v>
      </c>
      <c r="J853" s="157"/>
      <c r="K853" s="157"/>
      <c r="L853" s="157"/>
      <c r="M853" s="157"/>
      <c r="N853" s="158"/>
    </row>
    <row r="854" spans="8:14" x14ac:dyDescent="0.2">
      <c r="H854" s="306">
        <f t="shared" si="24"/>
        <v>43586</v>
      </c>
      <c r="I854" s="397">
        <f t="shared" si="25"/>
        <v>3.3516600608875395E-2</v>
      </c>
      <c r="J854" s="157"/>
      <c r="K854" s="157"/>
      <c r="L854" s="157"/>
      <c r="M854" s="157"/>
      <c r="N854" s="158"/>
    </row>
    <row r="855" spans="8:14" x14ac:dyDescent="0.2">
      <c r="H855" s="306">
        <f t="shared" si="24"/>
        <v>43617</v>
      </c>
      <c r="I855" s="397">
        <f t="shared" si="25"/>
        <v>3.3551513734509639E-2</v>
      </c>
      <c r="J855" s="157"/>
      <c r="K855" s="157"/>
      <c r="L855" s="157"/>
      <c r="M855" s="157"/>
      <c r="N855" s="158"/>
    </row>
    <row r="856" spans="8:14" x14ac:dyDescent="0.2">
      <c r="H856" s="306">
        <f t="shared" si="24"/>
        <v>43647</v>
      </c>
      <c r="I856" s="397">
        <f t="shared" si="25"/>
        <v>3.3586463227983088E-2</v>
      </c>
      <c r="J856" s="157"/>
      <c r="K856" s="157"/>
      <c r="L856" s="157"/>
      <c r="M856" s="157"/>
      <c r="N856" s="158"/>
    </row>
    <row r="857" spans="8:14" x14ac:dyDescent="0.2">
      <c r="H857" s="306">
        <f t="shared" si="24"/>
        <v>43678</v>
      </c>
      <c r="I857" s="397">
        <f t="shared" si="25"/>
        <v>3.3621449127178904E-2</v>
      </c>
      <c r="J857" s="157"/>
      <c r="K857" s="157"/>
      <c r="L857" s="157"/>
      <c r="M857" s="157"/>
      <c r="N857" s="158"/>
    </row>
    <row r="858" spans="8:14" x14ac:dyDescent="0.2">
      <c r="H858" s="306">
        <f t="shared" si="24"/>
        <v>43709</v>
      </c>
      <c r="I858" s="397">
        <f t="shared" si="25"/>
        <v>3.3656471470019711E-2</v>
      </c>
      <c r="J858" s="157"/>
      <c r="K858" s="157"/>
      <c r="L858" s="157"/>
      <c r="M858" s="157"/>
      <c r="N858" s="158"/>
    </row>
    <row r="859" spans="8:14" x14ac:dyDescent="0.2">
      <c r="H859" s="306">
        <f t="shared" si="24"/>
        <v>43739</v>
      </c>
      <c r="I859" s="397">
        <f t="shared" si="25"/>
        <v>3.3691530294467649E-2</v>
      </c>
      <c r="J859" s="157"/>
      <c r="K859" s="157"/>
      <c r="L859" s="157"/>
      <c r="M859" s="157"/>
      <c r="N859" s="158"/>
    </row>
    <row r="860" spans="8:14" x14ac:dyDescent="0.2">
      <c r="H860" s="306">
        <f t="shared" si="24"/>
        <v>43770</v>
      </c>
      <c r="I860" s="397">
        <f t="shared" si="25"/>
        <v>3.3726625638524382E-2</v>
      </c>
      <c r="J860" s="157"/>
      <c r="K860" s="157"/>
      <c r="L860" s="157"/>
      <c r="M860" s="157"/>
      <c r="N860" s="158"/>
    </row>
    <row r="861" spans="8:14" x14ac:dyDescent="0.2">
      <c r="H861" s="306">
        <f t="shared" si="24"/>
        <v>43800</v>
      </c>
      <c r="I861" s="397">
        <f t="shared" si="25"/>
        <v>3.3761757540231176E-2</v>
      </c>
      <c r="J861" s="157"/>
      <c r="K861" s="157"/>
      <c r="L861" s="157"/>
      <c r="M861" s="157"/>
      <c r="N861" s="158"/>
    </row>
    <row r="862" spans="8:14" x14ac:dyDescent="0.2">
      <c r="H862" s="306">
        <f t="shared" si="24"/>
        <v>43831</v>
      </c>
      <c r="I862" s="397">
        <f t="shared" si="25"/>
        <v>3.3796926037668915E-2</v>
      </c>
      <c r="J862" s="157"/>
      <c r="K862" s="157"/>
      <c r="L862" s="157"/>
      <c r="M862" s="157"/>
      <c r="N862" s="158"/>
    </row>
    <row r="863" spans="8:14" x14ac:dyDescent="0.2">
      <c r="H863" s="306">
        <f t="shared" si="24"/>
        <v>43862</v>
      </c>
      <c r="I863" s="397">
        <f t="shared" si="25"/>
        <v>3.3832131168958154E-2</v>
      </c>
      <c r="J863" s="157"/>
      <c r="K863" s="157"/>
      <c r="L863" s="157"/>
      <c r="M863" s="157"/>
      <c r="N863" s="158"/>
    </row>
    <row r="864" spans="8:14" x14ac:dyDescent="0.2">
      <c r="H864" s="306">
        <f t="shared" si="24"/>
        <v>43891</v>
      </c>
      <c r="I864" s="397">
        <f t="shared" si="25"/>
        <v>3.3867372972259148E-2</v>
      </c>
      <c r="J864" s="157"/>
      <c r="K864" s="157"/>
      <c r="L864" s="157"/>
      <c r="M864" s="157"/>
      <c r="N864" s="158"/>
    </row>
    <row r="865" spans="8:14" x14ac:dyDescent="0.2">
      <c r="H865" s="306">
        <f t="shared" si="24"/>
        <v>43922</v>
      </c>
      <c r="I865" s="397">
        <f t="shared" si="25"/>
        <v>3.3902651485771915E-2</v>
      </c>
      <c r="J865" s="157"/>
      <c r="K865" s="157"/>
      <c r="L865" s="157"/>
      <c r="M865" s="157"/>
      <c r="N865" s="158"/>
    </row>
    <row r="866" spans="8:14" x14ac:dyDescent="0.2">
      <c r="H866" s="306">
        <f t="shared" si="24"/>
        <v>43952</v>
      </c>
      <c r="I866" s="397">
        <f t="shared" si="25"/>
        <v>3.3937966747736262E-2</v>
      </c>
      <c r="J866" s="157"/>
      <c r="K866" s="157"/>
      <c r="L866" s="157"/>
      <c r="M866" s="157"/>
      <c r="N866" s="158"/>
    </row>
    <row r="867" spans="8:14" x14ac:dyDescent="0.2">
      <c r="H867" s="306">
        <f t="shared" si="24"/>
        <v>43983</v>
      </c>
      <c r="I867" s="397">
        <f t="shared" si="25"/>
        <v>3.3973318796431819E-2</v>
      </c>
      <c r="J867" s="157"/>
      <c r="K867" s="157"/>
      <c r="L867" s="157"/>
      <c r="M867" s="157"/>
      <c r="N867" s="158"/>
    </row>
    <row r="868" spans="8:14" x14ac:dyDescent="0.2">
      <c r="H868" s="306">
        <f t="shared" si="24"/>
        <v>44013</v>
      </c>
      <c r="I868" s="397">
        <f t="shared" si="25"/>
        <v>3.40087076701781E-2</v>
      </c>
      <c r="J868" s="157"/>
      <c r="K868" s="157"/>
      <c r="L868" s="157"/>
      <c r="M868" s="157"/>
      <c r="N868" s="158"/>
    </row>
    <row r="869" spans="8:14" x14ac:dyDescent="0.2">
      <c r="H869" s="306">
        <f t="shared" si="24"/>
        <v>44044</v>
      </c>
      <c r="I869" s="397">
        <f t="shared" si="25"/>
        <v>3.4044133407334531E-2</v>
      </c>
      <c r="J869" s="157"/>
      <c r="K869" s="157"/>
      <c r="L869" s="157"/>
      <c r="M869" s="157"/>
      <c r="N869" s="158"/>
    </row>
    <row r="870" spans="8:14" x14ac:dyDescent="0.2">
      <c r="H870" s="306">
        <f t="shared" si="24"/>
        <v>44075</v>
      </c>
      <c r="I870" s="397">
        <f t="shared" si="25"/>
        <v>3.4079596046300502E-2</v>
      </c>
      <c r="J870" s="157"/>
      <c r="K870" s="157"/>
      <c r="L870" s="157"/>
      <c r="M870" s="157"/>
      <c r="N870" s="158"/>
    </row>
    <row r="871" spans="8:14" x14ac:dyDescent="0.2">
      <c r="H871" s="306">
        <f t="shared" si="24"/>
        <v>44105</v>
      </c>
      <c r="I871" s="397">
        <f t="shared" si="25"/>
        <v>3.4115095625515394E-2</v>
      </c>
      <c r="J871" s="157"/>
      <c r="K871" s="157"/>
      <c r="L871" s="157"/>
      <c r="M871" s="157"/>
      <c r="N871" s="158"/>
    </row>
    <row r="872" spans="8:14" x14ac:dyDescent="0.2">
      <c r="H872" s="306">
        <f t="shared" si="24"/>
        <v>44136</v>
      </c>
      <c r="I872" s="397">
        <f t="shared" si="25"/>
        <v>3.4150632183458637E-2</v>
      </c>
      <c r="J872" s="157"/>
      <c r="K872" s="157"/>
      <c r="L872" s="157"/>
      <c r="M872" s="157"/>
      <c r="N872" s="158"/>
    </row>
    <row r="873" spans="8:14" x14ac:dyDescent="0.2">
      <c r="H873" s="306">
        <f t="shared" si="24"/>
        <v>44166</v>
      </c>
      <c r="I873" s="397">
        <f t="shared" si="25"/>
        <v>3.4186205758649738E-2</v>
      </c>
      <c r="J873" s="157"/>
      <c r="K873" s="157"/>
      <c r="L873" s="157"/>
      <c r="M873" s="157"/>
      <c r="N873" s="158"/>
    </row>
    <row r="874" spans="8:14" x14ac:dyDescent="0.2">
      <c r="H874" s="306">
        <f t="shared" si="24"/>
        <v>44197</v>
      </c>
      <c r="I874" s="397">
        <f t="shared" si="25"/>
        <v>3.422181638964833E-2</v>
      </c>
      <c r="J874" s="157"/>
      <c r="K874" s="157"/>
      <c r="L874" s="157"/>
      <c r="M874" s="157"/>
      <c r="N874" s="158"/>
    </row>
    <row r="875" spans="8:14" x14ac:dyDescent="0.2">
      <c r="H875" s="306">
        <f t="shared" si="24"/>
        <v>44228</v>
      </c>
      <c r="I875" s="397">
        <f t="shared" si="25"/>
        <v>3.4257464115054211E-2</v>
      </c>
      <c r="J875" s="157"/>
      <c r="K875" s="157"/>
      <c r="L875" s="157"/>
      <c r="M875" s="157"/>
      <c r="N875" s="158"/>
    </row>
    <row r="876" spans="8:14" x14ac:dyDescent="0.2">
      <c r="H876" s="306">
        <f t="shared" si="24"/>
        <v>44256</v>
      </c>
      <c r="I876" s="397">
        <f t="shared" si="25"/>
        <v>3.4293148973507388E-2</v>
      </c>
      <c r="J876" s="157"/>
      <c r="K876" s="157"/>
      <c r="L876" s="157"/>
      <c r="M876" s="157"/>
      <c r="N876" s="158"/>
    </row>
    <row r="877" spans="8:14" x14ac:dyDescent="0.2">
      <c r="H877" s="306">
        <f t="shared" si="24"/>
        <v>44287</v>
      </c>
      <c r="I877" s="397">
        <f t="shared" si="25"/>
        <v>3.4328871003688123E-2</v>
      </c>
      <c r="J877" s="157"/>
      <c r="K877" s="157"/>
      <c r="L877" s="157"/>
      <c r="M877" s="157"/>
      <c r="N877" s="158"/>
    </row>
    <row r="878" spans="8:14" x14ac:dyDescent="0.2">
      <c r="H878" s="306">
        <f t="shared" si="24"/>
        <v>44317</v>
      </c>
      <c r="I878" s="397">
        <f t="shared" si="25"/>
        <v>3.4364630244316963E-2</v>
      </c>
      <c r="J878" s="157"/>
      <c r="K878" s="157"/>
      <c r="L878" s="157"/>
      <c r="M878" s="157"/>
      <c r="N878" s="158"/>
    </row>
    <row r="879" spans="8:14" x14ac:dyDescent="0.2">
      <c r="H879" s="306">
        <f t="shared" si="24"/>
        <v>44348</v>
      </c>
      <c r="I879" s="397">
        <f t="shared" si="25"/>
        <v>3.440042673415479E-2</v>
      </c>
      <c r="J879" s="157"/>
      <c r="K879" s="157"/>
      <c r="L879" s="157"/>
      <c r="M879" s="157"/>
      <c r="N879" s="158"/>
    </row>
    <row r="880" spans="8:14" x14ac:dyDescent="0.2">
      <c r="H880" s="306">
        <f t="shared" si="24"/>
        <v>44378</v>
      </c>
      <c r="I880" s="397">
        <f t="shared" si="25"/>
        <v>3.4436260512002867E-2</v>
      </c>
      <c r="J880" s="157"/>
      <c r="K880" s="157"/>
      <c r="L880" s="157"/>
      <c r="M880" s="157"/>
      <c r="N880" s="158"/>
    </row>
    <row r="881" spans="8:14" x14ac:dyDescent="0.2">
      <c r="H881" s="306">
        <f t="shared" si="24"/>
        <v>44409</v>
      </c>
      <c r="I881" s="397">
        <f t="shared" si="25"/>
        <v>3.4472131616702865E-2</v>
      </c>
      <c r="J881" s="157"/>
      <c r="K881" s="157"/>
      <c r="L881" s="157"/>
      <c r="M881" s="157"/>
      <c r="N881" s="158"/>
    </row>
    <row r="882" spans="8:14" x14ac:dyDescent="0.2">
      <c r="H882" s="306">
        <f t="shared" si="24"/>
        <v>44440</v>
      </c>
      <c r="I882" s="397">
        <f t="shared" si="25"/>
        <v>3.4508040087136926E-2</v>
      </c>
      <c r="J882" s="157"/>
      <c r="K882" s="157"/>
      <c r="L882" s="157"/>
      <c r="M882" s="157"/>
      <c r="N882" s="158"/>
    </row>
    <row r="883" spans="8:14" x14ac:dyDescent="0.2">
      <c r="H883" s="306">
        <f t="shared" si="24"/>
        <v>44470</v>
      </c>
      <c r="I883" s="397">
        <f t="shared" si="25"/>
        <v>3.4543985962227693E-2</v>
      </c>
      <c r="J883" s="157"/>
      <c r="K883" s="157"/>
      <c r="L883" s="157"/>
      <c r="M883" s="157"/>
      <c r="N883" s="158"/>
    </row>
    <row r="884" spans="8:14" x14ac:dyDescent="0.2">
      <c r="H884" s="306">
        <f t="shared" si="24"/>
        <v>44501</v>
      </c>
      <c r="I884" s="397">
        <f t="shared" si="25"/>
        <v>3.4579969280938344E-2</v>
      </c>
      <c r="J884" s="157"/>
      <c r="K884" s="157"/>
      <c r="L884" s="157"/>
      <c r="M884" s="157"/>
      <c r="N884" s="158"/>
    </row>
    <row r="885" spans="8:14" x14ac:dyDescent="0.2">
      <c r="H885" s="306">
        <f t="shared" ref="H885:H933" si="26">+H577</f>
        <v>44531</v>
      </c>
      <c r="I885" s="397">
        <f t="shared" si="25"/>
        <v>3.4615990082272653E-2</v>
      </c>
      <c r="J885" s="157"/>
      <c r="K885" s="157"/>
      <c r="L885" s="157"/>
      <c r="M885" s="157"/>
      <c r="N885" s="158"/>
    </row>
    <row r="886" spans="8:14" x14ac:dyDescent="0.2">
      <c r="H886" s="306">
        <f t="shared" si="26"/>
        <v>44562</v>
      </c>
      <c r="I886" s="397">
        <f t="shared" si="25"/>
        <v>3.465204840527502E-2</v>
      </c>
      <c r="J886" s="157"/>
      <c r="K886" s="157"/>
      <c r="L886" s="157"/>
      <c r="M886" s="157"/>
      <c r="N886" s="158"/>
    </row>
    <row r="887" spans="8:14" x14ac:dyDescent="0.2">
      <c r="H887" s="306">
        <f t="shared" si="26"/>
        <v>44593</v>
      </c>
      <c r="I887" s="397">
        <f t="shared" si="25"/>
        <v>3.4688144289030512E-2</v>
      </c>
      <c r="J887" s="157"/>
      <c r="K887" s="157"/>
      <c r="L887" s="157"/>
      <c r="M887" s="157"/>
      <c r="N887" s="158"/>
    </row>
    <row r="888" spans="8:14" x14ac:dyDescent="0.2">
      <c r="H888" s="306">
        <f t="shared" si="26"/>
        <v>44621</v>
      </c>
      <c r="I888" s="397">
        <f t="shared" si="25"/>
        <v>3.4724277772664916E-2</v>
      </c>
      <c r="J888" s="157"/>
      <c r="K888" s="157"/>
      <c r="L888" s="157"/>
      <c r="M888" s="157"/>
      <c r="N888" s="158"/>
    </row>
    <row r="889" spans="8:14" x14ac:dyDescent="0.2">
      <c r="H889" s="306">
        <f t="shared" si="26"/>
        <v>44652</v>
      </c>
      <c r="I889" s="397">
        <f t="shared" si="25"/>
        <v>3.476044889534477E-2</v>
      </c>
      <c r="J889" s="157"/>
      <c r="K889" s="157"/>
      <c r="L889" s="157"/>
      <c r="M889" s="157"/>
      <c r="N889" s="158"/>
    </row>
    <row r="890" spans="8:14" x14ac:dyDescent="0.2">
      <c r="H890" s="306">
        <f t="shared" si="26"/>
        <v>44682</v>
      </c>
      <c r="I890" s="397">
        <f t="shared" ref="I890:I933" si="27">+I889*(1+I$8/12)</f>
        <v>3.4796657696277419E-2</v>
      </c>
      <c r="J890" s="157"/>
      <c r="K890" s="157"/>
      <c r="L890" s="157"/>
      <c r="M890" s="157"/>
      <c r="N890" s="158"/>
    </row>
    <row r="891" spans="8:14" x14ac:dyDescent="0.2">
      <c r="H891" s="306">
        <f t="shared" si="26"/>
        <v>44713</v>
      </c>
      <c r="I891" s="397">
        <f t="shared" si="27"/>
        <v>3.4832904214711038E-2</v>
      </c>
      <c r="J891" s="157"/>
      <c r="K891" s="157"/>
      <c r="L891" s="157"/>
      <c r="M891" s="157"/>
      <c r="N891" s="158"/>
    </row>
    <row r="892" spans="8:14" x14ac:dyDescent="0.2">
      <c r="H892" s="306">
        <f t="shared" si="26"/>
        <v>44743</v>
      </c>
      <c r="I892" s="397">
        <f t="shared" si="27"/>
        <v>3.4869188489934692E-2</v>
      </c>
      <c r="J892" s="157"/>
      <c r="K892" s="157"/>
      <c r="L892" s="157"/>
      <c r="M892" s="157"/>
      <c r="N892" s="158"/>
    </row>
    <row r="893" spans="8:14" x14ac:dyDescent="0.2">
      <c r="H893" s="306">
        <f t="shared" si="26"/>
        <v>44774</v>
      </c>
      <c r="I893" s="397">
        <f t="shared" si="27"/>
        <v>3.4905510561278372E-2</v>
      </c>
      <c r="J893" s="157"/>
      <c r="K893" s="157"/>
      <c r="L893" s="157"/>
      <c r="M893" s="157"/>
      <c r="N893" s="158"/>
    </row>
    <row r="894" spans="8:14" x14ac:dyDescent="0.2">
      <c r="H894" s="306">
        <f t="shared" si="26"/>
        <v>44805</v>
      </c>
      <c r="I894" s="397">
        <f t="shared" si="27"/>
        <v>3.4941870468113034E-2</v>
      </c>
      <c r="J894" s="157"/>
      <c r="K894" s="157"/>
      <c r="L894" s="157"/>
      <c r="M894" s="157"/>
      <c r="N894" s="158"/>
    </row>
    <row r="895" spans="8:14" x14ac:dyDescent="0.2">
      <c r="H895" s="306">
        <f t="shared" si="26"/>
        <v>44835</v>
      </c>
      <c r="I895" s="397">
        <f t="shared" si="27"/>
        <v>3.4978268249850647E-2</v>
      </c>
      <c r="J895" s="157"/>
      <c r="K895" s="157"/>
      <c r="L895" s="157"/>
      <c r="M895" s="157"/>
      <c r="N895" s="158"/>
    </row>
    <row r="896" spans="8:14" x14ac:dyDescent="0.2">
      <c r="H896" s="306">
        <f t="shared" si="26"/>
        <v>44866</v>
      </c>
      <c r="I896" s="397">
        <f t="shared" si="27"/>
        <v>3.5014703945944241E-2</v>
      </c>
      <c r="J896" s="157"/>
      <c r="K896" s="157"/>
      <c r="L896" s="157"/>
      <c r="M896" s="157"/>
      <c r="N896" s="158"/>
    </row>
    <row r="897" spans="8:14" x14ac:dyDescent="0.2">
      <c r="H897" s="306">
        <f t="shared" si="26"/>
        <v>44896</v>
      </c>
      <c r="I897" s="397">
        <f t="shared" si="27"/>
        <v>3.5051177595887932E-2</v>
      </c>
      <c r="J897" s="157"/>
      <c r="K897" s="157"/>
      <c r="L897" s="157"/>
      <c r="M897" s="157"/>
      <c r="N897" s="158"/>
    </row>
    <row r="898" spans="8:14" x14ac:dyDescent="0.2">
      <c r="H898" s="306">
        <f t="shared" si="26"/>
        <v>44927</v>
      </c>
      <c r="I898" s="397">
        <f t="shared" si="27"/>
        <v>3.5087689239216978E-2</v>
      </c>
      <c r="J898" s="157"/>
      <c r="K898" s="157"/>
      <c r="L898" s="157"/>
      <c r="M898" s="157"/>
      <c r="N898" s="158"/>
    </row>
    <row r="899" spans="8:14" x14ac:dyDescent="0.2">
      <c r="H899" s="306">
        <f t="shared" si="26"/>
        <v>44958</v>
      </c>
      <c r="I899" s="397">
        <f t="shared" si="27"/>
        <v>3.5124238915507824E-2</v>
      </c>
      <c r="J899" s="157"/>
      <c r="K899" s="157"/>
      <c r="L899" s="157"/>
      <c r="M899" s="157"/>
      <c r="N899" s="158"/>
    </row>
    <row r="900" spans="8:14" x14ac:dyDescent="0.2">
      <c r="H900" s="306">
        <f t="shared" si="26"/>
        <v>44986</v>
      </c>
      <c r="I900" s="397">
        <f t="shared" si="27"/>
        <v>3.5160826664378142E-2</v>
      </c>
      <c r="J900" s="157"/>
      <c r="K900" s="157"/>
      <c r="L900" s="157"/>
      <c r="M900" s="157"/>
      <c r="N900" s="158"/>
    </row>
    <row r="901" spans="8:14" x14ac:dyDescent="0.2">
      <c r="H901" s="306">
        <f t="shared" si="26"/>
        <v>45017</v>
      </c>
      <c r="I901" s="397">
        <f t="shared" si="27"/>
        <v>3.5197452525486866E-2</v>
      </c>
      <c r="J901" s="157"/>
      <c r="K901" s="157"/>
      <c r="L901" s="157"/>
      <c r="M901" s="157"/>
      <c r="N901" s="158"/>
    </row>
    <row r="902" spans="8:14" x14ac:dyDescent="0.2">
      <c r="H902" s="306">
        <f t="shared" si="26"/>
        <v>45047</v>
      </c>
      <c r="I902" s="397">
        <f t="shared" si="27"/>
        <v>3.5234116538534248E-2</v>
      </c>
      <c r="J902" s="157"/>
      <c r="K902" s="157"/>
      <c r="L902" s="157"/>
      <c r="M902" s="157"/>
      <c r="N902" s="158"/>
    </row>
    <row r="903" spans="8:14" x14ac:dyDescent="0.2">
      <c r="H903" s="306">
        <f t="shared" si="26"/>
        <v>45078</v>
      </c>
      <c r="I903" s="397">
        <f t="shared" si="27"/>
        <v>3.5270818743261885E-2</v>
      </c>
      <c r="J903" s="157"/>
      <c r="K903" s="157"/>
      <c r="L903" s="157"/>
      <c r="M903" s="157"/>
      <c r="N903" s="158"/>
    </row>
    <row r="904" spans="8:14" x14ac:dyDescent="0.2">
      <c r="H904" s="306">
        <f t="shared" si="26"/>
        <v>45108</v>
      </c>
      <c r="I904" s="397">
        <f t="shared" si="27"/>
        <v>3.5307559179452781E-2</v>
      </c>
      <c r="J904" s="157"/>
      <c r="K904" s="157"/>
      <c r="L904" s="157"/>
      <c r="M904" s="157"/>
      <c r="N904" s="158"/>
    </row>
    <row r="905" spans="8:14" x14ac:dyDescent="0.2">
      <c r="H905" s="306">
        <f t="shared" si="26"/>
        <v>45139</v>
      </c>
      <c r="I905" s="397">
        <f t="shared" si="27"/>
        <v>3.5344337886931379E-2</v>
      </c>
      <c r="J905" s="157"/>
      <c r="K905" s="157"/>
      <c r="L905" s="157"/>
      <c r="M905" s="157"/>
      <c r="N905" s="158"/>
    </row>
    <row r="906" spans="8:14" x14ac:dyDescent="0.2">
      <c r="H906" s="306">
        <f t="shared" si="26"/>
        <v>45170</v>
      </c>
      <c r="I906" s="397">
        <f t="shared" si="27"/>
        <v>3.5381154905563594E-2</v>
      </c>
      <c r="J906" s="157"/>
      <c r="K906" s="157"/>
      <c r="L906" s="157"/>
      <c r="M906" s="157"/>
      <c r="N906" s="158"/>
    </row>
    <row r="907" spans="8:14" x14ac:dyDescent="0.2">
      <c r="H907" s="306">
        <f t="shared" si="26"/>
        <v>45200</v>
      </c>
      <c r="I907" s="397">
        <f t="shared" si="27"/>
        <v>3.5418010275256886E-2</v>
      </c>
      <c r="J907" s="157"/>
      <c r="K907" s="157"/>
      <c r="L907" s="157"/>
      <c r="M907" s="157"/>
      <c r="N907" s="158"/>
    </row>
    <row r="908" spans="8:14" x14ac:dyDescent="0.2">
      <c r="H908" s="306">
        <f t="shared" si="26"/>
        <v>45231</v>
      </c>
      <c r="I908" s="397">
        <f t="shared" si="27"/>
        <v>3.5454904035960279E-2</v>
      </c>
      <c r="J908" s="157"/>
      <c r="K908" s="157"/>
      <c r="L908" s="157"/>
      <c r="M908" s="157"/>
      <c r="N908" s="158"/>
    </row>
    <row r="909" spans="8:14" x14ac:dyDescent="0.2">
      <c r="H909" s="306">
        <f t="shared" si="26"/>
        <v>45261</v>
      </c>
      <c r="I909" s="397">
        <f t="shared" si="27"/>
        <v>3.54918362276644E-2</v>
      </c>
      <c r="J909" s="157"/>
      <c r="K909" s="157"/>
      <c r="L909" s="157"/>
      <c r="M909" s="157"/>
      <c r="N909" s="158"/>
    </row>
    <row r="910" spans="8:14" x14ac:dyDescent="0.2">
      <c r="H910" s="306">
        <f t="shared" si="26"/>
        <v>45292</v>
      </c>
      <c r="I910" s="397">
        <f t="shared" si="27"/>
        <v>3.5528806890401547E-2</v>
      </c>
      <c r="J910" s="157"/>
      <c r="K910" s="157"/>
      <c r="L910" s="157"/>
      <c r="M910" s="157"/>
      <c r="N910" s="158"/>
    </row>
    <row r="911" spans="8:14" x14ac:dyDescent="0.2">
      <c r="H911" s="306">
        <f t="shared" si="26"/>
        <v>45323</v>
      </c>
      <c r="I911" s="397">
        <f t="shared" si="27"/>
        <v>3.5565816064245713E-2</v>
      </c>
      <c r="J911" s="157"/>
      <c r="K911" s="157"/>
      <c r="L911" s="157"/>
      <c r="M911" s="157"/>
      <c r="N911" s="158"/>
    </row>
    <row r="912" spans="8:14" x14ac:dyDescent="0.2">
      <c r="H912" s="306">
        <f t="shared" si="26"/>
        <v>45352</v>
      </c>
      <c r="I912" s="397">
        <f t="shared" si="27"/>
        <v>3.5602863789312635E-2</v>
      </c>
      <c r="J912" s="157"/>
      <c r="K912" s="157"/>
      <c r="L912" s="157"/>
      <c r="M912" s="157"/>
      <c r="N912" s="158"/>
    </row>
    <row r="913" spans="8:14" x14ac:dyDescent="0.2">
      <c r="H913" s="306">
        <f t="shared" si="26"/>
        <v>45383</v>
      </c>
      <c r="I913" s="397">
        <f t="shared" si="27"/>
        <v>3.5639950105759835E-2</v>
      </c>
      <c r="J913" s="157"/>
      <c r="K913" s="157"/>
      <c r="L913" s="157"/>
      <c r="M913" s="157"/>
      <c r="N913" s="158"/>
    </row>
    <row r="914" spans="8:14" x14ac:dyDescent="0.2">
      <c r="H914" s="306">
        <f t="shared" si="26"/>
        <v>45413</v>
      </c>
      <c r="I914" s="397">
        <f t="shared" si="27"/>
        <v>3.5677075053786665E-2</v>
      </c>
      <c r="J914" s="157"/>
      <c r="K914" s="157"/>
      <c r="L914" s="157"/>
      <c r="M914" s="157"/>
      <c r="N914" s="158"/>
    </row>
    <row r="915" spans="8:14" x14ac:dyDescent="0.2">
      <c r="H915" s="306">
        <f t="shared" si="26"/>
        <v>45444</v>
      </c>
      <c r="I915" s="397">
        <f t="shared" si="27"/>
        <v>3.5714238673634359E-2</v>
      </c>
      <c r="J915" s="157"/>
      <c r="K915" s="157"/>
      <c r="L915" s="157"/>
      <c r="M915" s="157"/>
      <c r="N915" s="158"/>
    </row>
    <row r="916" spans="8:14" x14ac:dyDescent="0.2">
      <c r="H916" s="306">
        <f t="shared" si="26"/>
        <v>45474</v>
      </c>
      <c r="I916" s="397">
        <f t="shared" si="27"/>
        <v>3.5751441005586061E-2</v>
      </c>
      <c r="J916" s="157"/>
      <c r="K916" s="157"/>
      <c r="L916" s="157"/>
      <c r="M916" s="157"/>
      <c r="N916" s="158"/>
    </row>
    <row r="917" spans="8:14" x14ac:dyDescent="0.2">
      <c r="H917" s="306">
        <f t="shared" si="26"/>
        <v>45505</v>
      </c>
      <c r="I917" s="397">
        <f t="shared" si="27"/>
        <v>3.5788682089966876E-2</v>
      </c>
      <c r="J917" s="157"/>
      <c r="K917" s="157"/>
      <c r="L917" s="157"/>
      <c r="M917" s="157"/>
      <c r="N917" s="158"/>
    </row>
    <row r="918" spans="8:14" x14ac:dyDescent="0.2">
      <c r="H918" s="306">
        <f t="shared" si="26"/>
        <v>45536</v>
      </c>
      <c r="I918" s="397">
        <f t="shared" si="27"/>
        <v>3.5825961967143924E-2</v>
      </c>
      <c r="J918" s="157"/>
      <c r="K918" s="157"/>
      <c r="L918" s="157"/>
      <c r="M918" s="157"/>
      <c r="N918" s="158"/>
    </row>
    <row r="919" spans="8:14" x14ac:dyDescent="0.2">
      <c r="H919" s="306">
        <f t="shared" si="26"/>
        <v>45566</v>
      </c>
      <c r="I919" s="397">
        <f t="shared" si="27"/>
        <v>3.5863280677526366E-2</v>
      </c>
      <c r="J919" s="157"/>
      <c r="K919" s="157"/>
      <c r="L919" s="157"/>
      <c r="M919" s="157"/>
      <c r="N919" s="158"/>
    </row>
    <row r="920" spans="8:14" x14ac:dyDescent="0.2">
      <c r="H920" s="306">
        <f t="shared" si="26"/>
        <v>45597</v>
      </c>
      <c r="I920" s="397">
        <f t="shared" si="27"/>
        <v>3.5900638261565455E-2</v>
      </c>
      <c r="J920" s="157"/>
      <c r="K920" s="157"/>
      <c r="L920" s="157"/>
      <c r="M920" s="157"/>
      <c r="N920" s="158"/>
    </row>
    <row r="921" spans="8:14" x14ac:dyDescent="0.2">
      <c r="H921" s="306">
        <f t="shared" si="26"/>
        <v>45627</v>
      </c>
      <c r="I921" s="397">
        <f t="shared" si="27"/>
        <v>3.5938034759754586E-2</v>
      </c>
      <c r="J921" s="157"/>
      <c r="K921" s="157"/>
      <c r="L921" s="157"/>
      <c r="M921" s="157"/>
      <c r="N921" s="158"/>
    </row>
    <row r="922" spans="8:14" x14ac:dyDescent="0.2">
      <c r="H922" s="306">
        <f t="shared" si="26"/>
        <v>45658</v>
      </c>
      <c r="I922" s="397">
        <f t="shared" si="27"/>
        <v>3.5975470212629326E-2</v>
      </c>
      <c r="J922" s="157"/>
      <c r="K922" s="157"/>
      <c r="L922" s="157"/>
      <c r="M922" s="157"/>
      <c r="N922" s="158"/>
    </row>
    <row r="923" spans="8:14" x14ac:dyDescent="0.2">
      <c r="H923" s="306">
        <f t="shared" si="26"/>
        <v>45689</v>
      </c>
      <c r="I923" s="397">
        <f t="shared" si="27"/>
        <v>3.6012944660767481E-2</v>
      </c>
      <c r="J923" s="157"/>
      <c r="K923" s="157"/>
      <c r="L923" s="157"/>
      <c r="M923" s="157"/>
      <c r="N923" s="158"/>
    </row>
    <row r="924" spans="8:14" x14ac:dyDescent="0.2">
      <c r="H924" s="306">
        <f t="shared" si="26"/>
        <v>45717</v>
      </c>
      <c r="I924" s="397">
        <f t="shared" si="27"/>
        <v>3.6050458144789112E-2</v>
      </c>
      <c r="J924" s="157"/>
      <c r="K924" s="157"/>
      <c r="L924" s="157"/>
      <c r="M924" s="157"/>
      <c r="N924" s="158"/>
    </row>
    <row r="925" spans="8:14" x14ac:dyDescent="0.2">
      <c r="H925" s="306">
        <f t="shared" si="26"/>
        <v>45748</v>
      </c>
      <c r="I925" s="397">
        <f t="shared" si="27"/>
        <v>3.6088010705356596E-2</v>
      </c>
      <c r="J925" s="157"/>
      <c r="K925" s="157"/>
      <c r="L925" s="157"/>
      <c r="M925" s="157"/>
      <c r="N925" s="158"/>
    </row>
    <row r="926" spans="8:14" x14ac:dyDescent="0.2">
      <c r="H926" s="306">
        <f t="shared" si="26"/>
        <v>45778</v>
      </c>
      <c r="I926" s="397">
        <f t="shared" si="27"/>
        <v>3.6125602383174672E-2</v>
      </c>
      <c r="J926" s="157"/>
      <c r="K926" s="157"/>
      <c r="L926" s="157"/>
      <c r="M926" s="157"/>
      <c r="N926" s="158"/>
    </row>
    <row r="927" spans="8:14" x14ac:dyDescent="0.2">
      <c r="H927" s="306">
        <f t="shared" si="26"/>
        <v>45809</v>
      </c>
      <c r="I927" s="397">
        <f t="shared" si="27"/>
        <v>3.6163233218990475E-2</v>
      </c>
      <c r="J927" s="157"/>
      <c r="K927" s="157"/>
      <c r="L927" s="157"/>
      <c r="M927" s="157"/>
      <c r="N927" s="158"/>
    </row>
    <row r="928" spans="8:14" x14ac:dyDescent="0.2">
      <c r="H928" s="306">
        <f t="shared" si="26"/>
        <v>45839</v>
      </c>
      <c r="I928" s="397">
        <f t="shared" si="27"/>
        <v>3.620090325359359E-2</v>
      </c>
      <c r="J928" s="157"/>
      <c r="K928" s="157"/>
      <c r="L928" s="157"/>
      <c r="M928" s="157"/>
      <c r="N928" s="158"/>
    </row>
    <row r="929" spans="8:14" x14ac:dyDescent="0.2">
      <c r="H929" s="306">
        <f t="shared" si="26"/>
        <v>45870</v>
      </c>
      <c r="I929" s="397">
        <f t="shared" si="27"/>
        <v>3.6238612527816079E-2</v>
      </c>
      <c r="J929" s="157"/>
      <c r="K929" s="157"/>
      <c r="L929" s="157"/>
      <c r="M929" s="157"/>
      <c r="N929" s="158"/>
    </row>
    <row r="930" spans="8:14" x14ac:dyDescent="0.2">
      <c r="H930" s="306">
        <f t="shared" si="26"/>
        <v>45901</v>
      </c>
      <c r="I930" s="397">
        <f t="shared" si="27"/>
        <v>3.627636108253255E-2</v>
      </c>
      <c r="J930" s="157"/>
      <c r="K930" s="157"/>
      <c r="L930" s="157"/>
      <c r="M930" s="157"/>
      <c r="N930" s="158"/>
    </row>
    <row r="931" spans="8:14" x14ac:dyDescent="0.2">
      <c r="H931" s="306">
        <f t="shared" si="26"/>
        <v>45931</v>
      </c>
      <c r="I931" s="397">
        <f t="shared" si="27"/>
        <v>3.6314148958660183E-2</v>
      </c>
      <c r="J931" s="157"/>
      <c r="K931" s="157"/>
      <c r="L931" s="157"/>
      <c r="M931" s="157"/>
      <c r="N931" s="158"/>
    </row>
    <row r="932" spans="8:14" x14ac:dyDescent="0.2">
      <c r="H932" s="306">
        <f t="shared" si="26"/>
        <v>45962</v>
      </c>
      <c r="I932" s="397">
        <f t="shared" si="27"/>
        <v>3.6351976197158783E-2</v>
      </c>
      <c r="J932" s="157"/>
      <c r="K932" s="157"/>
      <c r="L932" s="157"/>
      <c r="M932" s="157"/>
      <c r="N932" s="158"/>
    </row>
    <row r="933" spans="8:14" x14ac:dyDescent="0.2">
      <c r="H933" s="307">
        <f t="shared" si="26"/>
        <v>45992</v>
      </c>
      <c r="I933" s="436">
        <f t="shared" si="27"/>
        <v>3.6389842839030823E-2</v>
      </c>
      <c r="J933" s="159"/>
      <c r="K933" s="159"/>
      <c r="L933" s="159"/>
      <c r="M933" s="159"/>
      <c r="N933" s="16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H212"/>
  <sheetViews>
    <sheetView showGridLines="0" topLeftCell="AB1" zoomScale="75" workbookViewId="0">
      <selection activeCell="AF12" sqref="AF12"/>
    </sheetView>
  </sheetViews>
  <sheetFormatPr defaultRowHeight="12.75" x14ac:dyDescent="0.2"/>
  <cols>
    <col min="1" max="1" width="26" bestFit="1" customWidth="1"/>
    <col min="2" max="4" width="18.7109375" customWidth="1"/>
    <col min="5" max="6" width="14" customWidth="1"/>
    <col min="7" max="7" width="28.7109375" customWidth="1"/>
    <col min="8" max="13" width="11.85546875" customWidth="1"/>
    <col min="14" max="14" width="8.7109375" customWidth="1"/>
    <col min="15" max="15" width="28.7109375" customWidth="1"/>
    <col min="16" max="17" width="12.140625" customWidth="1"/>
    <col min="18" max="21" width="7.140625" customWidth="1"/>
    <col min="22" max="22" width="8.7109375" customWidth="1"/>
    <col min="23" max="23" width="28.7109375" customWidth="1"/>
    <col min="24" max="25" width="12.140625" customWidth="1"/>
    <col min="26" max="26" width="7.140625" customWidth="1"/>
    <col min="27" max="27" width="10.7109375" bestFit="1" customWidth="1"/>
    <col min="28" max="30" width="7.140625" customWidth="1"/>
    <col min="31" max="31" width="28.7109375" customWidth="1"/>
    <col min="32" max="37" width="14" customWidth="1"/>
    <col min="39" max="39" width="26.5703125" bestFit="1" customWidth="1"/>
    <col min="40" max="40" width="13.7109375" customWidth="1"/>
    <col min="41" max="41" width="12.140625" customWidth="1"/>
  </cols>
  <sheetData>
    <row r="2" spans="1:60" x14ac:dyDescent="0.2">
      <c r="A2" s="11" t="s">
        <v>35</v>
      </c>
      <c r="B2" s="47"/>
      <c r="C2" s="47"/>
      <c r="D2" s="47"/>
      <c r="E2" s="48"/>
      <c r="F2" s="100"/>
      <c r="G2" s="125"/>
      <c r="H2" s="82" t="s">
        <v>36</v>
      </c>
      <c r="I2" s="83"/>
      <c r="J2" s="83"/>
      <c r="K2" s="83"/>
      <c r="L2" s="83"/>
      <c r="M2" s="84"/>
      <c r="N2" s="102"/>
      <c r="O2" s="125"/>
      <c r="P2" s="82" t="s">
        <v>109</v>
      </c>
      <c r="Q2" s="83"/>
      <c r="R2" s="83"/>
      <c r="S2" s="83"/>
      <c r="T2" s="83"/>
      <c r="U2" s="84"/>
      <c r="V2" s="102"/>
      <c r="W2" s="125"/>
      <c r="X2" s="82" t="s">
        <v>71</v>
      </c>
      <c r="Y2" s="83"/>
      <c r="Z2" s="83"/>
      <c r="AA2" s="83"/>
      <c r="AB2" s="83"/>
      <c r="AC2" s="84"/>
      <c r="AD2" s="102"/>
      <c r="AE2" s="125"/>
      <c r="AF2" s="82" t="s">
        <v>70</v>
      </c>
      <c r="AG2" s="83"/>
      <c r="AH2" s="83"/>
      <c r="AI2" s="83"/>
      <c r="AJ2" s="83"/>
      <c r="AK2" s="84"/>
      <c r="AM2" s="125"/>
      <c r="AN2" s="82" t="s">
        <v>144</v>
      </c>
      <c r="AO2" s="83"/>
      <c r="AP2" s="83"/>
      <c r="AQ2" s="83"/>
      <c r="AR2" s="83"/>
      <c r="AS2" s="84"/>
    </row>
    <row r="3" spans="1:60" x14ac:dyDescent="0.2">
      <c r="A3" s="1"/>
      <c r="B3" s="3"/>
      <c r="C3" s="3"/>
      <c r="D3" s="3"/>
      <c r="E3" s="3"/>
      <c r="F3" s="101"/>
      <c r="G3" s="126"/>
      <c r="H3" s="49" t="str">
        <f>+SHIPS!C5</f>
        <v>HG</v>
      </c>
      <c r="I3" s="16" t="str">
        <f>+SHIPS!D5</f>
        <v>EXMAR</v>
      </c>
      <c r="J3" s="16">
        <f>+SHIPS!E5</f>
        <v>0</v>
      </c>
      <c r="K3" s="16">
        <f>+SHIPS!F5</f>
        <v>0</v>
      </c>
      <c r="L3" s="16">
        <f>+SHIPS!G5</f>
        <v>0</v>
      </c>
      <c r="M3" s="17">
        <f>+SHIPS!H5</f>
        <v>0</v>
      </c>
      <c r="N3" s="102"/>
      <c r="O3" s="136"/>
      <c r="P3" s="49" t="str">
        <f>+H3</f>
        <v>HG</v>
      </c>
      <c r="Q3" s="16" t="str">
        <f t="shared" ref="Q3:U4" si="0">+I3</f>
        <v>EXMAR</v>
      </c>
      <c r="R3" s="16">
        <f t="shared" si="0"/>
        <v>0</v>
      </c>
      <c r="S3" s="16">
        <f t="shared" si="0"/>
        <v>0</v>
      </c>
      <c r="T3" s="16">
        <f t="shared" si="0"/>
        <v>0</v>
      </c>
      <c r="U3" s="17">
        <f t="shared" si="0"/>
        <v>0</v>
      </c>
      <c r="V3" s="102"/>
      <c r="W3" s="136"/>
      <c r="X3" s="49" t="str">
        <f>+H3</f>
        <v>HG</v>
      </c>
      <c r="Y3" s="16" t="str">
        <f t="shared" ref="Y3:AC4" si="1">+I3</f>
        <v>EXMAR</v>
      </c>
      <c r="Z3" s="16">
        <f t="shared" si="1"/>
        <v>0</v>
      </c>
      <c r="AA3" s="16">
        <f t="shared" si="1"/>
        <v>0</v>
      </c>
      <c r="AB3" s="16">
        <f t="shared" si="1"/>
        <v>0</v>
      </c>
      <c r="AC3" s="17">
        <f t="shared" si="1"/>
        <v>0</v>
      </c>
      <c r="AD3" s="102"/>
      <c r="AE3" s="136"/>
      <c r="AF3" s="49" t="str">
        <f t="shared" ref="AF3:AK4" si="2">+X3</f>
        <v>HG</v>
      </c>
      <c r="AG3" s="16" t="str">
        <f t="shared" si="2"/>
        <v>EXMAR</v>
      </c>
      <c r="AH3" s="16">
        <f t="shared" si="2"/>
        <v>0</v>
      </c>
      <c r="AI3" s="16">
        <f t="shared" si="2"/>
        <v>0</v>
      </c>
      <c r="AJ3" s="16">
        <f t="shared" si="2"/>
        <v>0</v>
      </c>
      <c r="AK3" s="17">
        <f t="shared" si="2"/>
        <v>0</v>
      </c>
      <c r="AL3" s="1"/>
      <c r="AM3" s="136"/>
      <c r="AN3" s="49" t="str">
        <f t="shared" ref="AN3:AS4" si="3">+AF3</f>
        <v>HG</v>
      </c>
      <c r="AO3" s="16" t="str">
        <f t="shared" si="3"/>
        <v>EXMAR</v>
      </c>
      <c r="AP3" s="16">
        <f t="shared" si="3"/>
        <v>0</v>
      </c>
      <c r="AQ3" s="16">
        <f t="shared" si="3"/>
        <v>0</v>
      </c>
      <c r="AR3" s="16">
        <f t="shared" si="3"/>
        <v>0</v>
      </c>
      <c r="AS3" s="17">
        <f t="shared" si="3"/>
        <v>0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 s="258" t="s">
        <v>24</v>
      </c>
      <c r="B4" s="16" t="s">
        <v>16</v>
      </c>
      <c r="C4" s="16" t="s">
        <v>18</v>
      </c>
      <c r="D4" s="16" t="s">
        <v>20</v>
      </c>
      <c r="E4" s="17" t="s">
        <v>37</v>
      </c>
      <c r="F4" s="102"/>
      <c r="G4" s="127"/>
      <c r="H4" s="19">
        <f>+SHIPS!C6</f>
        <v>1</v>
      </c>
      <c r="I4" s="20">
        <f>+SHIPS!D6</f>
        <v>2</v>
      </c>
      <c r="J4" s="20">
        <f>+SHIPS!E6</f>
        <v>3</v>
      </c>
      <c r="K4" s="20">
        <f>+SHIPS!F6</f>
        <v>4</v>
      </c>
      <c r="L4" s="20">
        <f>+SHIPS!G6</f>
        <v>5</v>
      </c>
      <c r="M4" s="21">
        <f>+SHIPS!H6</f>
        <v>6</v>
      </c>
      <c r="N4" s="115"/>
      <c r="O4" s="127"/>
      <c r="P4" s="19">
        <f>+H4</f>
        <v>1</v>
      </c>
      <c r="Q4" s="20">
        <f t="shared" si="0"/>
        <v>2</v>
      </c>
      <c r="R4" s="20">
        <f t="shared" si="0"/>
        <v>3</v>
      </c>
      <c r="S4" s="20">
        <f t="shared" si="0"/>
        <v>4</v>
      </c>
      <c r="T4" s="20">
        <f t="shared" si="0"/>
        <v>5</v>
      </c>
      <c r="U4" s="21">
        <f t="shared" si="0"/>
        <v>6</v>
      </c>
      <c r="V4" s="115"/>
      <c r="W4" s="127"/>
      <c r="X4" s="19">
        <f>+H4</f>
        <v>1</v>
      </c>
      <c r="Y4" s="20">
        <f t="shared" si="1"/>
        <v>2</v>
      </c>
      <c r="Z4" s="20">
        <f t="shared" si="1"/>
        <v>3</v>
      </c>
      <c r="AA4" s="20">
        <f t="shared" si="1"/>
        <v>4</v>
      </c>
      <c r="AB4" s="20">
        <f t="shared" si="1"/>
        <v>5</v>
      </c>
      <c r="AC4" s="21">
        <f t="shared" si="1"/>
        <v>6</v>
      </c>
      <c r="AD4" s="115"/>
      <c r="AE4" s="127"/>
      <c r="AF4" s="19">
        <f t="shared" si="2"/>
        <v>1</v>
      </c>
      <c r="AG4" s="20">
        <f t="shared" si="2"/>
        <v>2</v>
      </c>
      <c r="AH4" s="20">
        <f t="shared" si="2"/>
        <v>3</v>
      </c>
      <c r="AI4" s="20">
        <f t="shared" si="2"/>
        <v>4</v>
      </c>
      <c r="AJ4" s="20">
        <f t="shared" si="2"/>
        <v>5</v>
      </c>
      <c r="AK4" s="21">
        <f t="shared" si="2"/>
        <v>6</v>
      </c>
      <c r="AM4" s="127"/>
      <c r="AN4" s="19">
        <f t="shared" si="3"/>
        <v>1</v>
      </c>
      <c r="AO4" s="20">
        <f t="shared" si="3"/>
        <v>2</v>
      </c>
      <c r="AP4" s="20">
        <f t="shared" si="3"/>
        <v>3</v>
      </c>
      <c r="AQ4" s="20">
        <f t="shared" si="3"/>
        <v>4</v>
      </c>
      <c r="AR4" s="20">
        <f t="shared" si="3"/>
        <v>5</v>
      </c>
      <c r="AS4" s="21">
        <f t="shared" si="3"/>
        <v>6</v>
      </c>
    </row>
    <row r="5" spans="1:60" x14ac:dyDescent="0.2">
      <c r="A5" s="259" t="str">
        <f t="shared" ref="A5:A13" si="4">+CONCATENATE(B5,C5,D5)</f>
        <v>QATARELBA</v>
      </c>
      <c r="B5" s="254" t="s">
        <v>17</v>
      </c>
      <c r="C5" s="50" t="s">
        <v>19</v>
      </c>
      <c r="D5" s="50"/>
      <c r="E5" s="25">
        <v>11772</v>
      </c>
      <c r="F5" s="199"/>
      <c r="G5" s="268" t="str">
        <f>+A5</f>
        <v>QATARELBA</v>
      </c>
      <c r="H5" s="264">
        <f>IF($E5=0,0,+VLOOKUP(SHIPS!$A$7,SHIPS,HLOOKUP(H$3,SHIPS,2,0)+2,0)/X5)</f>
        <v>34021.106666666667</v>
      </c>
      <c r="I5" s="119">
        <f>IF($E5=0,0,+VLOOKUP(SHIPS!$A$7,SHIPS,HLOOKUP(I$3,SHIPS,2,0)+2,0)/Y5)</f>
        <v>56410.526315789473</v>
      </c>
      <c r="J5" s="119"/>
      <c r="K5" s="119"/>
      <c r="L5" s="119"/>
      <c r="M5" s="120"/>
      <c r="N5" s="51"/>
      <c r="O5" s="268" t="str">
        <f>+G5</f>
        <v>QATARELBA</v>
      </c>
      <c r="P5" s="264">
        <f>+ROUNDUP($E5/SHIPS!$C$10+SHIPS!$C$13+SHIPS!$C$14/2+IF($D5="SUEZ",SHIPS!$C$15/2,0),0)</f>
        <v>31</v>
      </c>
      <c r="Q5" s="119">
        <f>+ROUNDUP($E5/SHIPS!$C$10+SHIPS!$C$13+SHIPS!$C$14/2+IF($D5="SUEZ",SHIPS!$C$15/2,0),0)</f>
        <v>31</v>
      </c>
      <c r="R5" s="119"/>
      <c r="S5" s="119"/>
      <c r="T5" s="119"/>
      <c r="U5" s="120"/>
      <c r="V5" s="51"/>
      <c r="W5" s="268" t="str">
        <f>+A5</f>
        <v>QATARELBA</v>
      </c>
      <c r="X5" s="264">
        <f>ROUNDUP(((+$E5*2)/SHIPS!C$10)+(SHIPS!C$13+SHIPS!C$14+IF(ROUTES!$D5="SUEZ",SHIPS!C$15,0)),0)</f>
        <v>60</v>
      </c>
      <c r="Y5" s="119">
        <f>ROUNDUP(((+$E5*2)/SHIPS!D$10)+(SHIPS!D$13+SHIPS!D$14+IF(ROUTES!$D5="SUEZ",SHIPS!D$15,0)),0)</f>
        <v>57</v>
      </c>
      <c r="Z5" s="512"/>
      <c r="AA5" s="119"/>
      <c r="AB5" s="119"/>
      <c r="AC5" s="120"/>
      <c r="AD5" s="85"/>
      <c r="AE5" s="268" t="str">
        <f>+A5</f>
        <v>QATARELBA</v>
      </c>
      <c r="AF5" s="270">
        <f>+CURVELOAD!$G$11*(($E5/SHIPS!C$10)*SHIPS!C$16+($E5/SHIPS!C$10)*SHIPS!C$17+(SHIPS!C$13+SHIPS!C$14)*SHIPS!C$18+IF($D5="suez",SHIPS!C$15*SHIPS!C$18,0))</f>
        <v>993247.5</v>
      </c>
      <c r="AG5" s="128">
        <f>+CURVELOAD!$G$11*(($E5/SHIPS!D$10)*SHIPS!D$16+($E5/SHIPS!D$10)*SHIPS!D$17+(SHIPS!D$13+SHIPS!D$14)*SHIPS!D$18+IF($D5="suez",SHIPS!D$15*SHIPS!D$18,0))</f>
        <v>1096008.8315217393</v>
      </c>
      <c r="AH5" s="128"/>
      <c r="AI5" s="128"/>
      <c r="AJ5" s="128"/>
      <c r="AK5" s="129"/>
      <c r="AM5" s="268" t="str">
        <f>+AE5</f>
        <v>QATARELBA</v>
      </c>
      <c r="AN5" s="264">
        <f>+H5*365.25*(1-(SHIPS!C$11*P5))</f>
        <v>11366874.8748475</v>
      </c>
      <c r="AO5" s="119">
        <f>+I5*365.25*(1-(SHIPS!D$11*Q5))</f>
        <v>19645861.306578945</v>
      </c>
      <c r="AP5" s="119"/>
      <c r="AQ5" s="440"/>
      <c r="AR5" s="119"/>
      <c r="AS5" s="120"/>
    </row>
    <row r="6" spans="1:60" x14ac:dyDescent="0.2">
      <c r="A6" s="260" t="str">
        <f t="shared" si="4"/>
        <v>QATARELBASUEZ</v>
      </c>
      <c r="B6" s="255" t="s">
        <v>17</v>
      </c>
      <c r="C6" s="52" t="s">
        <v>19</v>
      </c>
      <c r="D6" s="52" t="s">
        <v>38</v>
      </c>
      <c r="E6" s="31">
        <v>8666</v>
      </c>
      <c r="F6" s="199"/>
      <c r="G6" s="269" t="str">
        <f t="shared" ref="G6:G24" si="5">+A6</f>
        <v>QATARELBASUEZ</v>
      </c>
      <c r="H6" s="264">
        <f>IF($E6=0,0,+VLOOKUP(SHIPS!$A$7,SHIPS,HLOOKUP(H$3,SHIPS,2,0)+2,0)/X6)</f>
        <v>42526.383333333339</v>
      </c>
      <c r="I6" s="62">
        <f>IF($E6=0,0,+VLOOKUP(SHIPS!$A$7,SHIPS,HLOOKUP(I$3,SHIPS,2,0)+2,0)/Y6)</f>
        <v>69900</v>
      </c>
      <c r="J6" s="62"/>
      <c r="K6" s="62"/>
      <c r="L6" s="62"/>
      <c r="M6" s="63"/>
      <c r="N6" s="51"/>
      <c r="O6" s="269" t="str">
        <f t="shared" ref="O6:O24" si="6">+G6</f>
        <v>QATARELBASUEZ</v>
      </c>
      <c r="P6" s="265">
        <f>+ROUNDUP($E6/SHIPS!$C$10+SHIPS!$C$13+SHIPS!$C$14/2+IF($D6="SUEZ",SHIPS!$C$15/2,0),0)</f>
        <v>25</v>
      </c>
      <c r="Q6" s="62">
        <f>+ROUNDUP($E6/SHIPS!$C$10+SHIPS!$C$13+SHIPS!$C$14/2+IF($D6="SUEZ",SHIPS!$C$15/2,0),0)</f>
        <v>25</v>
      </c>
      <c r="R6" s="62"/>
      <c r="S6" s="62"/>
      <c r="T6" s="62"/>
      <c r="U6" s="63"/>
      <c r="V6" s="51"/>
      <c r="W6" s="269" t="str">
        <f t="shared" ref="W6:W24" si="7">+A6</f>
        <v>QATARELBASUEZ</v>
      </c>
      <c r="X6" s="265">
        <f>ROUNDUP(((+$E6*2)/SHIPS!C$10)+(SHIPS!C$13+SHIPS!C$14+IF(ROUTES!$D6="SUEZ",SHIPS!C$15,0)),0)</f>
        <v>48</v>
      </c>
      <c r="Y6" s="62">
        <f>ROUNDUP(((+$E6*2)/SHIPS!D$10)+(SHIPS!D$13+SHIPS!D$14+IF(ROUTES!$D6="SUEZ",SHIPS!D$15,0)),0)</f>
        <v>46</v>
      </c>
      <c r="Z6" s="62"/>
      <c r="AA6" s="62"/>
      <c r="AB6" s="62"/>
      <c r="AC6" s="63"/>
      <c r="AD6" s="85"/>
      <c r="AE6" s="269" t="str">
        <f t="shared" ref="AE6:AE24" si="8">+A6</f>
        <v>QATARELBASUEZ</v>
      </c>
      <c r="AF6" s="271">
        <f>+CURVELOAD!$G$11*(($E6/SHIPS!C$10)*SHIPS!C$16+($E6/SHIPS!C$10)*SHIPS!C$17+(SHIPS!C$13+SHIPS!C$14)*SHIPS!C$18+IF($D6="suez",SHIPS!C$15*SHIPS!C$18,0))</f>
        <v>749761.25</v>
      </c>
      <c r="AG6" s="130">
        <f>+CURVELOAD!$G$11*(($E6/SHIPS!D$10)*SHIPS!D$16+($E6/SHIPS!D$10)*SHIPS!D$17+(SHIPS!D$13+SHIPS!D$14)*SHIPS!D$18+IF($D6="suez",SHIPS!D$15*SHIPS!D$18,0))</f>
        <v>830054.00815217395</v>
      </c>
      <c r="AH6" s="130"/>
      <c r="AI6" s="130"/>
      <c r="AJ6" s="130"/>
      <c r="AK6" s="131"/>
      <c r="AM6" s="269" t="str">
        <f t="shared" ref="AM6:AM24" si="9">+AE6</f>
        <v>QATARELBASUEZ</v>
      </c>
      <c r="AN6" s="265">
        <f>+H6*365.25*(1-(SHIPS!C$11*P6))</f>
        <v>14464884.158515627</v>
      </c>
      <c r="AO6" s="62">
        <f>+I6*365.25*(1-(SHIPS!D$11*Q6))</f>
        <v>24573563.4375</v>
      </c>
      <c r="AP6" s="62"/>
      <c r="AQ6" s="62"/>
      <c r="AR6" s="62"/>
      <c r="AS6" s="63"/>
    </row>
    <row r="7" spans="1:60" x14ac:dyDescent="0.2">
      <c r="A7" s="260" t="str">
        <f t="shared" si="4"/>
        <v>QATARLAKE CHARLES</v>
      </c>
      <c r="B7" s="255" t="s">
        <v>17</v>
      </c>
      <c r="C7" s="52" t="s">
        <v>27</v>
      </c>
      <c r="D7" s="52"/>
      <c r="E7" s="31">
        <v>12346</v>
      </c>
      <c r="F7" s="199"/>
      <c r="G7" s="269" t="str">
        <f t="shared" si="5"/>
        <v>QATARLAKE CHARLES</v>
      </c>
      <c r="H7" s="265">
        <f>IF($E7=0,0,+VLOOKUP(SHIPS!$A$7,SHIPS,HLOOKUP(H$3,SHIPS,2,0)+2,0)/X7)</f>
        <v>32923.651612903232</v>
      </c>
      <c r="I7" s="62">
        <f>IF($E7=0,0,+VLOOKUP(SHIPS!$A$7,SHIPS,HLOOKUP(I$3,SHIPS,2,0)+2,0)/Y7)</f>
        <v>54498.305084745763</v>
      </c>
      <c r="J7" s="62"/>
      <c r="K7" s="62"/>
      <c r="L7" s="121"/>
      <c r="M7" s="122"/>
      <c r="N7" s="53"/>
      <c r="O7" s="269" t="str">
        <f t="shared" si="6"/>
        <v>QATARLAKE CHARLES</v>
      </c>
      <c r="P7" s="265">
        <f>+ROUNDUP($E7/SHIPS!$C$10+SHIPS!$C$13+SHIPS!$C$14/2+IF($D7="SUEZ",SHIPS!$C$15/2,0),0)</f>
        <v>32</v>
      </c>
      <c r="Q7" s="62">
        <f>+ROUNDUP($E7/SHIPS!$C$10+SHIPS!$C$13+SHIPS!$C$14/2+IF($D7="SUEZ",SHIPS!$C$15/2,0),0)</f>
        <v>32</v>
      </c>
      <c r="R7" s="62"/>
      <c r="S7" s="62"/>
      <c r="T7" s="121"/>
      <c r="U7" s="122"/>
      <c r="V7" s="53"/>
      <c r="W7" s="269" t="str">
        <f t="shared" si="7"/>
        <v>QATARLAKE CHARLES</v>
      </c>
      <c r="X7" s="265">
        <f>ROUNDUP(((+$E7*2)/SHIPS!C$10)+(SHIPS!C$13+SHIPS!C$14+IF(ROUTES!$D7="SUEZ",SHIPS!C$15,0)),0)</f>
        <v>62</v>
      </c>
      <c r="Y7" s="62">
        <f>ROUNDUP(((+$E7*2)/SHIPS!D$10)+(SHIPS!D$13+SHIPS!D$14+IF(ROUTES!$D7="SUEZ",SHIPS!D$15,0)),0)</f>
        <v>59</v>
      </c>
      <c r="Z7" s="62"/>
      <c r="AA7" s="62"/>
      <c r="AB7" s="121"/>
      <c r="AC7" s="122"/>
      <c r="AD7" s="86"/>
      <c r="AE7" s="269" t="str">
        <f t="shared" si="8"/>
        <v>QATARLAKE CHARLES</v>
      </c>
      <c r="AF7" s="271">
        <f>+CURVELOAD!$G$11*(($E7/SHIPS!C$10)*SHIPS!C$16+($E7/SHIPS!C$10)*SHIPS!C$17+(SHIPS!C$13+SHIPS!C$14)*SHIPS!C$18+IF($D7="suez",SHIPS!C$15*SHIPS!C$18,0))</f>
        <v>1040961.25</v>
      </c>
      <c r="AG7" s="130">
        <f>+CURVELOAD!$G$11*(($E7/SHIPS!D$10)*SHIPS!D$16+($E7/SHIPS!D$10)*SHIPS!D$17+(SHIPS!D$13+SHIPS!D$14)*SHIPS!D$18+IF($D7="suez",SHIPS!D$15*SHIPS!D$18,0))</f>
        <v>1148554.0081521741</v>
      </c>
      <c r="AH7" s="130"/>
      <c r="AI7" s="130"/>
      <c r="AJ7" s="132"/>
      <c r="AK7" s="133"/>
      <c r="AM7" s="269" t="str">
        <f t="shared" si="9"/>
        <v>QATARLAKE CHARLES</v>
      </c>
      <c r="AN7" s="265">
        <f>+H7*365.25*(1-(SHIPS!C$11*P7))</f>
        <v>10967131.74147097</v>
      </c>
      <c r="AO7" s="62">
        <f>+I7*365.25*(1-(SHIPS!D$11*Q7))</f>
        <v>18950041.647457626</v>
      </c>
      <c r="AP7" s="62"/>
      <c r="AQ7" s="62"/>
      <c r="AR7" s="121"/>
      <c r="AS7" s="122"/>
    </row>
    <row r="8" spans="1:60" x14ac:dyDescent="0.2">
      <c r="A8" s="260" t="str">
        <f t="shared" si="4"/>
        <v>QATARLAKE CHARLESSUEZ</v>
      </c>
      <c r="B8" s="255" t="s">
        <v>17</v>
      </c>
      <c r="C8" s="52" t="s">
        <v>27</v>
      </c>
      <c r="D8" s="52" t="s">
        <v>38</v>
      </c>
      <c r="E8" s="31">
        <v>9687</v>
      </c>
      <c r="F8" s="199"/>
      <c r="G8" s="269" t="str">
        <f t="shared" si="5"/>
        <v>QATARLAKE CHARLESSUEZ</v>
      </c>
      <c r="H8" s="265">
        <f>IF($E8=0,0,+VLOOKUP(SHIPS!$A$7,SHIPS,HLOOKUP(H$3,SHIPS,2,0)+2,0)/X8)</f>
        <v>38514.460377358497</v>
      </c>
      <c r="I8" s="62">
        <f>IF($E8=0,0,+VLOOKUP(SHIPS!$A$7,SHIPS,HLOOKUP(I$3,SHIPS,2,0)+2,0)/Y8)</f>
        <v>64308</v>
      </c>
      <c r="J8" s="62"/>
      <c r="K8" s="62"/>
      <c r="L8" s="121"/>
      <c r="M8" s="122"/>
      <c r="N8" s="53"/>
      <c r="O8" s="269" t="str">
        <f t="shared" si="6"/>
        <v>QATARLAKE CHARLESSUEZ</v>
      </c>
      <c r="P8" s="265">
        <f>+ROUNDUP($E8/SHIPS!$C$10+SHIPS!$C$13+SHIPS!$C$14/2+IF($D8="SUEZ",SHIPS!$C$15/2,0),0)</f>
        <v>27</v>
      </c>
      <c r="Q8" s="62">
        <f>+ROUNDUP($E8/SHIPS!$C$10+SHIPS!$C$13+SHIPS!$C$14/2+IF($D8="SUEZ",SHIPS!$C$15/2,0),0)</f>
        <v>27</v>
      </c>
      <c r="R8" s="62"/>
      <c r="S8" s="62"/>
      <c r="T8" s="121"/>
      <c r="U8" s="122"/>
      <c r="V8" s="53"/>
      <c r="W8" s="269" t="str">
        <f t="shared" si="7"/>
        <v>QATARLAKE CHARLESSUEZ</v>
      </c>
      <c r="X8" s="265">
        <f>ROUNDUP(((+$E8*2)/SHIPS!C$10)+(SHIPS!C$13+SHIPS!C$14+IF(ROUTES!$D8="SUEZ",SHIPS!C$15,0)),0)</f>
        <v>53</v>
      </c>
      <c r="Y8" s="62">
        <f>ROUNDUP(((+$E8*2)/SHIPS!D$10)+(SHIPS!D$13+SHIPS!D$14+IF(ROUTES!$D8="SUEZ",SHIPS!D$15,0)),0)</f>
        <v>50</v>
      </c>
      <c r="Z8" s="62"/>
      <c r="AA8" s="62"/>
      <c r="AB8" s="121"/>
      <c r="AC8" s="122"/>
      <c r="AD8" s="86"/>
      <c r="AE8" s="269" t="str">
        <f t="shared" si="8"/>
        <v>QATARLAKE CHARLESSUEZ</v>
      </c>
      <c r="AF8" s="271">
        <f>+CURVELOAD!$G$11*(($E8/SHIPS!C$10)*SHIPS!C$16+($E8/SHIPS!C$10)*SHIPS!C$17+(SHIPS!C$13+SHIPS!C$14)*SHIPS!C$18+IF($D8="suez",SHIPS!C$15*SHIPS!C$18,0))</f>
        <v>834631.875</v>
      </c>
      <c r="AG8" s="130">
        <f>+CURVELOAD!$G$11*(($E8/SHIPS!D$10)*SHIPS!D$16+($E8/SHIPS!D$10)*SHIPS!D$17+(SHIPS!D$13+SHIPS!D$14)*SHIPS!D$18+IF($D8="suez",SHIPS!D$15*SHIPS!D$18,0))</f>
        <v>923518.51222826098</v>
      </c>
      <c r="AH8" s="130"/>
      <c r="AI8" s="130"/>
      <c r="AJ8" s="132"/>
      <c r="AK8" s="133"/>
      <c r="AM8" s="269" t="str">
        <f t="shared" si="9"/>
        <v>QATARLAKE CHARLESSUEZ</v>
      </c>
      <c r="AN8" s="265">
        <f>+H8*365.25*(1-(SHIPS!C$11*P8))</f>
        <v>13022901.708857549</v>
      </c>
      <c r="AO8" s="62">
        <f>+I8*365.25*(1-(SHIPS!D$11*Q8))</f>
        <v>22537212.8715</v>
      </c>
      <c r="AP8" s="62"/>
      <c r="AQ8" s="62"/>
      <c r="AR8" s="121"/>
      <c r="AS8" s="122"/>
    </row>
    <row r="9" spans="1:60" x14ac:dyDescent="0.2">
      <c r="A9" s="260" t="str">
        <f t="shared" si="4"/>
        <v>QATARCABOT</v>
      </c>
      <c r="B9" s="255" t="s">
        <v>17</v>
      </c>
      <c r="C9" s="52" t="s">
        <v>28</v>
      </c>
      <c r="D9" s="52"/>
      <c r="E9" s="31">
        <v>11618</v>
      </c>
      <c r="F9" s="199"/>
      <c r="G9" s="269" t="str">
        <f t="shared" si="5"/>
        <v>QATARCABOT</v>
      </c>
      <c r="H9" s="265">
        <f>IF($E9=0,0,+VLOOKUP(SHIPS!$A$7,SHIPS,HLOOKUP(H$3,SHIPS,2,0)+2,0)/X9)</f>
        <v>34597.735593220343</v>
      </c>
      <c r="I9" s="62">
        <f>IF($E9=0,0,+VLOOKUP(SHIPS!$A$7,SHIPS,HLOOKUP(I$3,SHIPS,2,0)+2,0)/Y9)</f>
        <v>57417.857142857145</v>
      </c>
      <c r="J9" s="62"/>
      <c r="K9" s="62"/>
      <c r="L9" s="121"/>
      <c r="M9" s="122"/>
      <c r="N9" s="53"/>
      <c r="O9" s="269" t="str">
        <f t="shared" si="6"/>
        <v>QATARCABOT</v>
      </c>
      <c r="P9" s="265">
        <f>+ROUNDUP($E9/SHIPS!$C$10+SHIPS!$C$13+SHIPS!$C$14/2+IF($D9="SUEZ",SHIPS!$C$15/2,0),0)</f>
        <v>30</v>
      </c>
      <c r="Q9" s="62">
        <f>+ROUNDUP($E9/SHIPS!$C$10+SHIPS!$C$13+SHIPS!$C$14/2+IF($D9="SUEZ",SHIPS!$C$15/2,0),0)</f>
        <v>30</v>
      </c>
      <c r="R9" s="62"/>
      <c r="S9" s="62"/>
      <c r="T9" s="121"/>
      <c r="U9" s="122"/>
      <c r="V9" s="53"/>
      <c r="W9" s="269" t="str">
        <f t="shared" si="7"/>
        <v>QATARCABOT</v>
      </c>
      <c r="X9" s="265">
        <f>ROUNDUP(((+$E9*2)/SHIPS!C$10)+(SHIPS!C$13+SHIPS!C$14+IF(ROUTES!$D9="SUEZ",SHIPS!C$15,0)),0)</f>
        <v>59</v>
      </c>
      <c r="Y9" s="62">
        <f>ROUNDUP(((+$E9*2)/SHIPS!D$10)+(SHIPS!D$13+SHIPS!D$14+IF(ROUTES!$D9="SUEZ",SHIPS!D$15,0)),0)</f>
        <v>56</v>
      </c>
      <c r="Z9" s="62"/>
      <c r="AA9" s="62"/>
      <c r="AB9" s="121"/>
      <c r="AC9" s="122"/>
      <c r="AD9" s="86"/>
      <c r="AE9" s="269" t="str">
        <f t="shared" si="8"/>
        <v>QATARCABOT</v>
      </c>
      <c r="AF9" s="271">
        <f>+CURVELOAD!$G$11*(($E9/SHIPS!C$10)*SHIPS!C$16+($E9/SHIPS!C$10)*SHIPS!C$17+(SHIPS!C$13+SHIPS!C$14)*SHIPS!C$18+IF($D9="suez",SHIPS!C$15*SHIPS!C$18,0))</f>
        <v>980446.25</v>
      </c>
      <c r="AG9" s="130">
        <f>+CURVELOAD!$G$11*(($E9/SHIPS!D$10)*SHIPS!D$16+($E9/SHIPS!D$10)*SHIPS!D$17+(SHIPS!D$13+SHIPS!D$14)*SHIPS!D$18+IF($D9="suez",SHIPS!D$15*SHIPS!D$18,0))</f>
        <v>1081911.3451086958</v>
      </c>
      <c r="AH9" s="130"/>
      <c r="AI9" s="130"/>
      <c r="AJ9" s="132"/>
      <c r="AK9" s="133"/>
      <c r="AM9" s="269" t="str">
        <f t="shared" si="9"/>
        <v>QATARCABOT</v>
      </c>
      <c r="AN9" s="265">
        <f>+H9*365.25*(1-(SHIPS!C$11*P9))</f>
        <v>11594285.034076272</v>
      </c>
      <c r="AO9" s="62">
        <f>+I9*365.25*(1-(SHIPS!D$11*Q9))</f>
        <v>20028138.066964284</v>
      </c>
      <c r="AP9" s="62"/>
      <c r="AQ9" s="62"/>
      <c r="AR9" s="121"/>
      <c r="AS9" s="122"/>
    </row>
    <row r="10" spans="1:60" x14ac:dyDescent="0.2">
      <c r="A10" s="260" t="str">
        <f t="shared" si="4"/>
        <v>QATARCABOTSUEZ</v>
      </c>
      <c r="B10" s="255" t="s">
        <v>17</v>
      </c>
      <c r="C10" s="52" t="s">
        <v>28</v>
      </c>
      <c r="D10" s="52" t="s">
        <v>38</v>
      </c>
      <c r="E10" s="31">
        <v>8025</v>
      </c>
      <c r="F10" s="199"/>
      <c r="G10" s="269" t="str">
        <f t="shared" si="5"/>
        <v>QATARCABOTSUEZ</v>
      </c>
      <c r="H10" s="265">
        <f>IF($E10=0,0,+VLOOKUP(SHIPS!$A$7,SHIPS,HLOOKUP(H$3,SHIPS,2,0)+2,0)/X10)</f>
        <v>45361.47555555556</v>
      </c>
      <c r="I10" s="62">
        <f>IF($E10=0,0,+VLOOKUP(SHIPS!$A$7,SHIPS,HLOOKUP(I$3,SHIPS,2,0)+2,0)/Y10)</f>
        <v>74776.744186046519</v>
      </c>
      <c r="J10" s="62"/>
      <c r="K10" s="62"/>
      <c r="L10" s="121"/>
      <c r="M10" s="122"/>
      <c r="N10" s="53"/>
      <c r="O10" s="269" t="str">
        <f t="shared" si="6"/>
        <v>QATARCABOTSUEZ</v>
      </c>
      <c r="P10" s="265">
        <f>+ROUNDUP($E10/SHIPS!$C$10+SHIPS!$C$13+SHIPS!$C$14/2+IF($D10="SUEZ",SHIPS!$C$15/2,0),0)</f>
        <v>23</v>
      </c>
      <c r="Q10" s="62">
        <f>+ROUNDUP($E10/SHIPS!$C$10+SHIPS!$C$13+SHIPS!$C$14/2+IF($D10="SUEZ",SHIPS!$C$15/2,0),0)</f>
        <v>23</v>
      </c>
      <c r="R10" s="62"/>
      <c r="S10" s="62"/>
      <c r="T10" s="121"/>
      <c r="U10" s="122"/>
      <c r="V10" s="53"/>
      <c r="W10" s="269" t="str">
        <f t="shared" si="7"/>
        <v>QATARCABOTSUEZ</v>
      </c>
      <c r="X10" s="265">
        <f>ROUNDUP(((+$E10*2)/SHIPS!C$10)+(SHIPS!C$13+SHIPS!C$14+IF(ROUTES!$D10="SUEZ",SHIPS!C$15,0)),0)</f>
        <v>45</v>
      </c>
      <c r="Y10" s="62">
        <f>ROUNDUP(((+$E10*2)/SHIPS!D$10)+(SHIPS!D$13+SHIPS!D$14+IF(ROUTES!$D10="SUEZ",SHIPS!D$15,0)),0)</f>
        <v>43</v>
      </c>
      <c r="Z10" s="62"/>
      <c r="AA10" s="62"/>
      <c r="AB10" s="121"/>
      <c r="AC10" s="122"/>
      <c r="AD10" s="86"/>
      <c r="AE10" s="269" t="str">
        <f t="shared" si="8"/>
        <v>QATARCABOTSUEZ</v>
      </c>
      <c r="AF10" s="271">
        <f>+CURVELOAD!$G$11*(($E10/SHIPS!C$10)*SHIPS!C$16+($E10/SHIPS!C$10)*SHIPS!C$17+(SHIPS!C$13+SHIPS!C$14)*SHIPS!C$18+IF($D10="suez",SHIPS!C$15*SHIPS!C$18,0))</f>
        <v>696478.12499999988</v>
      </c>
      <c r="AG10" s="130">
        <f>+CURVELOAD!$G$11*(($E10/SHIPS!D$10)*SHIPS!D$16+($E10/SHIPS!D$10)*SHIPS!D$17+(SHIPS!D$13+SHIPS!D$14)*SHIPS!D$18+IF($D10="suez",SHIPS!D$15*SHIPS!D$18,0))</f>
        <v>771375.50951086974</v>
      </c>
      <c r="AH10" s="130"/>
      <c r="AI10" s="130"/>
      <c r="AJ10" s="132"/>
      <c r="AK10" s="133"/>
      <c r="AM10" s="269" t="str">
        <f t="shared" si="9"/>
        <v>QATARCABOTSUEZ</v>
      </c>
      <c r="AN10" s="265">
        <f>+H10*365.25*(1-(SHIPS!C$11*P10))</f>
        <v>15520335.303290002</v>
      </c>
      <c r="AO10" s="62">
        <f>+I10*365.25*(1-(SHIPS!D$11*Q10))</f>
        <v>26369934.713372096</v>
      </c>
      <c r="AP10" s="62"/>
      <c r="AQ10" s="62"/>
      <c r="AR10" s="121"/>
      <c r="AS10" s="122"/>
    </row>
    <row r="11" spans="1:60" x14ac:dyDescent="0.2">
      <c r="A11" s="260" t="str">
        <f t="shared" si="4"/>
        <v>QATARCOVE POINT</v>
      </c>
      <c r="B11" s="255" t="s">
        <v>17</v>
      </c>
      <c r="C11" s="52" t="s">
        <v>29</v>
      </c>
      <c r="D11" s="52"/>
      <c r="E11" s="31">
        <v>11822</v>
      </c>
      <c r="F11" s="199"/>
      <c r="G11" s="269" t="str">
        <f t="shared" si="5"/>
        <v>QATARCOVE POINT</v>
      </c>
      <c r="H11" s="265">
        <f>IF($E11=0,0,+VLOOKUP(SHIPS!$A$7,SHIPS,HLOOKUP(H$3,SHIPS,2,0)+2,0)/X11)</f>
        <v>34021.106666666667</v>
      </c>
      <c r="I11" s="62">
        <f>IF($E11=0,0,+VLOOKUP(SHIPS!$A$7,SHIPS,HLOOKUP(I$3,SHIPS,2,0)+2,0)/Y11)</f>
        <v>56410.526315789473</v>
      </c>
      <c r="J11" s="62"/>
      <c r="K11" s="62"/>
      <c r="L11" s="121"/>
      <c r="M11" s="122"/>
      <c r="N11" s="53"/>
      <c r="O11" s="269" t="str">
        <f t="shared" si="6"/>
        <v>QATARCOVE POINT</v>
      </c>
      <c r="P11" s="265">
        <f>+ROUNDUP($E11/SHIPS!$C$10+SHIPS!$C$13+SHIPS!$C$14/2+IF($D11="SUEZ",SHIPS!$C$15/2,0),0)</f>
        <v>31</v>
      </c>
      <c r="Q11" s="62">
        <f>+ROUNDUP($E11/SHIPS!$C$10+SHIPS!$C$13+SHIPS!$C$14/2+IF($D11="SUEZ",SHIPS!$C$15/2,0),0)</f>
        <v>31</v>
      </c>
      <c r="R11" s="62"/>
      <c r="S11" s="62"/>
      <c r="T11" s="121"/>
      <c r="U11" s="122"/>
      <c r="V11" s="53"/>
      <c r="W11" s="269" t="str">
        <f t="shared" si="7"/>
        <v>QATARCOVE POINT</v>
      </c>
      <c r="X11" s="265">
        <f>ROUNDUP(((+$E11*2)/SHIPS!C$10)+(SHIPS!C$13+SHIPS!C$14+IF(ROUTES!$D11="SUEZ",SHIPS!C$15,0)),0)</f>
        <v>60</v>
      </c>
      <c r="Y11" s="62">
        <f>ROUNDUP(((+$E11*2)/SHIPS!D$10)+(SHIPS!D$13+SHIPS!D$14+IF(ROUTES!$D11="SUEZ",SHIPS!D$15,0)),0)</f>
        <v>57</v>
      </c>
      <c r="Z11" s="62"/>
      <c r="AA11" s="62"/>
      <c r="AB11" s="121"/>
      <c r="AC11" s="122"/>
      <c r="AD11" s="86"/>
      <c r="AE11" s="269" t="str">
        <f t="shared" si="8"/>
        <v>QATARCOVE POINT</v>
      </c>
      <c r="AF11" s="271">
        <f>+CURVELOAD!$G$11*(($E11/SHIPS!C$10)*SHIPS!C$16+($E11/SHIPS!C$10)*SHIPS!C$17+(SHIPS!C$13+SHIPS!C$14)*SHIPS!C$18+IF($D11="suez",SHIPS!C$15*SHIPS!C$18,0))</f>
        <v>997403.75000000012</v>
      </c>
      <c r="AG11" s="130">
        <f>+CURVELOAD!$G$11*(($E11/SHIPS!D$10)*SHIPS!D$16+($E11/SHIPS!D$10)*SHIPS!D$17+(SHIPS!D$13+SHIPS!D$14)*SHIPS!D$18+IF($D11="suez",SHIPS!D$15*SHIPS!D$18,0))</f>
        <v>1100585.9375</v>
      </c>
      <c r="AH11" s="130"/>
      <c r="AI11" s="130"/>
      <c r="AJ11" s="132"/>
      <c r="AK11" s="133"/>
      <c r="AM11" s="269" t="str">
        <f t="shared" si="9"/>
        <v>QATARCOVE POINT</v>
      </c>
      <c r="AN11" s="265">
        <f>+H11*365.25*(1-(SHIPS!C$11*P11))</f>
        <v>11366874.8748475</v>
      </c>
      <c r="AO11" s="62">
        <f>+I11*365.25*(1-(SHIPS!D$11*Q11))</f>
        <v>19645861.306578945</v>
      </c>
      <c r="AP11" s="62"/>
      <c r="AQ11" s="62"/>
      <c r="AR11" s="121"/>
      <c r="AS11" s="122"/>
    </row>
    <row r="12" spans="1:60" x14ac:dyDescent="0.2">
      <c r="A12" s="260" t="str">
        <f t="shared" si="4"/>
        <v>QATARCOVE POINTSUEZ</v>
      </c>
      <c r="B12" s="255" t="s">
        <v>17</v>
      </c>
      <c r="C12" s="52" t="s">
        <v>29</v>
      </c>
      <c r="D12" s="52" t="s">
        <v>38</v>
      </c>
      <c r="E12" s="31">
        <v>8467</v>
      </c>
      <c r="F12" s="199"/>
      <c r="G12" s="269" t="str">
        <f t="shared" si="5"/>
        <v>QATARCOVE POINTSUEZ</v>
      </c>
      <c r="H12" s="265">
        <f>IF($E12=0,0,+VLOOKUP(SHIPS!$A$7,SHIPS,HLOOKUP(H$3,SHIPS,2,0)+2,0)/X12)</f>
        <v>43431.200000000004</v>
      </c>
      <c r="I12" s="62">
        <f>IF($E12=0,0,+VLOOKUP(SHIPS!$A$7,SHIPS,HLOOKUP(I$3,SHIPS,2,0)+2,0)/Y12)</f>
        <v>71453.333333333328</v>
      </c>
      <c r="J12" s="62"/>
      <c r="K12" s="62"/>
      <c r="L12" s="121"/>
      <c r="M12" s="122"/>
      <c r="N12" s="53"/>
      <c r="O12" s="269" t="str">
        <f t="shared" si="6"/>
        <v>QATARCOVE POINTSUEZ</v>
      </c>
      <c r="P12" s="265">
        <f>+ROUNDUP($E12/SHIPS!$C$10+SHIPS!$C$13+SHIPS!$C$14/2+IF($D12="SUEZ",SHIPS!$C$15/2,0),0)</f>
        <v>24</v>
      </c>
      <c r="Q12" s="62">
        <f>+ROUNDUP($E12/SHIPS!$C$10+SHIPS!$C$13+SHIPS!$C$14/2+IF($D12="SUEZ",SHIPS!$C$15/2,0),0)</f>
        <v>24</v>
      </c>
      <c r="R12" s="62"/>
      <c r="S12" s="62"/>
      <c r="T12" s="121"/>
      <c r="U12" s="122"/>
      <c r="V12" s="53"/>
      <c r="W12" s="269" t="str">
        <f t="shared" si="7"/>
        <v>QATARCOVE POINTSUEZ</v>
      </c>
      <c r="X12" s="265">
        <f>ROUNDUP(((+$E12*2)/SHIPS!C$10)+(SHIPS!C$13+SHIPS!C$14+IF(ROUTES!$D12="SUEZ",SHIPS!C$15,0)),0)</f>
        <v>47</v>
      </c>
      <c r="Y12" s="62">
        <f>ROUNDUP(((+$E12*2)/SHIPS!D$10)+(SHIPS!D$13+SHIPS!D$14+IF(ROUTES!$D12="SUEZ",SHIPS!D$15,0)),0)</f>
        <v>45</v>
      </c>
      <c r="Z12" s="62"/>
      <c r="AA12" s="62"/>
      <c r="AB12" s="121"/>
      <c r="AC12" s="122"/>
      <c r="AD12" s="86"/>
      <c r="AE12" s="269" t="str">
        <f t="shared" si="8"/>
        <v>QATARCOVE POINTSUEZ</v>
      </c>
      <c r="AF12" s="271">
        <f>+CURVELOAD!$G$11*(($E12/SHIPS!C$10)*SHIPS!C$16+($E12/SHIPS!C$10)*SHIPS!C$17+(SHIPS!C$13+SHIPS!C$14)*SHIPS!C$18+IF($D12="suez",SHIPS!C$15*SHIPS!C$18,0))</f>
        <v>733219.375</v>
      </c>
      <c r="AG12" s="130">
        <f>+CURVELOAD!$G$11*(($E12/SHIPS!D$10)*SHIPS!D$16+($E12/SHIPS!D$10)*SHIPS!D$17+(SHIPS!D$13+SHIPS!D$14)*SHIPS!D$18+IF($D12="suez",SHIPS!D$15*SHIPS!D$18,0))</f>
        <v>811837.12635869579</v>
      </c>
      <c r="AH12" s="130"/>
      <c r="AI12" s="130"/>
      <c r="AJ12" s="132"/>
      <c r="AK12" s="133"/>
      <c r="AM12" s="269" t="str">
        <f t="shared" si="9"/>
        <v>QATARCOVE POINTSUEZ</v>
      </c>
      <c r="AN12" s="265">
        <f>+H12*365.25*(1-(SHIPS!C$11*P12))</f>
        <v>14816271.577199999</v>
      </c>
      <c r="AO12" s="62">
        <f>+I12*365.25*(1-(SHIPS!D$11*Q12))</f>
        <v>25158790.119999997</v>
      </c>
      <c r="AP12" s="62"/>
      <c r="AQ12" s="62"/>
      <c r="AR12" s="121"/>
      <c r="AS12" s="122"/>
    </row>
    <row r="13" spans="1:60" x14ac:dyDescent="0.2">
      <c r="A13" s="260" t="str">
        <f t="shared" si="4"/>
        <v>QATARBARCELONASUEZ</v>
      </c>
      <c r="B13" s="255" t="s">
        <v>17</v>
      </c>
      <c r="C13" s="52" t="s">
        <v>39</v>
      </c>
      <c r="D13" s="52" t="s">
        <v>38</v>
      </c>
      <c r="E13" s="31">
        <v>4657</v>
      </c>
      <c r="F13" s="199"/>
      <c r="G13" s="269" t="str">
        <f t="shared" si="5"/>
        <v>QATARBARCELONASUEZ</v>
      </c>
      <c r="H13" s="265">
        <f>IF($E13=0,0,+VLOOKUP(SHIPS!$A$7,SHIPS,HLOOKUP(H$3,SHIPS,2,0)+2,0)/X13)</f>
        <v>70388.496551724136</v>
      </c>
      <c r="I13" s="62">
        <f>IF($E13=0,0,+VLOOKUP(SHIPS!$A$7,SHIPS,HLOOKUP(I$3,SHIPS,2,0)+2,0)/Y13)</f>
        <v>114835.71428571429</v>
      </c>
      <c r="J13" s="62"/>
      <c r="K13" s="62"/>
      <c r="L13" s="121"/>
      <c r="M13" s="122"/>
      <c r="N13" s="53"/>
      <c r="O13" s="269" t="str">
        <f t="shared" si="6"/>
        <v>QATARBARCELONASUEZ</v>
      </c>
      <c r="P13" s="265">
        <f>+ROUNDUP($E13/SHIPS!$C$10+SHIPS!$C$13+SHIPS!$C$14/2+IF($D13="SUEZ",SHIPS!$C$15/2,0),0)</f>
        <v>15</v>
      </c>
      <c r="Q13" s="62">
        <f>+ROUNDUP($E13/SHIPS!$C$10+SHIPS!$C$13+SHIPS!$C$14/2+IF($D13="SUEZ",SHIPS!$C$15/2,0),0)</f>
        <v>15</v>
      </c>
      <c r="R13" s="62"/>
      <c r="S13" s="62"/>
      <c r="T13" s="121"/>
      <c r="U13" s="122"/>
      <c r="V13" s="53"/>
      <c r="W13" s="269" t="str">
        <f t="shared" si="7"/>
        <v>QATARBARCELONASUEZ</v>
      </c>
      <c r="X13" s="265">
        <f>ROUNDUP(((+$E13*2)/SHIPS!C$10)+(SHIPS!C$13+SHIPS!C$14+IF(ROUTES!$D13="SUEZ",SHIPS!C$15,0)),0)</f>
        <v>29</v>
      </c>
      <c r="Y13" s="62">
        <f>ROUNDUP(((+$E13*2)/SHIPS!D$10)+(SHIPS!D$13+SHIPS!D$14+IF(ROUTES!$D13="SUEZ",SHIPS!D$15,0)),0)</f>
        <v>28</v>
      </c>
      <c r="Z13" s="62"/>
      <c r="AA13" s="62"/>
      <c r="AB13" s="121"/>
      <c r="AC13" s="122"/>
      <c r="AD13" s="86"/>
      <c r="AE13" s="269" t="str">
        <f t="shared" si="8"/>
        <v>QATARBARCELONASUEZ</v>
      </c>
      <c r="AF13" s="271">
        <f>+CURVELOAD!$G$11*(($E13/SHIPS!C$10)*SHIPS!C$16+($E13/SHIPS!C$10)*SHIPS!C$17+(SHIPS!C$13+SHIPS!C$14)*SHIPS!C$18+IF($D13="suez",SHIPS!C$15*SHIPS!C$18,0))</f>
        <v>416513.12500000006</v>
      </c>
      <c r="AG13" s="130">
        <f>+CURVELOAD!$G$11*(($E13/SHIPS!D$10)*SHIPS!D$16+($E13/SHIPS!D$10)*SHIPS!D$17+(SHIPS!D$13+SHIPS!D$14)*SHIPS!D$18+IF($D13="suez",SHIPS!D$15*SHIPS!D$18,0))</f>
        <v>463061.65081521741</v>
      </c>
      <c r="AH13" s="130"/>
      <c r="AI13" s="130"/>
      <c r="AJ13" s="132"/>
      <c r="AK13" s="133"/>
      <c r="AM13" s="269" t="str">
        <f t="shared" si="9"/>
        <v>QATARBARCELONASUEZ</v>
      </c>
      <c r="AN13" s="265">
        <f>+H13*365.25*(1-(SHIPS!C$11*P13))</f>
        <v>24648885.682939652</v>
      </c>
      <c r="AO13" s="62">
        <f>+I13*365.25*(1-(SHIPS!D$11*Q13))</f>
        <v>41000010.388392858</v>
      </c>
      <c r="AP13" s="62"/>
      <c r="AQ13" s="62"/>
      <c r="AR13" s="121"/>
      <c r="AS13" s="122"/>
    </row>
    <row r="14" spans="1:60" x14ac:dyDescent="0.2">
      <c r="A14" s="260" t="str">
        <f>+CONCATENATE(B14,C14,D14)</f>
        <v>ALGERIAELBA</v>
      </c>
      <c r="B14" s="255" t="s">
        <v>40</v>
      </c>
      <c r="C14" s="52" t="s">
        <v>19</v>
      </c>
      <c r="D14" s="52"/>
      <c r="E14" s="31">
        <v>3941</v>
      </c>
      <c r="F14" s="199"/>
      <c r="G14" s="269" t="str">
        <f t="shared" si="5"/>
        <v>ALGERIAELBA</v>
      </c>
      <c r="H14" s="265">
        <f>IF($E14=0,0,+VLOOKUP(SHIPS!$A$7,SHIPS,HLOOKUP(H$3,SHIPS,2,0)+2,0)/X14)</f>
        <v>92784.836363636365</v>
      </c>
      <c r="I14" s="62">
        <f>IF($E14=0,0,+VLOOKUP(SHIPS!$A$7,SHIPS,HLOOKUP(I$3,SHIPS,2,0)+2,0)/Y14)</f>
        <v>153114.28571428571</v>
      </c>
      <c r="J14" s="62"/>
      <c r="K14" s="62"/>
      <c r="L14" s="121"/>
      <c r="M14" s="122"/>
      <c r="N14" s="53"/>
      <c r="O14" s="269" t="str">
        <f t="shared" si="6"/>
        <v>ALGERIAELBA</v>
      </c>
      <c r="P14" s="265">
        <f>+ROUNDUP($E14/SHIPS!$C$10+SHIPS!$C$13+SHIPS!$C$14/2+IF($D14="SUEZ",SHIPS!$C$15/2,0),0)</f>
        <v>12</v>
      </c>
      <c r="Q14" s="62">
        <f>+ROUNDUP($E14/SHIPS!$C$10+SHIPS!$C$13+SHIPS!$C$14/2+IF($D14="SUEZ",SHIPS!$C$15/2,0),0)</f>
        <v>12</v>
      </c>
      <c r="R14" s="62"/>
      <c r="S14" s="62"/>
      <c r="T14" s="121"/>
      <c r="U14" s="122"/>
      <c r="V14" s="53"/>
      <c r="W14" s="269" t="str">
        <f t="shared" si="7"/>
        <v>ALGERIAELBA</v>
      </c>
      <c r="X14" s="265">
        <f>ROUNDUP(((+$E14*2)/SHIPS!C$10)+(SHIPS!C$13+SHIPS!C$14+IF(ROUTES!$D14="SUEZ",SHIPS!C$15,0)),0)</f>
        <v>22</v>
      </c>
      <c r="Y14" s="62">
        <f>ROUNDUP(((+$E14*2)/SHIPS!D$10)+(SHIPS!D$13+SHIPS!D$14+IF(ROUTES!$D14="SUEZ",SHIPS!D$15,0)),0)</f>
        <v>21</v>
      </c>
      <c r="Z14" s="62"/>
      <c r="AA14" s="62"/>
      <c r="AB14" s="121"/>
      <c r="AC14" s="122"/>
      <c r="AD14" s="86"/>
      <c r="AE14" s="269" t="str">
        <f t="shared" si="8"/>
        <v>ALGERIAELBA</v>
      </c>
      <c r="AF14" s="271">
        <f>+CURVELOAD!$G$11*(($E14/SHIPS!C$10)*SHIPS!C$16+($E14/SHIPS!C$10)*SHIPS!C$17+(SHIPS!C$13+SHIPS!C$14)*SHIPS!C$18+IF($D14="suez",SHIPS!C$15*SHIPS!C$18,0))</f>
        <v>342295.625</v>
      </c>
      <c r="AG14" s="130">
        <f>+CURVELOAD!$G$11*(($E14/SHIPS!D$10)*SHIPS!D$16+($E14/SHIPS!D$10)*SHIPS!D$17+(SHIPS!D$13+SHIPS!D$14)*SHIPS!D$18+IF($D14="suez",SHIPS!D$15*SHIPS!D$18,0))</f>
        <v>379142.49320652179</v>
      </c>
      <c r="AH14" s="130"/>
      <c r="AI14" s="130"/>
      <c r="AJ14" s="132"/>
      <c r="AK14" s="133"/>
      <c r="AM14" s="269" t="str">
        <f t="shared" si="9"/>
        <v>ALGERIAELBA</v>
      </c>
      <c r="AN14" s="265">
        <f>+H14*365.25*(1-(SHIPS!C$11*P14))</f>
        <v>32771302.652918182</v>
      </c>
      <c r="AO14" s="62">
        <f>+I14*365.25*(1-(SHIPS!D$11*Q14))</f>
        <v>54918342.985714287</v>
      </c>
      <c r="AP14" s="62"/>
      <c r="AQ14" s="62"/>
      <c r="AR14" s="121"/>
      <c r="AS14" s="122"/>
    </row>
    <row r="15" spans="1:60" x14ac:dyDescent="0.2">
      <c r="A15" s="260" t="str">
        <f>+CONCATENATE(B15,C15,D15)</f>
        <v>ALGERIALAKE CHARLES</v>
      </c>
      <c r="B15" s="255" t="s">
        <v>40</v>
      </c>
      <c r="C15" s="52" t="s">
        <v>27</v>
      </c>
      <c r="D15" s="52"/>
      <c r="E15" s="31">
        <v>4962</v>
      </c>
      <c r="F15" s="199"/>
      <c r="G15" s="269" t="str">
        <f t="shared" si="5"/>
        <v>ALGERIALAKE CHARLES</v>
      </c>
      <c r="H15" s="265">
        <f>IF($E15=0,0,+VLOOKUP(SHIPS!$A$7,SHIPS,HLOOKUP(H$3,SHIPS,2,0)+2,0)/X15)</f>
        <v>75602.459259259267</v>
      </c>
      <c r="I15" s="62">
        <f>IF($E15=0,0,+VLOOKUP(SHIPS!$A$7,SHIPS,HLOOKUP(I$3,SHIPS,2,0)+2,0)/Y15)</f>
        <v>123669.23076923077</v>
      </c>
      <c r="J15" s="62"/>
      <c r="K15" s="62"/>
      <c r="L15" s="121"/>
      <c r="M15" s="122"/>
      <c r="N15" s="53"/>
      <c r="O15" s="269" t="str">
        <f t="shared" si="6"/>
        <v>ALGERIALAKE CHARLES</v>
      </c>
      <c r="P15" s="265">
        <f>+ROUNDUP($E15/SHIPS!$C$10+SHIPS!$C$13+SHIPS!$C$14/2+IF($D15="SUEZ",SHIPS!$C$15/2,0),0)</f>
        <v>14</v>
      </c>
      <c r="Q15" s="62">
        <f>+ROUNDUP($E15/SHIPS!$C$10+SHIPS!$C$13+SHIPS!$C$14/2+IF($D15="SUEZ",SHIPS!$C$15/2,0),0)</f>
        <v>14</v>
      </c>
      <c r="R15" s="62"/>
      <c r="S15" s="62"/>
      <c r="T15" s="121"/>
      <c r="U15" s="122"/>
      <c r="V15" s="53"/>
      <c r="W15" s="269" t="str">
        <f t="shared" si="7"/>
        <v>ALGERIALAKE CHARLES</v>
      </c>
      <c r="X15" s="265">
        <f>ROUNDUP(((+$E15*2)/SHIPS!C$10)+(SHIPS!C$13+SHIPS!C$14+IF(ROUTES!$D15="SUEZ",SHIPS!C$15,0)),0)</f>
        <v>27</v>
      </c>
      <c r="Y15" s="62">
        <f>ROUNDUP(((+$E15*2)/SHIPS!D$10)+(SHIPS!D$13+SHIPS!D$14+IF(ROUTES!$D15="SUEZ",SHIPS!D$15,0)),0)</f>
        <v>26</v>
      </c>
      <c r="Z15" s="62"/>
      <c r="AA15" s="62"/>
      <c r="AB15" s="121"/>
      <c r="AC15" s="122"/>
      <c r="AD15" s="86"/>
      <c r="AE15" s="269" t="str">
        <f t="shared" si="8"/>
        <v>ALGERIALAKE CHARLES</v>
      </c>
      <c r="AF15" s="271">
        <f>+CURVELOAD!$G$11*(($E15/SHIPS!C$10)*SHIPS!C$16+($E15/SHIPS!C$10)*SHIPS!C$17+(SHIPS!C$13+SHIPS!C$14)*SHIPS!C$18+IF($D15="suez",SHIPS!C$15*SHIPS!C$18,0))</f>
        <v>427166.25</v>
      </c>
      <c r="AG15" s="130">
        <f>+CURVELOAD!$G$11*(($E15/SHIPS!D$10)*SHIPS!D$16+($E15/SHIPS!D$10)*SHIPS!D$17+(SHIPS!D$13+SHIPS!D$14)*SHIPS!D$18+IF($D15="suez",SHIPS!D$15*SHIPS!D$18,0))</f>
        <v>472606.99728260876</v>
      </c>
      <c r="AH15" s="130"/>
      <c r="AI15" s="130"/>
      <c r="AJ15" s="132"/>
      <c r="AK15" s="133"/>
      <c r="AM15" s="269" t="str">
        <f t="shared" si="9"/>
        <v>ALGERIALAKE CHARLES</v>
      </c>
      <c r="AN15" s="265">
        <f>+H15*365.25*(1-(SHIPS!C$11*P15))</f>
        <v>26550667.01203334</v>
      </c>
      <c r="AO15" s="62">
        <f>+I15*365.25*(1-(SHIPS!D$11*Q15))</f>
        <v>44221612.621153846</v>
      </c>
      <c r="AP15" s="62"/>
      <c r="AQ15" s="62"/>
      <c r="AR15" s="121"/>
      <c r="AS15" s="122"/>
    </row>
    <row r="16" spans="1:60" x14ac:dyDescent="0.2">
      <c r="A16" s="260" t="str">
        <f>+CONCATENATE(B16,C16,D16)</f>
        <v>ALGERIACABOT</v>
      </c>
      <c r="B16" s="255" t="s">
        <v>40</v>
      </c>
      <c r="C16" s="52" t="s">
        <v>28</v>
      </c>
      <c r="D16" s="52"/>
      <c r="E16" s="31">
        <v>3300</v>
      </c>
      <c r="F16" s="199"/>
      <c r="G16" s="269" t="str">
        <f t="shared" si="5"/>
        <v>ALGERIACABOT</v>
      </c>
      <c r="H16" s="265">
        <f>IF($E16=0,0,+VLOOKUP(SHIPS!$A$7,SHIPS,HLOOKUP(H$3,SHIPS,2,0)+2,0)/X16)</f>
        <v>107435.07368421054</v>
      </c>
      <c r="I16" s="62">
        <f>IF($E16=0,0,+VLOOKUP(SHIPS!$A$7,SHIPS,HLOOKUP(I$3,SHIPS,2,0)+2,0)/Y16)</f>
        <v>178633.33333333334</v>
      </c>
      <c r="J16" s="62"/>
      <c r="K16" s="62"/>
      <c r="L16" s="121"/>
      <c r="M16" s="122"/>
      <c r="N16" s="53"/>
      <c r="O16" s="269" t="str">
        <f t="shared" si="6"/>
        <v>ALGERIACABOT</v>
      </c>
      <c r="P16" s="265">
        <f>+ROUNDUP($E16/SHIPS!$C$10+SHIPS!$C$13+SHIPS!$C$14/2+IF($D16="SUEZ",SHIPS!$C$15/2,0),0)</f>
        <v>10</v>
      </c>
      <c r="Q16" s="62">
        <f>+ROUNDUP($E16/SHIPS!$C$10+SHIPS!$C$13+SHIPS!$C$14/2+IF($D16="SUEZ",SHIPS!$C$15/2,0),0)</f>
        <v>10</v>
      </c>
      <c r="R16" s="62"/>
      <c r="S16" s="62"/>
      <c r="T16" s="121"/>
      <c r="U16" s="122"/>
      <c r="V16" s="53"/>
      <c r="W16" s="269" t="str">
        <f t="shared" si="7"/>
        <v>ALGERIACABOT</v>
      </c>
      <c r="X16" s="265">
        <f>ROUNDUP(((+$E16*2)/SHIPS!C$10)+(SHIPS!C$13+SHIPS!C$14+IF(ROUTES!$D16="SUEZ",SHIPS!C$15,0)),0)</f>
        <v>19</v>
      </c>
      <c r="Y16" s="62">
        <f>ROUNDUP(((+$E16*2)/SHIPS!D$10)+(SHIPS!D$13+SHIPS!D$14+IF(ROUTES!$D16="SUEZ",SHIPS!D$15,0)),0)</f>
        <v>18</v>
      </c>
      <c r="Z16" s="62"/>
      <c r="AA16" s="62"/>
      <c r="AB16" s="121"/>
      <c r="AC16" s="122"/>
      <c r="AD16" s="86"/>
      <c r="AE16" s="269" t="str">
        <f t="shared" si="8"/>
        <v>ALGERIACABOT</v>
      </c>
      <c r="AF16" s="271">
        <f>+CURVELOAD!$G$11*(($E16/SHIPS!C$10)*SHIPS!C$16+($E16/SHIPS!C$10)*SHIPS!C$17+(SHIPS!C$13+SHIPS!C$14)*SHIPS!C$18+IF($D16="suez",SHIPS!C$15*SHIPS!C$18,0))</f>
        <v>289012.5</v>
      </c>
      <c r="AG16" s="130">
        <f>+CURVELOAD!$G$11*(($E16/SHIPS!D$10)*SHIPS!D$16+($E16/SHIPS!D$10)*SHIPS!D$17+(SHIPS!D$13+SHIPS!D$14)*SHIPS!D$18+IF($D16="suez",SHIPS!D$15*SHIPS!D$18,0))</f>
        <v>320463.99456521735</v>
      </c>
      <c r="AH16" s="130"/>
      <c r="AI16" s="130"/>
      <c r="AJ16" s="132"/>
      <c r="AK16" s="133"/>
      <c r="AM16" s="269" t="str">
        <f t="shared" si="9"/>
        <v>ALGERIACABOT</v>
      </c>
      <c r="AN16" s="265">
        <f>+H16*365.25*(1-(SHIPS!C$11*P16))</f>
        <v>38161542.494921058</v>
      </c>
      <c r="AO16" s="62">
        <f>+I16*365.25*(1-(SHIPS!D$11*Q16))</f>
        <v>64267137.625</v>
      </c>
      <c r="AP16" s="62"/>
      <c r="AQ16" s="62"/>
      <c r="AR16" s="121"/>
      <c r="AS16" s="122"/>
    </row>
    <row r="17" spans="1:45" x14ac:dyDescent="0.2">
      <c r="A17" s="260" t="str">
        <f>+CONCATENATE(B17,C17,D17)</f>
        <v>ALGERIACOVE POINT</v>
      </c>
      <c r="B17" s="255" t="s">
        <v>40</v>
      </c>
      <c r="C17" s="52" t="s">
        <v>29</v>
      </c>
      <c r="D17" s="52"/>
      <c r="E17" s="31">
        <v>3742</v>
      </c>
      <c r="F17" s="199"/>
      <c r="G17" s="269" t="str">
        <f t="shared" si="5"/>
        <v>ALGERIACOVE POINT</v>
      </c>
      <c r="H17" s="265">
        <f>IF($E17=0,0,+VLOOKUP(SHIPS!$A$7,SHIPS,HLOOKUP(H$3,SHIPS,2,0)+2,0)/X17)</f>
        <v>97203.161904761917</v>
      </c>
      <c r="I17" s="62">
        <f>IF($E17=0,0,+VLOOKUP(SHIPS!$A$7,SHIPS,HLOOKUP(I$3,SHIPS,2,0)+2,0)/Y17)</f>
        <v>160770</v>
      </c>
      <c r="J17" s="62"/>
      <c r="K17" s="62"/>
      <c r="L17" s="121"/>
      <c r="M17" s="122"/>
      <c r="N17" s="53"/>
      <c r="O17" s="269" t="str">
        <f t="shared" si="6"/>
        <v>ALGERIACOVE POINT</v>
      </c>
      <c r="P17" s="265">
        <f>+ROUNDUP($E17/SHIPS!$C$10+SHIPS!$C$13+SHIPS!$C$14/2+IF($D17="SUEZ",SHIPS!$C$15/2,0),0)</f>
        <v>11</v>
      </c>
      <c r="Q17" s="62">
        <f>+ROUNDUP($E17/SHIPS!$C$10+SHIPS!$C$13+SHIPS!$C$14/2+IF($D17="SUEZ",SHIPS!$C$15/2,0),0)</f>
        <v>11</v>
      </c>
      <c r="R17" s="62"/>
      <c r="S17" s="62"/>
      <c r="T17" s="121"/>
      <c r="U17" s="122"/>
      <c r="V17" s="53"/>
      <c r="W17" s="269" t="str">
        <f t="shared" si="7"/>
        <v>ALGERIACOVE POINT</v>
      </c>
      <c r="X17" s="265">
        <f>ROUNDUP(((+$E17*2)/SHIPS!C$10)+(SHIPS!C$13+SHIPS!C$14+IF(ROUTES!$D17="SUEZ",SHIPS!C$15,0)),0)</f>
        <v>21</v>
      </c>
      <c r="Y17" s="62">
        <f>ROUNDUP(((+$E17*2)/SHIPS!D$10)+(SHIPS!D$13+SHIPS!D$14+IF(ROUTES!$D17="SUEZ",SHIPS!D$15,0)),0)</f>
        <v>20</v>
      </c>
      <c r="Z17" s="62"/>
      <c r="AA17" s="62"/>
      <c r="AB17" s="121"/>
      <c r="AC17" s="122"/>
      <c r="AD17" s="86"/>
      <c r="AE17" s="269" t="str">
        <f t="shared" si="8"/>
        <v>ALGERIACOVE POINT</v>
      </c>
      <c r="AF17" s="271">
        <f>+CURVELOAD!$G$11*(($E17/SHIPS!C$10)*SHIPS!C$16+($E17/SHIPS!C$10)*SHIPS!C$17+(SHIPS!C$13+SHIPS!C$14)*SHIPS!C$18+IF($D17="suez",SHIPS!C$15*SHIPS!C$18,0))</f>
        <v>325753.75000000006</v>
      </c>
      <c r="AG17" s="130">
        <f>+CURVELOAD!$G$11*(($E17/SHIPS!D$10)*SHIPS!D$16+($E17/SHIPS!D$10)*SHIPS!D$17+(SHIPS!D$13+SHIPS!D$14)*SHIPS!D$18+IF($D17="suez",SHIPS!D$15*SHIPS!D$18,0))</f>
        <v>360925.61141304352</v>
      </c>
      <c r="AH17" s="130"/>
      <c r="AI17" s="130"/>
      <c r="AJ17" s="132"/>
      <c r="AK17" s="133"/>
      <c r="AM17" s="269" t="str">
        <f t="shared" si="9"/>
        <v>ALGERIACOVE POINT</v>
      </c>
      <c r="AN17" s="265">
        <f>+H17*365.25*(1-(SHIPS!C$11*P17))</f>
        <v>34429475.375421435</v>
      </c>
      <c r="AO17" s="62">
        <f>+I17*365.25*(1-(SHIPS!D$11*Q17))</f>
        <v>57752341.998750001</v>
      </c>
      <c r="AP17" s="62"/>
      <c r="AQ17" s="62"/>
      <c r="AR17" s="121"/>
      <c r="AS17" s="122"/>
    </row>
    <row r="18" spans="1:45" x14ac:dyDescent="0.2">
      <c r="A18" s="260" t="str">
        <f>+CONCATENATE(B18,C18,D18)</f>
        <v>ALGERIASPAIN</v>
      </c>
      <c r="B18" s="255" t="s">
        <v>40</v>
      </c>
      <c r="C18" s="52" t="s">
        <v>30</v>
      </c>
      <c r="D18" s="52"/>
      <c r="E18" s="31">
        <v>343</v>
      </c>
      <c r="F18" s="199"/>
      <c r="G18" s="269" t="str">
        <f t="shared" si="5"/>
        <v>ALGERIASPAIN</v>
      </c>
      <c r="H18" s="265">
        <f>IF($E18=0,0,+VLOOKUP(SHIPS!$A$7,SHIPS,HLOOKUP(H$3,SHIPS,2,0)+2,0)/X18)</f>
        <v>408253.28</v>
      </c>
      <c r="I18" s="62">
        <f>IF($E18=0,0,+VLOOKUP(SHIPS!$A$7,SHIPS,HLOOKUP(I$3,SHIPS,2,0)+2,0)/Y18)</f>
        <v>643080</v>
      </c>
      <c r="J18" s="62"/>
      <c r="K18" s="62"/>
      <c r="L18" s="121"/>
      <c r="M18" s="122"/>
      <c r="N18" s="53"/>
      <c r="O18" s="269" t="str">
        <f t="shared" si="6"/>
        <v>ALGERIASPAIN</v>
      </c>
      <c r="P18" s="265">
        <f>+ROUNDUP($E18/SHIPS!$C$10+SHIPS!$C$13+SHIPS!$C$14/2+IF($D18="SUEZ",SHIPS!$C$15/2,0),0)</f>
        <v>3</v>
      </c>
      <c r="Q18" s="62">
        <f>+ROUNDUP($E18/SHIPS!$C$10+SHIPS!$C$13+SHIPS!$C$14/2+IF($D18="SUEZ",SHIPS!$C$15/2,0),0)</f>
        <v>3</v>
      </c>
      <c r="R18" s="62"/>
      <c r="S18" s="62"/>
      <c r="T18" s="121"/>
      <c r="U18" s="122"/>
      <c r="V18" s="53"/>
      <c r="W18" s="269" t="str">
        <f t="shared" si="7"/>
        <v>ALGERIASPAIN</v>
      </c>
      <c r="X18" s="265">
        <f>ROUNDUP(((+$E18*2)/SHIPS!C$10)+(SHIPS!C$13+SHIPS!C$14+IF(ROUTES!$D18="SUEZ",SHIPS!C$15,0)),0)</f>
        <v>5</v>
      </c>
      <c r="Y18" s="62">
        <f>ROUNDUP(((+$E18*2)/SHIPS!D$10)+(SHIPS!D$13+SHIPS!D$14+IF(ROUTES!$D18="SUEZ",SHIPS!D$15,0)),0)</f>
        <v>5</v>
      </c>
      <c r="Z18" s="62"/>
      <c r="AA18" s="62"/>
      <c r="AB18" s="121"/>
      <c r="AC18" s="122"/>
      <c r="AD18" s="86"/>
      <c r="AE18" s="269" t="str">
        <f t="shared" si="8"/>
        <v>ALGERIASPAIN</v>
      </c>
      <c r="AF18" s="271">
        <f>+CURVELOAD!$G$11*(($E18/SHIPS!C$10)*SHIPS!C$16+($E18/SHIPS!C$10)*SHIPS!C$17+(SHIPS!C$13+SHIPS!C$14)*SHIPS!C$18+IF($D18="suez",SHIPS!C$15*SHIPS!C$18,0))</f>
        <v>43211.875</v>
      </c>
      <c r="AG18" s="130">
        <f>+CURVELOAD!$G$11*(($E18/SHIPS!D$10)*SHIPS!D$16+($E18/SHIPS!D$10)*SHIPS!D$17+(SHIPS!D$13+SHIPS!D$14)*SHIPS!D$18+IF($D18="suez",SHIPS!D$15*SHIPS!D$18,0))</f>
        <v>49773.947010869568</v>
      </c>
      <c r="AH18" s="130"/>
      <c r="AI18" s="130"/>
      <c r="AJ18" s="132"/>
      <c r="AK18" s="133"/>
      <c r="AM18" s="269" t="str">
        <f t="shared" si="9"/>
        <v>ALGERIASPAIN</v>
      </c>
      <c r="AN18" s="265">
        <f>+H18*365.25*(1-(SHIPS!C$11*P18))</f>
        <v>147884315.80821002</v>
      </c>
      <c r="AO18" s="62">
        <f>+I18*365.25*(1-(SHIPS!D$11*Q18))</f>
        <v>233827987.63500002</v>
      </c>
      <c r="AP18" s="62"/>
      <c r="AQ18" s="62"/>
      <c r="AR18" s="121"/>
      <c r="AS18" s="122"/>
    </row>
    <row r="19" spans="1:45" x14ac:dyDescent="0.2">
      <c r="A19" s="260" t="str">
        <f t="shared" ref="A19:A24" si="10">+CONCATENATE(B19,C19,D19)</f>
        <v>VENEZUELAELBA</v>
      </c>
      <c r="B19" s="255" t="s">
        <v>41</v>
      </c>
      <c r="C19" s="52" t="s">
        <v>19</v>
      </c>
      <c r="D19" s="52"/>
      <c r="E19" s="31">
        <v>1774</v>
      </c>
      <c r="F19" s="199"/>
      <c r="G19" s="269" t="str">
        <f t="shared" si="5"/>
        <v>VENEZUELAELBA</v>
      </c>
      <c r="H19" s="265">
        <f>IF($E19=0,0,+VLOOKUP(SHIPS!$A$7,SHIPS,HLOOKUP(H$3,SHIPS,2,0)+2,0)/X19)</f>
        <v>170105.53333333335</v>
      </c>
      <c r="I19" s="62">
        <f>IF($E19=0,0,+VLOOKUP(SHIPS!$A$7,SHIPS,HLOOKUP(I$3,SHIPS,2,0)+2,0)/Y19)</f>
        <v>267950</v>
      </c>
      <c r="J19" s="62"/>
      <c r="K19" s="62"/>
      <c r="L19" s="121"/>
      <c r="M19" s="122"/>
      <c r="N19" s="53"/>
      <c r="O19" s="269" t="str">
        <f t="shared" si="6"/>
        <v>VENEZUELAELBA</v>
      </c>
      <c r="P19" s="265">
        <f>+ROUNDUP($E19/SHIPS!$C$10+SHIPS!$C$13+SHIPS!$C$14/2+IF($D19="SUEZ",SHIPS!$C$15/2,0),0)</f>
        <v>7</v>
      </c>
      <c r="Q19" s="62">
        <f>+ROUNDUP($E19/SHIPS!$C$10+SHIPS!$C$13+SHIPS!$C$14/2+IF($D19="SUEZ",SHIPS!$C$15/2,0),0)</f>
        <v>7</v>
      </c>
      <c r="R19" s="62"/>
      <c r="S19" s="62"/>
      <c r="T19" s="121"/>
      <c r="U19" s="122"/>
      <c r="V19" s="53"/>
      <c r="W19" s="269" t="str">
        <f t="shared" si="7"/>
        <v>VENEZUELAELBA</v>
      </c>
      <c r="X19" s="265">
        <f>ROUNDUP(((+$E19*2)/SHIPS!C$10)+(SHIPS!C$13+SHIPS!C$14+IF(ROUTES!$D19="SUEZ",SHIPS!C$15,0)),0)</f>
        <v>12</v>
      </c>
      <c r="Y19" s="62">
        <f>ROUNDUP(((+$E19*2)/SHIPS!D$10)+(SHIPS!D$13+SHIPS!D$14+IF(ROUTES!$D19="SUEZ",SHIPS!D$15,0)),0)</f>
        <v>12</v>
      </c>
      <c r="Z19" s="441"/>
      <c r="AA19" s="62"/>
      <c r="AB19" s="121"/>
      <c r="AC19" s="122"/>
      <c r="AD19" s="86"/>
      <c r="AE19" s="269" t="str">
        <f t="shared" si="8"/>
        <v>VENEZUELAELBA</v>
      </c>
      <c r="AF19" s="271">
        <f>+CURVELOAD!$G$11*(($E19/SHIPS!C$10)*SHIPS!C$16+($E19/SHIPS!C$10)*SHIPS!C$17+(SHIPS!C$13+SHIPS!C$14)*SHIPS!C$18+IF($D19="suez",SHIPS!C$15*SHIPS!C$18,0))</f>
        <v>162163.75</v>
      </c>
      <c r="AG19" s="130">
        <f>+CURVELOAD!$G$11*(($E19/SHIPS!D$10)*SHIPS!D$16+($E19/SHIPS!D$10)*SHIPS!D$17+(SHIPS!D$13+SHIPS!D$14)*SHIPS!D$18+IF($D19="suez",SHIPS!D$15*SHIPS!D$18,0))</f>
        <v>180770.72010869565</v>
      </c>
      <c r="AH19" s="130"/>
      <c r="AI19" s="130"/>
      <c r="AJ19" s="132"/>
      <c r="AK19" s="133"/>
      <c r="AM19" s="269" t="str">
        <f t="shared" si="9"/>
        <v>VENEZUELAELBA</v>
      </c>
      <c r="AN19" s="265">
        <f>+H19*365.25*(1-(SHIPS!C$11*P19))</f>
        <v>60935023.413537502</v>
      </c>
      <c r="AO19" s="62">
        <f>+I19*365.25*(1-(SHIPS!D$11*Q19))</f>
        <v>96841115.756250009</v>
      </c>
      <c r="AP19" s="62"/>
      <c r="AQ19" s="62"/>
      <c r="AR19" s="121"/>
      <c r="AS19" s="122"/>
    </row>
    <row r="20" spans="1:45" x14ac:dyDescent="0.2">
      <c r="A20" s="260" t="str">
        <f t="shared" si="10"/>
        <v>VENEZUELALAKE CHARLES</v>
      </c>
      <c r="B20" s="255" t="s">
        <v>41</v>
      </c>
      <c r="C20" s="52" t="s">
        <v>27</v>
      </c>
      <c r="D20" s="52"/>
      <c r="E20" s="31">
        <v>2080</v>
      </c>
      <c r="F20" s="199"/>
      <c r="G20" s="269" t="str">
        <f t="shared" si="5"/>
        <v>VENEZUELALAKE CHARLES</v>
      </c>
      <c r="H20" s="265">
        <f>IF($E20=0,0,+VLOOKUP(SHIPS!$A$7,SHIPS,HLOOKUP(H$3,SHIPS,2,0)+2,0)/X20)</f>
        <v>157020.49230769233</v>
      </c>
      <c r="I20" s="62">
        <f>IF($E20=0,0,+VLOOKUP(SHIPS!$A$7,SHIPS,HLOOKUP(I$3,SHIPS,2,0)+2,0)/Y20)</f>
        <v>247338.46153846153</v>
      </c>
      <c r="J20" s="62"/>
      <c r="K20" s="62"/>
      <c r="L20" s="121"/>
      <c r="M20" s="122"/>
      <c r="N20" s="53"/>
      <c r="O20" s="269" t="str">
        <f t="shared" si="6"/>
        <v>VENEZUELALAKE CHARLES</v>
      </c>
      <c r="P20" s="265">
        <f>+ROUNDUP($E20/SHIPS!$C$10+SHIPS!$C$13+SHIPS!$C$14/2+IF($D20="SUEZ",SHIPS!$C$15/2,0),0)</f>
        <v>7</v>
      </c>
      <c r="Q20" s="62">
        <f>+ROUNDUP($E20/SHIPS!$C$10+SHIPS!$C$13+SHIPS!$C$14/2+IF($D20="SUEZ",SHIPS!$C$15/2,0),0)</f>
        <v>7</v>
      </c>
      <c r="R20" s="62"/>
      <c r="S20" s="62"/>
      <c r="T20" s="121"/>
      <c r="U20" s="122"/>
      <c r="V20" s="53"/>
      <c r="W20" s="269" t="str">
        <f t="shared" si="7"/>
        <v>VENEZUELALAKE CHARLES</v>
      </c>
      <c r="X20" s="265">
        <f>ROUNDUP(((+$E20*2)/SHIPS!C$10)+(SHIPS!C$13+SHIPS!C$14+IF(ROUTES!$D20="SUEZ",SHIPS!C$15,0)),0)</f>
        <v>13</v>
      </c>
      <c r="Y20" s="62">
        <f>ROUNDUP(((+$E20*2)/SHIPS!D$10)+(SHIPS!D$13+SHIPS!D$14+IF(ROUTES!$D20="SUEZ",SHIPS!D$15,0)),0)</f>
        <v>13</v>
      </c>
      <c r="Z20" s="62"/>
      <c r="AA20" s="62"/>
      <c r="AB20" s="121"/>
      <c r="AC20" s="122"/>
      <c r="AD20" s="86"/>
      <c r="AE20" s="269" t="str">
        <f t="shared" si="8"/>
        <v>VENEZUELALAKE CHARLES</v>
      </c>
      <c r="AF20" s="271">
        <f>+CURVELOAD!$G$11*(($E20/SHIPS!C$10)*SHIPS!C$16+($E20/SHIPS!C$10)*SHIPS!C$17+(SHIPS!C$13+SHIPS!C$14)*SHIPS!C$18+IF($D20="suez",SHIPS!C$15*SHIPS!C$18,0))</f>
        <v>187600.00000000003</v>
      </c>
      <c r="AG20" s="130">
        <f>+CURVELOAD!$G$11*(($E20/SHIPS!D$10)*SHIPS!D$16+($E20/SHIPS!D$10)*SHIPS!D$17+(SHIPS!D$13+SHIPS!D$14)*SHIPS!D$18+IF($D20="suez",SHIPS!D$15*SHIPS!D$18,0))</f>
        <v>208782.60869565219</v>
      </c>
      <c r="AH20" s="130"/>
      <c r="AI20" s="130"/>
      <c r="AJ20" s="132"/>
      <c r="AK20" s="133"/>
      <c r="AM20" s="269" t="str">
        <f t="shared" si="9"/>
        <v>VENEZUELALAKE CHARLES</v>
      </c>
      <c r="AN20" s="265">
        <f>+H20*365.25*(1-(SHIPS!C$11*P20))</f>
        <v>56247713.920188472</v>
      </c>
      <c r="AO20" s="62">
        <f>+I20*365.25*(1-(SHIPS!D$11*Q20))</f>
        <v>89391799.159615383</v>
      </c>
      <c r="AP20" s="62"/>
      <c r="AQ20" s="62"/>
      <c r="AR20" s="121"/>
      <c r="AS20" s="122"/>
    </row>
    <row r="21" spans="1:45" x14ac:dyDescent="0.2">
      <c r="A21" s="260" t="str">
        <f t="shared" si="10"/>
        <v>VENEZUELACABOT</v>
      </c>
      <c r="B21" s="255" t="s">
        <v>41</v>
      </c>
      <c r="C21" s="52" t="s">
        <v>28</v>
      </c>
      <c r="D21" s="52"/>
      <c r="E21" s="31">
        <v>2085</v>
      </c>
      <c r="F21" s="199"/>
      <c r="G21" s="269" t="str">
        <f t="shared" si="5"/>
        <v>VENEZUELACABOT</v>
      </c>
      <c r="H21" s="265">
        <f>IF($E21=0,0,+VLOOKUP(SHIPS!$A$7,SHIPS,HLOOKUP(H$3,SHIPS,2,0)+2,0)/X21)</f>
        <v>157020.49230769233</v>
      </c>
      <c r="I21" s="62">
        <f>IF($E21=0,0,+VLOOKUP(SHIPS!$A$7,SHIPS,HLOOKUP(I$3,SHIPS,2,0)+2,0)/Y21)</f>
        <v>247338.46153846153</v>
      </c>
      <c r="J21" s="62"/>
      <c r="K21" s="62"/>
      <c r="L21" s="121"/>
      <c r="M21" s="122"/>
      <c r="N21" s="53"/>
      <c r="O21" s="269" t="str">
        <f t="shared" si="6"/>
        <v>VENEZUELACABOT</v>
      </c>
      <c r="P21" s="265">
        <f>+ROUNDUP($E21/SHIPS!$C$10+SHIPS!$C$13+SHIPS!$C$14/2+IF($D21="SUEZ",SHIPS!$C$15/2,0),0)</f>
        <v>7</v>
      </c>
      <c r="Q21" s="62">
        <f>+ROUNDUP($E21/SHIPS!$C$10+SHIPS!$C$13+SHIPS!$C$14/2+IF($D21="SUEZ",SHIPS!$C$15/2,0),0)</f>
        <v>7</v>
      </c>
      <c r="R21" s="62"/>
      <c r="S21" s="62"/>
      <c r="T21" s="121"/>
      <c r="U21" s="122"/>
      <c r="V21" s="53"/>
      <c r="W21" s="269" t="str">
        <f t="shared" si="7"/>
        <v>VENEZUELACABOT</v>
      </c>
      <c r="X21" s="265">
        <f>ROUNDUP(((+$E21*2)/SHIPS!C$10)+(SHIPS!C$13+SHIPS!C$14+IF(ROUTES!$D21="SUEZ",SHIPS!C$15,0)),0)</f>
        <v>13</v>
      </c>
      <c r="Y21" s="62">
        <f>ROUNDUP(((+$E21*2)/SHIPS!D$10)+(SHIPS!D$13+SHIPS!D$14+IF(ROUTES!$D21="SUEZ",SHIPS!D$15,0)),0)</f>
        <v>13</v>
      </c>
      <c r="Z21" s="62"/>
      <c r="AA21" s="62"/>
      <c r="AB21" s="121"/>
      <c r="AC21" s="122"/>
      <c r="AD21" s="86"/>
      <c r="AE21" s="269" t="str">
        <f t="shared" si="8"/>
        <v>VENEZUELACABOT</v>
      </c>
      <c r="AF21" s="271">
        <f>+CURVELOAD!$G$11*(($E21/SHIPS!C$10)*SHIPS!C$16+($E21/SHIPS!C$10)*SHIPS!C$17+(SHIPS!C$13+SHIPS!C$14)*SHIPS!C$18+IF($D21="suez",SHIPS!C$15*SHIPS!C$18,0))</f>
        <v>188015.62499999997</v>
      </c>
      <c r="AG21" s="130">
        <f>+CURVELOAD!$G$11*(($E21/SHIPS!D$10)*SHIPS!D$16+($E21/SHIPS!D$10)*SHIPS!D$17+(SHIPS!D$13+SHIPS!D$14)*SHIPS!D$18+IF($D21="suez",SHIPS!D$15*SHIPS!D$18,0))</f>
        <v>209240.31929347827</v>
      </c>
      <c r="AH21" s="130"/>
      <c r="AI21" s="130"/>
      <c r="AJ21" s="132"/>
      <c r="AK21" s="133"/>
      <c r="AM21" s="269" t="str">
        <f t="shared" si="9"/>
        <v>VENEZUELACABOT</v>
      </c>
      <c r="AN21" s="265">
        <f>+H21*365.25*(1-(SHIPS!C$11*P21))</f>
        <v>56247713.920188472</v>
      </c>
      <c r="AO21" s="62">
        <f>+I21*365.25*(1-(SHIPS!D$11*Q21))</f>
        <v>89391799.159615383</v>
      </c>
      <c r="AP21" s="62"/>
      <c r="AQ21" s="62"/>
      <c r="AR21" s="121"/>
      <c r="AS21" s="122"/>
    </row>
    <row r="22" spans="1:45" x14ac:dyDescent="0.2">
      <c r="A22" s="260" t="str">
        <f t="shared" si="10"/>
        <v>VENEZUELACOVE POINT</v>
      </c>
      <c r="B22" s="255" t="s">
        <v>41</v>
      </c>
      <c r="C22" s="52" t="s">
        <v>29</v>
      </c>
      <c r="D22" s="52"/>
      <c r="E22" s="31">
        <v>2003</v>
      </c>
      <c r="F22" s="199"/>
      <c r="G22" s="269" t="str">
        <f t="shared" si="5"/>
        <v>VENEZUELACOVE POINT</v>
      </c>
      <c r="H22" s="265">
        <f>IF($E22=0,0,+VLOOKUP(SHIPS!$A$7,SHIPS,HLOOKUP(H$3,SHIPS,2,0)+2,0)/X22)</f>
        <v>157020.49230769233</v>
      </c>
      <c r="I22" s="62">
        <f>IF($E22=0,0,+VLOOKUP(SHIPS!$A$7,SHIPS,HLOOKUP(I$3,SHIPS,2,0)+2,0)/Y22)</f>
        <v>247338.46153846153</v>
      </c>
      <c r="J22" s="62"/>
      <c r="K22" s="62"/>
      <c r="L22" s="121"/>
      <c r="M22" s="122"/>
      <c r="N22" s="53"/>
      <c r="O22" s="269" t="str">
        <f t="shared" si="6"/>
        <v>VENEZUELACOVE POINT</v>
      </c>
      <c r="P22" s="265">
        <f>+ROUNDUP($E22/SHIPS!$C$10+SHIPS!$C$13+SHIPS!$C$14/2+IF($D22="SUEZ",SHIPS!$C$15/2,0),0)</f>
        <v>7</v>
      </c>
      <c r="Q22" s="62">
        <f>+ROUNDUP($E22/SHIPS!$C$10+SHIPS!$C$13+SHIPS!$C$14/2+IF($D22="SUEZ",SHIPS!$C$15/2,0),0)</f>
        <v>7</v>
      </c>
      <c r="R22" s="62"/>
      <c r="S22" s="62"/>
      <c r="T22" s="121"/>
      <c r="U22" s="122"/>
      <c r="V22" s="53"/>
      <c r="W22" s="269" t="str">
        <f t="shared" si="7"/>
        <v>VENEZUELACOVE POINT</v>
      </c>
      <c r="X22" s="265">
        <f>ROUNDUP(((+$E22*2)/SHIPS!C$10)+(SHIPS!C$13+SHIPS!C$14+IF(ROUTES!$D22="SUEZ",SHIPS!C$15,0)),0)</f>
        <v>13</v>
      </c>
      <c r="Y22" s="62">
        <f>ROUNDUP(((+$E22*2)/SHIPS!D$10)+(SHIPS!D$13+SHIPS!D$14+IF(ROUTES!$D22="SUEZ",SHIPS!D$15,0)),0)</f>
        <v>13</v>
      </c>
      <c r="Z22" s="62"/>
      <c r="AA22" s="62"/>
      <c r="AB22" s="121"/>
      <c r="AC22" s="122"/>
      <c r="AD22" s="86"/>
      <c r="AE22" s="269" t="str">
        <f t="shared" si="8"/>
        <v>VENEZUELACOVE POINT</v>
      </c>
      <c r="AF22" s="271">
        <f>+CURVELOAD!$G$11*(($E22/SHIPS!C$10)*SHIPS!C$16+($E22/SHIPS!C$10)*SHIPS!C$17+(SHIPS!C$13+SHIPS!C$14)*SHIPS!C$18+IF($D22="suez",SHIPS!C$15*SHIPS!C$18,0))</f>
        <v>181199.375</v>
      </c>
      <c r="AG22" s="130">
        <f>+CURVELOAD!$G$11*(($E22/SHIPS!D$10)*SHIPS!D$16+($E22/SHIPS!D$10)*SHIPS!D$17+(SHIPS!D$13+SHIPS!D$14)*SHIPS!D$18+IF($D22="suez",SHIPS!D$15*SHIPS!D$18,0))</f>
        <v>201733.86548913046</v>
      </c>
      <c r="AH22" s="130"/>
      <c r="AI22" s="130"/>
      <c r="AJ22" s="132"/>
      <c r="AK22" s="133"/>
      <c r="AM22" s="269" t="str">
        <f t="shared" si="9"/>
        <v>VENEZUELACOVE POINT</v>
      </c>
      <c r="AN22" s="265">
        <f>+H22*365.25*(1-(SHIPS!C$11*P22))</f>
        <v>56247713.920188472</v>
      </c>
      <c r="AO22" s="62">
        <f>+I22*365.25*(1-(SHIPS!D$11*Q22))</f>
        <v>89391799.159615383</v>
      </c>
      <c r="AP22" s="62"/>
      <c r="AQ22" s="62"/>
      <c r="AR22" s="121"/>
      <c r="AS22" s="122"/>
    </row>
    <row r="23" spans="1:45" x14ac:dyDescent="0.2">
      <c r="A23" s="260" t="str">
        <f t="shared" si="10"/>
        <v>VENEZUELAPUERTO RICO</v>
      </c>
      <c r="B23" s="255" t="s">
        <v>41</v>
      </c>
      <c r="C23" s="52" t="s">
        <v>75</v>
      </c>
      <c r="D23" s="52"/>
      <c r="E23" s="31">
        <v>622</v>
      </c>
      <c r="F23" s="199"/>
      <c r="G23" s="269" t="str">
        <f t="shared" si="5"/>
        <v>VENEZUELAPUERTO RICO</v>
      </c>
      <c r="H23" s="265">
        <f>IF($E23=0,0,+VLOOKUP(SHIPS!$A$7,SHIPS,HLOOKUP(H$3,SHIPS,2,0)+2,0)/X23)</f>
        <v>340211.06666666671</v>
      </c>
      <c r="I23" s="62">
        <f>IF($E23=0,0,+VLOOKUP(SHIPS!$A$7,SHIPS,HLOOKUP(I$3,SHIPS,2,0)+2,0)/Y23)</f>
        <v>535900</v>
      </c>
      <c r="J23" s="62"/>
      <c r="K23" s="62"/>
      <c r="L23" s="121"/>
      <c r="M23" s="122"/>
      <c r="N23" s="53"/>
      <c r="O23" s="269" t="str">
        <f t="shared" si="6"/>
        <v>VENEZUELAPUERTO RICO</v>
      </c>
      <c r="P23" s="265">
        <f>+ROUNDUP($E23/SHIPS!$C$10+SHIPS!$C$13+SHIPS!$C$14/2+IF($D23="SUEZ",SHIPS!$C$15/2,0),0)</f>
        <v>4</v>
      </c>
      <c r="Q23" s="62">
        <f>+ROUNDUP($E23/SHIPS!$C$10+SHIPS!$C$13+SHIPS!$C$14/2+IF($D23="SUEZ",SHIPS!$C$15/2,0),0)</f>
        <v>4</v>
      </c>
      <c r="R23" s="62"/>
      <c r="S23" s="62"/>
      <c r="T23" s="121"/>
      <c r="U23" s="122"/>
      <c r="V23" s="53"/>
      <c r="W23" s="269" t="str">
        <f t="shared" si="7"/>
        <v>VENEZUELAPUERTO RICO</v>
      </c>
      <c r="X23" s="265">
        <f>ROUNDUP(((+$E23*2)/SHIPS!C$10)+(SHIPS!C$13+SHIPS!C$14+IF(ROUTES!$D23="SUEZ",SHIPS!C$15,0)),0)</f>
        <v>6</v>
      </c>
      <c r="Y23" s="62">
        <f>ROUNDUP(((+$E23*2)/SHIPS!D$10)+(SHIPS!D$13+SHIPS!D$14+IF(ROUTES!$D23="SUEZ",SHIPS!D$15,0)),0)</f>
        <v>6</v>
      </c>
      <c r="Z23" s="62"/>
      <c r="AA23" s="62"/>
      <c r="AB23" s="121"/>
      <c r="AC23" s="122"/>
      <c r="AD23" s="86"/>
      <c r="AE23" s="269" t="str">
        <f t="shared" si="8"/>
        <v>VENEZUELAPUERTO RICO</v>
      </c>
      <c r="AF23" s="271">
        <f>+CURVELOAD!$G$11*(($E23/SHIPS!C$10)*SHIPS!C$16+($E23/SHIPS!C$10)*SHIPS!C$17+(SHIPS!C$13+SHIPS!C$14)*SHIPS!C$18+IF($D23="suez",SHIPS!C$15*SHIPS!C$18,0))</f>
        <v>66403.75</v>
      </c>
      <c r="AG23" s="130">
        <f>+CURVELOAD!$G$11*(($E23/SHIPS!D$10)*SHIPS!D$16+($E23/SHIPS!D$10)*SHIPS!D$17+(SHIPS!D$13+SHIPS!D$14)*SHIPS!D$18+IF($D23="suez",SHIPS!D$15*SHIPS!D$18,0))</f>
        <v>75314.198369565231</v>
      </c>
      <c r="AH23" s="130"/>
      <c r="AI23" s="130"/>
      <c r="AJ23" s="132"/>
      <c r="AK23" s="133"/>
      <c r="AM23" s="269" t="str">
        <f t="shared" si="9"/>
        <v>VENEZUELAPUERTO RICO</v>
      </c>
      <c r="AN23" s="265">
        <f>+H23*365.25*(1-(SHIPS!C$11*P23))</f>
        <v>122895209.08690001</v>
      </c>
      <c r="AO23" s="62">
        <f>+I23*365.25*(1-(SHIPS!D$11*Q23))</f>
        <v>194563050.15000001</v>
      </c>
      <c r="AP23" s="62"/>
      <c r="AQ23" s="62"/>
      <c r="AR23" s="121"/>
      <c r="AS23" s="122"/>
    </row>
    <row r="24" spans="1:45" x14ac:dyDescent="0.2">
      <c r="A24" s="260" t="str">
        <f t="shared" si="10"/>
        <v>VENEZUELASPAIN</v>
      </c>
      <c r="B24" s="255" t="s">
        <v>41</v>
      </c>
      <c r="C24" s="52" t="s">
        <v>30</v>
      </c>
      <c r="D24" s="52"/>
      <c r="E24" s="31">
        <v>4010</v>
      </c>
      <c r="F24" s="199"/>
      <c r="G24" s="269" t="str">
        <f t="shared" si="5"/>
        <v>VENEZUELASPAIN</v>
      </c>
      <c r="H24" s="265">
        <f>IF($E24=0,0,+VLOOKUP(SHIPS!$A$7,SHIPS,HLOOKUP(H$3,SHIPS,2,0)+2,0)/X24)</f>
        <v>88750.713043478274</v>
      </c>
      <c r="I24" s="62">
        <f>IF($E24=0,0,+VLOOKUP(SHIPS!$A$7,SHIPS,HLOOKUP(I$3,SHIPS,2,0)+2,0)/Y24)</f>
        <v>146154.54545454544</v>
      </c>
      <c r="J24" s="62"/>
      <c r="K24" s="62"/>
      <c r="L24" s="121"/>
      <c r="M24" s="122"/>
      <c r="N24" s="53"/>
      <c r="O24" s="269" t="str">
        <f t="shared" si="6"/>
        <v>VENEZUELASPAIN</v>
      </c>
      <c r="P24" s="265">
        <f>+ROUNDUP($E24/SHIPS!$C$10+SHIPS!$C$13+SHIPS!$C$14/2+IF($D24="SUEZ",SHIPS!$C$15/2,0),0)</f>
        <v>12</v>
      </c>
      <c r="Q24" s="62">
        <f>+ROUNDUP($E24/SHIPS!$C$10+SHIPS!$C$13+SHIPS!$C$14/2+IF($D24="SUEZ",SHIPS!$C$15/2,0),0)</f>
        <v>12</v>
      </c>
      <c r="R24" s="62"/>
      <c r="S24" s="62"/>
      <c r="T24" s="121"/>
      <c r="U24" s="122"/>
      <c r="V24" s="53"/>
      <c r="W24" s="269" t="str">
        <f t="shared" si="7"/>
        <v>VENEZUELASPAIN</v>
      </c>
      <c r="X24" s="265">
        <f>ROUNDUP(((+$E24*2)/SHIPS!C$10)+(SHIPS!C$13+SHIPS!C$14+IF(ROUTES!$D24="SUEZ",SHIPS!C$15,0)),0)</f>
        <v>23</v>
      </c>
      <c r="Y24" s="62">
        <f>ROUNDUP(((+$E24*2)/SHIPS!D$10)+(SHIPS!D$13+SHIPS!D$14+IF(ROUTES!$D24="SUEZ",SHIPS!D$15,0)),0)</f>
        <v>22</v>
      </c>
      <c r="Z24" s="62"/>
      <c r="AA24" s="62"/>
      <c r="AB24" s="121"/>
      <c r="AC24" s="122"/>
      <c r="AD24" s="86"/>
      <c r="AE24" s="269" t="str">
        <f t="shared" si="8"/>
        <v>VENEZUELASPAIN</v>
      </c>
      <c r="AF24" s="271">
        <f>+CURVELOAD!$G$11*(($E24/SHIPS!C$10)*SHIPS!C$16+($E24/SHIPS!C$10)*SHIPS!C$17+(SHIPS!C$13+SHIPS!C$14)*SHIPS!C$18+IF($D24="suez",SHIPS!C$15*SHIPS!C$18,0))</f>
        <v>348031.25</v>
      </c>
      <c r="AG24" s="130">
        <f>+CURVELOAD!$G$11*(($E24/SHIPS!D$10)*SHIPS!D$16+($E24/SHIPS!D$10)*SHIPS!D$17+(SHIPS!D$13+SHIPS!D$14)*SHIPS!D$18+IF($D24="suez",SHIPS!D$15*SHIPS!D$18,0))</f>
        <v>385458.89945652179</v>
      </c>
      <c r="AH24" s="130"/>
      <c r="AI24" s="130"/>
      <c r="AJ24" s="132"/>
      <c r="AK24" s="133"/>
      <c r="AM24" s="269" t="str">
        <f t="shared" si="9"/>
        <v>VENEZUELASPAIN</v>
      </c>
      <c r="AN24" s="265">
        <f>+H24*365.25*(1-(SHIPS!C$11*P24))</f>
        <v>31346463.407139134</v>
      </c>
      <c r="AO24" s="62">
        <f>+I24*365.25*(1-(SHIPS!D$11*Q24))</f>
        <v>52422054.668181807</v>
      </c>
      <c r="AP24" s="62"/>
      <c r="AQ24" s="62"/>
      <c r="AR24" s="121"/>
      <c r="AS24" s="122"/>
    </row>
    <row r="25" spans="1:45" x14ac:dyDescent="0.2">
      <c r="A25" s="261"/>
      <c r="B25" s="255"/>
      <c r="C25" s="52"/>
      <c r="D25" s="52"/>
      <c r="E25" s="31"/>
      <c r="F25" s="90"/>
      <c r="G25" s="262"/>
      <c r="H25" s="266"/>
      <c r="I25" s="121"/>
      <c r="J25" s="121"/>
      <c r="K25" s="121"/>
      <c r="L25" s="121"/>
      <c r="M25" s="122"/>
      <c r="N25" s="53"/>
      <c r="O25" s="262"/>
      <c r="P25" s="266"/>
      <c r="Q25" s="121"/>
      <c r="R25" s="121"/>
      <c r="S25" s="121"/>
      <c r="T25" s="121"/>
      <c r="U25" s="122"/>
      <c r="V25" s="53"/>
      <c r="W25" s="262"/>
      <c r="X25" s="266"/>
      <c r="Y25" s="121"/>
      <c r="Z25" s="121"/>
      <c r="AA25" s="121"/>
      <c r="AB25" s="121"/>
      <c r="AC25" s="122"/>
      <c r="AD25" s="53"/>
      <c r="AE25" s="262"/>
      <c r="AF25" s="272"/>
      <c r="AG25" s="132"/>
      <c r="AH25" s="132"/>
      <c r="AI25" s="132"/>
      <c r="AJ25" s="132"/>
      <c r="AK25" s="133"/>
      <c r="AM25" s="262"/>
      <c r="AN25" s="266"/>
      <c r="AO25" s="121"/>
      <c r="AP25" s="121"/>
      <c r="AQ25" s="121"/>
      <c r="AR25" s="121"/>
      <c r="AS25" s="122"/>
    </row>
    <row r="26" spans="1:45" x14ac:dyDescent="0.2">
      <c r="A26" s="261"/>
      <c r="B26" s="255"/>
      <c r="C26" s="52"/>
      <c r="D26" s="52"/>
      <c r="E26" s="31"/>
      <c r="F26" s="90"/>
      <c r="G26" s="262"/>
      <c r="H26" s="266"/>
      <c r="I26" s="121"/>
      <c r="J26" s="121"/>
      <c r="K26" s="121"/>
      <c r="L26" s="121"/>
      <c r="M26" s="122"/>
      <c r="N26" s="53"/>
      <c r="O26" s="262"/>
      <c r="P26" s="266"/>
      <c r="Q26" s="121"/>
      <c r="R26" s="121"/>
      <c r="S26" s="121"/>
      <c r="T26" s="121"/>
      <c r="U26" s="122"/>
      <c r="V26" s="53"/>
      <c r="W26" s="262"/>
      <c r="X26" s="266"/>
      <c r="Y26" s="121"/>
      <c r="Z26" s="121"/>
      <c r="AA26" s="121"/>
      <c r="AB26" s="121"/>
      <c r="AC26" s="122"/>
      <c r="AE26" s="262"/>
      <c r="AF26" s="272"/>
      <c r="AG26" s="132"/>
      <c r="AH26" s="132"/>
      <c r="AI26" s="132"/>
      <c r="AJ26" s="132"/>
      <c r="AK26" s="133"/>
      <c r="AM26" s="262"/>
      <c r="AN26" s="266"/>
      <c r="AO26" s="121"/>
      <c r="AP26" s="121"/>
      <c r="AQ26" s="121"/>
      <c r="AR26" s="121"/>
      <c r="AS26" s="122"/>
    </row>
    <row r="27" spans="1:45" x14ac:dyDescent="0.2">
      <c r="A27" s="261"/>
      <c r="B27" s="255"/>
      <c r="C27" s="52"/>
      <c r="D27" s="52"/>
      <c r="E27" s="31"/>
      <c r="F27" s="90"/>
      <c r="G27" s="262"/>
      <c r="H27" s="266"/>
      <c r="I27" s="121"/>
      <c r="J27" s="121"/>
      <c r="K27" s="121"/>
      <c r="L27" s="121"/>
      <c r="M27" s="122"/>
      <c r="N27" s="53"/>
      <c r="O27" s="262"/>
      <c r="P27" s="266"/>
      <c r="Q27" s="121"/>
      <c r="R27" s="121"/>
      <c r="S27" s="121"/>
      <c r="T27" s="121"/>
      <c r="U27" s="122"/>
      <c r="V27" s="53"/>
      <c r="W27" s="262"/>
      <c r="X27" s="266"/>
      <c r="Y27" s="121"/>
      <c r="Z27" s="121"/>
      <c r="AA27" s="121"/>
      <c r="AB27" s="121"/>
      <c r="AC27" s="122"/>
      <c r="AE27" s="262"/>
      <c r="AF27" s="272"/>
      <c r="AG27" s="132"/>
      <c r="AH27" s="132"/>
      <c r="AI27" s="132"/>
      <c r="AJ27" s="132"/>
      <c r="AK27" s="133"/>
      <c r="AM27" s="262"/>
      <c r="AN27" s="266"/>
      <c r="AO27" s="121"/>
      <c r="AP27" s="121"/>
      <c r="AQ27" s="121"/>
      <c r="AR27" s="121"/>
      <c r="AS27" s="122"/>
    </row>
    <row r="28" spans="1:45" x14ac:dyDescent="0.2">
      <c r="A28" s="261"/>
      <c r="B28" s="255"/>
      <c r="C28" s="52"/>
      <c r="D28" s="52"/>
      <c r="E28" s="31"/>
      <c r="F28" s="90"/>
      <c r="G28" s="262"/>
      <c r="H28" s="266"/>
      <c r="I28" s="121"/>
      <c r="J28" s="121"/>
      <c r="K28" s="121"/>
      <c r="L28" s="121"/>
      <c r="M28" s="122"/>
      <c r="N28" s="53"/>
      <c r="O28" s="262"/>
      <c r="P28" s="266"/>
      <c r="Q28" s="121"/>
      <c r="R28" s="121"/>
      <c r="S28" s="121"/>
      <c r="T28" s="121"/>
      <c r="U28" s="122"/>
      <c r="V28" s="53"/>
      <c r="W28" s="262"/>
      <c r="X28" s="266"/>
      <c r="Y28" s="121"/>
      <c r="Z28" s="121"/>
      <c r="AA28" s="121"/>
      <c r="AB28" s="121"/>
      <c r="AC28" s="122"/>
      <c r="AE28" s="262"/>
      <c r="AF28" s="272"/>
      <c r="AG28" s="132"/>
      <c r="AH28" s="132"/>
      <c r="AI28" s="132"/>
      <c r="AJ28" s="132"/>
      <c r="AK28" s="133"/>
      <c r="AM28" s="262"/>
      <c r="AN28" s="266"/>
      <c r="AO28" s="121"/>
      <c r="AP28" s="121"/>
      <c r="AQ28" s="121"/>
      <c r="AR28" s="121"/>
      <c r="AS28" s="122"/>
    </row>
    <row r="29" spans="1:45" x14ac:dyDescent="0.2">
      <c r="A29" s="261"/>
      <c r="B29" s="255"/>
      <c r="C29" s="52"/>
      <c r="D29" s="52"/>
      <c r="E29" s="31"/>
      <c r="F29" s="90"/>
      <c r="G29" s="262"/>
      <c r="H29" s="266"/>
      <c r="I29" s="121"/>
      <c r="J29" s="121"/>
      <c r="K29" s="121"/>
      <c r="L29" s="121"/>
      <c r="M29" s="122"/>
      <c r="N29" s="53"/>
      <c r="O29" s="262"/>
      <c r="P29" s="266"/>
      <c r="Q29" s="121"/>
      <c r="R29" s="121"/>
      <c r="S29" s="121"/>
      <c r="T29" s="121"/>
      <c r="U29" s="122"/>
      <c r="V29" s="53"/>
      <c r="W29" s="262"/>
      <c r="X29" s="266"/>
      <c r="Y29" s="121"/>
      <c r="Z29" s="121"/>
      <c r="AA29" s="121"/>
      <c r="AB29" s="121"/>
      <c r="AC29" s="122"/>
      <c r="AE29" s="262"/>
      <c r="AF29" s="272"/>
      <c r="AG29" s="132"/>
      <c r="AH29" s="132"/>
      <c r="AI29" s="132"/>
      <c r="AJ29" s="132"/>
      <c r="AK29" s="133"/>
      <c r="AM29" s="262"/>
      <c r="AN29" s="266"/>
      <c r="AO29" s="121"/>
      <c r="AP29" s="121"/>
      <c r="AQ29" s="121"/>
      <c r="AR29" s="121"/>
      <c r="AS29" s="122"/>
    </row>
    <row r="30" spans="1:45" x14ac:dyDescent="0.2">
      <c r="A30" s="261"/>
      <c r="B30" s="255"/>
      <c r="C30" s="52"/>
      <c r="D30" s="52"/>
      <c r="E30" s="31"/>
      <c r="F30" s="90"/>
      <c r="G30" s="262"/>
      <c r="H30" s="266"/>
      <c r="I30" s="121"/>
      <c r="J30" s="121"/>
      <c r="K30" s="121"/>
      <c r="L30" s="121"/>
      <c r="M30" s="122"/>
      <c r="N30" s="53"/>
      <c r="O30" s="262"/>
      <c r="P30" s="266"/>
      <c r="Q30" s="121"/>
      <c r="R30" s="121"/>
      <c r="S30" s="121"/>
      <c r="T30" s="121"/>
      <c r="U30" s="122"/>
      <c r="V30" s="53"/>
      <c r="W30" s="262"/>
      <c r="X30" s="266"/>
      <c r="Y30" s="121"/>
      <c r="Z30" s="121"/>
      <c r="AA30" s="121"/>
      <c r="AB30" s="121"/>
      <c r="AC30" s="122"/>
      <c r="AE30" s="262"/>
      <c r="AF30" s="272"/>
      <c r="AG30" s="132"/>
      <c r="AH30" s="132"/>
      <c r="AI30" s="132"/>
      <c r="AJ30" s="132"/>
      <c r="AK30" s="133"/>
      <c r="AM30" s="262"/>
      <c r="AN30" s="266"/>
      <c r="AO30" s="121"/>
      <c r="AP30" s="121"/>
      <c r="AQ30" s="121"/>
      <c r="AR30" s="121"/>
      <c r="AS30" s="122"/>
    </row>
    <row r="31" spans="1:45" x14ac:dyDescent="0.2">
      <c r="A31" s="261"/>
      <c r="B31" s="255"/>
      <c r="C31" s="52"/>
      <c r="D31" s="52"/>
      <c r="E31" s="31"/>
      <c r="F31" s="90"/>
      <c r="G31" s="262"/>
      <c r="H31" s="266"/>
      <c r="I31" s="121"/>
      <c r="J31" s="121"/>
      <c r="K31" s="121"/>
      <c r="L31" s="121"/>
      <c r="M31" s="122"/>
      <c r="N31" s="53"/>
      <c r="O31" s="262"/>
      <c r="P31" s="266"/>
      <c r="Q31" s="121"/>
      <c r="R31" s="121"/>
      <c r="S31" s="121"/>
      <c r="T31" s="121"/>
      <c r="U31" s="122"/>
      <c r="V31" s="53"/>
      <c r="W31" s="262"/>
      <c r="X31" s="266"/>
      <c r="Y31" s="121"/>
      <c r="Z31" s="121"/>
      <c r="AA31" s="121"/>
      <c r="AB31" s="121"/>
      <c r="AC31" s="122"/>
      <c r="AE31" s="262"/>
      <c r="AF31" s="272"/>
      <c r="AG31" s="132"/>
      <c r="AH31" s="132"/>
      <c r="AI31" s="132"/>
      <c r="AJ31" s="132"/>
      <c r="AK31" s="133"/>
      <c r="AM31" s="262"/>
      <c r="AN31" s="266"/>
      <c r="AO31" s="121"/>
      <c r="AP31" s="121"/>
      <c r="AQ31" s="121"/>
      <c r="AR31" s="121"/>
      <c r="AS31" s="122"/>
    </row>
    <row r="32" spans="1:45" x14ac:dyDescent="0.2">
      <c r="A32" s="261"/>
      <c r="B32" s="255"/>
      <c r="C32" s="52"/>
      <c r="D32" s="52"/>
      <c r="E32" s="31"/>
      <c r="F32" s="90"/>
      <c r="G32" s="262"/>
      <c r="H32" s="266"/>
      <c r="I32" s="121"/>
      <c r="J32" s="121"/>
      <c r="K32" s="121"/>
      <c r="L32" s="121"/>
      <c r="M32" s="122"/>
      <c r="N32" s="53"/>
      <c r="O32" s="262"/>
      <c r="P32" s="266"/>
      <c r="Q32" s="121"/>
      <c r="R32" s="121"/>
      <c r="S32" s="121"/>
      <c r="T32" s="121"/>
      <c r="U32" s="122"/>
      <c r="V32" s="53"/>
      <c r="W32" s="262"/>
      <c r="X32" s="266"/>
      <c r="Y32" s="121"/>
      <c r="Z32" s="121"/>
      <c r="AA32" s="121"/>
      <c r="AB32" s="121"/>
      <c r="AC32" s="122"/>
      <c r="AE32" s="262"/>
      <c r="AF32" s="272"/>
      <c r="AG32" s="132"/>
      <c r="AH32" s="132"/>
      <c r="AI32" s="132"/>
      <c r="AJ32" s="132"/>
      <c r="AK32" s="133"/>
      <c r="AM32" s="262"/>
      <c r="AN32" s="266"/>
      <c r="AO32" s="121"/>
      <c r="AP32" s="121"/>
      <c r="AQ32" s="121"/>
      <c r="AR32" s="121"/>
      <c r="AS32" s="122"/>
    </row>
    <row r="33" spans="1:45" x14ac:dyDescent="0.2">
      <c r="A33" s="261"/>
      <c r="B33" s="255"/>
      <c r="C33" s="52"/>
      <c r="D33" s="52"/>
      <c r="E33" s="31"/>
      <c r="F33" s="90"/>
      <c r="G33" s="262"/>
      <c r="H33" s="266"/>
      <c r="I33" s="121"/>
      <c r="J33" s="121"/>
      <c r="K33" s="121"/>
      <c r="L33" s="121"/>
      <c r="M33" s="122"/>
      <c r="N33" s="53"/>
      <c r="O33" s="262"/>
      <c r="P33" s="266"/>
      <c r="Q33" s="121"/>
      <c r="R33" s="121"/>
      <c r="S33" s="121"/>
      <c r="T33" s="121"/>
      <c r="U33" s="122"/>
      <c r="V33" s="53"/>
      <c r="W33" s="262"/>
      <c r="X33" s="266"/>
      <c r="Y33" s="121"/>
      <c r="Z33" s="121"/>
      <c r="AA33" s="121"/>
      <c r="AB33" s="121"/>
      <c r="AC33" s="122"/>
      <c r="AE33" s="262"/>
      <c r="AF33" s="272"/>
      <c r="AG33" s="132"/>
      <c r="AH33" s="132"/>
      <c r="AI33" s="132"/>
      <c r="AJ33" s="132"/>
      <c r="AK33" s="133"/>
      <c r="AM33" s="262"/>
      <c r="AN33" s="266"/>
      <c r="AO33" s="121"/>
      <c r="AP33" s="121"/>
      <c r="AQ33" s="121"/>
      <c r="AR33" s="121"/>
      <c r="AS33" s="122"/>
    </row>
    <row r="34" spans="1:45" x14ac:dyDescent="0.2">
      <c r="A34" s="261"/>
      <c r="B34" s="255"/>
      <c r="C34" s="52"/>
      <c r="D34" s="52"/>
      <c r="E34" s="31"/>
      <c r="F34" s="90"/>
      <c r="G34" s="262"/>
      <c r="H34" s="266"/>
      <c r="I34" s="121"/>
      <c r="J34" s="121"/>
      <c r="K34" s="121"/>
      <c r="L34" s="121"/>
      <c r="M34" s="122"/>
      <c r="N34" s="53"/>
      <c r="O34" s="262"/>
      <c r="P34" s="266"/>
      <c r="Q34" s="121"/>
      <c r="R34" s="121"/>
      <c r="S34" s="121"/>
      <c r="T34" s="121"/>
      <c r="U34" s="122"/>
      <c r="V34" s="53"/>
      <c r="W34" s="262"/>
      <c r="X34" s="266"/>
      <c r="Y34" s="121"/>
      <c r="Z34" s="121"/>
      <c r="AA34" s="121"/>
      <c r="AB34" s="121"/>
      <c r="AC34" s="122"/>
      <c r="AE34" s="262"/>
      <c r="AF34" s="272"/>
      <c r="AG34" s="132"/>
      <c r="AH34" s="132"/>
      <c r="AI34" s="132"/>
      <c r="AJ34" s="132"/>
      <c r="AK34" s="133"/>
      <c r="AM34" s="262"/>
      <c r="AN34" s="266"/>
      <c r="AO34" s="121"/>
      <c r="AP34" s="121"/>
      <c r="AQ34" s="121"/>
      <c r="AR34" s="121"/>
      <c r="AS34" s="122"/>
    </row>
    <row r="35" spans="1:45" x14ac:dyDescent="0.2">
      <c r="A35" s="261"/>
      <c r="B35" s="255"/>
      <c r="C35" s="52"/>
      <c r="D35" s="52"/>
      <c r="E35" s="31"/>
      <c r="F35" s="90"/>
      <c r="G35" s="262"/>
      <c r="H35" s="266"/>
      <c r="I35" s="121"/>
      <c r="J35" s="121"/>
      <c r="K35" s="121"/>
      <c r="L35" s="121"/>
      <c r="M35" s="122"/>
      <c r="N35" s="53"/>
      <c r="O35" s="262"/>
      <c r="P35" s="266"/>
      <c r="Q35" s="121"/>
      <c r="R35" s="121"/>
      <c r="S35" s="121"/>
      <c r="T35" s="121"/>
      <c r="U35" s="122"/>
      <c r="V35" s="53"/>
      <c r="W35" s="262"/>
      <c r="X35" s="266"/>
      <c r="Y35" s="121"/>
      <c r="Z35" s="121"/>
      <c r="AA35" s="121"/>
      <c r="AB35" s="121"/>
      <c r="AC35" s="122"/>
      <c r="AE35" s="262"/>
      <c r="AF35" s="272"/>
      <c r="AG35" s="132"/>
      <c r="AH35" s="132"/>
      <c r="AI35" s="132"/>
      <c r="AJ35" s="132"/>
      <c r="AK35" s="133"/>
      <c r="AM35" s="262"/>
      <c r="AN35" s="266"/>
      <c r="AO35" s="121"/>
      <c r="AP35" s="121"/>
      <c r="AQ35" s="121"/>
      <c r="AR35" s="121"/>
      <c r="AS35" s="122"/>
    </row>
    <row r="36" spans="1:45" x14ac:dyDescent="0.2">
      <c r="A36" s="261"/>
      <c r="B36" s="255"/>
      <c r="C36" s="52"/>
      <c r="D36" s="52"/>
      <c r="E36" s="31"/>
      <c r="F36" s="90"/>
      <c r="G36" s="262"/>
      <c r="H36" s="266"/>
      <c r="I36" s="121"/>
      <c r="J36" s="121"/>
      <c r="K36" s="121"/>
      <c r="L36" s="121"/>
      <c r="M36" s="122"/>
      <c r="N36" s="53"/>
      <c r="O36" s="262"/>
      <c r="P36" s="266"/>
      <c r="Q36" s="121"/>
      <c r="R36" s="121"/>
      <c r="S36" s="121"/>
      <c r="T36" s="121"/>
      <c r="U36" s="122"/>
      <c r="V36" s="53"/>
      <c r="W36" s="262"/>
      <c r="X36" s="266"/>
      <c r="Y36" s="121"/>
      <c r="Z36" s="121"/>
      <c r="AA36" s="121"/>
      <c r="AB36" s="121"/>
      <c r="AC36" s="122"/>
      <c r="AE36" s="262"/>
      <c r="AF36" s="272"/>
      <c r="AG36" s="132"/>
      <c r="AH36" s="132"/>
      <c r="AI36" s="132"/>
      <c r="AJ36" s="132"/>
      <c r="AK36" s="133"/>
      <c r="AM36" s="262"/>
      <c r="AN36" s="266"/>
      <c r="AO36" s="121"/>
      <c r="AP36" s="121"/>
      <c r="AQ36" s="121"/>
      <c r="AR36" s="121"/>
      <c r="AS36" s="122"/>
    </row>
    <row r="37" spans="1:45" x14ac:dyDescent="0.2">
      <c r="A37" s="261"/>
      <c r="B37" s="255"/>
      <c r="C37" s="52"/>
      <c r="D37" s="52"/>
      <c r="E37" s="31"/>
      <c r="F37" s="90"/>
      <c r="G37" s="262"/>
      <c r="H37" s="266"/>
      <c r="I37" s="121"/>
      <c r="J37" s="121"/>
      <c r="K37" s="121"/>
      <c r="L37" s="121"/>
      <c r="M37" s="122"/>
      <c r="N37" s="53"/>
      <c r="O37" s="262"/>
      <c r="P37" s="266"/>
      <c r="Q37" s="121"/>
      <c r="R37" s="121"/>
      <c r="S37" s="121"/>
      <c r="T37" s="121"/>
      <c r="U37" s="122"/>
      <c r="V37" s="53"/>
      <c r="W37" s="262"/>
      <c r="X37" s="266"/>
      <c r="Y37" s="121"/>
      <c r="Z37" s="121"/>
      <c r="AA37" s="121"/>
      <c r="AB37" s="121"/>
      <c r="AC37" s="122"/>
      <c r="AE37" s="262"/>
      <c r="AF37" s="272"/>
      <c r="AG37" s="132"/>
      <c r="AH37" s="132"/>
      <c r="AI37" s="132"/>
      <c r="AJ37" s="132"/>
      <c r="AK37" s="133"/>
      <c r="AM37" s="262"/>
      <c r="AN37" s="266"/>
      <c r="AO37" s="121"/>
      <c r="AP37" s="121"/>
      <c r="AQ37" s="121"/>
      <c r="AR37" s="121"/>
      <c r="AS37" s="122"/>
    </row>
    <row r="38" spans="1:45" x14ac:dyDescent="0.2">
      <c r="A38" s="261"/>
      <c r="B38" s="255"/>
      <c r="C38" s="52"/>
      <c r="D38" s="52"/>
      <c r="E38" s="31"/>
      <c r="F38" s="90"/>
      <c r="G38" s="262"/>
      <c r="H38" s="266"/>
      <c r="I38" s="121"/>
      <c r="J38" s="121"/>
      <c r="K38" s="121"/>
      <c r="L38" s="121"/>
      <c r="M38" s="122"/>
      <c r="N38" s="53"/>
      <c r="O38" s="262"/>
      <c r="P38" s="266"/>
      <c r="Q38" s="121"/>
      <c r="R38" s="121"/>
      <c r="S38" s="121"/>
      <c r="T38" s="121"/>
      <c r="U38" s="122"/>
      <c r="V38" s="53"/>
      <c r="W38" s="262"/>
      <c r="X38" s="266"/>
      <c r="Y38" s="121"/>
      <c r="Z38" s="121"/>
      <c r="AA38" s="121"/>
      <c r="AB38" s="121"/>
      <c r="AC38" s="122"/>
      <c r="AE38" s="262"/>
      <c r="AF38" s="272"/>
      <c r="AG38" s="132"/>
      <c r="AH38" s="132"/>
      <c r="AI38" s="132"/>
      <c r="AJ38" s="132"/>
      <c r="AK38" s="133"/>
      <c r="AM38" s="262"/>
      <c r="AN38" s="266"/>
      <c r="AO38" s="121"/>
      <c r="AP38" s="121"/>
      <c r="AQ38" s="121"/>
      <c r="AR38" s="121"/>
      <c r="AS38" s="122"/>
    </row>
    <row r="39" spans="1:45" x14ac:dyDescent="0.2">
      <c r="A39" s="261"/>
      <c r="B39" s="255"/>
      <c r="C39" s="52"/>
      <c r="D39" s="52"/>
      <c r="E39" s="31"/>
      <c r="F39" s="90"/>
      <c r="G39" s="262"/>
      <c r="H39" s="266"/>
      <c r="I39" s="121"/>
      <c r="J39" s="121"/>
      <c r="K39" s="121"/>
      <c r="L39" s="121"/>
      <c r="M39" s="122"/>
      <c r="N39" s="53"/>
      <c r="O39" s="262"/>
      <c r="P39" s="266"/>
      <c r="Q39" s="121"/>
      <c r="R39" s="121"/>
      <c r="S39" s="121"/>
      <c r="T39" s="121"/>
      <c r="U39" s="122"/>
      <c r="V39" s="53"/>
      <c r="W39" s="262"/>
      <c r="X39" s="266"/>
      <c r="Y39" s="121"/>
      <c r="Z39" s="121"/>
      <c r="AA39" s="121"/>
      <c r="AB39" s="121"/>
      <c r="AC39" s="122"/>
      <c r="AE39" s="262"/>
      <c r="AF39" s="272"/>
      <c r="AG39" s="132"/>
      <c r="AH39" s="132"/>
      <c r="AI39" s="132"/>
      <c r="AJ39" s="132"/>
      <c r="AK39" s="133"/>
      <c r="AM39" s="262"/>
      <c r="AN39" s="266"/>
      <c r="AO39" s="121"/>
      <c r="AP39" s="121"/>
      <c r="AQ39" s="121"/>
      <c r="AR39" s="121"/>
      <c r="AS39" s="122"/>
    </row>
    <row r="40" spans="1:45" x14ac:dyDescent="0.2">
      <c r="A40" s="261"/>
      <c r="B40" s="255"/>
      <c r="C40" s="52"/>
      <c r="D40" s="52"/>
      <c r="E40" s="31"/>
      <c r="F40" s="90"/>
      <c r="G40" s="262"/>
      <c r="H40" s="266"/>
      <c r="I40" s="121"/>
      <c r="J40" s="121"/>
      <c r="K40" s="121"/>
      <c r="L40" s="121"/>
      <c r="M40" s="122"/>
      <c r="N40" s="53"/>
      <c r="O40" s="262"/>
      <c r="P40" s="266"/>
      <c r="Q40" s="121"/>
      <c r="R40" s="121"/>
      <c r="S40" s="121"/>
      <c r="T40" s="121"/>
      <c r="U40" s="122"/>
      <c r="V40" s="53"/>
      <c r="W40" s="262"/>
      <c r="X40" s="266"/>
      <c r="Y40" s="121"/>
      <c r="Z40" s="121"/>
      <c r="AA40" s="121"/>
      <c r="AB40" s="121"/>
      <c r="AC40" s="122"/>
      <c r="AE40" s="262"/>
      <c r="AF40" s="272"/>
      <c r="AG40" s="132"/>
      <c r="AH40" s="132"/>
      <c r="AI40" s="132"/>
      <c r="AJ40" s="132"/>
      <c r="AK40" s="133"/>
      <c r="AM40" s="262"/>
      <c r="AN40" s="266"/>
      <c r="AO40" s="121"/>
      <c r="AP40" s="121"/>
      <c r="AQ40" s="121"/>
      <c r="AR40" s="121"/>
      <c r="AS40" s="122"/>
    </row>
    <row r="41" spans="1:45" x14ac:dyDescent="0.2">
      <c r="A41" s="261"/>
      <c r="B41" s="255"/>
      <c r="C41" s="52"/>
      <c r="D41" s="52"/>
      <c r="E41" s="31"/>
      <c r="F41" s="90"/>
      <c r="G41" s="262"/>
      <c r="H41" s="266"/>
      <c r="I41" s="121"/>
      <c r="J41" s="121"/>
      <c r="K41" s="121"/>
      <c r="L41" s="121"/>
      <c r="M41" s="122"/>
      <c r="N41" s="53"/>
      <c r="O41" s="262"/>
      <c r="P41" s="266"/>
      <c r="Q41" s="121"/>
      <c r="R41" s="121"/>
      <c r="S41" s="121"/>
      <c r="T41" s="121"/>
      <c r="U41" s="122"/>
      <c r="V41" s="53"/>
      <c r="W41" s="262"/>
      <c r="X41" s="266"/>
      <c r="Y41" s="121"/>
      <c r="Z41" s="121"/>
      <c r="AA41" s="121"/>
      <c r="AB41" s="121"/>
      <c r="AC41" s="122"/>
      <c r="AE41" s="262"/>
      <c r="AF41" s="272"/>
      <c r="AG41" s="132"/>
      <c r="AH41" s="132"/>
      <c r="AI41" s="132"/>
      <c r="AJ41" s="132"/>
      <c r="AK41" s="133"/>
      <c r="AM41" s="262"/>
      <c r="AN41" s="266"/>
      <c r="AO41" s="121"/>
      <c r="AP41" s="121"/>
      <c r="AQ41" s="121"/>
      <c r="AR41" s="121"/>
      <c r="AS41" s="122"/>
    </row>
    <row r="42" spans="1:45" x14ac:dyDescent="0.2">
      <c r="A42" s="261"/>
      <c r="B42" s="255"/>
      <c r="C42" s="52"/>
      <c r="D42" s="52"/>
      <c r="E42" s="31"/>
      <c r="F42" s="90"/>
      <c r="G42" s="262"/>
      <c r="H42" s="266"/>
      <c r="I42" s="121"/>
      <c r="J42" s="121"/>
      <c r="K42" s="121"/>
      <c r="L42" s="121"/>
      <c r="M42" s="122"/>
      <c r="N42" s="53"/>
      <c r="O42" s="262"/>
      <c r="P42" s="266"/>
      <c r="Q42" s="121"/>
      <c r="R42" s="121"/>
      <c r="S42" s="121"/>
      <c r="T42" s="121"/>
      <c r="U42" s="122"/>
      <c r="V42" s="53"/>
      <c r="W42" s="262"/>
      <c r="X42" s="266"/>
      <c r="Y42" s="121"/>
      <c r="Z42" s="121"/>
      <c r="AA42" s="121"/>
      <c r="AB42" s="121"/>
      <c r="AC42" s="122"/>
      <c r="AE42" s="262"/>
      <c r="AF42" s="272"/>
      <c r="AG42" s="132"/>
      <c r="AH42" s="132"/>
      <c r="AI42" s="132"/>
      <c r="AJ42" s="132"/>
      <c r="AK42" s="133"/>
      <c r="AM42" s="262"/>
      <c r="AN42" s="266"/>
      <c r="AO42" s="121"/>
      <c r="AP42" s="121"/>
      <c r="AQ42" s="121"/>
      <c r="AR42" s="121"/>
      <c r="AS42" s="122"/>
    </row>
    <row r="43" spans="1:45" x14ac:dyDescent="0.2">
      <c r="A43" s="261"/>
      <c r="B43" s="255"/>
      <c r="C43" s="52"/>
      <c r="D43" s="52"/>
      <c r="E43" s="31"/>
      <c r="F43" s="90"/>
      <c r="G43" s="262"/>
      <c r="H43" s="266"/>
      <c r="I43" s="121"/>
      <c r="J43" s="121"/>
      <c r="K43" s="121"/>
      <c r="L43" s="121"/>
      <c r="M43" s="122"/>
      <c r="N43" s="53"/>
      <c r="O43" s="262"/>
      <c r="P43" s="266"/>
      <c r="Q43" s="121"/>
      <c r="R43" s="121"/>
      <c r="S43" s="121"/>
      <c r="T43" s="121"/>
      <c r="U43" s="122"/>
      <c r="V43" s="53"/>
      <c r="W43" s="262"/>
      <c r="X43" s="266"/>
      <c r="Y43" s="121"/>
      <c r="Z43" s="121"/>
      <c r="AA43" s="121"/>
      <c r="AB43" s="121"/>
      <c r="AC43" s="122"/>
      <c r="AE43" s="262"/>
      <c r="AF43" s="272"/>
      <c r="AG43" s="132"/>
      <c r="AH43" s="132"/>
      <c r="AI43" s="132"/>
      <c r="AJ43" s="132"/>
      <c r="AK43" s="133"/>
      <c r="AM43" s="262"/>
      <c r="AN43" s="266"/>
      <c r="AO43" s="121"/>
      <c r="AP43" s="121"/>
      <c r="AQ43" s="121"/>
      <c r="AR43" s="121"/>
      <c r="AS43" s="122"/>
    </row>
    <row r="44" spans="1:45" x14ac:dyDescent="0.2">
      <c r="A44" s="261"/>
      <c r="B44" s="255"/>
      <c r="C44" s="52"/>
      <c r="D44" s="52"/>
      <c r="E44" s="31"/>
      <c r="F44" s="90"/>
      <c r="G44" s="262"/>
      <c r="H44" s="266"/>
      <c r="I44" s="121"/>
      <c r="J44" s="121"/>
      <c r="K44" s="121"/>
      <c r="L44" s="121"/>
      <c r="M44" s="122"/>
      <c r="N44" s="53"/>
      <c r="O44" s="262"/>
      <c r="P44" s="266"/>
      <c r="Q44" s="121"/>
      <c r="R44" s="121"/>
      <c r="S44" s="121"/>
      <c r="T44" s="121"/>
      <c r="U44" s="122"/>
      <c r="V44" s="53"/>
      <c r="W44" s="262"/>
      <c r="X44" s="266"/>
      <c r="Y44" s="121"/>
      <c r="Z44" s="121"/>
      <c r="AA44" s="121"/>
      <c r="AB44" s="121"/>
      <c r="AC44" s="122"/>
      <c r="AE44" s="262"/>
      <c r="AF44" s="272"/>
      <c r="AG44" s="132"/>
      <c r="AH44" s="132"/>
      <c r="AI44" s="132"/>
      <c r="AJ44" s="132"/>
      <c r="AK44" s="133"/>
      <c r="AM44" s="262"/>
      <c r="AN44" s="266"/>
      <c r="AO44" s="121"/>
      <c r="AP44" s="121"/>
      <c r="AQ44" s="121"/>
      <c r="AR44" s="121"/>
      <c r="AS44" s="122"/>
    </row>
    <row r="45" spans="1:45" x14ac:dyDescent="0.2">
      <c r="A45" s="261"/>
      <c r="B45" s="255"/>
      <c r="C45" s="52"/>
      <c r="D45" s="52"/>
      <c r="E45" s="31"/>
      <c r="F45" s="90"/>
      <c r="G45" s="262"/>
      <c r="H45" s="266"/>
      <c r="I45" s="121"/>
      <c r="J45" s="121"/>
      <c r="K45" s="121"/>
      <c r="L45" s="121"/>
      <c r="M45" s="122"/>
      <c r="N45" s="53"/>
      <c r="O45" s="262"/>
      <c r="P45" s="266"/>
      <c r="Q45" s="121"/>
      <c r="R45" s="121"/>
      <c r="S45" s="121"/>
      <c r="T45" s="121"/>
      <c r="U45" s="122"/>
      <c r="V45" s="53"/>
      <c r="W45" s="262"/>
      <c r="X45" s="266"/>
      <c r="Y45" s="121"/>
      <c r="Z45" s="121"/>
      <c r="AA45" s="121"/>
      <c r="AB45" s="121"/>
      <c r="AC45" s="122"/>
      <c r="AE45" s="262"/>
      <c r="AF45" s="272"/>
      <c r="AG45" s="132"/>
      <c r="AH45" s="132"/>
      <c r="AI45" s="132"/>
      <c r="AJ45" s="132"/>
      <c r="AK45" s="133"/>
      <c r="AM45" s="262"/>
      <c r="AN45" s="266"/>
      <c r="AO45" s="121"/>
      <c r="AP45" s="121"/>
      <c r="AQ45" s="121"/>
      <c r="AR45" s="121"/>
      <c r="AS45" s="122"/>
    </row>
    <row r="46" spans="1:45" x14ac:dyDescent="0.2">
      <c r="A46" s="261"/>
      <c r="B46" s="255"/>
      <c r="C46" s="52"/>
      <c r="D46" s="52"/>
      <c r="E46" s="31"/>
      <c r="F46" s="90"/>
      <c r="G46" s="262"/>
      <c r="H46" s="266"/>
      <c r="I46" s="121"/>
      <c r="J46" s="121"/>
      <c r="K46" s="121"/>
      <c r="L46" s="121"/>
      <c r="M46" s="122"/>
      <c r="N46" s="53"/>
      <c r="O46" s="262"/>
      <c r="P46" s="266"/>
      <c r="Q46" s="121"/>
      <c r="R46" s="121"/>
      <c r="S46" s="121"/>
      <c r="T46" s="121"/>
      <c r="U46" s="122"/>
      <c r="V46" s="53"/>
      <c r="W46" s="262"/>
      <c r="X46" s="266"/>
      <c r="Y46" s="121"/>
      <c r="Z46" s="121"/>
      <c r="AA46" s="121"/>
      <c r="AB46" s="121"/>
      <c r="AC46" s="122"/>
      <c r="AE46" s="262"/>
      <c r="AF46" s="272"/>
      <c r="AG46" s="132"/>
      <c r="AH46" s="132"/>
      <c r="AI46" s="132"/>
      <c r="AJ46" s="132"/>
      <c r="AK46" s="133"/>
      <c r="AM46" s="262"/>
      <c r="AN46" s="266"/>
      <c r="AO46" s="121"/>
      <c r="AP46" s="121"/>
      <c r="AQ46" s="121"/>
      <c r="AR46" s="121"/>
      <c r="AS46" s="122"/>
    </row>
    <row r="47" spans="1:45" x14ac:dyDescent="0.2">
      <c r="A47" s="261"/>
      <c r="B47" s="255"/>
      <c r="C47" s="52"/>
      <c r="D47" s="52"/>
      <c r="E47" s="31"/>
      <c r="F47" s="90"/>
      <c r="G47" s="262"/>
      <c r="H47" s="266"/>
      <c r="I47" s="121"/>
      <c r="J47" s="121"/>
      <c r="K47" s="121"/>
      <c r="L47" s="121"/>
      <c r="M47" s="122"/>
      <c r="N47" s="53"/>
      <c r="O47" s="262"/>
      <c r="P47" s="266"/>
      <c r="Q47" s="121"/>
      <c r="R47" s="121"/>
      <c r="S47" s="121"/>
      <c r="T47" s="121"/>
      <c r="U47" s="122"/>
      <c r="V47" s="53"/>
      <c r="W47" s="262"/>
      <c r="X47" s="266"/>
      <c r="Y47" s="121"/>
      <c r="Z47" s="121"/>
      <c r="AA47" s="121"/>
      <c r="AB47" s="121"/>
      <c r="AC47" s="122"/>
      <c r="AE47" s="262"/>
      <c r="AF47" s="272"/>
      <c r="AG47" s="132"/>
      <c r="AH47" s="132"/>
      <c r="AI47" s="132"/>
      <c r="AJ47" s="132"/>
      <c r="AK47" s="133"/>
      <c r="AM47" s="262"/>
      <c r="AN47" s="266"/>
      <c r="AO47" s="121"/>
      <c r="AP47" s="121"/>
      <c r="AQ47" s="121"/>
      <c r="AR47" s="121"/>
      <c r="AS47" s="122"/>
    </row>
    <row r="48" spans="1:45" x14ac:dyDescent="0.2">
      <c r="A48" s="261"/>
      <c r="B48" s="255"/>
      <c r="C48" s="52"/>
      <c r="D48" s="52"/>
      <c r="E48" s="31"/>
      <c r="F48" s="90"/>
      <c r="G48" s="262"/>
      <c r="H48" s="266"/>
      <c r="I48" s="121"/>
      <c r="J48" s="121"/>
      <c r="K48" s="121"/>
      <c r="L48" s="121"/>
      <c r="M48" s="122"/>
      <c r="N48" s="53"/>
      <c r="O48" s="262"/>
      <c r="P48" s="266"/>
      <c r="Q48" s="121"/>
      <c r="R48" s="121"/>
      <c r="S48" s="121"/>
      <c r="T48" s="121"/>
      <c r="U48" s="122"/>
      <c r="V48" s="53"/>
      <c r="W48" s="262"/>
      <c r="X48" s="266"/>
      <c r="Y48" s="121"/>
      <c r="Z48" s="121"/>
      <c r="AA48" s="121"/>
      <c r="AB48" s="121"/>
      <c r="AC48" s="122"/>
      <c r="AE48" s="262"/>
      <c r="AF48" s="272"/>
      <c r="AG48" s="132"/>
      <c r="AH48" s="132"/>
      <c r="AI48" s="132"/>
      <c r="AJ48" s="132"/>
      <c r="AK48" s="133"/>
      <c r="AM48" s="262"/>
      <c r="AN48" s="266"/>
      <c r="AO48" s="121"/>
      <c r="AP48" s="121"/>
      <c r="AQ48" s="121"/>
      <c r="AR48" s="121"/>
      <c r="AS48" s="122"/>
    </row>
    <row r="49" spans="1:45" x14ac:dyDescent="0.2">
      <c r="A49" s="261"/>
      <c r="B49" s="255"/>
      <c r="C49" s="52"/>
      <c r="D49" s="52"/>
      <c r="E49" s="31"/>
      <c r="F49" s="90"/>
      <c r="G49" s="262"/>
      <c r="H49" s="266"/>
      <c r="I49" s="121"/>
      <c r="J49" s="121"/>
      <c r="K49" s="121"/>
      <c r="L49" s="121"/>
      <c r="M49" s="122"/>
      <c r="N49" s="53"/>
      <c r="O49" s="262"/>
      <c r="P49" s="266"/>
      <c r="Q49" s="121"/>
      <c r="R49" s="121"/>
      <c r="S49" s="121"/>
      <c r="T49" s="121"/>
      <c r="U49" s="122"/>
      <c r="V49" s="53"/>
      <c r="W49" s="262"/>
      <c r="X49" s="266"/>
      <c r="Y49" s="121"/>
      <c r="Z49" s="121"/>
      <c r="AA49" s="121"/>
      <c r="AB49" s="121"/>
      <c r="AC49" s="122"/>
      <c r="AE49" s="262"/>
      <c r="AF49" s="272"/>
      <c r="AG49" s="132"/>
      <c r="AH49" s="132"/>
      <c r="AI49" s="132"/>
      <c r="AJ49" s="132"/>
      <c r="AK49" s="133"/>
      <c r="AM49" s="262"/>
      <c r="AN49" s="266"/>
      <c r="AO49" s="121"/>
      <c r="AP49" s="121"/>
      <c r="AQ49" s="121"/>
      <c r="AR49" s="121"/>
      <c r="AS49" s="122"/>
    </row>
    <row r="50" spans="1:45" x14ac:dyDescent="0.2">
      <c r="A50" s="261"/>
      <c r="B50" s="255"/>
      <c r="C50" s="52"/>
      <c r="D50" s="52"/>
      <c r="E50" s="31"/>
      <c r="F50" s="90"/>
      <c r="G50" s="262"/>
      <c r="H50" s="266"/>
      <c r="I50" s="121"/>
      <c r="J50" s="121"/>
      <c r="K50" s="121"/>
      <c r="L50" s="121"/>
      <c r="M50" s="122"/>
      <c r="N50" s="53"/>
      <c r="O50" s="262"/>
      <c r="P50" s="266"/>
      <c r="Q50" s="121"/>
      <c r="R50" s="121"/>
      <c r="S50" s="121"/>
      <c r="T50" s="121"/>
      <c r="U50" s="122"/>
      <c r="V50" s="53"/>
      <c r="W50" s="262"/>
      <c r="X50" s="266"/>
      <c r="Y50" s="121"/>
      <c r="Z50" s="121"/>
      <c r="AA50" s="121"/>
      <c r="AB50" s="121"/>
      <c r="AC50" s="122"/>
      <c r="AE50" s="262"/>
      <c r="AF50" s="272"/>
      <c r="AG50" s="132"/>
      <c r="AH50" s="132"/>
      <c r="AI50" s="132"/>
      <c r="AJ50" s="132"/>
      <c r="AK50" s="133"/>
      <c r="AM50" s="262"/>
      <c r="AN50" s="266"/>
      <c r="AO50" s="121"/>
      <c r="AP50" s="121"/>
      <c r="AQ50" s="121"/>
      <c r="AR50" s="121"/>
      <c r="AS50" s="122"/>
    </row>
    <row r="51" spans="1:45" x14ac:dyDescent="0.2">
      <c r="A51" s="261"/>
      <c r="B51" s="255"/>
      <c r="C51" s="52"/>
      <c r="D51" s="52"/>
      <c r="E51" s="31"/>
      <c r="F51" s="90"/>
      <c r="G51" s="262"/>
      <c r="H51" s="266"/>
      <c r="I51" s="121"/>
      <c r="J51" s="121"/>
      <c r="K51" s="121"/>
      <c r="L51" s="121"/>
      <c r="M51" s="122"/>
      <c r="N51" s="53"/>
      <c r="O51" s="262"/>
      <c r="P51" s="266"/>
      <c r="Q51" s="121"/>
      <c r="R51" s="121"/>
      <c r="S51" s="121"/>
      <c r="T51" s="121"/>
      <c r="U51" s="122"/>
      <c r="V51" s="53"/>
      <c r="W51" s="262"/>
      <c r="X51" s="266"/>
      <c r="Y51" s="121"/>
      <c r="Z51" s="121"/>
      <c r="AA51" s="121"/>
      <c r="AB51" s="121"/>
      <c r="AC51" s="122"/>
      <c r="AE51" s="262"/>
      <c r="AF51" s="272"/>
      <c r="AG51" s="132"/>
      <c r="AH51" s="132"/>
      <c r="AI51" s="132"/>
      <c r="AJ51" s="132"/>
      <c r="AK51" s="133"/>
      <c r="AM51" s="262"/>
      <c r="AN51" s="266"/>
      <c r="AO51" s="121"/>
      <c r="AP51" s="121"/>
      <c r="AQ51" s="121"/>
      <c r="AR51" s="121"/>
      <c r="AS51" s="122"/>
    </row>
    <row r="52" spans="1:45" x14ac:dyDescent="0.2">
      <c r="A52" s="261"/>
      <c r="B52" s="255"/>
      <c r="C52" s="52"/>
      <c r="D52" s="52"/>
      <c r="E52" s="31"/>
      <c r="F52" s="90"/>
      <c r="G52" s="262"/>
      <c r="H52" s="266"/>
      <c r="I52" s="121"/>
      <c r="J52" s="121"/>
      <c r="K52" s="121"/>
      <c r="L52" s="121"/>
      <c r="M52" s="122"/>
      <c r="N52" s="53"/>
      <c r="O52" s="262"/>
      <c r="P52" s="266"/>
      <c r="Q52" s="121"/>
      <c r="R52" s="121"/>
      <c r="S52" s="121"/>
      <c r="T52" s="121"/>
      <c r="U52" s="122"/>
      <c r="V52" s="53"/>
      <c r="W52" s="262"/>
      <c r="X52" s="266"/>
      <c r="Y52" s="121"/>
      <c r="Z52" s="121"/>
      <c r="AA52" s="121"/>
      <c r="AB52" s="121"/>
      <c r="AC52" s="122"/>
      <c r="AE52" s="262"/>
      <c r="AF52" s="272"/>
      <c r="AG52" s="132"/>
      <c r="AH52" s="132"/>
      <c r="AI52" s="132"/>
      <c r="AJ52" s="132"/>
      <c r="AK52" s="133"/>
      <c r="AM52" s="262"/>
      <c r="AN52" s="266"/>
      <c r="AO52" s="121"/>
      <c r="AP52" s="121"/>
      <c r="AQ52" s="121"/>
      <c r="AR52" s="121"/>
      <c r="AS52" s="122"/>
    </row>
    <row r="53" spans="1:45" x14ac:dyDescent="0.2">
      <c r="A53" s="261"/>
      <c r="B53" s="255"/>
      <c r="C53" s="52"/>
      <c r="D53" s="52"/>
      <c r="E53" s="31"/>
      <c r="F53" s="90"/>
      <c r="G53" s="262"/>
      <c r="H53" s="266"/>
      <c r="I53" s="121"/>
      <c r="J53" s="121"/>
      <c r="K53" s="121"/>
      <c r="L53" s="121"/>
      <c r="M53" s="122"/>
      <c r="N53" s="53"/>
      <c r="O53" s="262"/>
      <c r="P53" s="266"/>
      <c r="Q53" s="121"/>
      <c r="R53" s="121"/>
      <c r="S53" s="121"/>
      <c r="T53" s="121"/>
      <c r="U53" s="122"/>
      <c r="V53" s="53"/>
      <c r="W53" s="262"/>
      <c r="X53" s="266"/>
      <c r="Y53" s="121"/>
      <c r="Z53" s="121"/>
      <c r="AA53" s="121"/>
      <c r="AB53" s="121"/>
      <c r="AC53" s="122"/>
      <c r="AE53" s="262"/>
      <c r="AF53" s="272"/>
      <c r="AG53" s="132"/>
      <c r="AH53" s="132"/>
      <c r="AI53" s="132"/>
      <c r="AJ53" s="132"/>
      <c r="AK53" s="133"/>
      <c r="AM53" s="262"/>
      <c r="AN53" s="266"/>
      <c r="AO53" s="121"/>
      <c r="AP53" s="121"/>
      <c r="AQ53" s="121"/>
      <c r="AR53" s="121"/>
      <c r="AS53" s="122"/>
    </row>
    <row r="54" spans="1:45" x14ac:dyDescent="0.2">
      <c r="A54" s="261"/>
      <c r="B54" s="255"/>
      <c r="C54" s="52"/>
      <c r="D54" s="52"/>
      <c r="E54" s="31"/>
      <c r="F54" s="90"/>
      <c r="G54" s="262"/>
      <c r="H54" s="266"/>
      <c r="I54" s="121"/>
      <c r="J54" s="121"/>
      <c r="K54" s="121"/>
      <c r="L54" s="121"/>
      <c r="M54" s="122"/>
      <c r="N54" s="53"/>
      <c r="O54" s="262"/>
      <c r="P54" s="266"/>
      <c r="Q54" s="121"/>
      <c r="R54" s="121"/>
      <c r="S54" s="121"/>
      <c r="T54" s="121"/>
      <c r="U54" s="122"/>
      <c r="V54" s="53"/>
      <c r="W54" s="262"/>
      <c r="X54" s="266"/>
      <c r="Y54" s="121"/>
      <c r="Z54" s="121"/>
      <c r="AA54" s="121"/>
      <c r="AB54" s="121"/>
      <c r="AC54" s="122"/>
      <c r="AE54" s="262"/>
      <c r="AF54" s="272"/>
      <c r="AG54" s="132"/>
      <c r="AH54" s="132"/>
      <c r="AI54" s="132"/>
      <c r="AJ54" s="132"/>
      <c r="AK54" s="133"/>
      <c r="AM54" s="262"/>
      <c r="AN54" s="266"/>
      <c r="AO54" s="121"/>
      <c r="AP54" s="121"/>
      <c r="AQ54" s="121"/>
      <c r="AR54" s="121"/>
      <c r="AS54" s="122"/>
    </row>
    <row r="55" spans="1:45" x14ac:dyDescent="0.2">
      <c r="A55" s="261"/>
      <c r="B55" s="255"/>
      <c r="C55" s="52"/>
      <c r="D55" s="52"/>
      <c r="E55" s="31"/>
      <c r="F55" s="90"/>
      <c r="G55" s="262"/>
      <c r="H55" s="266"/>
      <c r="I55" s="121"/>
      <c r="J55" s="121"/>
      <c r="K55" s="121"/>
      <c r="L55" s="121"/>
      <c r="M55" s="122"/>
      <c r="N55" s="53"/>
      <c r="O55" s="262"/>
      <c r="P55" s="266"/>
      <c r="Q55" s="121"/>
      <c r="R55" s="121"/>
      <c r="S55" s="121"/>
      <c r="T55" s="121"/>
      <c r="U55" s="122"/>
      <c r="V55" s="53"/>
      <c r="W55" s="262"/>
      <c r="X55" s="266"/>
      <c r="Y55" s="121"/>
      <c r="Z55" s="121"/>
      <c r="AA55" s="121"/>
      <c r="AB55" s="121"/>
      <c r="AC55" s="122"/>
      <c r="AE55" s="262"/>
      <c r="AF55" s="272"/>
      <c r="AG55" s="132"/>
      <c r="AH55" s="132"/>
      <c r="AI55" s="132"/>
      <c r="AJ55" s="132"/>
      <c r="AK55" s="133"/>
      <c r="AM55" s="262"/>
      <c r="AN55" s="266"/>
      <c r="AO55" s="121"/>
      <c r="AP55" s="121"/>
      <c r="AQ55" s="121"/>
      <c r="AR55" s="121"/>
      <c r="AS55" s="122"/>
    </row>
    <row r="56" spans="1:45" x14ac:dyDescent="0.2">
      <c r="A56" s="262"/>
      <c r="B56" s="256"/>
      <c r="C56" s="54"/>
      <c r="D56" s="54"/>
      <c r="E56" s="55"/>
      <c r="F56" s="91"/>
      <c r="G56" s="262"/>
      <c r="H56" s="266"/>
      <c r="I56" s="121"/>
      <c r="J56" s="121"/>
      <c r="K56" s="121"/>
      <c r="L56" s="121"/>
      <c r="M56" s="122"/>
      <c r="N56" s="53"/>
      <c r="O56" s="262"/>
      <c r="P56" s="266"/>
      <c r="Q56" s="121"/>
      <c r="R56" s="121"/>
      <c r="S56" s="121"/>
      <c r="T56" s="121"/>
      <c r="U56" s="122"/>
      <c r="V56" s="53"/>
      <c r="W56" s="262"/>
      <c r="X56" s="266"/>
      <c r="Y56" s="121"/>
      <c r="Z56" s="121"/>
      <c r="AA56" s="121"/>
      <c r="AB56" s="121"/>
      <c r="AC56" s="122"/>
      <c r="AE56" s="262"/>
      <c r="AF56" s="272"/>
      <c r="AG56" s="132"/>
      <c r="AH56" s="132"/>
      <c r="AI56" s="132"/>
      <c r="AJ56" s="132"/>
      <c r="AK56" s="133"/>
      <c r="AM56" s="262"/>
      <c r="AN56" s="266"/>
      <c r="AO56" s="121"/>
      <c r="AP56" s="121"/>
      <c r="AQ56" s="121"/>
      <c r="AR56" s="121"/>
      <c r="AS56" s="122"/>
    </row>
    <row r="57" spans="1:45" x14ac:dyDescent="0.2">
      <c r="A57" s="262"/>
      <c r="B57" s="256"/>
      <c r="C57" s="54"/>
      <c r="D57" s="54"/>
      <c r="E57" s="55"/>
      <c r="F57" s="91"/>
      <c r="G57" s="262"/>
      <c r="H57" s="266"/>
      <c r="I57" s="121"/>
      <c r="J57" s="121"/>
      <c r="K57" s="121"/>
      <c r="L57" s="121"/>
      <c r="M57" s="122"/>
      <c r="N57" s="53"/>
      <c r="O57" s="262"/>
      <c r="P57" s="266"/>
      <c r="Q57" s="121"/>
      <c r="R57" s="121"/>
      <c r="S57" s="121"/>
      <c r="T57" s="121"/>
      <c r="U57" s="122"/>
      <c r="V57" s="53"/>
      <c r="W57" s="262"/>
      <c r="X57" s="266"/>
      <c r="Y57" s="121"/>
      <c r="Z57" s="121"/>
      <c r="AA57" s="121"/>
      <c r="AB57" s="121"/>
      <c r="AC57" s="122"/>
      <c r="AE57" s="262"/>
      <c r="AF57" s="272"/>
      <c r="AG57" s="132"/>
      <c r="AH57" s="132"/>
      <c r="AI57" s="132"/>
      <c r="AJ57" s="132"/>
      <c r="AK57" s="133"/>
      <c r="AM57" s="262"/>
      <c r="AN57" s="266"/>
      <c r="AO57" s="121"/>
      <c r="AP57" s="121"/>
      <c r="AQ57" s="121"/>
      <c r="AR57" s="121"/>
      <c r="AS57" s="122"/>
    </row>
    <row r="58" spans="1:45" x14ac:dyDescent="0.2">
      <c r="A58" s="262"/>
      <c r="B58" s="256"/>
      <c r="C58" s="54"/>
      <c r="D58" s="54"/>
      <c r="E58" s="55"/>
      <c r="F58" s="91"/>
      <c r="G58" s="262"/>
      <c r="H58" s="266"/>
      <c r="I58" s="121"/>
      <c r="J58" s="121"/>
      <c r="K58" s="121"/>
      <c r="L58" s="121"/>
      <c r="M58" s="122"/>
      <c r="N58" s="53"/>
      <c r="O58" s="262"/>
      <c r="P58" s="266"/>
      <c r="Q58" s="121"/>
      <c r="R58" s="121"/>
      <c r="S58" s="121"/>
      <c r="T58" s="121"/>
      <c r="U58" s="122"/>
      <c r="V58" s="53"/>
      <c r="W58" s="262"/>
      <c r="X58" s="266"/>
      <c r="Y58" s="121"/>
      <c r="Z58" s="121"/>
      <c r="AA58" s="121"/>
      <c r="AB58" s="121"/>
      <c r="AC58" s="122"/>
      <c r="AE58" s="262"/>
      <c r="AF58" s="272"/>
      <c r="AG58" s="132"/>
      <c r="AH58" s="132"/>
      <c r="AI58" s="132"/>
      <c r="AJ58" s="132"/>
      <c r="AK58" s="133"/>
      <c r="AM58" s="262"/>
      <c r="AN58" s="266"/>
      <c r="AO58" s="121"/>
      <c r="AP58" s="121"/>
      <c r="AQ58" s="121"/>
      <c r="AR58" s="121"/>
      <c r="AS58" s="122"/>
    </row>
    <row r="59" spans="1:45" x14ac:dyDescent="0.2">
      <c r="A59" s="262"/>
      <c r="B59" s="256"/>
      <c r="C59" s="54"/>
      <c r="D59" s="54"/>
      <c r="E59" s="55"/>
      <c r="F59" s="91"/>
      <c r="G59" s="262"/>
      <c r="H59" s="266"/>
      <c r="I59" s="121"/>
      <c r="J59" s="121"/>
      <c r="K59" s="121"/>
      <c r="L59" s="121"/>
      <c r="M59" s="122"/>
      <c r="N59" s="53"/>
      <c r="O59" s="262"/>
      <c r="P59" s="266"/>
      <c r="Q59" s="121"/>
      <c r="R59" s="121"/>
      <c r="S59" s="121"/>
      <c r="T59" s="121"/>
      <c r="U59" s="122"/>
      <c r="V59" s="53"/>
      <c r="W59" s="262"/>
      <c r="X59" s="266"/>
      <c r="Y59" s="121"/>
      <c r="Z59" s="121"/>
      <c r="AA59" s="121"/>
      <c r="AB59" s="121"/>
      <c r="AC59" s="122"/>
      <c r="AE59" s="262"/>
      <c r="AF59" s="272"/>
      <c r="AG59" s="132"/>
      <c r="AH59" s="132"/>
      <c r="AI59" s="132"/>
      <c r="AJ59" s="132"/>
      <c r="AK59" s="133"/>
      <c r="AM59" s="262"/>
      <c r="AN59" s="266"/>
      <c r="AO59" s="121"/>
      <c r="AP59" s="121"/>
      <c r="AQ59" s="121"/>
      <c r="AR59" s="121"/>
      <c r="AS59" s="122"/>
    </row>
    <row r="60" spans="1:45" x14ac:dyDescent="0.2">
      <c r="A60" s="262"/>
      <c r="B60" s="256"/>
      <c r="C60" s="54"/>
      <c r="D60" s="54"/>
      <c r="E60" s="55"/>
      <c r="F60" s="91"/>
      <c r="G60" s="262"/>
      <c r="H60" s="266"/>
      <c r="I60" s="121"/>
      <c r="J60" s="121"/>
      <c r="K60" s="121"/>
      <c r="L60" s="121"/>
      <c r="M60" s="122"/>
      <c r="N60" s="53"/>
      <c r="O60" s="262"/>
      <c r="P60" s="266"/>
      <c r="Q60" s="121"/>
      <c r="R60" s="121"/>
      <c r="S60" s="121"/>
      <c r="T60" s="121"/>
      <c r="U60" s="122"/>
      <c r="V60" s="53"/>
      <c r="W60" s="262"/>
      <c r="X60" s="266"/>
      <c r="Y60" s="121"/>
      <c r="Z60" s="121"/>
      <c r="AA60" s="121"/>
      <c r="AB60" s="121"/>
      <c r="AC60" s="122"/>
      <c r="AE60" s="262"/>
      <c r="AF60" s="272"/>
      <c r="AG60" s="132"/>
      <c r="AH60" s="132"/>
      <c r="AI60" s="132"/>
      <c r="AJ60" s="132"/>
      <c r="AK60" s="133"/>
      <c r="AM60" s="262"/>
      <c r="AN60" s="266"/>
      <c r="AO60" s="121"/>
      <c r="AP60" s="121"/>
      <c r="AQ60" s="121"/>
      <c r="AR60" s="121"/>
      <c r="AS60" s="122"/>
    </row>
    <row r="61" spans="1:45" x14ac:dyDescent="0.2">
      <c r="A61" s="262"/>
      <c r="B61" s="256"/>
      <c r="C61" s="54"/>
      <c r="D61" s="54"/>
      <c r="E61" s="55"/>
      <c r="F61" s="91"/>
      <c r="G61" s="262"/>
      <c r="H61" s="266"/>
      <c r="I61" s="121"/>
      <c r="J61" s="121"/>
      <c r="K61" s="121"/>
      <c r="L61" s="121"/>
      <c r="M61" s="122"/>
      <c r="N61" s="53"/>
      <c r="O61" s="262"/>
      <c r="P61" s="266"/>
      <c r="Q61" s="121"/>
      <c r="R61" s="121"/>
      <c r="S61" s="121"/>
      <c r="T61" s="121"/>
      <c r="U61" s="122"/>
      <c r="V61" s="53"/>
      <c r="W61" s="262"/>
      <c r="X61" s="266"/>
      <c r="Y61" s="121"/>
      <c r="Z61" s="121"/>
      <c r="AA61" s="121"/>
      <c r="AB61" s="121"/>
      <c r="AC61" s="122"/>
      <c r="AE61" s="262"/>
      <c r="AF61" s="272"/>
      <c r="AG61" s="132"/>
      <c r="AH61" s="132"/>
      <c r="AI61" s="132"/>
      <c r="AJ61" s="132"/>
      <c r="AK61" s="133"/>
      <c r="AM61" s="262"/>
      <c r="AN61" s="266"/>
      <c r="AO61" s="121"/>
      <c r="AP61" s="121"/>
      <c r="AQ61" s="121"/>
      <c r="AR61" s="121"/>
      <c r="AS61" s="122"/>
    </row>
    <row r="62" spans="1:45" x14ac:dyDescent="0.2">
      <c r="A62" s="262"/>
      <c r="B62" s="256"/>
      <c r="C62" s="54"/>
      <c r="D62" s="54"/>
      <c r="E62" s="55"/>
      <c r="F62" s="91"/>
      <c r="G62" s="262"/>
      <c r="H62" s="266"/>
      <c r="I62" s="121"/>
      <c r="J62" s="121"/>
      <c r="K62" s="121"/>
      <c r="L62" s="121"/>
      <c r="M62" s="122"/>
      <c r="N62" s="53"/>
      <c r="O62" s="262"/>
      <c r="P62" s="266"/>
      <c r="Q62" s="121"/>
      <c r="R62" s="121"/>
      <c r="S62" s="121"/>
      <c r="T62" s="121"/>
      <c r="U62" s="122"/>
      <c r="V62" s="53"/>
      <c r="W62" s="262"/>
      <c r="X62" s="266"/>
      <c r="Y62" s="121"/>
      <c r="Z62" s="121"/>
      <c r="AA62" s="121"/>
      <c r="AB62" s="121"/>
      <c r="AC62" s="122"/>
      <c r="AE62" s="262"/>
      <c r="AF62" s="272"/>
      <c r="AG62" s="132"/>
      <c r="AH62" s="132"/>
      <c r="AI62" s="132"/>
      <c r="AJ62" s="132"/>
      <c r="AK62" s="133"/>
      <c r="AM62" s="262"/>
      <c r="AN62" s="266"/>
      <c r="AO62" s="121"/>
      <c r="AP62" s="121"/>
      <c r="AQ62" s="121"/>
      <c r="AR62" s="121"/>
      <c r="AS62" s="122"/>
    </row>
    <row r="63" spans="1:45" x14ac:dyDescent="0.2">
      <c r="A63" s="262"/>
      <c r="B63" s="256"/>
      <c r="C63" s="54"/>
      <c r="D63" s="54"/>
      <c r="E63" s="55"/>
      <c r="F63" s="91"/>
      <c r="G63" s="262"/>
      <c r="H63" s="266"/>
      <c r="I63" s="121"/>
      <c r="J63" s="121"/>
      <c r="K63" s="121"/>
      <c r="L63" s="121"/>
      <c r="M63" s="122"/>
      <c r="N63" s="53"/>
      <c r="O63" s="262"/>
      <c r="P63" s="266"/>
      <c r="Q63" s="121"/>
      <c r="R63" s="121"/>
      <c r="S63" s="121"/>
      <c r="T63" s="121"/>
      <c r="U63" s="122"/>
      <c r="V63" s="53"/>
      <c r="W63" s="262"/>
      <c r="X63" s="266"/>
      <c r="Y63" s="121"/>
      <c r="Z63" s="121"/>
      <c r="AA63" s="121"/>
      <c r="AB63" s="121"/>
      <c r="AC63" s="122"/>
      <c r="AE63" s="262"/>
      <c r="AF63" s="272"/>
      <c r="AG63" s="132"/>
      <c r="AH63" s="132"/>
      <c r="AI63" s="132"/>
      <c r="AJ63" s="132"/>
      <c r="AK63" s="133"/>
      <c r="AM63" s="262"/>
      <c r="AN63" s="266"/>
      <c r="AO63" s="121"/>
      <c r="AP63" s="121"/>
      <c r="AQ63" s="121"/>
      <c r="AR63" s="121"/>
      <c r="AS63" s="122"/>
    </row>
    <row r="64" spans="1:45" x14ac:dyDescent="0.2">
      <c r="A64" s="262"/>
      <c r="B64" s="256"/>
      <c r="C64" s="54"/>
      <c r="D64" s="54"/>
      <c r="E64" s="55"/>
      <c r="F64" s="91"/>
      <c r="G64" s="262"/>
      <c r="H64" s="266"/>
      <c r="I64" s="121"/>
      <c r="J64" s="121"/>
      <c r="K64" s="121"/>
      <c r="L64" s="121"/>
      <c r="M64" s="122"/>
      <c r="N64" s="53"/>
      <c r="O64" s="262"/>
      <c r="P64" s="266"/>
      <c r="Q64" s="121"/>
      <c r="R64" s="121"/>
      <c r="S64" s="121"/>
      <c r="T64" s="121"/>
      <c r="U64" s="122"/>
      <c r="V64" s="53"/>
      <c r="W64" s="262"/>
      <c r="X64" s="266"/>
      <c r="Y64" s="121"/>
      <c r="Z64" s="121"/>
      <c r="AA64" s="121"/>
      <c r="AB64" s="121"/>
      <c r="AC64" s="122"/>
      <c r="AE64" s="262"/>
      <c r="AF64" s="272"/>
      <c r="AG64" s="132"/>
      <c r="AH64" s="132"/>
      <c r="AI64" s="132"/>
      <c r="AJ64" s="132"/>
      <c r="AK64" s="133"/>
      <c r="AM64" s="262"/>
      <c r="AN64" s="266"/>
      <c r="AO64" s="121"/>
      <c r="AP64" s="121"/>
      <c r="AQ64" s="121"/>
      <c r="AR64" s="121"/>
      <c r="AS64" s="122"/>
    </row>
    <row r="65" spans="1:45" x14ac:dyDescent="0.2">
      <c r="A65" s="262"/>
      <c r="B65" s="256"/>
      <c r="C65" s="54"/>
      <c r="D65" s="54"/>
      <c r="E65" s="55"/>
      <c r="F65" s="91"/>
      <c r="G65" s="262"/>
      <c r="H65" s="266"/>
      <c r="I65" s="121"/>
      <c r="J65" s="121"/>
      <c r="K65" s="121"/>
      <c r="L65" s="121"/>
      <c r="M65" s="122"/>
      <c r="N65" s="53"/>
      <c r="O65" s="262"/>
      <c r="P65" s="266"/>
      <c r="Q65" s="121"/>
      <c r="R65" s="121"/>
      <c r="S65" s="121"/>
      <c r="T65" s="121"/>
      <c r="U65" s="122"/>
      <c r="V65" s="53"/>
      <c r="W65" s="262"/>
      <c r="X65" s="266"/>
      <c r="Y65" s="121"/>
      <c r="Z65" s="121"/>
      <c r="AA65" s="121"/>
      <c r="AB65" s="121"/>
      <c r="AC65" s="122"/>
      <c r="AE65" s="262"/>
      <c r="AF65" s="272"/>
      <c r="AG65" s="132"/>
      <c r="AH65" s="132"/>
      <c r="AI65" s="132"/>
      <c r="AJ65" s="132"/>
      <c r="AK65" s="133"/>
      <c r="AM65" s="262"/>
      <c r="AN65" s="266"/>
      <c r="AO65" s="121"/>
      <c r="AP65" s="121"/>
      <c r="AQ65" s="121"/>
      <c r="AR65" s="121"/>
      <c r="AS65" s="122"/>
    </row>
    <row r="66" spans="1:45" x14ac:dyDescent="0.2">
      <c r="A66" s="262"/>
      <c r="B66" s="256"/>
      <c r="C66" s="54"/>
      <c r="D66" s="54"/>
      <c r="E66" s="55"/>
      <c r="F66" s="91"/>
      <c r="G66" s="262"/>
      <c r="H66" s="266"/>
      <c r="I66" s="121"/>
      <c r="J66" s="121"/>
      <c r="K66" s="121"/>
      <c r="L66" s="121"/>
      <c r="M66" s="122"/>
      <c r="N66" s="53"/>
      <c r="O66" s="262"/>
      <c r="P66" s="266"/>
      <c r="Q66" s="121"/>
      <c r="R66" s="121"/>
      <c r="S66" s="121"/>
      <c r="T66" s="121"/>
      <c r="U66" s="122"/>
      <c r="V66" s="53"/>
      <c r="W66" s="262"/>
      <c r="X66" s="266"/>
      <c r="Y66" s="121"/>
      <c r="Z66" s="121"/>
      <c r="AA66" s="121"/>
      <c r="AB66" s="121"/>
      <c r="AC66" s="122"/>
      <c r="AE66" s="262"/>
      <c r="AF66" s="272"/>
      <c r="AG66" s="132"/>
      <c r="AH66" s="132"/>
      <c r="AI66" s="132"/>
      <c r="AJ66" s="132"/>
      <c r="AK66" s="133"/>
      <c r="AM66" s="262"/>
      <c r="AN66" s="266"/>
      <c r="AO66" s="121"/>
      <c r="AP66" s="121"/>
      <c r="AQ66" s="121"/>
      <c r="AR66" s="121"/>
      <c r="AS66" s="122"/>
    </row>
    <row r="67" spans="1:45" x14ac:dyDescent="0.2">
      <c r="A67" s="262"/>
      <c r="B67" s="256"/>
      <c r="C67" s="54"/>
      <c r="D67" s="54"/>
      <c r="E67" s="55"/>
      <c r="F67" s="91"/>
      <c r="G67" s="262"/>
      <c r="H67" s="266"/>
      <c r="I67" s="121"/>
      <c r="J67" s="121"/>
      <c r="K67" s="121"/>
      <c r="L67" s="121"/>
      <c r="M67" s="122"/>
      <c r="N67" s="53"/>
      <c r="O67" s="262"/>
      <c r="P67" s="266"/>
      <c r="Q67" s="121"/>
      <c r="R67" s="121"/>
      <c r="S67" s="121"/>
      <c r="T67" s="121"/>
      <c r="U67" s="122"/>
      <c r="V67" s="53"/>
      <c r="W67" s="262"/>
      <c r="X67" s="266"/>
      <c r="Y67" s="121"/>
      <c r="Z67" s="121"/>
      <c r="AA67" s="121"/>
      <c r="AB67" s="121"/>
      <c r="AC67" s="122"/>
      <c r="AE67" s="262"/>
      <c r="AF67" s="272"/>
      <c r="AG67" s="132"/>
      <c r="AH67" s="132"/>
      <c r="AI67" s="132"/>
      <c r="AJ67" s="132"/>
      <c r="AK67" s="133"/>
      <c r="AM67" s="262"/>
      <c r="AN67" s="266"/>
      <c r="AO67" s="121"/>
      <c r="AP67" s="121"/>
      <c r="AQ67" s="121"/>
      <c r="AR67" s="121"/>
      <c r="AS67" s="122"/>
    </row>
    <row r="68" spans="1:45" x14ac:dyDescent="0.2">
      <c r="A68" s="262"/>
      <c r="B68" s="256"/>
      <c r="C68" s="54"/>
      <c r="D68" s="54"/>
      <c r="E68" s="55"/>
      <c r="F68" s="91"/>
      <c r="G68" s="262"/>
      <c r="H68" s="266"/>
      <c r="I68" s="121"/>
      <c r="J68" s="121"/>
      <c r="K68" s="121"/>
      <c r="L68" s="121"/>
      <c r="M68" s="122"/>
      <c r="N68" s="53"/>
      <c r="O68" s="262"/>
      <c r="P68" s="266"/>
      <c r="Q68" s="121"/>
      <c r="R68" s="121"/>
      <c r="S68" s="121"/>
      <c r="T68" s="121"/>
      <c r="U68" s="122"/>
      <c r="V68" s="53"/>
      <c r="W68" s="262"/>
      <c r="X68" s="266"/>
      <c r="Y68" s="121"/>
      <c r="Z68" s="121"/>
      <c r="AA68" s="121"/>
      <c r="AB68" s="121"/>
      <c r="AC68" s="122"/>
      <c r="AE68" s="262"/>
      <c r="AF68" s="272"/>
      <c r="AG68" s="132"/>
      <c r="AH68" s="132"/>
      <c r="AI68" s="132"/>
      <c r="AJ68" s="132"/>
      <c r="AK68" s="133"/>
      <c r="AM68" s="262"/>
      <c r="AN68" s="266"/>
      <c r="AO68" s="121"/>
      <c r="AP68" s="121"/>
      <c r="AQ68" s="121"/>
      <c r="AR68" s="121"/>
      <c r="AS68" s="122"/>
    </row>
    <row r="69" spans="1:45" x14ac:dyDescent="0.2">
      <c r="A69" s="262"/>
      <c r="B69" s="256"/>
      <c r="C69" s="54"/>
      <c r="D69" s="54"/>
      <c r="E69" s="55"/>
      <c r="F69" s="91"/>
      <c r="G69" s="262"/>
      <c r="H69" s="266"/>
      <c r="I69" s="121"/>
      <c r="J69" s="121"/>
      <c r="K69" s="121"/>
      <c r="L69" s="121"/>
      <c r="M69" s="122"/>
      <c r="N69" s="53"/>
      <c r="O69" s="262"/>
      <c r="P69" s="266"/>
      <c r="Q69" s="121"/>
      <c r="R69" s="121"/>
      <c r="S69" s="121"/>
      <c r="T69" s="121"/>
      <c r="U69" s="122"/>
      <c r="V69" s="53"/>
      <c r="W69" s="262"/>
      <c r="X69" s="266"/>
      <c r="Y69" s="121"/>
      <c r="Z69" s="121"/>
      <c r="AA69" s="121"/>
      <c r="AB69" s="121"/>
      <c r="AC69" s="122"/>
      <c r="AE69" s="262"/>
      <c r="AF69" s="272"/>
      <c r="AG69" s="132"/>
      <c r="AH69" s="132"/>
      <c r="AI69" s="132"/>
      <c r="AJ69" s="132"/>
      <c r="AK69" s="133"/>
      <c r="AM69" s="262"/>
      <c r="AN69" s="266"/>
      <c r="AO69" s="121"/>
      <c r="AP69" s="121"/>
      <c r="AQ69" s="121"/>
      <c r="AR69" s="121"/>
      <c r="AS69" s="122"/>
    </row>
    <row r="70" spans="1:45" x14ac:dyDescent="0.2">
      <c r="A70" s="262"/>
      <c r="B70" s="256"/>
      <c r="C70" s="54"/>
      <c r="D70" s="54"/>
      <c r="E70" s="55"/>
      <c r="F70" s="91"/>
      <c r="G70" s="262"/>
      <c r="H70" s="266"/>
      <c r="I70" s="121"/>
      <c r="J70" s="121"/>
      <c r="K70" s="121"/>
      <c r="L70" s="121"/>
      <c r="M70" s="122"/>
      <c r="N70" s="53"/>
      <c r="O70" s="262"/>
      <c r="P70" s="266"/>
      <c r="Q70" s="121"/>
      <c r="R70" s="121"/>
      <c r="S70" s="121"/>
      <c r="T70" s="121"/>
      <c r="U70" s="122"/>
      <c r="V70" s="53"/>
      <c r="W70" s="262"/>
      <c r="X70" s="266"/>
      <c r="Y70" s="121"/>
      <c r="Z70" s="121"/>
      <c r="AA70" s="121"/>
      <c r="AB70" s="121"/>
      <c r="AC70" s="122"/>
      <c r="AE70" s="262"/>
      <c r="AF70" s="272"/>
      <c r="AG70" s="132"/>
      <c r="AH70" s="132"/>
      <c r="AI70" s="132"/>
      <c r="AJ70" s="132"/>
      <c r="AK70" s="133"/>
      <c r="AM70" s="262"/>
      <c r="AN70" s="266"/>
      <c r="AO70" s="121"/>
      <c r="AP70" s="121"/>
      <c r="AQ70" s="121"/>
      <c r="AR70" s="121"/>
      <c r="AS70" s="122"/>
    </row>
    <row r="71" spans="1:45" x14ac:dyDescent="0.2">
      <c r="A71" s="262"/>
      <c r="B71" s="256"/>
      <c r="C71" s="54"/>
      <c r="D71" s="54"/>
      <c r="E71" s="55"/>
      <c r="F71" s="91"/>
      <c r="G71" s="262"/>
      <c r="H71" s="266"/>
      <c r="I71" s="121"/>
      <c r="J71" s="121"/>
      <c r="K71" s="121"/>
      <c r="L71" s="121"/>
      <c r="M71" s="122"/>
      <c r="N71" s="53"/>
      <c r="O71" s="262"/>
      <c r="P71" s="266"/>
      <c r="Q71" s="121"/>
      <c r="R71" s="121"/>
      <c r="S71" s="121"/>
      <c r="T71" s="121"/>
      <c r="U71" s="122"/>
      <c r="V71" s="53"/>
      <c r="W71" s="262"/>
      <c r="X71" s="266"/>
      <c r="Y71" s="121"/>
      <c r="Z71" s="121"/>
      <c r="AA71" s="121"/>
      <c r="AB71" s="121"/>
      <c r="AC71" s="122"/>
      <c r="AE71" s="262"/>
      <c r="AF71" s="272"/>
      <c r="AG71" s="132"/>
      <c r="AH71" s="132"/>
      <c r="AI71" s="132"/>
      <c r="AJ71" s="132"/>
      <c r="AK71" s="133"/>
      <c r="AM71" s="262"/>
      <c r="AN71" s="266"/>
      <c r="AO71" s="121"/>
      <c r="AP71" s="121"/>
      <c r="AQ71" s="121"/>
      <c r="AR71" s="121"/>
      <c r="AS71" s="122"/>
    </row>
    <row r="72" spans="1:45" x14ac:dyDescent="0.2">
      <c r="A72" s="262"/>
      <c r="B72" s="256"/>
      <c r="C72" s="54"/>
      <c r="D72" s="54"/>
      <c r="E72" s="55"/>
      <c r="F72" s="91"/>
      <c r="G72" s="262"/>
      <c r="H72" s="266"/>
      <c r="I72" s="121"/>
      <c r="J72" s="121"/>
      <c r="K72" s="121"/>
      <c r="L72" s="121"/>
      <c r="M72" s="122"/>
      <c r="N72" s="53"/>
      <c r="O72" s="262"/>
      <c r="P72" s="266"/>
      <c r="Q72" s="121"/>
      <c r="R72" s="121"/>
      <c r="S72" s="121"/>
      <c r="T72" s="121"/>
      <c r="U72" s="122"/>
      <c r="V72" s="53"/>
      <c r="W72" s="262"/>
      <c r="X72" s="266"/>
      <c r="Y72" s="121"/>
      <c r="Z72" s="121"/>
      <c r="AA72" s="121"/>
      <c r="AB72" s="121"/>
      <c r="AC72" s="122"/>
      <c r="AE72" s="262"/>
      <c r="AF72" s="272"/>
      <c r="AG72" s="132"/>
      <c r="AH72" s="132"/>
      <c r="AI72" s="132"/>
      <c r="AJ72" s="132"/>
      <c r="AK72" s="133"/>
      <c r="AM72" s="262"/>
      <c r="AN72" s="266"/>
      <c r="AO72" s="121"/>
      <c r="AP72" s="121"/>
      <c r="AQ72" s="121"/>
      <c r="AR72" s="121"/>
      <c r="AS72" s="122"/>
    </row>
    <row r="73" spans="1:45" x14ac:dyDescent="0.2">
      <c r="A73" s="262"/>
      <c r="B73" s="256"/>
      <c r="C73" s="54"/>
      <c r="D73" s="54"/>
      <c r="E73" s="55"/>
      <c r="F73" s="91"/>
      <c r="G73" s="262"/>
      <c r="H73" s="266"/>
      <c r="I73" s="121"/>
      <c r="J73" s="121"/>
      <c r="K73" s="121"/>
      <c r="L73" s="121"/>
      <c r="M73" s="122"/>
      <c r="N73" s="53"/>
      <c r="O73" s="262"/>
      <c r="P73" s="266"/>
      <c r="Q73" s="121"/>
      <c r="R73" s="121"/>
      <c r="S73" s="121"/>
      <c r="T73" s="121"/>
      <c r="U73" s="122"/>
      <c r="V73" s="53"/>
      <c r="W73" s="262"/>
      <c r="X73" s="266"/>
      <c r="Y73" s="121"/>
      <c r="Z73" s="121"/>
      <c r="AA73" s="121"/>
      <c r="AB73" s="121"/>
      <c r="AC73" s="122"/>
      <c r="AE73" s="262"/>
      <c r="AF73" s="272"/>
      <c r="AG73" s="132"/>
      <c r="AH73" s="132"/>
      <c r="AI73" s="132"/>
      <c r="AJ73" s="132"/>
      <c r="AK73" s="133"/>
      <c r="AM73" s="262"/>
      <c r="AN73" s="266"/>
      <c r="AO73" s="121"/>
      <c r="AP73" s="121"/>
      <c r="AQ73" s="121"/>
      <c r="AR73" s="121"/>
      <c r="AS73" s="122"/>
    </row>
    <row r="74" spans="1:45" x14ac:dyDescent="0.2">
      <c r="A74" s="262"/>
      <c r="B74" s="256"/>
      <c r="C74" s="54"/>
      <c r="D74" s="54"/>
      <c r="E74" s="55"/>
      <c r="F74" s="91"/>
      <c r="G74" s="262"/>
      <c r="H74" s="266"/>
      <c r="I74" s="121"/>
      <c r="J74" s="121"/>
      <c r="K74" s="121"/>
      <c r="L74" s="121"/>
      <c r="M74" s="122"/>
      <c r="N74" s="53"/>
      <c r="O74" s="262"/>
      <c r="P74" s="266"/>
      <c r="Q74" s="121"/>
      <c r="R74" s="121"/>
      <c r="S74" s="121"/>
      <c r="T74" s="121"/>
      <c r="U74" s="122"/>
      <c r="V74" s="53"/>
      <c r="W74" s="262"/>
      <c r="X74" s="266"/>
      <c r="Y74" s="121"/>
      <c r="Z74" s="121"/>
      <c r="AA74" s="121"/>
      <c r="AB74" s="121"/>
      <c r="AC74" s="122"/>
      <c r="AE74" s="262"/>
      <c r="AF74" s="272"/>
      <c r="AG74" s="132"/>
      <c r="AH74" s="132"/>
      <c r="AI74" s="132"/>
      <c r="AJ74" s="132"/>
      <c r="AK74" s="133"/>
      <c r="AM74" s="262"/>
      <c r="AN74" s="266"/>
      <c r="AO74" s="121"/>
      <c r="AP74" s="121"/>
      <c r="AQ74" s="121"/>
      <c r="AR74" s="121"/>
      <c r="AS74" s="122"/>
    </row>
    <row r="75" spans="1:45" x14ac:dyDescent="0.2">
      <c r="A75" s="262"/>
      <c r="B75" s="256"/>
      <c r="C75" s="54"/>
      <c r="D75" s="54"/>
      <c r="E75" s="55"/>
      <c r="F75" s="91"/>
      <c r="G75" s="262"/>
      <c r="H75" s="266"/>
      <c r="I75" s="121"/>
      <c r="J75" s="121"/>
      <c r="K75" s="121"/>
      <c r="L75" s="121"/>
      <c r="M75" s="122"/>
      <c r="N75" s="53"/>
      <c r="O75" s="262"/>
      <c r="P75" s="266"/>
      <c r="Q75" s="121"/>
      <c r="R75" s="121"/>
      <c r="S75" s="121"/>
      <c r="T75" s="121"/>
      <c r="U75" s="122"/>
      <c r="V75" s="53"/>
      <c r="W75" s="262"/>
      <c r="X75" s="266"/>
      <c r="Y75" s="121"/>
      <c r="Z75" s="121"/>
      <c r="AA75" s="121"/>
      <c r="AB75" s="121"/>
      <c r="AC75" s="122"/>
      <c r="AE75" s="262"/>
      <c r="AF75" s="272"/>
      <c r="AG75" s="132"/>
      <c r="AH75" s="132"/>
      <c r="AI75" s="132"/>
      <c r="AJ75" s="132"/>
      <c r="AK75" s="133"/>
      <c r="AM75" s="262"/>
      <c r="AN75" s="266"/>
      <c r="AO75" s="121"/>
      <c r="AP75" s="121"/>
      <c r="AQ75" s="121"/>
      <c r="AR75" s="121"/>
      <c r="AS75" s="122"/>
    </row>
    <row r="76" spans="1:45" x14ac:dyDescent="0.2">
      <c r="A76" s="262"/>
      <c r="B76" s="256"/>
      <c r="C76" s="54"/>
      <c r="D76" s="54"/>
      <c r="E76" s="55"/>
      <c r="F76" s="91"/>
      <c r="G76" s="262"/>
      <c r="H76" s="266"/>
      <c r="I76" s="121"/>
      <c r="J76" s="121"/>
      <c r="K76" s="121"/>
      <c r="L76" s="121"/>
      <c r="M76" s="122"/>
      <c r="N76" s="53"/>
      <c r="O76" s="262"/>
      <c r="P76" s="266"/>
      <c r="Q76" s="121"/>
      <c r="R76" s="121"/>
      <c r="S76" s="121"/>
      <c r="T76" s="121"/>
      <c r="U76" s="122"/>
      <c r="V76" s="53"/>
      <c r="W76" s="262"/>
      <c r="X76" s="266"/>
      <c r="Y76" s="121"/>
      <c r="Z76" s="121"/>
      <c r="AA76" s="121"/>
      <c r="AB76" s="121"/>
      <c r="AC76" s="122"/>
      <c r="AE76" s="262"/>
      <c r="AF76" s="272"/>
      <c r="AG76" s="132"/>
      <c r="AH76" s="132"/>
      <c r="AI76" s="132"/>
      <c r="AJ76" s="132"/>
      <c r="AK76" s="133"/>
      <c r="AM76" s="262"/>
      <c r="AN76" s="266"/>
      <c r="AO76" s="121"/>
      <c r="AP76" s="121"/>
      <c r="AQ76" s="121"/>
      <c r="AR76" s="121"/>
      <c r="AS76" s="122"/>
    </row>
    <row r="77" spans="1:45" x14ac:dyDescent="0.2">
      <c r="A77" s="262"/>
      <c r="B77" s="256"/>
      <c r="C77" s="54"/>
      <c r="D77" s="54"/>
      <c r="E77" s="55"/>
      <c r="F77" s="91"/>
      <c r="G77" s="262"/>
      <c r="H77" s="266"/>
      <c r="I77" s="121"/>
      <c r="J77" s="121"/>
      <c r="K77" s="121"/>
      <c r="L77" s="121"/>
      <c r="M77" s="122"/>
      <c r="N77" s="53"/>
      <c r="O77" s="262"/>
      <c r="P77" s="266"/>
      <c r="Q77" s="121"/>
      <c r="R77" s="121"/>
      <c r="S77" s="121"/>
      <c r="T77" s="121"/>
      <c r="U77" s="122"/>
      <c r="V77" s="53"/>
      <c r="W77" s="262"/>
      <c r="X77" s="266"/>
      <c r="Y77" s="121"/>
      <c r="Z77" s="121"/>
      <c r="AA77" s="121"/>
      <c r="AB77" s="121"/>
      <c r="AC77" s="122"/>
      <c r="AE77" s="262"/>
      <c r="AF77" s="272"/>
      <c r="AG77" s="132"/>
      <c r="AH77" s="132"/>
      <c r="AI77" s="132"/>
      <c r="AJ77" s="132"/>
      <c r="AK77" s="133"/>
      <c r="AM77" s="262"/>
      <c r="AN77" s="266"/>
      <c r="AO77" s="121"/>
      <c r="AP77" s="121"/>
      <c r="AQ77" s="121"/>
      <c r="AR77" s="121"/>
      <c r="AS77" s="122"/>
    </row>
    <row r="78" spans="1:45" x14ac:dyDescent="0.2">
      <c r="A78" s="262"/>
      <c r="B78" s="256"/>
      <c r="C78" s="54"/>
      <c r="D78" s="54"/>
      <c r="E78" s="55"/>
      <c r="F78" s="91"/>
      <c r="G78" s="262"/>
      <c r="H78" s="266"/>
      <c r="I78" s="121"/>
      <c r="J78" s="121"/>
      <c r="K78" s="121"/>
      <c r="L78" s="121"/>
      <c r="M78" s="122"/>
      <c r="N78" s="53"/>
      <c r="O78" s="262"/>
      <c r="P78" s="266"/>
      <c r="Q78" s="121"/>
      <c r="R78" s="121"/>
      <c r="S78" s="121"/>
      <c r="T78" s="121"/>
      <c r="U78" s="122"/>
      <c r="V78" s="53"/>
      <c r="W78" s="262"/>
      <c r="X78" s="266"/>
      <c r="Y78" s="121"/>
      <c r="Z78" s="121"/>
      <c r="AA78" s="121"/>
      <c r="AB78" s="121"/>
      <c r="AC78" s="122"/>
      <c r="AE78" s="262"/>
      <c r="AF78" s="272"/>
      <c r="AG78" s="132"/>
      <c r="AH78" s="132"/>
      <c r="AI78" s="132"/>
      <c r="AJ78" s="132"/>
      <c r="AK78" s="133"/>
      <c r="AM78" s="262"/>
      <c r="AN78" s="266"/>
      <c r="AO78" s="121"/>
      <c r="AP78" s="121"/>
      <c r="AQ78" s="121"/>
      <c r="AR78" s="121"/>
      <c r="AS78" s="122"/>
    </row>
    <row r="79" spans="1:45" x14ac:dyDescent="0.2">
      <c r="A79" s="262"/>
      <c r="B79" s="256"/>
      <c r="C79" s="54"/>
      <c r="D79" s="54"/>
      <c r="E79" s="55"/>
      <c r="F79" s="91"/>
      <c r="G79" s="262"/>
      <c r="H79" s="266"/>
      <c r="I79" s="121"/>
      <c r="J79" s="121"/>
      <c r="K79" s="121"/>
      <c r="L79" s="121"/>
      <c r="M79" s="122"/>
      <c r="N79" s="53"/>
      <c r="O79" s="262"/>
      <c r="P79" s="266"/>
      <c r="Q79" s="121"/>
      <c r="R79" s="121"/>
      <c r="S79" s="121"/>
      <c r="T79" s="121"/>
      <c r="U79" s="122"/>
      <c r="V79" s="53"/>
      <c r="W79" s="262"/>
      <c r="X79" s="266"/>
      <c r="Y79" s="121"/>
      <c r="Z79" s="121"/>
      <c r="AA79" s="121"/>
      <c r="AB79" s="121"/>
      <c r="AC79" s="122"/>
      <c r="AE79" s="262"/>
      <c r="AF79" s="272"/>
      <c r="AG79" s="132"/>
      <c r="AH79" s="132"/>
      <c r="AI79" s="132"/>
      <c r="AJ79" s="132"/>
      <c r="AK79" s="133"/>
      <c r="AM79" s="262"/>
      <c r="AN79" s="266"/>
      <c r="AO79" s="121"/>
      <c r="AP79" s="121"/>
      <c r="AQ79" s="121"/>
      <c r="AR79" s="121"/>
      <c r="AS79" s="122"/>
    </row>
    <row r="80" spans="1:45" x14ac:dyDescent="0.2">
      <c r="A80" s="262"/>
      <c r="B80" s="256"/>
      <c r="C80" s="54"/>
      <c r="D80" s="54"/>
      <c r="E80" s="55"/>
      <c r="F80" s="91"/>
      <c r="G80" s="262"/>
      <c r="H80" s="266"/>
      <c r="I80" s="121"/>
      <c r="J80" s="121"/>
      <c r="K80" s="121"/>
      <c r="L80" s="121"/>
      <c r="M80" s="122"/>
      <c r="N80" s="53"/>
      <c r="O80" s="262"/>
      <c r="P80" s="266"/>
      <c r="Q80" s="121"/>
      <c r="R80" s="121"/>
      <c r="S80" s="121"/>
      <c r="T80" s="121"/>
      <c r="U80" s="122"/>
      <c r="V80" s="53"/>
      <c r="W80" s="262"/>
      <c r="X80" s="266"/>
      <c r="Y80" s="121"/>
      <c r="Z80" s="121"/>
      <c r="AA80" s="121"/>
      <c r="AB80" s="121"/>
      <c r="AC80" s="122"/>
      <c r="AE80" s="262"/>
      <c r="AF80" s="272"/>
      <c r="AG80" s="132"/>
      <c r="AH80" s="132"/>
      <c r="AI80" s="132"/>
      <c r="AJ80" s="132"/>
      <c r="AK80" s="133"/>
      <c r="AM80" s="262"/>
      <c r="AN80" s="266"/>
      <c r="AO80" s="121"/>
      <c r="AP80" s="121"/>
      <c r="AQ80" s="121"/>
      <c r="AR80" s="121"/>
      <c r="AS80" s="122"/>
    </row>
    <row r="81" spans="1:45" x14ac:dyDescent="0.2">
      <c r="A81" s="262"/>
      <c r="B81" s="256"/>
      <c r="C81" s="54"/>
      <c r="D81" s="54"/>
      <c r="E81" s="55"/>
      <c r="F81" s="91"/>
      <c r="G81" s="262"/>
      <c r="H81" s="266"/>
      <c r="I81" s="121"/>
      <c r="J81" s="121"/>
      <c r="K81" s="121"/>
      <c r="L81" s="121"/>
      <c r="M81" s="122"/>
      <c r="N81" s="53"/>
      <c r="O81" s="262"/>
      <c r="P81" s="266"/>
      <c r="Q81" s="121"/>
      <c r="R81" s="121"/>
      <c r="S81" s="121"/>
      <c r="T81" s="121"/>
      <c r="U81" s="122"/>
      <c r="V81" s="53"/>
      <c r="W81" s="262"/>
      <c r="X81" s="266"/>
      <c r="Y81" s="121"/>
      <c r="Z81" s="121"/>
      <c r="AA81" s="121"/>
      <c r="AB81" s="121"/>
      <c r="AC81" s="122"/>
      <c r="AE81" s="262"/>
      <c r="AF81" s="272"/>
      <c r="AG81" s="132"/>
      <c r="AH81" s="132"/>
      <c r="AI81" s="132"/>
      <c r="AJ81" s="132"/>
      <c r="AK81" s="133"/>
      <c r="AM81" s="262"/>
      <c r="AN81" s="266"/>
      <c r="AO81" s="121"/>
      <c r="AP81" s="121"/>
      <c r="AQ81" s="121"/>
      <c r="AR81" s="121"/>
      <c r="AS81" s="122"/>
    </row>
    <row r="82" spans="1:45" x14ac:dyDescent="0.2">
      <c r="A82" s="262"/>
      <c r="B82" s="256"/>
      <c r="C82" s="54"/>
      <c r="D82" s="54"/>
      <c r="E82" s="55"/>
      <c r="F82" s="91"/>
      <c r="G82" s="262"/>
      <c r="H82" s="266"/>
      <c r="I82" s="121"/>
      <c r="J82" s="121"/>
      <c r="K82" s="121"/>
      <c r="L82" s="121"/>
      <c r="M82" s="122"/>
      <c r="N82" s="53"/>
      <c r="O82" s="262"/>
      <c r="P82" s="266"/>
      <c r="Q82" s="121"/>
      <c r="R82" s="121"/>
      <c r="S82" s="121"/>
      <c r="T82" s="121"/>
      <c r="U82" s="122"/>
      <c r="V82" s="53"/>
      <c r="W82" s="262"/>
      <c r="X82" s="266"/>
      <c r="Y82" s="121"/>
      <c r="Z82" s="121"/>
      <c r="AA82" s="121"/>
      <c r="AB82" s="121"/>
      <c r="AC82" s="122"/>
      <c r="AE82" s="262"/>
      <c r="AF82" s="272"/>
      <c r="AG82" s="132"/>
      <c r="AH82" s="132"/>
      <c r="AI82" s="132"/>
      <c r="AJ82" s="132"/>
      <c r="AK82" s="133"/>
      <c r="AM82" s="262"/>
      <c r="AN82" s="266"/>
      <c r="AO82" s="121"/>
      <c r="AP82" s="121"/>
      <c r="AQ82" s="121"/>
      <c r="AR82" s="121"/>
      <c r="AS82" s="122"/>
    </row>
    <row r="83" spans="1:45" x14ac:dyDescent="0.2">
      <c r="A83" s="262"/>
      <c r="B83" s="256"/>
      <c r="C83" s="54"/>
      <c r="D83" s="54"/>
      <c r="E83" s="55"/>
      <c r="F83" s="91"/>
      <c r="G83" s="262"/>
      <c r="H83" s="266"/>
      <c r="I83" s="121"/>
      <c r="J83" s="121"/>
      <c r="K83" s="121"/>
      <c r="L83" s="121"/>
      <c r="M83" s="122"/>
      <c r="N83" s="53"/>
      <c r="O83" s="262"/>
      <c r="P83" s="266"/>
      <c r="Q83" s="121"/>
      <c r="R83" s="121"/>
      <c r="S83" s="121"/>
      <c r="T83" s="121"/>
      <c r="U83" s="122"/>
      <c r="V83" s="53"/>
      <c r="W83" s="262"/>
      <c r="X83" s="266"/>
      <c r="Y83" s="121"/>
      <c r="Z83" s="121"/>
      <c r="AA83" s="121"/>
      <c r="AB83" s="121"/>
      <c r="AC83" s="122"/>
      <c r="AE83" s="262"/>
      <c r="AF83" s="272"/>
      <c r="AG83" s="132"/>
      <c r="AH83" s="132"/>
      <c r="AI83" s="132"/>
      <c r="AJ83" s="132"/>
      <c r="AK83" s="133"/>
      <c r="AM83" s="262"/>
      <c r="AN83" s="266"/>
      <c r="AO83" s="121"/>
      <c r="AP83" s="121"/>
      <c r="AQ83" s="121"/>
      <c r="AR83" s="121"/>
      <c r="AS83" s="122"/>
    </row>
    <row r="84" spans="1:45" x14ac:dyDescent="0.2">
      <c r="A84" s="262"/>
      <c r="B84" s="256"/>
      <c r="C84" s="54"/>
      <c r="D84" s="54"/>
      <c r="E84" s="55"/>
      <c r="F84" s="91"/>
      <c r="G84" s="262"/>
      <c r="H84" s="266"/>
      <c r="I84" s="121"/>
      <c r="J84" s="121"/>
      <c r="K84" s="121"/>
      <c r="L84" s="121"/>
      <c r="M84" s="122"/>
      <c r="N84" s="53"/>
      <c r="O84" s="262"/>
      <c r="P84" s="266"/>
      <c r="Q84" s="121"/>
      <c r="R84" s="121"/>
      <c r="S84" s="121"/>
      <c r="T84" s="121"/>
      <c r="U84" s="122"/>
      <c r="V84" s="53"/>
      <c r="W84" s="262"/>
      <c r="X84" s="266"/>
      <c r="Y84" s="121"/>
      <c r="Z84" s="121"/>
      <c r="AA84" s="121"/>
      <c r="AB84" s="121"/>
      <c r="AC84" s="122"/>
      <c r="AE84" s="262"/>
      <c r="AF84" s="272"/>
      <c r="AG84" s="132"/>
      <c r="AH84" s="132"/>
      <c r="AI84" s="132"/>
      <c r="AJ84" s="132"/>
      <c r="AK84" s="133"/>
      <c r="AM84" s="262"/>
      <c r="AN84" s="266"/>
      <c r="AO84" s="121"/>
      <c r="AP84" s="121"/>
      <c r="AQ84" s="121"/>
      <c r="AR84" s="121"/>
      <c r="AS84" s="122"/>
    </row>
    <row r="85" spans="1:45" x14ac:dyDescent="0.2">
      <c r="A85" s="262"/>
      <c r="B85" s="256"/>
      <c r="C85" s="54"/>
      <c r="D85" s="54"/>
      <c r="E85" s="55"/>
      <c r="F85" s="91"/>
      <c r="G85" s="262"/>
      <c r="H85" s="266"/>
      <c r="I85" s="121"/>
      <c r="J85" s="121"/>
      <c r="K85" s="121"/>
      <c r="L85" s="121"/>
      <c r="M85" s="122"/>
      <c r="N85" s="53"/>
      <c r="O85" s="262"/>
      <c r="P85" s="266"/>
      <c r="Q85" s="121"/>
      <c r="R85" s="121"/>
      <c r="S85" s="121"/>
      <c r="T85" s="121"/>
      <c r="U85" s="122"/>
      <c r="V85" s="53"/>
      <c r="W85" s="262"/>
      <c r="X85" s="266"/>
      <c r="Y85" s="121"/>
      <c r="Z85" s="121"/>
      <c r="AA85" s="121"/>
      <c r="AB85" s="121"/>
      <c r="AC85" s="122"/>
      <c r="AE85" s="262"/>
      <c r="AF85" s="272"/>
      <c r="AG85" s="132"/>
      <c r="AH85" s="132"/>
      <c r="AI85" s="132"/>
      <c r="AJ85" s="132"/>
      <c r="AK85" s="133"/>
      <c r="AM85" s="262"/>
      <c r="AN85" s="266"/>
      <c r="AO85" s="121"/>
      <c r="AP85" s="121"/>
      <c r="AQ85" s="121"/>
      <c r="AR85" s="121"/>
      <c r="AS85" s="122"/>
    </row>
    <row r="86" spans="1:45" x14ac:dyDescent="0.2">
      <c r="A86" s="262"/>
      <c r="B86" s="256"/>
      <c r="C86" s="54"/>
      <c r="D86" s="54"/>
      <c r="E86" s="55"/>
      <c r="F86" s="91"/>
      <c r="G86" s="262"/>
      <c r="H86" s="266"/>
      <c r="I86" s="121"/>
      <c r="J86" s="121"/>
      <c r="K86" s="121"/>
      <c r="L86" s="121"/>
      <c r="M86" s="122"/>
      <c r="N86" s="53"/>
      <c r="O86" s="262"/>
      <c r="P86" s="266"/>
      <c r="Q86" s="121"/>
      <c r="R86" s="121"/>
      <c r="S86" s="121"/>
      <c r="T86" s="121"/>
      <c r="U86" s="122"/>
      <c r="V86" s="53"/>
      <c r="W86" s="262"/>
      <c r="X86" s="266"/>
      <c r="Y86" s="121"/>
      <c r="Z86" s="121"/>
      <c r="AA86" s="121"/>
      <c r="AB86" s="121"/>
      <c r="AC86" s="122"/>
      <c r="AE86" s="262"/>
      <c r="AF86" s="272"/>
      <c r="AG86" s="132"/>
      <c r="AH86" s="132"/>
      <c r="AI86" s="132"/>
      <c r="AJ86" s="132"/>
      <c r="AK86" s="133"/>
      <c r="AM86" s="262"/>
      <c r="AN86" s="266"/>
      <c r="AO86" s="121"/>
      <c r="AP86" s="121"/>
      <c r="AQ86" s="121"/>
      <c r="AR86" s="121"/>
      <c r="AS86" s="122"/>
    </row>
    <row r="87" spans="1:45" x14ac:dyDescent="0.2">
      <c r="A87" s="262"/>
      <c r="B87" s="256"/>
      <c r="C87" s="54"/>
      <c r="D87" s="54"/>
      <c r="E87" s="55"/>
      <c r="F87" s="91"/>
      <c r="G87" s="262"/>
      <c r="H87" s="266"/>
      <c r="I87" s="121"/>
      <c r="J87" s="121"/>
      <c r="K87" s="121"/>
      <c r="L87" s="121"/>
      <c r="M87" s="122"/>
      <c r="N87" s="53"/>
      <c r="O87" s="262"/>
      <c r="P87" s="266"/>
      <c r="Q87" s="121"/>
      <c r="R87" s="121"/>
      <c r="S87" s="121"/>
      <c r="T87" s="121"/>
      <c r="U87" s="122"/>
      <c r="V87" s="53"/>
      <c r="W87" s="262"/>
      <c r="X87" s="266"/>
      <c r="Y87" s="121"/>
      <c r="Z87" s="121"/>
      <c r="AA87" s="121"/>
      <c r="AB87" s="121"/>
      <c r="AC87" s="122"/>
      <c r="AE87" s="262"/>
      <c r="AF87" s="272"/>
      <c r="AG87" s="132"/>
      <c r="AH87" s="132"/>
      <c r="AI87" s="132"/>
      <c r="AJ87" s="132"/>
      <c r="AK87" s="133"/>
      <c r="AM87" s="262"/>
      <c r="AN87" s="266"/>
      <c r="AO87" s="121"/>
      <c r="AP87" s="121"/>
      <c r="AQ87" s="121"/>
      <c r="AR87" s="121"/>
      <c r="AS87" s="122"/>
    </row>
    <row r="88" spans="1:45" x14ac:dyDescent="0.2">
      <c r="A88" s="262"/>
      <c r="B88" s="256"/>
      <c r="C88" s="54"/>
      <c r="D88" s="54"/>
      <c r="E88" s="55"/>
      <c r="F88" s="91"/>
      <c r="G88" s="262"/>
      <c r="H88" s="266"/>
      <c r="I88" s="121"/>
      <c r="J88" s="121"/>
      <c r="K88" s="121"/>
      <c r="L88" s="121"/>
      <c r="M88" s="122"/>
      <c r="N88" s="53"/>
      <c r="O88" s="262"/>
      <c r="P88" s="266"/>
      <c r="Q88" s="121"/>
      <c r="R88" s="121"/>
      <c r="S88" s="121"/>
      <c r="T88" s="121"/>
      <c r="U88" s="122"/>
      <c r="V88" s="53"/>
      <c r="W88" s="262"/>
      <c r="X88" s="266"/>
      <c r="Y88" s="121"/>
      <c r="Z88" s="121"/>
      <c r="AA88" s="121"/>
      <c r="AB88" s="121"/>
      <c r="AC88" s="122"/>
      <c r="AE88" s="262"/>
      <c r="AF88" s="272"/>
      <c r="AG88" s="132"/>
      <c r="AH88" s="132"/>
      <c r="AI88" s="132"/>
      <c r="AJ88" s="132"/>
      <c r="AK88" s="133"/>
      <c r="AM88" s="262"/>
      <c r="AN88" s="266"/>
      <c r="AO88" s="121"/>
      <c r="AP88" s="121"/>
      <c r="AQ88" s="121"/>
      <c r="AR88" s="121"/>
      <c r="AS88" s="122"/>
    </row>
    <row r="89" spans="1:45" x14ac:dyDescent="0.2">
      <c r="A89" s="262"/>
      <c r="B89" s="256"/>
      <c r="C89" s="54"/>
      <c r="D89" s="54"/>
      <c r="E89" s="55"/>
      <c r="F89" s="91"/>
      <c r="G89" s="262"/>
      <c r="H89" s="266"/>
      <c r="I89" s="121"/>
      <c r="J89" s="121"/>
      <c r="K89" s="121"/>
      <c r="L89" s="121"/>
      <c r="M89" s="122"/>
      <c r="N89" s="53"/>
      <c r="O89" s="262"/>
      <c r="P89" s="266"/>
      <c r="Q89" s="121"/>
      <c r="R89" s="121"/>
      <c r="S89" s="121"/>
      <c r="T89" s="121"/>
      <c r="U89" s="122"/>
      <c r="V89" s="53"/>
      <c r="W89" s="262"/>
      <c r="X89" s="266"/>
      <c r="Y89" s="121"/>
      <c r="Z89" s="121"/>
      <c r="AA89" s="121"/>
      <c r="AB89" s="121"/>
      <c r="AC89" s="122"/>
      <c r="AE89" s="262"/>
      <c r="AF89" s="272"/>
      <c r="AG89" s="132"/>
      <c r="AH89" s="132"/>
      <c r="AI89" s="132"/>
      <c r="AJ89" s="132"/>
      <c r="AK89" s="133"/>
      <c r="AM89" s="262"/>
      <c r="AN89" s="266"/>
      <c r="AO89" s="121"/>
      <c r="AP89" s="121"/>
      <c r="AQ89" s="121"/>
      <c r="AR89" s="121"/>
      <c r="AS89" s="122"/>
    </row>
    <row r="90" spans="1:45" x14ac:dyDescent="0.2">
      <c r="A90" s="262"/>
      <c r="B90" s="256"/>
      <c r="C90" s="54"/>
      <c r="D90" s="54"/>
      <c r="E90" s="55"/>
      <c r="F90" s="91"/>
      <c r="G90" s="262"/>
      <c r="H90" s="266"/>
      <c r="I90" s="121"/>
      <c r="J90" s="121"/>
      <c r="K90" s="121"/>
      <c r="L90" s="121"/>
      <c r="M90" s="122"/>
      <c r="N90" s="53"/>
      <c r="O90" s="262"/>
      <c r="P90" s="266"/>
      <c r="Q90" s="121"/>
      <c r="R90" s="121"/>
      <c r="S90" s="121"/>
      <c r="T90" s="121"/>
      <c r="U90" s="122"/>
      <c r="V90" s="53"/>
      <c r="W90" s="262"/>
      <c r="X90" s="266"/>
      <c r="Y90" s="121"/>
      <c r="Z90" s="121"/>
      <c r="AA90" s="121"/>
      <c r="AB90" s="121"/>
      <c r="AC90" s="122"/>
      <c r="AE90" s="262"/>
      <c r="AF90" s="272"/>
      <c r="AG90" s="132"/>
      <c r="AH90" s="132"/>
      <c r="AI90" s="132"/>
      <c r="AJ90" s="132"/>
      <c r="AK90" s="133"/>
      <c r="AM90" s="262"/>
      <c r="AN90" s="266"/>
      <c r="AO90" s="121"/>
      <c r="AP90" s="121"/>
      <c r="AQ90" s="121"/>
      <c r="AR90" s="121"/>
      <c r="AS90" s="122"/>
    </row>
    <row r="91" spans="1:45" x14ac:dyDescent="0.2">
      <c r="A91" s="262"/>
      <c r="B91" s="256"/>
      <c r="C91" s="54"/>
      <c r="D91" s="54"/>
      <c r="E91" s="55"/>
      <c r="F91" s="91"/>
      <c r="G91" s="262"/>
      <c r="H91" s="266"/>
      <c r="I91" s="121"/>
      <c r="J91" s="121"/>
      <c r="K91" s="121"/>
      <c r="L91" s="121"/>
      <c r="M91" s="122"/>
      <c r="N91" s="53"/>
      <c r="O91" s="262"/>
      <c r="P91" s="266"/>
      <c r="Q91" s="121"/>
      <c r="R91" s="121"/>
      <c r="S91" s="121"/>
      <c r="T91" s="121"/>
      <c r="U91" s="122"/>
      <c r="V91" s="53"/>
      <c r="W91" s="262"/>
      <c r="X91" s="266"/>
      <c r="Y91" s="121"/>
      <c r="Z91" s="121"/>
      <c r="AA91" s="121"/>
      <c r="AB91" s="121"/>
      <c r="AC91" s="122"/>
      <c r="AE91" s="262"/>
      <c r="AF91" s="272"/>
      <c r="AG91" s="132"/>
      <c r="AH91" s="132"/>
      <c r="AI91" s="132"/>
      <c r="AJ91" s="132"/>
      <c r="AK91" s="133"/>
      <c r="AM91" s="262"/>
      <c r="AN91" s="266"/>
      <c r="AO91" s="121"/>
      <c r="AP91" s="121"/>
      <c r="AQ91" s="121"/>
      <c r="AR91" s="121"/>
      <c r="AS91" s="122"/>
    </row>
    <row r="92" spans="1:45" x14ac:dyDescent="0.2">
      <c r="A92" s="262"/>
      <c r="B92" s="256"/>
      <c r="C92" s="54"/>
      <c r="D92" s="54"/>
      <c r="E92" s="55"/>
      <c r="F92" s="91"/>
      <c r="G92" s="262"/>
      <c r="H92" s="266"/>
      <c r="I92" s="121"/>
      <c r="J92" s="121"/>
      <c r="K92" s="121"/>
      <c r="L92" s="121"/>
      <c r="M92" s="122"/>
      <c r="N92" s="53"/>
      <c r="O92" s="262"/>
      <c r="P92" s="266"/>
      <c r="Q92" s="121"/>
      <c r="R92" s="121"/>
      <c r="S92" s="121"/>
      <c r="T92" s="121"/>
      <c r="U92" s="122"/>
      <c r="V92" s="53"/>
      <c r="W92" s="262"/>
      <c r="X92" s="266"/>
      <c r="Y92" s="121"/>
      <c r="Z92" s="121"/>
      <c r="AA92" s="121"/>
      <c r="AB92" s="121"/>
      <c r="AC92" s="122"/>
      <c r="AE92" s="262"/>
      <c r="AF92" s="272"/>
      <c r="AG92" s="132"/>
      <c r="AH92" s="132"/>
      <c r="AI92" s="132"/>
      <c r="AJ92" s="132"/>
      <c r="AK92" s="133"/>
      <c r="AM92" s="262"/>
      <c r="AN92" s="266"/>
      <c r="AO92" s="121"/>
      <c r="AP92" s="121"/>
      <c r="AQ92" s="121"/>
      <c r="AR92" s="121"/>
      <c r="AS92" s="122"/>
    </row>
    <row r="93" spans="1:45" x14ac:dyDescent="0.2">
      <c r="A93" s="262"/>
      <c r="B93" s="256"/>
      <c r="C93" s="54"/>
      <c r="D93" s="54"/>
      <c r="E93" s="55"/>
      <c r="F93" s="91"/>
      <c r="G93" s="262"/>
      <c r="H93" s="266"/>
      <c r="I93" s="121"/>
      <c r="J93" s="121"/>
      <c r="K93" s="121"/>
      <c r="L93" s="121"/>
      <c r="M93" s="122"/>
      <c r="N93" s="53"/>
      <c r="O93" s="262"/>
      <c r="P93" s="266"/>
      <c r="Q93" s="121"/>
      <c r="R93" s="121"/>
      <c r="S93" s="121"/>
      <c r="T93" s="121"/>
      <c r="U93" s="122"/>
      <c r="V93" s="53"/>
      <c r="W93" s="262"/>
      <c r="X93" s="266"/>
      <c r="Y93" s="121"/>
      <c r="Z93" s="121"/>
      <c r="AA93" s="121"/>
      <c r="AB93" s="121"/>
      <c r="AC93" s="122"/>
      <c r="AE93" s="262"/>
      <c r="AF93" s="272"/>
      <c r="AG93" s="132"/>
      <c r="AH93" s="132"/>
      <c r="AI93" s="132"/>
      <c r="AJ93" s="132"/>
      <c r="AK93" s="133"/>
      <c r="AM93" s="262"/>
      <c r="AN93" s="266"/>
      <c r="AO93" s="121"/>
      <c r="AP93" s="121"/>
      <c r="AQ93" s="121"/>
      <c r="AR93" s="121"/>
      <c r="AS93" s="122"/>
    </row>
    <row r="94" spans="1:45" x14ac:dyDescent="0.2">
      <c r="A94" s="262"/>
      <c r="B94" s="256"/>
      <c r="C94" s="54"/>
      <c r="D94" s="54"/>
      <c r="E94" s="55"/>
      <c r="F94" s="91"/>
      <c r="G94" s="262"/>
      <c r="H94" s="266"/>
      <c r="I94" s="121"/>
      <c r="J94" s="121"/>
      <c r="K94" s="121"/>
      <c r="L94" s="121"/>
      <c r="M94" s="122"/>
      <c r="N94" s="53"/>
      <c r="O94" s="262"/>
      <c r="P94" s="266"/>
      <c r="Q94" s="121"/>
      <c r="R94" s="121"/>
      <c r="S94" s="121"/>
      <c r="T94" s="121"/>
      <c r="U94" s="122"/>
      <c r="V94" s="53"/>
      <c r="W94" s="262"/>
      <c r="X94" s="266"/>
      <c r="Y94" s="121"/>
      <c r="Z94" s="121"/>
      <c r="AA94" s="121"/>
      <c r="AB94" s="121"/>
      <c r="AC94" s="122"/>
      <c r="AE94" s="262"/>
      <c r="AF94" s="272"/>
      <c r="AG94" s="132"/>
      <c r="AH94" s="132"/>
      <c r="AI94" s="132"/>
      <c r="AJ94" s="132"/>
      <c r="AK94" s="133"/>
      <c r="AM94" s="262"/>
      <c r="AN94" s="266"/>
      <c r="AO94" s="121"/>
      <c r="AP94" s="121"/>
      <c r="AQ94" s="121"/>
      <c r="AR94" s="121"/>
      <c r="AS94" s="122"/>
    </row>
    <row r="95" spans="1:45" x14ac:dyDescent="0.2">
      <c r="A95" s="262"/>
      <c r="B95" s="256"/>
      <c r="C95" s="54"/>
      <c r="D95" s="54"/>
      <c r="E95" s="55"/>
      <c r="F95" s="91"/>
      <c r="G95" s="262"/>
      <c r="H95" s="266"/>
      <c r="I95" s="121"/>
      <c r="J95" s="121"/>
      <c r="K95" s="121"/>
      <c r="L95" s="121"/>
      <c r="M95" s="122"/>
      <c r="N95" s="53"/>
      <c r="O95" s="262"/>
      <c r="P95" s="266"/>
      <c r="Q95" s="121"/>
      <c r="R95" s="121"/>
      <c r="S95" s="121"/>
      <c r="T95" s="121"/>
      <c r="U95" s="122"/>
      <c r="V95" s="53"/>
      <c r="W95" s="262"/>
      <c r="X95" s="266"/>
      <c r="Y95" s="121"/>
      <c r="Z95" s="121"/>
      <c r="AA95" s="121"/>
      <c r="AB95" s="121"/>
      <c r="AC95" s="122"/>
      <c r="AE95" s="262"/>
      <c r="AF95" s="272"/>
      <c r="AG95" s="132"/>
      <c r="AH95" s="132"/>
      <c r="AI95" s="132"/>
      <c r="AJ95" s="132"/>
      <c r="AK95" s="133"/>
      <c r="AM95" s="262"/>
      <c r="AN95" s="266"/>
      <c r="AO95" s="121"/>
      <c r="AP95" s="121"/>
      <c r="AQ95" s="121"/>
      <c r="AR95" s="121"/>
      <c r="AS95" s="122"/>
    </row>
    <row r="96" spans="1:45" x14ac:dyDescent="0.2">
      <c r="A96" s="262"/>
      <c r="B96" s="256"/>
      <c r="C96" s="54"/>
      <c r="D96" s="54"/>
      <c r="E96" s="55"/>
      <c r="F96" s="91"/>
      <c r="G96" s="262"/>
      <c r="H96" s="266"/>
      <c r="I96" s="121"/>
      <c r="J96" s="121"/>
      <c r="K96" s="121"/>
      <c r="L96" s="121"/>
      <c r="M96" s="122"/>
      <c r="N96" s="53"/>
      <c r="O96" s="262"/>
      <c r="P96" s="266"/>
      <c r="Q96" s="121"/>
      <c r="R96" s="121"/>
      <c r="S96" s="121"/>
      <c r="T96" s="121"/>
      <c r="U96" s="122"/>
      <c r="V96" s="53"/>
      <c r="W96" s="262"/>
      <c r="X96" s="266"/>
      <c r="Y96" s="121"/>
      <c r="Z96" s="121"/>
      <c r="AA96" s="121"/>
      <c r="AB96" s="121"/>
      <c r="AC96" s="122"/>
      <c r="AE96" s="262"/>
      <c r="AF96" s="272"/>
      <c r="AG96" s="132"/>
      <c r="AH96" s="132"/>
      <c r="AI96" s="132"/>
      <c r="AJ96" s="132"/>
      <c r="AK96" s="133"/>
      <c r="AM96" s="262"/>
      <c r="AN96" s="266"/>
      <c r="AO96" s="121"/>
      <c r="AP96" s="121"/>
      <c r="AQ96" s="121"/>
      <c r="AR96" s="121"/>
      <c r="AS96" s="122"/>
    </row>
    <row r="97" spans="1:45" x14ac:dyDescent="0.2">
      <c r="A97" s="262"/>
      <c r="B97" s="256"/>
      <c r="C97" s="54"/>
      <c r="D97" s="54"/>
      <c r="E97" s="55"/>
      <c r="F97" s="91"/>
      <c r="G97" s="262"/>
      <c r="H97" s="266"/>
      <c r="I97" s="121"/>
      <c r="J97" s="121"/>
      <c r="K97" s="121"/>
      <c r="L97" s="121"/>
      <c r="M97" s="122"/>
      <c r="N97" s="53"/>
      <c r="O97" s="262"/>
      <c r="P97" s="266"/>
      <c r="Q97" s="121"/>
      <c r="R97" s="121"/>
      <c r="S97" s="121"/>
      <c r="T97" s="121"/>
      <c r="U97" s="122"/>
      <c r="V97" s="53"/>
      <c r="W97" s="262"/>
      <c r="X97" s="266"/>
      <c r="Y97" s="121"/>
      <c r="Z97" s="121"/>
      <c r="AA97" s="121"/>
      <c r="AB97" s="121"/>
      <c r="AC97" s="122"/>
      <c r="AE97" s="262"/>
      <c r="AF97" s="272"/>
      <c r="AG97" s="132"/>
      <c r="AH97" s="132"/>
      <c r="AI97" s="132"/>
      <c r="AJ97" s="132"/>
      <c r="AK97" s="133"/>
      <c r="AM97" s="262"/>
      <c r="AN97" s="266"/>
      <c r="AO97" s="121"/>
      <c r="AP97" s="121"/>
      <c r="AQ97" s="121"/>
      <c r="AR97" s="121"/>
      <c r="AS97" s="122"/>
    </row>
    <row r="98" spans="1:45" x14ac:dyDescent="0.2">
      <c r="A98" s="262"/>
      <c r="B98" s="256"/>
      <c r="C98" s="54"/>
      <c r="D98" s="54"/>
      <c r="E98" s="55"/>
      <c r="F98" s="91"/>
      <c r="G98" s="262"/>
      <c r="H98" s="266"/>
      <c r="I98" s="121"/>
      <c r="J98" s="121"/>
      <c r="K98" s="121"/>
      <c r="L98" s="121"/>
      <c r="M98" s="122"/>
      <c r="N98" s="53"/>
      <c r="O98" s="262"/>
      <c r="P98" s="266"/>
      <c r="Q98" s="121"/>
      <c r="R98" s="121"/>
      <c r="S98" s="121"/>
      <c r="T98" s="121"/>
      <c r="U98" s="122"/>
      <c r="V98" s="53"/>
      <c r="W98" s="262"/>
      <c r="X98" s="266"/>
      <c r="Y98" s="121"/>
      <c r="Z98" s="121"/>
      <c r="AA98" s="121"/>
      <c r="AB98" s="121"/>
      <c r="AC98" s="122"/>
      <c r="AE98" s="262"/>
      <c r="AF98" s="272"/>
      <c r="AG98" s="132"/>
      <c r="AH98" s="132"/>
      <c r="AI98" s="132"/>
      <c r="AJ98" s="132"/>
      <c r="AK98" s="133"/>
      <c r="AM98" s="262"/>
      <c r="AN98" s="266"/>
      <c r="AO98" s="121"/>
      <c r="AP98" s="121"/>
      <c r="AQ98" s="121"/>
      <c r="AR98" s="121"/>
      <c r="AS98" s="122"/>
    </row>
    <row r="99" spans="1:45" x14ac:dyDescent="0.2">
      <c r="A99" s="262"/>
      <c r="B99" s="256"/>
      <c r="C99" s="54"/>
      <c r="D99" s="54"/>
      <c r="E99" s="55"/>
      <c r="F99" s="91"/>
      <c r="G99" s="262"/>
      <c r="H99" s="266"/>
      <c r="I99" s="121"/>
      <c r="J99" s="121"/>
      <c r="K99" s="121"/>
      <c r="L99" s="121"/>
      <c r="M99" s="122"/>
      <c r="N99" s="53"/>
      <c r="O99" s="262"/>
      <c r="P99" s="266"/>
      <c r="Q99" s="121"/>
      <c r="R99" s="121"/>
      <c r="S99" s="121"/>
      <c r="T99" s="121"/>
      <c r="U99" s="122"/>
      <c r="V99" s="53"/>
      <c r="W99" s="262"/>
      <c r="X99" s="266"/>
      <c r="Y99" s="121"/>
      <c r="Z99" s="121"/>
      <c r="AA99" s="121"/>
      <c r="AB99" s="121"/>
      <c r="AC99" s="122"/>
      <c r="AE99" s="262"/>
      <c r="AF99" s="272"/>
      <c r="AG99" s="132"/>
      <c r="AH99" s="132"/>
      <c r="AI99" s="132"/>
      <c r="AJ99" s="132"/>
      <c r="AK99" s="133"/>
      <c r="AM99" s="262"/>
      <c r="AN99" s="266"/>
      <c r="AO99" s="121"/>
      <c r="AP99" s="121"/>
      <c r="AQ99" s="121"/>
      <c r="AR99" s="121"/>
      <c r="AS99" s="122"/>
    </row>
    <row r="100" spans="1:45" x14ac:dyDescent="0.2">
      <c r="A100" s="262"/>
      <c r="B100" s="256"/>
      <c r="C100" s="54"/>
      <c r="D100" s="54"/>
      <c r="E100" s="55"/>
      <c r="F100" s="91"/>
      <c r="G100" s="262"/>
      <c r="H100" s="266"/>
      <c r="I100" s="121"/>
      <c r="J100" s="121"/>
      <c r="K100" s="121"/>
      <c r="L100" s="121"/>
      <c r="M100" s="122"/>
      <c r="N100" s="53"/>
      <c r="O100" s="262"/>
      <c r="P100" s="266"/>
      <c r="Q100" s="121"/>
      <c r="R100" s="121"/>
      <c r="S100" s="121"/>
      <c r="T100" s="121"/>
      <c r="U100" s="122"/>
      <c r="V100" s="53"/>
      <c r="W100" s="262"/>
      <c r="X100" s="266"/>
      <c r="Y100" s="121"/>
      <c r="Z100" s="121"/>
      <c r="AA100" s="121"/>
      <c r="AB100" s="121"/>
      <c r="AC100" s="122"/>
      <c r="AE100" s="262"/>
      <c r="AF100" s="272"/>
      <c r="AG100" s="132"/>
      <c r="AH100" s="132"/>
      <c r="AI100" s="132"/>
      <c r="AJ100" s="132"/>
      <c r="AK100" s="133"/>
      <c r="AM100" s="262"/>
      <c r="AN100" s="266"/>
      <c r="AO100" s="121"/>
      <c r="AP100" s="121"/>
      <c r="AQ100" s="121"/>
      <c r="AR100" s="121"/>
      <c r="AS100" s="122"/>
    </row>
    <row r="101" spans="1:45" x14ac:dyDescent="0.2">
      <c r="A101" s="262"/>
      <c r="B101" s="256"/>
      <c r="C101" s="54"/>
      <c r="D101" s="54"/>
      <c r="E101" s="55"/>
      <c r="F101" s="91"/>
      <c r="G101" s="262"/>
      <c r="H101" s="266"/>
      <c r="I101" s="121"/>
      <c r="J101" s="121"/>
      <c r="K101" s="121"/>
      <c r="L101" s="121"/>
      <c r="M101" s="122"/>
      <c r="N101" s="53"/>
      <c r="O101" s="262"/>
      <c r="P101" s="266"/>
      <c r="Q101" s="121"/>
      <c r="R101" s="121"/>
      <c r="S101" s="121"/>
      <c r="T101" s="121"/>
      <c r="U101" s="122"/>
      <c r="V101" s="53"/>
      <c r="W101" s="262"/>
      <c r="X101" s="266"/>
      <c r="Y101" s="121"/>
      <c r="Z101" s="121"/>
      <c r="AA101" s="121"/>
      <c r="AB101" s="121"/>
      <c r="AC101" s="122"/>
      <c r="AE101" s="262"/>
      <c r="AF101" s="272"/>
      <c r="AG101" s="132"/>
      <c r="AH101" s="132"/>
      <c r="AI101" s="132"/>
      <c r="AJ101" s="132"/>
      <c r="AK101" s="133"/>
      <c r="AM101" s="262"/>
      <c r="AN101" s="266"/>
      <c r="AO101" s="121"/>
      <c r="AP101" s="121"/>
      <c r="AQ101" s="121"/>
      <c r="AR101" s="121"/>
      <c r="AS101" s="122"/>
    </row>
    <row r="102" spans="1:45" x14ac:dyDescent="0.2">
      <c r="A102" s="262"/>
      <c r="B102" s="256"/>
      <c r="C102" s="54"/>
      <c r="D102" s="54"/>
      <c r="E102" s="55"/>
      <c r="F102" s="91"/>
      <c r="G102" s="262"/>
      <c r="H102" s="266"/>
      <c r="I102" s="121"/>
      <c r="J102" s="121"/>
      <c r="K102" s="121"/>
      <c r="L102" s="121"/>
      <c r="M102" s="122"/>
      <c r="N102" s="53"/>
      <c r="O102" s="262"/>
      <c r="P102" s="266"/>
      <c r="Q102" s="121"/>
      <c r="R102" s="121"/>
      <c r="S102" s="121"/>
      <c r="T102" s="121"/>
      <c r="U102" s="122"/>
      <c r="V102" s="53"/>
      <c r="W102" s="262"/>
      <c r="X102" s="266"/>
      <c r="Y102" s="121"/>
      <c r="Z102" s="121"/>
      <c r="AA102" s="121"/>
      <c r="AB102" s="121"/>
      <c r="AC102" s="122"/>
      <c r="AE102" s="262"/>
      <c r="AF102" s="272"/>
      <c r="AG102" s="132"/>
      <c r="AH102" s="132"/>
      <c r="AI102" s="132"/>
      <c r="AJ102" s="132"/>
      <c r="AK102" s="133"/>
      <c r="AM102" s="262"/>
      <c r="AN102" s="266"/>
      <c r="AO102" s="121"/>
      <c r="AP102" s="121"/>
      <c r="AQ102" s="121"/>
      <c r="AR102" s="121"/>
      <c r="AS102" s="122"/>
    </row>
    <row r="103" spans="1:45" x14ac:dyDescent="0.2">
      <c r="A103" s="262"/>
      <c r="B103" s="256"/>
      <c r="C103" s="54"/>
      <c r="D103" s="54"/>
      <c r="E103" s="55"/>
      <c r="F103" s="91"/>
      <c r="G103" s="262"/>
      <c r="H103" s="266"/>
      <c r="I103" s="121"/>
      <c r="J103" s="121"/>
      <c r="K103" s="121"/>
      <c r="L103" s="121"/>
      <c r="M103" s="122"/>
      <c r="N103" s="53"/>
      <c r="O103" s="262"/>
      <c r="P103" s="266"/>
      <c r="Q103" s="121"/>
      <c r="R103" s="121"/>
      <c r="S103" s="121"/>
      <c r="T103" s="121"/>
      <c r="U103" s="122"/>
      <c r="V103" s="53"/>
      <c r="W103" s="262"/>
      <c r="X103" s="266"/>
      <c r="Y103" s="121"/>
      <c r="Z103" s="121"/>
      <c r="AA103" s="121"/>
      <c r="AB103" s="121"/>
      <c r="AC103" s="122"/>
      <c r="AE103" s="262"/>
      <c r="AF103" s="272"/>
      <c r="AG103" s="132"/>
      <c r="AH103" s="132"/>
      <c r="AI103" s="132"/>
      <c r="AJ103" s="132"/>
      <c r="AK103" s="133"/>
      <c r="AM103" s="262"/>
      <c r="AN103" s="266"/>
      <c r="AO103" s="121"/>
      <c r="AP103" s="121"/>
      <c r="AQ103" s="121"/>
      <c r="AR103" s="121"/>
      <c r="AS103" s="122"/>
    </row>
    <row r="104" spans="1:45" x14ac:dyDescent="0.2">
      <c r="A104" s="262"/>
      <c r="B104" s="256"/>
      <c r="C104" s="54"/>
      <c r="D104" s="54"/>
      <c r="E104" s="55"/>
      <c r="F104" s="91"/>
      <c r="G104" s="262"/>
      <c r="H104" s="266"/>
      <c r="I104" s="121"/>
      <c r="J104" s="121"/>
      <c r="K104" s="121"/>
      <c r="L104" s="121"/>
      <c r="M104" s="122"/>
      <c r="N104" s="53"/>
      <c r="O104" s="262"/>
      <c r="P104" s="266"/>
      <c r="Q104" s="121"/>
      <c r="R104" s="121"/>
      <c r="S104" s="121"/>
      <c r="T104" s="121"/>
      <c r="U104" s="122"/>
      <c r="V104" s="53"/>
      <c r="W104" s="262"/>
      <c r="X104" s="266"/>
      <c r="Y104" s="121"/>
      <c r="Z104" s="121"/>
      <c r="AA104" s="121"/>
      <c r="AB104" s="121"/>
      <c r="AC104" s="122"/>
      <c r="AE104" s="262"/>
      <c r="AF104" s="272"/>
      <c r="AG104" s="132"/>
      <c r="AH104" s="132"/>
      <c r="AI104" s="132"/>
      <c r="AJ104" s="132"/>
      <c r="AK104" s="133"/>
      <c r="AM104" s="262"/>
      <c r="AN104" s="266"/>
      <c r="AO104" s="121"/>
      <c r="AP104" s="121"/>
      <c r="AQ104" s="121"/>
      <c r="AR104" s="121"/>
      <c r="AS104" s="122"/>
    </row>
    <row r="105" spans="1:45" x14ac:dyDescent="0.2">
      <c r="A105" s="262"/>
      <c r="B105" s="256"/>
      <c r="C105" s="54"/>
      <c r="D105" s="54"/>
      <c r="E105" s="55"/>
      <c r="F105" s="91"/>
      <c r="G105" s="262"/>
      <c r="H105" s="266"/>
      <c r="I105" s="121"/>
      <c r="J105" s="121"/>
      <c r="K105" s="121"/>
      <c r="L105" s="121"/>
      <c r="M105" s="122"/>
      <c r="N105" s="53"/>
      <c r="O105" s="262"/>
      <c r="P105" s="266"/>
      <c r="Q105" s="121"/>
      <c r="R105" s="121"/>
      <c r="S105" s="121"/>
      <c r="T105" s="121"/>
      <c r="U105" s="122"/>
      <c r="V105" s="53"/>
      <c r="W105" s="262"/>
      <c r="X105" s="266"/>
      <c r="Y105" s="121"/>
      <c r="Z105" s="121"/>
      <c r="AA105" s="121"/>
      <c r="AB105" s="121"/>
      <c r="AC105" s="122"/>
      <c r="AE105" s="262"/>
      <c r="AF105" s="272"/>
      <c r="AG105" s="132"/>
      <c r="AH105" s="132"/>
      <c r="AI105" s="132"/>
      <c r="AJ105" s="132"/>
      <c r="AK105" s="133"/>
      <c r="AM105" s="262"/>
      <c r="AN105" s="266"/>
      <c r="AO105" s="121"/>
      <c r="AP105" s="121"/>
      <c r="AQ105" s="121"/>
      <c r="AR105" s="121"/>
      <c r="AS105" s="122"/>
    </row>
    <row r="106" spans="1:45" x14ac:dyDescent="0.2">
      <c r="A106" s="262"/>
      <c r="B106" s="256"/>
      <c r="C106" s="54"/>
      <c r="D106" s="54"/>
      <c r="E106" s="55"/>
      <c r="F106" s="91"/>
      <c r="G106" s="262"/>
      <c r="H106" s="266"/>
      <c r="I106" s="121"/>
      <c r="J106" s="121"/>
      <c r="K106" s="121"/>
      <c r="L106" s="121"/>
      <c r="M106" s="122"/>
      <c r="N106" s="53"/>
      <c r="O106" s="262"/>
      <c r="P106" s="266"/>
      <c r="Q106" s="121"/>
      <c r="R106" s="121"/>
      <c r="S106" s="121"/>
      <c r="T106" s="121"/>
      <c r="U106" s="122"/>
      <c r="V106" s="53"/>
      <c r="W106" s="262"/>
      <c r="X106" s="266"/>
      <c r="Y106" s="121"/>
      <c r="Z106" s="121"/>
      <c r="AA106" s="121"/>
      <c r="AB106" s="121"/>
      <c r="AC106" s="122"/>
      <c r="AE106" s="262"/>
      <c r="AF106" s="272"/>
      <c r="AG106" s="132"/>
      <c r="AH106" s="132"/>
      <c r="AI106" s="132"/>
      <c r="AJ106" s="132"/>
      <c r="AK106" s="133"/>
      <c r="AM106" s="262"/>
      <c r="AN106" s="266"/>
      <c r="AO106" s="121"/>
      <c r="AP106" s="121"/>
      <c r="AQ106" s="121"/>
      <c r="AR106" s="121"/>
      <c r="AS106" s="122"/>
    </row>
    <row r="107" spans="1:45" x14ac:dyDescent="0.2">
      <c r="A107" s="262"/>
      <c r="B107" s="256"/>
      <c r="C107" s="54"/>
      <c r="D107" s="54"/>
      <c r="E107" s="55"/>
      <c r="F107" s="91"/>
      <c r="G107" s="262"/>
      <c r="H107" s="266"/>
      <c r="I107" s="121"/>
      <c r="J107" s="121"/>
      <c r="K107" s="121"/>
      <c r="L107" s="121"/>
      <c r="M107" s="122"/>
      <c r="N107" s="53"/>
      <c r="O107" s="262"/>
      <c r="P107" s="266"/>
      <c r="Q107" s="121"/>
      <c r="R107" s="121"/>
      <c r="S107" s="121"/>
      <c r="T107" s="121"/>
      <c r="U107" s="122"/>
      <c r="V107" s="53"/>
      <c r="W107" s="262"/>
      <c r="X107" s="266"/>
      <c r="Y107" s="121"/>
      <c r="Z107" s="121"/>
      <c r="AA107" s="121"/>
      <c r="AB107" s="121"/>
      <c r="AC107" s="122"/>
      <c r="AE107" s="262"/>
      <c r="AF107" s="272"/>
      <c r="AG107" s="132"/>
      <c r="AH107" s="132"/>
      <c r="AI107" s="132"/>
      <c r="AJ107" s="132"/>
      <c r="AK107" s="133"/>
      <c r="AM107" s="262"/>
      <c r="AN107" s="266"/>
      <c r="AO107" s="121"/>
      <c r="AP107" s="121"/>
      <c r="AQ107" s="121"/>
      <c r="AR107" s="121"/>
      <c r="AS107" s="122"/>
    </row>
    <row r="108" spans="1:45" x14ac:dyDescent="0.2">
      <c r="A108" s="262"/>
      <c r="B108" s="256"/>
      <c r="C108" s="54"/>
      <c r="D108" s="54"/>
      <c r="E108" s="55"/>
      <c r="F108" s="91"/>
      <c r="G108" s="262"/>
      <c r="H108" s="266"/>
      <c r="I108" s="121"/>
      <c r="J108" s="121"/>
      <c r="K108" s="121"/>
      <c r="L108" s="121"/>
      <c r="M108" s="122"/>
      <c r="N108" s="53"/>
      <c r="O108" s="262"/>
      <c r="P108" s="266"/>
      <c r="Q108" s="121"/>
      <c r="R108" s="121"/>
      <c r="S108" s="121"/>
      <c r="T108" s="121"/>
      <c r="U108" s="122"/>
      <c r="V108" s="53"/>
      <c r="W108" s="262"/>
      <c r="X108" s="266"/>
      <c r="Y108" s="121"/>
      <c r="Z108" s="121"/>
      <c r="AA108" s="121"/>
      <c r="AB108" s="121"/>
      <c r="AC108" s="122"/>
      <c r="AE108" s="262"/>
      <c r="AF108" s="272"/>
      <c r="AG108" s="132"/>
      <c r="AH108" s="132"/>
      <c r="AI108" s="132"/>
      <c r="AJ108" s="132"/>
      <c r="AK108" s="133"/>
      <c r="AM108" s="262"/>
      <c r="AN108" s="266"/>
      <c r="AO108" s="121"/>
      <c r="AP108" s="121"/>
      <c r="AQ108" s="121"/>
      <c r="AR108" s="121"/>
      <c r="AS108" s="122"/>
    </row>
    <row r="109" spans="1:45" x14ac:dyDescent="0.2">
      <c r="A109" s="262"/>
      <c r="B109" s="256"/>
      <c r="C109" s="54"/>
      <c r="D109" s="54"/>
      <c r="E109" s="55"/>
      <c r="F109" s="91"/>
      <c r="G109" s="262"/>
      <c r="H109" s="266"/>
      <c r="I109" s="121"/>
      <c r="J109" s="121"/>
      <c r="K109" s="121"/>
      <c r="L109" s="121"/>
      <c r="M109" s="122"/>
      <c r="N109" s="53"/>
      <c r="O109" s="262"/>
      <c r="P109" s="266"/>
      <c r="Q109" s="121"/>
      <c r="R109" s="121"/>
      <c r="S109" s="121"/>
      <c r="T109" s="121"/>
      <c r="U109" s="122"/>
      <c r="V109" s="53"/>
      <c r="W109" s="262"/>
      <c r="X109" s="266"/>
      <c r="Y109" s="121"/>
      <c r="Z109" s="121"/>
      <c r="AA109" s="121"/>
      <c r="AB109" s="121"/>
      <c r="AC109" s="122"/>
      <c r="AE109" s="262"/>
      <c r="AF109" s="272"/>
      <c r="AG109" s="132"/>
      <c r="AH109" s="132"/>
      <c r="AI109" s="132"/>
      <c r="AJ109" s="132"/>
      <c r="AK109" s="133"/>
      <c r="AM109" s="262"/>
      <c r="AN109" s="266"/>
      <c r="AO109" s="121"/>
      <c r="AP109" s="121"/>
      <c r="AQ109" s="121"/>
      <c r="AR109" s="121"/>
      <c r="AS109" s="122"/>
    </row>
    <row r="110" spans="1:45" x14ac:dyDescent="0.2">
      <c r="A110" s="262"/>
      <c r="B110" s="256"/>
      <c r="C110" s="54"/>
      <c r="D110" s="54"/>
      <c r="E110" s="55"/>
      <c r="F110" s="91"/>
      <c r="G110" s="262"/>
      <c r="H110" s="266"/>
      <c r="I110" s="121"/>
      <c r="J110" s="121"/>
      <c r="K110" s="121"/>
      <c r="L110" s="121"/>
      <c r="M110" s="122"/>
      <c r="N110" s="53"/>
      <c r="O110" s="262"/>
      <c r="P110" s="266"/>
      <c r="Q110" s="121"/>
      <c r="R110" s="121"/>
      <c r="S110" s="121"/>
      <c r="T110" s="121"/>
      <c r="U110" s="122"/>
      <c r="V110" s="53"/>
      <c r="W110" s="262"/>
      <c r="X110" s="266"/>
      <c r="Y110" s="121"/>
      <c r="Z110" s="121"/>
      <c r="AA110" s="121"/>
      <c r="AB110" s="121"/>
      <c r="AC110" s="122"/>
      <c r="AE110" s="262"/>
      <c r="AF110" s="272"/>
      <c r="AG110" s="132"/>
      <c r="AH110" s="132"/>
      <c r="AI110" s="132"/>
      <c r="AJ110" s="132"/>
      <c r="AK110" s="133"/>
      <c r="AM110" s="262"/>
      <c r="AN110" s="266"/>
      <c r="AO110" s="121"/>
      <c r="AP110" s="121"/>
      <c r="AQ110" s="121"/>
      <c r="AR110" s="121"/>
      <c r="AS110" s="122"/>
    </row>
    <row r="111" spans="1:45" x14ac:dyDescent="0.2">
      <c r="A111" s="262"/>
      <c r="B111" s="256"/>
      <c r="C111" s="54"/>
      <c r="D111" s="54"/>
      <c r="E111" s="55"/>
      <c r="F111" s="91"/>
      <c r="G111" s="262"/>
      <c r="H111" s="266"/>
      <c r="I111" s="121"/>
      <c r="J111" s="121"/>
      <c r="K111" s="121"/>
      <c r="L111" s="121"/>
      <c r="M111" s="122"/>
      <c r="N111" s="53"/>
      <c r="O111" s="262"/>
      <c r="P111" s="266"/>
      <c r="Q111" s="121"/>
      <c r="R111" s="121"/>
      <c r="S111" s="121"/>
      <c r="T111" s="121"/>
      <c r="U111" s="122"/>
      <c r="V111" s="53"/>
      <c r="W111" s="262"/>
      <c r="X111" s="266"/>
      <c r="Y111" s="121"/>
      <c r="Z111" s="121"/>
      <c r="AA111" s="121"/>
      <c r="AB111" s="121"/>
      <c r="AC111" s="122"/>
      <c r="AE111" s="262"/>
      <c r="AF111" s="272"/>
      <c r="AG111" s="132"/>
      <c r="AH111" s="132"/>
      <c r="AI111" s="132"/>
      <c r="AJ111" s="132"/>
      <c r="AK111" s="133"/>
      <c r="AM111" s="262"/>
      <c r="AN111" s="266"/>
      <c r="AO111" s="121"/>
      <c r="AP111" s="121"/>
      <c r="AQ111" s="121"/>
      <c r="AR111" s="121"/>
      <c r="AS111" s="122"/>
    </row>
    <row r="112" spans="1:45" x14ac:dyDescent="0.2">
      <c r="A112" s="262"/>
      <c r="B112" s="256"/>
      <c r="C112" s="54"/>
      <c r="D112" s="54"/>
      <c r="E112" s="55"/>
      <c r="F112" s="91"/>
      <c r="G112" s="262"/>
      <c r="H112" s="266"/>
      <c r="I112" s="121"/>
      <c r="J112" s="121"/>
      <c r="K112" s="121"/>
      <c r="L112" s="121"/>
      <c r="M112" s="122"/>
      <c r="N112" s="53"/>
      <c r="O112" s="262"/>
      <c r="P112" s="266"/>
      <c r="Q112" s="121"/>
      <c r="R112" s="121"/>
      <c r="S112" s="121"/>
      <c r="T112" s="121"/>
      <c r="U112" s="122"/>
      <c r="V112" s="53"/>
      <c r="W112" s="262"/>
      <c r="X112" s="266"/>
      <c r="Y112" s="121"/>
      <c r="Z112" s="121"/>
      <c r="AA112" s="121"/>
      <c r="AB112" s="121"/>
      <c r="AC112" s="122"/>
      <c r="AE112" s="262"/>
      <c r="AF112" s="272"/>
      <c r="AG112" s="132"/>
      <c r="AH112" s="132"/>
      <c r="AI112" s="132"/>
      <c r="AJ112" s="132"/>
      <c r="AK112" s="133"/>
      <c r="AM112" s="262"/>
      <c r="AN112" s="266"/>
      <c r="AO112" s="121"/>
      <c r="AP112" s="121"/>
      <c r="AQ112" s="121"/>
      <c r="AR112" s="121"/>
      <c r="AS112" s="122"/>
    </row>
    <row r="113" spans="1:45" x14ac:dyDescent="0.2">
      <c r="A113" s="262"/>
      <c r="B113" s="256"/>
      <c r="C113" s="54"/>
      <c r="D113" s="54"/>
      <c r="E113" s="55"/>
      <c r="F113" s="91"/>
      <c r="G113" s="262"/>
      <c r="H113" s="266"/>
      <c r="I113" s="121"/>
      <c r="J113" s="121"/>
      <c r="K113" s="121"/>
      <c r="L113" s="121"/>
      <c r="M113" s="122"/>
      <c r="N113" s="53"/>
      <c r="O113" s="262"/>
      <c r="P113" s="266"/>
      <c r="Q113" s="121"/>
      <c r="R113" s="121"/>
      <c r="S113" s="121"/>
      <c r="T113" s="121"/>
      <c r="U113" s="122"/>
      <c r="V113" s="53"/>
      <c r="W113" s="262"/>
      <c r="X113" s="266"/>
      <c r="Y113" s="121"/>
      <c r="Z113" s="121"/>
      <c r="AA113" s="121"/>
      <c r="AB113" s="121"/>
      <c r="AC113" s="122"/>
      <c r="AE113" s="262"/>
      <c r="AF113" s="272"/>
      <c r="AG113" s="132"/>
      <c r="AH113" s="132"/>
      <c r="AI113" s="132"/>
      <c r="AJ113" s="132"/>
      <c r="AK113" s="133"/>
      <c r="AM113" s="262"/>
      <c r="AN113" s="266"/>
      <c r="AO113" s="121"/>
      <c r="AP113" s="121"/>
      <c r="AQ113" s="121"/>
      <c r="AR113" s="121"/>
      <c r="AS113" s="122"/>
    </row>
    <row r="114" spans="1:45" x14ac:dyDescent="0.2">
      <c r="A114" s="262"/>
      <c r="B114" s="256"/>
      <c r="C114" s="54"/>
      <c r="D114" s="54"/>
      <c r="E114" s="55"/>
      <c r="F114" s="91"/>
      <c r="G114" s="262"/>
      <c r="H114" s="266"/>
      <c r="I114" s="121"/>
      <c r="J114" s="121"/>
      <c r="K114" s="121"/>
      <c r="L114" s="121"/>
      <c r="M114" s="122"/>
      <c r="N114" s="53"/>
      <c r="O114" s="262"/>
      <c r="P114" s="266"/>
      <c r="Q114" s="121"/>
      <c r="R114" s="121"/>
      <c r="S114" s="121"/>
      <c r="T114" s="121"/>
      <c r="U114" s="122"/>
      <c r="V114" s="53"/>
      <c r="W114" s="262"/>
      <c r="X114" s="266"/>
      <c r="Y114" s="121"/>
      <c r="Z114" s="121"/>
      <c r="AA114" s="121"/>
      <c r="AB114" s="121"/>
      <c r="AC114" s="122"/>
      <c r="AE114" s="262"/>
      <c r="AF114" s="272"/>
      <c r="AG114" s="132"/>
      <c r="AH114" s="132"/>
      <c r="AI114" s="132"/>
      <c r="AJ114" s="132"/>
      <c r="AK114" s="133"/>
      <c r="AM114" s="262"/>
      <c r="AN114" s="266"/>
      <c r="AO114" s="121"/>
      <c r="AP114" s="121"/>
      <c r="AQ114" s="121"/>
      <c r="AR114" s="121"/>
      <c r="AS114" s="122"/>
    </row>
    <row r="115" spans="1:45" x14ac:dyDescent="0.2">
      <c r="A115" s="262"/>
      <c r="B115" s="256"/>
      <c r="C115" s="54"/>
      <c r="D115" s="54"/>
      <c r="E115" s="55"/>
      <c r="F115" s="91"/>
      <c r="G115" s="262"/>
      <c r="H115" s="266"/>
      <c r="I115" s="121"/>
      <c r="J115" s="121"/>
      <c r="K115" s="121"/>
      <c r="L115" s="121"/>
      <c r="M115" s="122"/>
      <c r="N115" s="53"/>
      <c r="O115" s="262"/>
      <c r="P115" s="266"/>
      <c r="Q115" s="121"/>
      <c r="R115" s="121"/>
      <c r="S115" s="121"/>
      <c r="T115" s="121"/>
      <c r="U115" s="122"/>
      <c r="V115" s="53"/>
      <c r="W115" s="262"/>
      <c r="X115" s="266"/>
      <c r="Y115" s="121"/>
      <c r="Z115" s="121"/>
      <c r="AA115" s="121"/>
      <c r="AB115" s="121"/>
      <c r="AC115" s="122"/>
      <c r="AE115" s="262"/>
      <c r="AF115" s="272"/>
      <c r="AG115" s="132"/>
      <c r="AH115" s="132"/>
      <c r="AI115" s="132"/>
      <c r="AJ115" s="132"/>
      <c r="AK115" s="133"/>
      <c r="AM115" s="262"/>
      <c r="AN115" s="266"/>
      <c r="AO115" s="121"/>
      <c r="AP115" s="121"/>
      <c r="AQ115" s="121"/>
      <c r="AR115" s="121"/>
      <c r="AS115" s="122"/>
    </row>
    <row r="116" spans="1:45" x14ac:dyDescent="0.2">
      <c r="A116" s="262"/>
      <c r="B116" s="256"/>
      <c r="C116" s="54"/>
      <c r="D116" s="54"/>
      <c r="E116" s="55"/>
      <c r="F116" s="91"/>
      <c r="G116" s="262"/>
      <c r="H116" s="266"/>
      <c r="I116" s="121"/>
      <c r="J116" s="121"/>
      <c r="K116" s="121"/>
      <c r="L116" s="121"/>
      <c r="M116" s="122"/>
      <c r="N116" s="53"/>
      <c r="O116" s="262"/>
      <c r="P116" s="266"/>
      <c r="Q116" s="121"/>
      <c r="R116" s="121"/>
      <c r="S116" s="121"/>
      <c r="T116" s="121"/>
      <c r="U116" s="122"/>
      <c r="V116" s="53"/>
      <c r="W116" s="262"/>
      <c r="X116" s="266"/>
      <c r="Y116" s="121"/>
      <c r="Z116" s="121"/>
      <c r="AA116" s="121"/>
      <c r="AB116" s="121"/>
      <c r="AC116" s="122"/>
      <c r="AE116" s="262"/>
      <c r="AF116" s="272"/>
      <c r="AG116" s="132"/>
      <c r="AH116" s="132"/>
      <c r="AI116" s="132"/>
      <c r="AJ116" s="132"/>
      <c r="AK116" s="133"/>
      <c r="AM116" s="262"/>
      <c r="AN116" s="266"/>
      <c r="AO116" s="121"/>
      <c r="AP116" s="121"/>
      <c r="AQ116" s="121"/>
      <c r="AR116" s="121"/>
      <c r="AS116" s="122"/>
    </row>
    <row r="117" spans="1:45" x14ac:dyDescent="0.2">
      <c r="A117" s="262"/>
      <c r="B117" s="256"/>
      <c r="C117" s="54"/>
      <c r="D117" s="54"/>
      <c r="E117" s="55"/>
      <c r="F117" s="91"/>
      <c r="G117" s="262"/>
      <c r="H117" s="266"/>
      <c r="I117" s="121"/>
      <c r="J117" s="121"/>
      <c r="K117" s="121"/>
      <c r="L117" s="121"/>
      <c r="M117" s="122"/>
      <c r="N117" s="53"/>
      <c r="O117" s="262"/>
      <c r="P117" s="266"/>
      <c r="Q117" s="121"/>
      <c r="R117" s="121"/>
      <c r="S117" s="121"/>
      <c r="T117" s="121"/>
      <c r="U117" s="122"/>
      <c r="V117" s="53"/>
      <c r="W117" s="262"/>
      <c r="X117" s="266"/>
      <c r="Y117" s="121"/>
      <c r="Z117" s="121"/>
      <c r="AA117" s="121"/>
      <c r="AB117" s="121"/>
      <c r="AC117" s="122"/>
      <c r="AE117" s="262"/>
      <c r="AF117" s="272"/>
      <c r="AG117" s="132"/>
      <c r="AH117" s="132"/>
      <c r="AI117" s="132"/>
      <c r="AJ117" s="132"/>
      <c r="AK117" s="133"/>
      <c r="AM117" s="262"/>
      <c r="AN117" s="266"/>
      <c r="AO117" s="121"/>
      <c r="AP117" s="121"/>
      <c r="AQ117" s="121"/>
      <c r="AR117" s="121"/>
      <c r="AS117" s="122"/>
    </row>
    <row r="118" spans="1:45" x14ac:dyDescent="0.2">
      <c r="A118" s="262"/>
      <c r="B118" s="256"/>
      <c r="C118" s="54"/>
      <c r="D118" s="54"/>
      <c r="E118" s="55"/>
      <c r="F118" s="91"/>
      <c r="G118" s="262"/>
      <c r="H118" s="266"/>
      <c r="I118" s="121"/>
      <c r="J118" s="121"/>
      <c r="K118" s="121"/>
      <c r="L118" s="121"/>
      <c r="M118" s="122"/>
      <c r="N118" s="53"/>
      <c r="O118" s="262"/>
      <c r="P118" s="266"/>
      <c r="Q118" s="121"/>
      <c r="R118" s="121"/>
      <c r="S118" s="121"/>
      <c r="T118" s="121"/>
      <c r="U118" s="122"/>
      <c r="V118" s="53"/>
      <c r="W118" s="262"/>
      <c r="X118" s="266"/>
      <c r="Y118" s="121"/>
      <c r="Z118" s="121"/>
      <c r="AA118" s="121"/>
      <c r="AB118" s="121"/>
      <c r="AC118" s="122"/>
      <c r="AE118" s="262"/>
      <c r="AF118" s="272"/>
      <c r="AG118" s="132"/>
      <c r="AH118" s="132"/>
      <c r="AI118" s="132"/>
      <c r="AJ118" s="132"/>
      <c r="AK118" s="133"/>
      <c r="AM118" s="262"/>
      <c r="AN118" s="266"/>
      <c r="AO118" s="121"/>
      <c r="AP118" s="121"/>
      <c r="AQ118" s="121"/>
      <c r="AR118" s="121"/>
      <c r="AS118" s="122"/>
    </row>
    <row r="119" spans="1:45" x14ac:dyDescent="0.2">
      <c r="A119" s="262"/>
      <c r="B119" s="256"/>
      <c r="C119" s="54"/>
      <c r="D119" s="54"/>
      <c r="E119" s="55"/>
      <c r="F119" s="91"/>
      <c r="G119" s="262"/>
      <c r="H119" s="266"/>
      <c r="I119" s="121"/>
      <c r="J119" s="121"/>
      <c r="K119" s="121"/>
      <c r="L119" s="121"/>
      <c r="M119" s="122"/>
      <c r="N119" s="53"/>
      <c r="O119" s="262"/>
      <c r="P119" s="266"/>
      <c r="Q119" s="121"/>
      <c r="R119" s="121"/>
      <c r="S119" s="121"/>
      <c r="T119" s="121"/>
      <c r="U119" s="122"/>
      <c r="V119" s="53"/>
      <c r="W119" s="262"/>
      <c r="X119" s="266"/>
      <c r="Y119" s="121"/>
      <c r="Z119" s="121"/>
      <c r="AA119" s="121"/>
      <c r="AB119" s="121"/>
      <c r="AC119" s="122"/>
      <c r="AE119" s="262"/>
      <c r="AF119" s="272"/>
      <c r="AG119" s="132"/>
      <c r="AH119" s="132"/>
      <c r="AI119" s="132"/>
      <c r="AJ119" s="132"/>
      <c r="AK119" s="133"/>
      <c r="AM119" s="262"/>
      <c r="AN119" s="266"/>
      <c r="AO119" s="121"/>
      <c r="AP119" s="121"/>
      <c r="AQ119" s="121"/>
      <c r="AR119" s="121"/>
      <c r="AS119" s="122"/>
    </row>
    <row r="120" spans="1:45" x14ac:dyDescent="0.2">
      <c r="A120" s="262"/>
      <c r="B120" s="256"/>
      <c r="C120" s="54"/>
      <c r="D120" s="54"/>
      <c r="E120" s="55"/>
      <c r="F120" s="91"/>
      <c r="G120" s="262"/>
      <c r="H120" s="266"/>
      <c r="I120" s="121"/>
      <c r="J120" s="121"/>
      <c r="K120" s="121"/>
      <c r="L120" s="121"/>
      <c r="M120" s="122"/>
      <c r="N120" s="53"/>
      <c r="O120" s="262"/>
      <c r="P120" s="266"/>
      <c r="Q120" s="121"/>
      <c r="R120" s="121"/>
      <c r="S120" s="121"/>
      <c r="T120" s="121"/>
      <c r="U120" s="122"/>
      <c r="V120" s="53"/>
      <c r="W120" s="262"/>
      <c r="X120" s="266"/>
      <c r="Y120" s="121"/>
      <c r="Z120" s="121"/>
      <c r="AA120" s="121"/>
      <c r="AB120" s="121"/>
      <c r="AC120" s="122"/>
      <c r="AE120" s="262"/>
      <c r="AF120" s="272"/>
      <c r="AG120" s="132"/>
      <c r="AH120" s="132"/>
      <c r="AI120" s="132"/>
      <c r="AJ120" s="132"/>
      <c r="AK120" s="133"/>
      <c r="AM120" s="262"/>
      <c r="AN120" s="266"/>
      <c r="AO120" s="121"/>
      <c r="AP120" s="121"/>
      <c r="AQ120" s="121"/>
      <c r="AR120" s="121"/>
      <c r="AS120" s="122"/>
    </row>
    <row r="121" spans="1:45" x14ac:dyDescent="0.2">
      <c r="A121" s="262"/>
      <c r="B121" s="256"/>
      <c r="C121" s="54"/>
      <c r="D121" s="54"/>
      <c r="E121" s="55"/>
      <c r="F121" s="91"/>
      <c r="G121" s="262"/>
      <c r="H121" s="266"/>
      <c r="I121" s="121"/>
      <c r="J121" s="121"/>
      <c r="K121" s="121"/>
      <c r="L121" s="121"/>
      <c r="M121" s="122"/>
      <c r="N121" s="53"/>
      <c r="O121" s="262"/>
      <c r="P121" s="266"/>
      <c r="Q121" s="121"/>
      <c r="R121" s="121"/>
      <c r="S121" s="121"/>
      <c r="T121" s="121"/>
      <c r="U121" s="122"/>
      <c r="V121" s="53"/>
      <c r="W121" s="262"/>
      <c r="X121" s="266"/>
      <c r="Y121" s="121"/>
      <c r="Z121" s="121"/>
      <c r="AA121" s="121"/>
      <c r="AB121" s="121"/>
      <c r="AC121" s="122"/>
      <c r="AE121" s="262"/>
      <c r="AF121" s="272"/>
      <c r="AG121" s="132"/>
      <c r="AH121" s="132"/>
      <c r="AI121" s="132"/>
      <c r="AJ121" s="132"/>
      <c r="AK121" s="133"/>
      <c r="AM121" s="262"/>
      <c r="AN121" s="266"/>
      <c r="AO121" s="121"/>
      <c r="AP121" s="121"/>
      <c r="AQ121" s="121"/>
      <c r="AR121" s="121"/>
      <c r="AS121" s="122"/>
    </row>
    <row r="122" spans="1:45" x14ac:dyDescent="0.2">
      <c r="A122" s="262"/>
      <c r="B122" s="256"/>
      <c r="C122" s="54"/>
      <c r="D122" s="54"/>
      <c r="E122" s="55"/>
      <c r="F122" s="91"/>
      <c r="G122" s="262"/>
      <c r="H122" s="266"/>
      <c r="I122" s="121"/>
      <c r="J122" s="121"/>
      <c r="K122" s="121"/>
      <c r="L122" s="121"/>
      <c r="M122" s="122"/>
      <c r="N122" s="53"/>
      <c r="O122" s="262"/>
      <c r="P122" s="266"/>
      <c r="Q122" s="121"/>
      <c r="R122" s="121"/>
      <c r="S122" s="121"/>
      <c r="T122" s="121"/>
      <c r="U122" s="122"/>
      <c r="V122" s="53"/>
      <c r="W122" s="262"/>
      <c r="X122" s="266"/>
      <c r="Y122" s="121"/>
      <c r="Z122" s="121"/>
      <c r="AA122" s="121"/>
      <c r="AB122" s="121"/>
      <c r="AC122" s="122"/>
      <c r="AE122" s="262"/>
      <c r="AF122" s="272"/>
      <c r="AG122" s="132"/>
      <c r="AH122" s="132"/>
      <c r="AI122" s="132"/>
      <c r="AJ122" s="132"/>
      <c r="AK122" s="133"/>
      <c r="AM122" s="262"/>
      <c r="AN122" s="266"/>
      <c r="AO122" s="121"/>
      <c r="AP122" s="121"/>
      <c r="AQ122" s="121"/>
      <c r="AR122" s="121"/>
      <c r="AS122" s="122"/>
    </row>
    <row r="123" spans="1:45" x14ac:dyDescent="0.2">
      <c r="A123" s="262"/>
      <c r="B123" s="256"/>
      <c r="C123" s="54"/>
      <c r="D123" s="54"/>
      <c r="E123" s="55"/>
      <c r="F123" s="91"/>
      <c r="G123" s="262"/>
      <c r="H123" s="266"/>
      <c r="I123" s="121"/>
      <c r="J123" s="121"/>
      <c r="K123" s="121"/>
      <c r="L123" s="121"/>
      <c r="M123" s="122"/>
      <c r="N123" s="53"/>
      <c r="O123" s="262"/>
      <c r="P123" s="266"/>
      <c r="Q123" s="121"/>
      <c r="R123" s="121"/>
      <c r="S123" s="121"/>
      <c r="T123" s="121"/>
      <c r="U123" s="122"/>
      <c r="V123" s="53"/>
      <c r="W123" s="262"/>
      <c r="X123" s="266"/>
      <c r="Y123" s="121"/>
      <c r="Z123" s="121"/>
      <c r="AA123" s="121"/>
      <c r="AB123" s="121"/>
      <c r="AC123" s="122"/>
      <c r="AE123" s="262"/>
      <c r="AF123" s="272"/>
      <c r="AG123" s="132"/>
      <c r="AH123" s="132"/>
      <c r="AI123" s="132"/>
      <c r="AJ123" s="132"/>
      <c r="AK123" s="133"/>
      <c r="AM123" s="262"/>
      <c r="AN123" s="266"/>
      <c r="AO123" s="121"/>
      <c r="AP123" s="121"/>
      <c r="AQ123" s="121"/>
      <c r="AR123" s="121"/>
      <c r="AS123" s="122"/>
    </row>
    <row r="124" spans="1:45" x14ac:dyDescent="0.2">
      <c r="A124" s="262"/>
      <c r="B124" s="256"/>
      <c r="C124" s="54"/>
      <c r="D124" s="54"/>
      <c r="E124" s="55"/>
      <c r="F124" s="91"/>
      <c r="G124" s="262"/>
      <c r="H124" s="266"/>
      <c r="I124" s="121"/>
      <c r="J124" s="121"/>
      <c r="K124" s="121"/>
      <c r="L124" s="121"/>
      <c r="M124" s="122"/>
      <c r="N124" s="53"/>
      <c r="O124" s="262"/>
      <c r="P124" s="266"/>
      <c r="Q124" s="121"/>
      <c r="R124" s="121"/>
      <c r="S124" s="121"/>
      <c r="T124" s="121"/>
      <c r="U124" s="122"/>
      <c r="V124" s="53"/>
      <c r="W124" s="262"/>
      <c r="X124" s="266"/>
      <c r="Y124" s="121"/>
      <c r="Z124" s="121"/>
      <c r="AA124" s="121"/>
      <c r="AB124" s="121"/>
      <c r="AC124" s="122"/>
      <c r="AE124" s="262"/>
      <c r="AF124" s="272"/>
      <c r="AG124" s="132"/>
      <c r="AH124" s="132"/>
      <c r="AI124" s="132"/>
      <c r="AJ124" s="132"/>
      <c r="AK124" s="133"/>
      <c r="AM124" s="262"/>
      <c r="AN124" s="266"/>
      <c r="AO124" s="121"/>
      <c r="AP124" s="121"/>
      <c r="AQ124" s="121"/>
      <c r="AR124" s="121"/>
      <c r="AS124" s="122"/>
    </row>
    <row r="125" spans="1:45" x14ac:dyDescent="0.2">
      <c r="A125" s="262"/>
      <c r="B125" s="256"/>
      <c r="C125" s="54"/>
      <c r="D125" s="54"/>
      <c r="E125" s="55"/>
      <c r="F125" s="91"/>
      <c r="G125" s="262"/>
      <c r="H125" s="266"/>
      <c r="I125" s="121"/>
      <c r="J125" s="121"/>
      <c r="K125" s="121"/>
      <c r="L125" s="121"/>
      <c r="M125" s="122"/>
      <c r="N125" s="53"/>
      <c r="O125" s="262"/>
      <c r="P125" s="266"/>
      <c r="Q125" s="121"/>
      <c r="R125" s="121"/>
      <c r="S125" s="121"/>
      <c r="T125" s="121"/>
      <c r="U125" s="122"/>
      <c r="V125" s="53"/>
      <c r="W125" s="262"/>
      <c r="X125" s="266"/>
      <c r="Y125" s="121"/>
      <c r="Z125" s="121"/>
      <c r="AA125" s="121"/>
      <c r="AB125" s="121"/>
      <c r="AC125" s="122"/>
      <c r="AE125" s="262"/>
      <c r="AF125" s="272"/>
      <c r="AG125" s="132"/>
      <c r="AH125" s="132"/>
      <c r="AI125" s="132"/>
      <c r="AJ125" s="132"/>
      <c r="AK125" s="133"/>
      <c r="AM125" s="262"/>
      <c r="AN125" s="266"/>
      <c r="AO125" s="121"/>
      <c r="AP125" s="121"/>
      <c r="AQ125" s="121"/>
      <c r="AR125" s="121"/>
      <c r="AS125" s="122"/>
    </row>
    <row r="126" spans="1:45" x14ac:dyDescent="0.2">
      <c r="A126" s="262"/>
      <c r="B126" s="256"/>
      <c r="C126" s="54"/>
      <c r="D126" s="54"/>
      <c r="E126" s="55"/>
      <c r="F126" s="91"/>
      <c r="G126" s="262"/>
      <c r="H126" s="266"/>
      <c r="I126" s="121"/>
      <c r="J126" s="121"/>
      <c r="K126" s="121"/>
      <c r="L126" s="121"/>
      <c r="M126" s="122"/>
      <c r="N126" s="53"/>
      <c r="O126" s="262"/>
      <c r="P126" s="266"/>
      <c r="Q126" s="121"/>
      <c r="R126" s="121"/>
      <c r="S126" s="121"/>
      <c r="T126" s="121"/>
      <c r="U126" s="122"/>
      <c r="V126" s="53"/>
      <c r="W126" s="262"/>
      <c r="X126" s="266"/>
      <c r="Y126" s="121"/>
      <c r="Z126" s="121"/>
      <c r="AA126" s="121"/>
      <c r="AB126" s="121"/>
      <c r="AC126" s="122"/>
      <c r="AE126" s="262"/>
      <c r="AF126" s="272"/>
      <c r="AG126" s="132"/>
      <c r="AH126" s="132"/>
      <c r="AI126" s="132"/>
      <c r="AJ126" s="132"/>
      <c r="AK126" s="133"/>
      <c r="AM126" s="262"/>
      <c r="AN126" s="266"/>
      <c r="AO126" s="121"/>
      <c r="AP126" s="121"/>
      <c r="AQ126" s="121"/>
      <c r="AR126" s="121"/>
      <c r="AS126" s="122"/>
    </row>
    <row r="127" spans="1:45" x14ac:dyDescent="0.2">
      <c r="A127" s="262"/>
      <c r="B127" s="256"/>
      <c r="C127" s="54"/>
      <c r="D127" s="54"/>
      <c r="E127" s="55"/>
      <c r="F127" s="91"/>
      <c r="G127" s="262"/>
      <c r="H127" s="266"/>
      <c r="I127" s="121"/>
      <c r="J127" s="121"/>
      <c r="K127" s="121"/>
      <c r="L127" s="121"/>
      <c r="M127" s="122"/>
      <c r="N127" s="53"/>
      <c r="O127" s="262"/>
      <c r="P127" s="266"/>
      <c r="Q127" s="121"/>
      <c r="R127" s="121"/>
      <c r="S127" s="121"/>
      <c r="T127" s="121"/>
      <c r="U127" s="122"/>
      <c r="V127" s="53"/>
      <c r="W127" s="262"/>
      <c r="X127" s="266"/>
      <c r="Y127" s="121"/>
      <c r="Z127" s="121"/>
      <c r="AA127" s="121"/>
      <c r="AB127" s="121"/>
      <c r="AC127" s="122"/>
      <c r="AE127" s="262"/>
      <c r="AF127" s="272"/>
      <c r="AG127" s="132"/>
      <c r="AH127" s="132"/>
      <c r="AI127" s="132"/>
      <c r="AJ127" s="132"/>
      <c r="AK127" s="133"/>
      <c r="AM127" s="262"/>
      <c r="AN127" s="266"/>
      <c r="AO127" s="121"/>
      <c r="AP127" s="121"/>
      <c r="AQ127" s="121"/>
      <c r="AR127" s="121"/>
      <c r="AS127" s="122"/>
    </row>
    <row r="128" spans="1:45" x14ac:dyDescent="0.2">
      <c r="A128" s="262"/>
      <c r="B128" s="256"/>
      <c r="C128" s="54"/>
      <c r="D128" s="54"/>
      <c r="E128" s="55"/>
      <c r="F128" s="91"/>
      <c r="G128" s="262"/>
      <c r="H128" s="266"/>
      <c r="I128" s="121"/>
      <c r="J128" s="121"/>
      <c r="K128" s="121"/>
      <c r="L128" s="121"/>
      <c r="M128" s="122"/>
      <c r="N128" s="53"/>
      <c r="O128" s="262"/>
      <c r="P128" s="266"/>
      <c r="Q128" s="121"/>
      <c r="R128" s="121"/>
      <c r="S128" s="121"/>
      <c r="T128" s="121"/>
      <c r="U128" s="122"/>
      <c r="V128" s="53"/>
      <c r="W128" s="262"/>
      <c r="X128" s="266"/>
      <c r="Y128" s="121"/>
      <c r="Z128" s="121"/>
      <c r="AA128" s="121"/>
      <c r="AB128" s="121"/>
      <c r="AC128" s="122"/>
      <c r="AE128" s="262"/>
      <c r="AF128" s="272"/>
      <c r="AG128" s="132"/>
      <c r="AH128" s="132"/>
      <c r="AI128" s="132"/>
      <c r="AJ128" s="132"/>
      <c r="AK128" s="133"/>
      <c r="AM128" s="262"/>
      <c r="AN128" s="266"/>
      <c r="AO128" s="121"/>
      <c r="AP128" s="121"/>
      <c r="AQ128" s="121"/>
      <c r="AR128" s="121"/>
      <c r="AS128" s="122"/>
    </row>
    <row r="129" spans="1:45" x14ac:dyDescent="0.2">
      <c r="A129" s="262"/>
      <c r="B129" s="256"/>
      <c r="C129" s="54"/>
      <c r="D129" s="54"/>
      <c r="E129" s="55"/>
      <c r="F129" s="91"/>
      <c r="G129" s="262"/>
      <c r="H129" s="266"/>
      <c r="I129" s="121"/>
      <c r="J129" s="121"/>
      <c r="K129" s="121"/>
      <c r="L129" s="121"/>
      <c r="M129" s="122"/>
      <c r="N129" s="53"/>
      <c r="O129" s="262"/>
      <c r="P129" s="266"/>
      <c r="Q129" s="121"/>
      <c r="R129" s="121"/>
      <c r="S129" s="121"/>
      <c r="T129" s="121"/>
      <c r="U129" s="122"/>
      <c r="V129" s="53"/>
      <c r="W129" s="262"/>
      <c r="X129" s="266"/>
      <c r="Y129" s="121"/>
      <c r="Z129" s="121"/>
      <c r="AA129" s="121"/>
      <c r="AB129" s="121"/>
      <c r="AC129" s="122"/>
      <c r="AE129" s="262"/>
      <c r="AF129" s="272"/>
      <c r="AG129" s="132"/>
      <c r="AH129" s="132"/>
      <c r="AI129" s="132"/>
      <c r="AJ129" s="132"/>
      <c r="AK129" s="133"/>
      <c r="AM129" s="262"/>
      <c r="AN129" s="266"/>
      <c r="AO129" s="121"/>
      <c r="AP129" s="121"/>
      <c r="AQ129" s="121"/>
      <c r="AR129" s="121"/>
      <c r="AS129" s="122"/>
    </row>
    <row r="130" spans="1:45" x14ac:dyDescent="0.2">
      <c r="A130" s="262"/>
      <c r="B130" s="256"/>
      <c r="C130" s="54"/>
      <c r="D130" s="54"/>
      <c r="E130" s="55"/>
      <c r="F130" s="91"/>
      <c r="G130" s="262"/>
      <c r="H130" s="266"/>
      <c r="I130" s="121"/>
      <c r="J130" s="121"/>
      <c r="K130" s="121"/>
      <c r="L130" s="121"/>
      <c r="M130" s="122"/>
      <c r="N130" s="53"/>
      <c r="O130" s="262"/>
      <c r="P130" s="266"/>
      <c r="Q130" s="121"/>
      <c r="R130" s="121"/>
      <c r="S130" s="121"/>
      <c r="T130" s="121"/>
      <c r="U130" s="122"/>
      <c r="V130" s="53"/>
      <c r="W130" s="262"/>
      <c r="X130" s="266"/>
      <c r="Y130" s="121"/>
      <c r="Z130" s="121"/>
      <c r="AA130" s="121"/>
      <c r="AB130" s="121"/>
      <c r="AC130" s="122"/>
      <c r="AE130" s="262"/>
      <c r="AF130" s="272"/>
      <c r="AG130" s="132"/>
      <c r="AH130" s="132"/>
      <c r="AI130" s="132"/>
      <c r="AJ130" s="132"/>
      <c r="AK130" s="133"/>
      <c r="AM130" s="262"/>
      <c r="AN130" s="266"/>
      <c r="AO130" s="121"/>
      <c r="AP130" s="121"/>
      <c r="AQ130" s="121"/>
      <c r="AR130" s="121"/>
      <c r="AS130" s="122"/>
    </row>
    <row r="131" spans="1:45" x14ac:dyDescent="0.2">
      <c r="A131" s="262"/>
      <c r="B131" s="256"/>
      <c r="C131" s="54"/>
      <c r="D131" s="54"/>
      <c r="E131" s="55"/>
      <c r="F131" s="91"/>
      <c r="G131" s="262"/>
      <c r="H131" s="266"/>
      <c r="I131" s="121"/>
      <c r="J131" s="121"/>
      <c r="K131" s="121"/>
      <c r="L131" s="121"/>
      <c r="M131" s="122"/>
      <c r="N131" s="53"/>
      <c r="O131" s="262"/>
      <c r="P131" s="266"/>
      <c r="Q131" s="121"/>
      <c r="R131" s="121"/>
      <c r="S131" s="121"/>
      <c r="T131" s="121"/>
      <c r="U131" s="122"/>
      <c r="V131" s="53"/>
      <c r="W131" s="262"/>
      <c r="X131" s="266"/>
      <c r="Y131" s="121"/>
      <c r="Z131" s="121"/>
      <c r="AA131" s="121"/>
      <c r="AB131" s="121"/>
      <c r="AC131" s="122"/>
      <c r="AE131" s="262"/>
      <c r="AF131" s="272"/>
      <c r="AG131" s="132"/>
      <c r="AH131" s="132"/>
      <c r="AI131" s="132"/>
      <c r="AJ131" s="132"/>
      <c r="AK131" s="133"/>
      <c r="AM131" s="262"/>
      <c r="AN131" s="266"/>
      <c r="AO131" s="121"/>
      <c r="AP131" s="121"/>
      <c r="AQ131" s="121"/>
      <c r="AR131" s="121"/>
      <c r="AS131" s="122"/>
    </row>
    <row r="132" spans="1:45" x14ac:dyDescent="0.2">
      <c r="A132" s="262"/>
      <c r="B132" s="256"/>
      <c r="C132" s="54"/>
      <c r="D132" s="54"/>
      <c r="E132" s="55"/>
      <c r="F132" s="91"/>
      <c r="G132" s="262"/>
      <c r="H132" s="266"/>
      <c r="I132" s="121"/>
      <c r="J132" s="121"/>
      <c r="K132" s="121"/>
      <c r="L132" s="121"/>
      <c r="M132" s="122"/>
      <c r="N132" s="53"/>
      <c r="O132" s="262"/>
      <c r="P132" s="266"/>
      <c r="Q132" s="121"/>
      <c r="R132" s="121"/>
      <c r="S132" s="121"/>
      <c r="T132" s="121"/>
      <c r="U132" s="122"/>
      <c r="V132" s="53"/>
      <c r="W132" s="262"/>
      <c r="X132" s="266"/>
      <c r="Y132" s="121"/>
      <c r="Z132" s="121"/>
      <c r="AA132" s="121"/>
      <c r="AB132" s="121"/>
      <c r="AC132" s="122"/>
      <c r="AE132" s="262"/>
      <c r="AF132" s="272"/>
      <c r="AG132" s="132"/>
      <c r="AH132" s="132"/>
      <c r="AI132" s="132"/>
      <c r="AJ132" s="132"/>
      <c r="AK132" s="133"/>
      <c r="AM132" s="262"/>
      <c r="AN132" s="266"/>
      <c r="AO132" s="121"/>
      <c r="AP132" s="121"/>
      <c r="AQ132" s="121"/>
      <c r="AR132" s="121"/>
      <c r="AS132" s="122"/>
    </row>
    <row r="133" spans="1:45" x14ac:dyDescent="0.2">
      <c r="A133" s="262"/>
      <c r="B133" s="256"/>
      <c r="C133" s="54"/>
      <c r="D133" s="54"/>
      <c r="E133" s="55"/>
      <c r="F133" s="91"/>
      <c r="G133" s="262"/>
      <c r="H133" s="266"/>
      <c r="I133" s="121"/>
      <c r="J133" s="121"/>
      <c r="K133" s="121"/>
      <c r="L133" s="121"/>
      <c r="M133" s="122"/>
      <c r="N133" s="53"/>
      <c r="O133" s="262"/>
      <c r="P133" s="266"/>
      <c r="Q133" s="121"/>
      <c r="R133" s="121"/>
      <c r="S133" s="121"/>
      <c r="T133" s="121"/>
      <c r="U133" s="122"/>
      <c r="V133" s="53"/>
      <c r="W133" s="262"/>
      <c r="X133" s="266"/>
      <c r="Y133" s="121"/>
      <c r="Z133" s="121"/>
      <c r="AA133" s="121"/>
      <c r="AB133" s="121"/>
      <c r="AC133" s="122"/>
      <c r="AE133" s="262"/>
      <c r="AF133" s="272"/>
      <c r="AG133" s="132"/>
      <c r="AH133" s="132"/>
      <c r="AI133" s="132"/>
      <c r="AJ133" s="132"/>
      <c r="AK133" s="133"/>
      <c r="AM133" s="262"/>
      <c r="AN133" s="266"/>
      <c r="AO133" s="121"/>
      <c r="AP133" s="121"/>
      <c r="AQ133" s="121"/>
      <c r="AR133" s="121"/>
      <c r="AS133" s="122"/>
    </row>
    <row r="134" spans="1:45" x14ac:dyDescent="0.2">
      <c r="A134" s="262"/>
      <c r="B134" s="256"/>
      <c r="C134" s="54"/>
      <c r="D134" s="54"/>
      <c r="E134" s="55"/>
      <c r="F134" s="91"/>
      <c r="G134" s="262"/>
      <c r="H134" s="266"/>
      <c r="I134" s="121"/>
      <c r="J134" s="121"/>
      <c r="K134" s="121"/>
      <c r="L134" s="121"/>
      <c r="M134" s="122"/>
      <c r="N134" s="53"/>
      <c r="O134" s="262"/>
      <c r="P134" s="266"/>
      <c r="Q134" s="121"/>
      <c r="R134" s="121"/>
      <c r="S134" s="121"/>
      <c r="T134" s="121"/>
      <c r="U134" s="122"/>
      <c r="V134" s="53"/>
      <c r="W134" s="262"/>
      <c r="X134" s="266"/>
      <c r="Y134" s="121"/>
      <c r="Z134" s="121"/>
      <c r="AA134" s="121"/>
      <c r="AB134" s="121"/>
      <c r="AC134" s="122"/>
      <c r="AE134" s="262"/>
      <c r="AF134" s="272"/>
      <c r="AG134" s="132"/>
      <c r="AH134" s="132"/>
      <c r="AI134" s="132"/>
      <c r="AJ134" s="132"/>
      <c r="AK134" s="133"/>
      <c r="AM134" s="262"/>
      <c r="AN134" s="266"/>
      <c r="AO134" s="121"/>
      <c r="AP134" s="121"/>
      <c r="AQ134" s="121"/>
      <c r="AR134" s="121"/>
      <c r="AS134" s="122"/>
    </row>
    <row r="135" spans="1:45" x14ac:dyDescent="0.2">
      <c r="A135" s="262"/>
      <c r="B135" s="256"/>
      <c r="C135" s="54"/>
      <c r="D135" s="54"/>
      <c r="E135" s="55"/>
      <c r="F135" s="91"/>
      <c r="G135" s="262"/>
      <c r="H135" s="266"/>
      <c r="I135" s="121"/>
      <c r="J135" s="121"/>
      <c r="K135" s="121"/>
      <c r="L135" s="121"/>
      <c r="M135" s="122"/>
      <c r="N135" s="53"/>
      <c r="O135" s="262"/>
      <c r="P135" s="266"/>
      <c r="Q135" s="121"/>
      <c r="R135" s="121"/>
      <c r="S135" s="121"/>
      <c r="T135" s="121"/>
      <c r="U135" s="122"/>
      <c r="V135" s="53"/>
      <c r="W135" s="262"/>
      <c r="X135" s="266"/>
      <c r="Y135" s="121"/>
      <c r="Z135" s="121"/>
      <c r="AA135" s="121"/>
      <c r="AB135" s="121"/>
      <c r="AC135" s="122"/>
      <c r="AE135" s="262"/>
      <c r="AF135" s="272"/>
      <c r="AG135" s="132"/>
      <c r="AH135" s="132"/>
      <c r="AI135" s="132"/>
      <c r="AJ135" s="132"/>
      <c r="AK135" s="133"/>
      <c r="AM135" s="262"/>
      <c r="AN135" s="266"/>
      <c r="AO135" s="121"/>
      <c r="AP135" s="121"/>
      <c r="AQ135" s="121"/>
      <c r="AR135" s="121"/>
      <c r="AS135" s="122"/>
    </row>
    <row r="136" spans="1:45" x14ac:dyDescent="0.2">
      <c r="A136" s="262"/>
      <c r="B136" s="256"/>
      <c r="C136" s="54"/>
      <c r="D136" s="54"/>
      <c r="E136" s="55"/>
      <c r="F136" s="91"/>
      <c r="G136" s="262"/>
      <c r="H136" s="266"/>
      <c r="I136" s="121"/>
      <c r="J136" s="121"/>
      <c r="K136" s="121"/>
      <c r="L136" s="121"/>
      <c r="M136" s="122"/>
      <c r="N136" s="53"/>
      <c r="O136" s="262"/>
      <c r="P136" s="266"/>
      <c r="Q136" s="121"/>
      <c r="R136" s="121"/>
      <c r="S136" s="121"/>
      <c r="T136" s="121"/>
      <c r="U136" s="122"/>
      <c r="V136" s="53"/>
      <c r="W136" s="262"/>
      <c r="X136" s="266"/>
      <c r="Y136" s="121"/>
      <c r="Z136" s="121"/>
      <c r="AA136" s="121"/>
      <c r="AB136" s="121"/>
      <c r="AC136" s="122"/>
      <c r="AE136" s="262"/>
      <c r="AF136" s="272"/>
      <c r="AG136" s="132"/>
      <c r="AH136" s="132"/>
      <c r="AI136" s="132"/>
      <c r="AJ136" s="132"/>
      <c r="AK136" s="133"/>
      <c r="AM136" s="262"/>
      <c r="AN136" s="266"/>
      <c r="AO136" s="121"/>
      <c r="AP136" s="121"/>
      <c r="AQ136" s="121"/>
      <c r="AR136" s="121"/>
      <c r="AS136" s="122"/>
    </row>
    <row r="137" spans="1:45" x14ac:dyDescent="0.2">
      <c r="A137" s="262"/>
      <c r="B137" s="256"/>
      <c r="C137" s="54"/>
      <c r="D137" s="54"/>
      <c r="E137" s="55"/>
      <c r="F137" s="91"/>
      <c r="G137" s="262"/>
      <c r="H137" s="266"/>
      <c r="I137" s="121"/>
      <c r="J137" s="121"/>
      <c r="K137" s="121"/>
      <c r="L137" s="121"/>
      <c r="M137" s="122"/>
      <c r="N137" s="53"/>
      <c r="O137" s="262"/>
      <c r="P137" s="266"/>
      <c r="Q137" s="121"/>
      <c r="R137" s="121"/>
      <c r="S137" s="121"/>
      <c r="T137" s="121"/>
      <c r="U137" s="122"/>
      <c r="V137" s="53"/>
      <c r="W137" s="262"/>
      <c r="X137" s="266"/>
      <c r="Y137" s="121"/>
      <c r="Z137" s="121"/>
      <c r="AA137" s="121"/>
      <c r="AB137" s="121"/>
      <c r="AC137" s="122"/>
      <c r="AE137" s="262"/>
      <c r="AF137" s="272"/>
      <c r="AG137" s="132"/>
      <c r="AH137" s="132"/>
      <c r="AI137" s="132"/>
      <c r="AJ137" s="132"/>
      <c r="AK137" s="133"/>
      <c r="AM137" s="262"/>
      <c r="AN137" s="266"/>
      <c r="AO137" s="121"/>
      <c r="AP137" s="121"/>
      <c r="AQ137" s="121"/>
      <c r="AR137" s="121"/>
      <c r="AS137" s="122"/>
    </row>
    <row r="138" spans="1:45" x14ac:dyDescent="0.2">
      <c r="A138" s="262"/>
      <c r="B138" s="256"/>
      <c r="C138" s="54"/>
      <c r="D138" s="54"/>
      <c r="E138" s="55"/>
      <c r="F138" s="91"/>
      <c r="G138" s="262"/>
      <c r="H138" s="266"/>
      <c r="I138" s="121"/>
      <c r="J138" s="121"/>
      <c r="K138" s="121"/>
      <c r="L138" s="121"/>
      <c r="M138" s="122"/>
      <c r="N138" s="53"/>
      <c r="O138" s="262"/>
      <c r="P138" s="266"/>
      <c r="Q138" s="121"/>
      <c r="R138" s="121"/>
      <c r="S138" s="121"/>
      <c r="T138" s="121"/>
      <c r="U138" s="122"/>
      <c r="V138" s="53"/>
      <c r="W138" s="262"/>
      <c r="X138" s="266"/>
      <c r="Y138" s="121"/>
      <c r="Z138" s="121"/>
      <c r="AA138" s="121"/>
      <c r="AB138" s="121"/>
      <c r="AC138" s="122"/>
      <c r="AE138" s="262"/>
      <c r="AF138" s="272"/>
      <c r="AG138" s="132"/>
      <c r="AH138" s="132"/>
      <c r="AI138" s="132"/>
      <c r="AJ138" s="132"/>
      <c r="AK138" s="133"/>
      <c r="AM138" s="262"/>
      <c r="AN138" s="266"/>
      <c r="AO138" s="121"/>
      <c r="AP138" s="121"/>
      <c r="AQ138" s="121"/>
      <c r="AR138" s="121"/>
      <c r="AS138" s="122"/>
    </row>
    <row r="139" spans="1:45" x14ac:dyDescent="0.2">
      <c r="A139" s="262"/>
      <c r="B139" s="256"/>
      <c r="C139" s="54"/>
      <c r="D139" s="54"/>
      <c r="E139" s="55"/>
      <c r="F139" s="91"/>
      <c r="G139" s="262"/>
      <c r="H139" s="266"/>
      <c r="I139" s="121"/>
      <c r="J139" s="121"/>
      <c r="K139" s="121"/>
      <c r="L139" s="121"/>
      <c r="M139" s="122"/>
      <c r="N139" s="53"/>
      <c r="O139" s="262"/>
      <c r="P139" s="266"/>
      <c r="Q139" s="121"/>
      <c r="R139" s="121"/>
      <c r="S139" s="121"/>
      <c r="T139" s="121"/>
      <c r="U139" s="122"/>
      <c r="V139" s="53"/>
      <c r="W139" s="262"/>
      <c r="X139" s="266"/>
      <c r="Y139" s="121"/>
      <c r="Z139" s="121"/>
      <c r="AA139" s="121"/>
      <c r="AB139" s="121"/>
      <c r="AC139" s="122"/>
      <c r="AE139" s="262"/>
      <c r="AF139" s="272"/>
      <c r="AG139" s="132"/>
      <c r="AH139" s="132"/>
      <c r="AI139" s="132"/>
      <c r="AJ139" s="132"/>
      <c r="AK139" s="133"/>
      <c r="AM139" s="262"/>
      <c r="AN139" s="266"/>
      <c r="AO139" s="121"/>
      <c r="AP139" s="121"/>
      <c r="AQ139" s="121"/>
      <c r="AR139" s="121"/>
      <c r="AS139" s="122"/>
    </row>
    <row r="140" spans="1:45" x14ac:dyDescent="0.2">
      <c r="A140" s="262"/>
      <c r="B140" s="256"/>
      <c r="C140" s="54"/>
      <c r="D140" s="54"/>
      <c r="E140" s="55"/>
      <c r="F140" s="91"/>
      <c r="G140" s="262"/>
      <c r="H140" s="266"/>
      <c r="I140" s="121"/>
      <c r="J140" s="121"/>
      <c r="K140" s="121"/>
      <c r="L140" s="121"/>
      <c r="M140" s="122"/>
      <c r="N140" s="53"/>
      <c r="O140" s="262"/>
      <c r="P140" s="266"/>
      <c r="Q140" s="121"/>
      <c r="R140" s="121"/>
      <c r="S140" s="121"/>
      <c r="T140" s="121"/>
      <c r="U140" s="122"/>
      <c r="V140" s="53"/>
      <c r="W140" s="262"/>
      <c r="X140" s="266"/>
      <c r="Y140" s="121"/>
      <c r="Z140" s="121"/>
      <c r="AA140" s="121"/>
      <c r="AB140" s="121"/>
      <c r="AC140" s="122"/>
      <c r="AE140" s="262"/>
      <c r="AF140" s="272"/>
      <c r="AG140" s="132"/>
      <c r="AH140" s="132"/>
      <c r="AI140" s="132"/>
      <c r="AJ140" s="132"/>
      <c r="AK140" s="133"/>
      <c r="AM140" s="262"/>
      <c r="AN140" s="266"/>
      <c r="AO140" s="121"/>
      <c r="AP140" s="121"/>
      <c r="AQ140" s="121"/>
      <c r="AR140" s="121"/>
      <c r="AS140" s="122"/>
    </row>
    <row r="141" spans="1:45" x14ac:dyDescent="0.2">
      <c r="A141" s="262"/>
      <c r="B141" s="256"/>
      <c r="C141" s="54"/>
      <c r="D141" s="54"/>
      <c r="E141" s="55"/>
      <c r="F141" s="91"/>
      <c r="G141" s="262"/>
      <c r="H141" s="266"/>
      <c r="I141" s="121"/>
      <c r="J141" s="121"/>
      <c r="K141" s="121"/>
      <c r="L141" s="121"/>
      <c r="M141" s="122"/>
      <c r="N141" s="53"/>
      <c r="O141" s="262"/>
      <c r="P141" s="266"/>
      <c r="Q141" s="121"/>
      <c r="R141" s="121"/>
      <c r="S141" s="121"/>
      <c r="T141" s="121"/>
      <c r="U141" s="122"/>
      <c r="V141" s="53"/>
      <c r="W141" s="262"/>
      <c r="X141" s="266"/>
      <c r="Y141" s="121"/>
      <c r="Z141" s="121"/>
      <c r="AA141" s="121"/>
      <c r="AB141" s="121"/>
      <c r="AC141" s="122"/>
      <c r="AE141" s="262"/>
      <c r="AF141" s="272"/>
      <c r="AG141" s="132"/>
      <c r="AH141" s="132"/>
      <c r="AI141" s="132"/>
      <c r="AJ141" s="132"/>
      <c r="AK141" s="133"/>
      <c r="AM141" s="262"/>
      <c r="AN141" s="266"/>
      <c r="AO141" s="121"/>
      <c r="AP141" s="121"/>
      <c r="AQ141" s="121"/>
      <c r="AR141" s="121"/>
      <c r="AS141" s="122"/>
    </row>
    <row r="142" spans="1:45" x14ac:dyDescent="0.2">
      <c r="A142" s="262"/>
      <c r="B142" s="256"/>
      <c r="C142" s="54"/>
      <c r="D142" s="54"/>
      <c r="E142" s="55"/>
      <c r="F142" s="91"/>
      <c r="G142" s="262"/>
      <c r="H142" s="266"/>
      <c r="I142" s="121"/>
      <c r="J142" s="121"/>
      <c r="K142" s="121"/>
      <c r="L142" s="121"/>
      <c r="M142" s="122"/>
      <c r="N142" s="53"/>
      <c r="O142" s="262"/>
      <c r="P142" s="266"/>
      <c r="Q142" s="121"/>
      <c r="R142" s="121"/>
      <c r="S142" s="121"/>
      <c r="T142" s="121"/>
      <c r="U142" s="122"/>
      <c r="V142" s="53"/>
      <c r="W142" s="262"/>
      <c r="X142" s="266"/>
      <c r="Y142" s="121"/>
      <c r="Z142" s="121"/>
      <c r="AA142" s="121"/>
      <c r="AB142" s="121"/>
      <c r="AC142" s="122"/>
      <c r="AE142" s="262"/>
      <c r="AF142" s="272"/>
      <c r="AG142" s="132"/>
      <c r="AH142" s="132"/>
      <c r="AI142" s="132"/>
      <c r="AJ142" s="132"/>
      <c r="AK142" s="133"/>
      <c r="AM142" s="262"/>
      <c r="AN142" s="266"/>
      <c r="AO142" s="121"/>
      <c r="AP142" s="121"/>
      <c r="AQ142" s="121"/>
      <c r="AR142" s="121"/>
      <c r="AS142" s="122"/>
    </row>
    <row r="143" spans="1:45" x14ac:dyDescent="0.2">
      <c r="A143" s="262"/>
      <c r="B143" s="256"/>
      <c r="C143" s="54"/>
      <c r="D143" s="54"/>
      <c r="E143" s="55"/>
      <c r="F143" s="91"/>
      <c r="G143" s="262"/>
      <c r="H143" s="266"/>
      <c r="I143" s="121"/>
      <c r="J143" s="121"/>
      <c r="K143" s="121"/>
      <c r="L143" s="121"/>
      <c r="M143" s="122"/>
      <c r="N143" s="53"/>
      <c r="O143" s="262"/>
      <c r="P143" s="266"/>
      <c r="Q143" s="121"/>
      <c r="R143" s="121"/>
      <c r="S143" s="121"/>
      <c r="T143" s="121"/>
      <c r="U143" s="122"/>
      <c r="V143" s="53"/>
      <c r="W143" s="262"/>
      <c r="X143" s="266"/>
      <c r="Y143" s="121"/>
      <c r="Z143" s="121"/>
      <c r="AA143" s="121"/>
      <c r="AB143" s="121"/>
      <c r="AC143" s="122"/>
      <c r="AE143" s="262"/>
      <c r="AF143" s="272"/>
      <c r="AG143" s="132"/>
      <c r="AH143" s="132"/>
      <c r="AI143" s="132"/>
      <c r="AJ143" s="132"/>
      <c r="AK143" s="133"/>
      <c r="AM143" s="262"/>
      <c r="AN143" s="266"/>
      <c r="AO143" s="121"/>
      <c r="AP143" s="121"/>
      <c r="AQ143" s="121"/>
      <c r="AR143" s="121"/>
      <c r="AS143" s="122"/>
    </row>
    <row r="144" spans="1:45" x14ac:dyDescent="0.2">
      <c r="A144" s="262"/>
      <c r="B144" s="256"/>
      <c r="C144" s="54"/>
      <c r="D144" s="54"/>
      <c r="E144" s="55"/>
      <c r="F144" s="91"/>
      <c r="G144" s="262"/>
      <c r="H144" s="266"/>
      <c r="I144" s="121"/>
      <c r="J144" s="121"/>
      <c r="K144" s="121"/>
      <c r="L144" s="121"/>
      <c r="M144" s="122"/>
      <c r="N144" s="53"/>
      <c r="O144" s="262"/>
      <c r="P144" s="266"/>
      <c r="Q144" s="121"/>
      <c r="R144" s="121"/>
      <c r="S144" s="121"/>
      <c r="T144" s="121"/>
      <c r="U144" s="122"/>
      <c r="V144" s="53"/>
      <c r="W144" s="262"/>
      <c r="X144" s="266"/>
      <c r="Y144" s="121"/>
      <c r="Z144" s="121"/>
      <c r="AA144" s="121"/>
      <c r="AB144" s="121"/>
      <c r="AC144" s="122"/>
      <c r="AE144" s="262"/>
      <c r="AF144" s="272"/>
      <c r="AG144" s="132"/>
      <c r="AH144" s="132"/>
      <c r="AI144" s="132"/>
      <c r="AJ144" s="132"/>
      <c r="AK144" s="133"/>
      <c r="AM144" s="262"/>
      <c r="AN144" s="266"/>
      <c r="AO144" s="121"/>
      <c r="AP144" s="121"/>
      <c r="AQ144" s="121"/>
      <c r="AR144" s="121"/>
      <c r="AS144" s="122"/>
    </row>
    <row r="145" spans="1:45" x14ac:dyDescent="0.2">
      <c r="A145" s="262"/>
      <c r="B145" s="256"/>
      <c r="C145" s="54"/>
      <c r="D145" s="54"/>
      <c r="E145" s="55"/>
      <c r="F145" s="91"/>
      <c r="G145" s="262"/>
      <c r="H145" s="266"/>
      <c r="I145" s="121"/>
      <c r="J145" s="121"/>
      <c r="K145" s="121"/>
      <c r="L145" s="121"/>
      <c r="M145" s="122"/>
      <c r="N145" s="53"/>
      <c r="O145" s="262"/>
      <c r="P145" s="266"/>
      <c r="Q145" s="121"/>
      <c r="R145" s="121"/>
      <c r="S145" s="121"/>
      <c r="T145" s="121"/>
      <c r="U145" s="122"/>
      <c r="V145" s="53"/>
      <c r="W145" s="262"/>
      <c r="X145" s="266"/>
      <c r="Y145" s="121"/>
      <c r="Z145" s="121"/>
      <c r="AA145" s="121"/>
      <c r="AB145" s="121"/>
      <c r="AC145" s="122"/>
      <c r="AE145" s="262"/>
      <c r="AF145" s="272"/>
      <c r="AG145" s="132"/>
      <c r="AH145" s="132"/>
      <c r="AI145" s="132"/>
      <c r="AJ145" s="132"/>
      <c r="AK145" s="133"/>
      <c r="AM145" s="262"/>
      <c r="AN145" s="266"/>
      <c r="AO145" s="121"/>
      <c r="AP145" s="121"/>
      <c r="AQ145" s="121"/>
      <c r="AR145" s="121"/>
      <c r="AS145" s="122"/>
    </row>
    <row r="146" spans="1:45" x14ac:dyDescent="0.2">
      <c r="A146" s="262"/>
      <c r="B146" s="256"/>
      <c r="C146" s="54"/>
      <c r="D146" s="54"/>
      <c r="E146" s="55"/>
      <c r="F146" s="91"/>
      <c r="G146" s="262"/>
      <c r="H146" s="266"/>
      <c r="I146" s="121"/>
      <c r="J146" s="121"/>
      <c r="K146" s="121"/>
      <c r="L146" s="121"/>
      <c r="M146" s="122"/>
      <c r="N146" s="53"/>
      <c r="O146" s="262"/>
      <c r="P146" s="266"/>
      <c r="Q146" s="121"/>
      <c r="R146" s="121"/>
      <c r="S146" s="121"/>
      <c r="T146" s="121"/>
      <c r="U146" s="122"/>
      <c r="V146" s="53"/>
      <c r="W146" s="262"/>
      <c r="X146" s="266"/>
      <c r="Y146" s="121"/>
      <c r="Z146" s="121"/>
      <c r="AA146" s="121"/>
      <c r="AB146" s="121"/>
      <c r="AC146" s="122"/>
      <c r="AE146" s="262"/>
      <c r="AF146" s="272"/>
      <c r="AG146" s="132"/>
      <c r="AH146" s="132"/>
      <c r="AI146" s="132"/>
      <c r="AJ146" s="132"/>
      <c r="AK146" s="133"/>
      <c r="AM146" s="262"/>
      <c r="AN146" s="266"/>
      <c r="AO146" s="121"/>
      <c r="AP146" s="121"/>
      <c r="AQ146" s="121"/>
      <c r="AR146" s="121"/>
      <c r="AS146" s="122"/>
    </row>
    <row r="147" spans="1:45" x14ac:dyDescent="0.2">
      <c r="A147" s="262"/>
      <c r="B147" s="256"/>
      <c r="C147" s="54"/>
      <c r="D147" s="54"/>
      <c r="E147" s="55"/>
      <c r="F147" s="91"/>
      <c r="G147" s="262"/>
      <c r="H147" s="266"/>
      <c r="I147" s="121"/>
      <c r="J147" s="121"/>
      <c r="K147" s="121"/>
      <c r="L147" s="121"/>
      <c r="M147" s="122"/>
      <c r="N147" s="53"/>
      <c r="O147" s="262"/>
      <c r="P147" s="266"/>
      <c r="Q147" s="121"/>
      <c r="R147" s="121"/>
      <c r="S147" s="121"/>
      <c r="T147" s="121"/>
      <c r="U147" s="122"/>
      <c r="V147" s="53"/>
      <c r="W147" s="262"/>
      <c r="X147" s="266"/>
      <c r="Y147" s="121"/>
      <c r="Z147" s="121"/>
      <c r="AA147" s="121"/>
      <c r="AB147" s="121"/>
      <c r="AC147" s="122"/>
      <c r="AE147" s="262"/>
      <c r="AF147" s="272"/>
      <c r="AG147" s="132"/>
      <c r="AH147" s="132"/>
      <c r="AI147" s="132"/>
      <c r="AJ147" s="132"/>
      <c r="AK147" s="133"/>
      <c r="AM147" s="262"/>
      <c r="AN147" s="266"/>
      <c r="AO147" s="121"/>
      <c r="AP147" s="121"/>
      <c r="AQ147" s="121"/>
      <c r="AR147" s="121"/>
      <c r="AS147" s="122"/>
    </row>
    <row r="148" spans="1:45" x14ac:dyDescent="0.2">
      <c r="A148" s="262"/>
      <c r="B148" s="256"/>
      <c r="C148" s="54"/>
      <c r="D148" s="54"/>
      <c r="E148" s="55"/>
      <c r="F148" s="91"/>
      <c r="G148" s="262"/>
      <c r="H148" s="266"/>
      <c r="I148" s="121"/>
      <c r="J148" s="121"/>
      <c r="K148" s="121"/>
      <c r="L148" s="121"/>
      <c r="M148" s="122"/>
      <c r="N148" s="53"/>
      <c r="O148" s="262"/>
      <c r="P148" s="266"/>
      <c r="Q148" s="121"/>
      <c r="R148" s="121"/>
      <c r="S148" s="121"/>
      <c r="T148" s="121"/>
      <c r="U148" s="122"/>
      <c r="V148" s="53"/>
      <c r="W148" s="262"/>
      <c r="X148" s="266"/>
      <c r="Y148" s="121"/>
      <c r="Z148" s="121"/>
      <c r="AA148" s="121"/>
      <c r="AB148" s="121"/>
      <c r="AC148" s="122"/>
      <c r="AE148" s="262"/>
      <c r="AF148" s="272"/>
      <c r="AG148" s="132"/>
      <c r="AH148" s="132"/>
      <c r="AI148" s="132"/>
      <c r="AJ148" s="132"/>
      <c r="AK148" s="133"/>
      <c r="AM148" s="262"/>
      <c r="AN148" s="266"/>
      <c r="AO148" s="121"/>
      <c r="AP148" s="121"/>
      <c r="AQ148" s="121"/>
      <c r="AR148" s="121"/>
      <c r="AS148" s="122"/>
    </row>
    <row r="149" spans="1:45" x14ac:dyDescent="0.2">
      <c r="A149" s="262"/>
      <c r="B149" s="256"/>
      <c r="C149" s="54"/>
      <c r="D149" s="54"/>
      <c r="E149" s="55"/>
      <c r="F149" s="91"/>
      <c r="G149" s="262"/>
      <c r="H149" s="266"/>
      <c r="I149" s="121"/>
      <c r="J149" s="121"/>
      <c r="K149" s="121"/>
      <c r="L149" s="121"/>
      <c r="M149" s="122"/>
      <c r="N149" s="53"/>
      <c r="O149" s="262"/>
      <c r="P149" s="266"/>
      <c r="Q149" s="121"/>
      <c r="R149" s="121"/>
      <c r="S149" s="121"/>
      <c r="T149" s="121"/>
      <c r="U149" s="122"/>
      <c r="V149" s="53"/>
      <c r="W149" s="262"/>
      <c r="X149" s="266"/>
      <c r="Y149" s="121"/>
      <c r="Z149" s="121"/>
      <c r="AA149" s="121"/>
      <c r="AB149" s="121"/>
      <c r="AC149" s="122"/>
      <c r="AE149" s="262"/>
      <c r="AF149" s="272"/>
      <c r="AG149" s="132"/>
      <c r="AH149" s="132"/>
      <c r="AI149" s="132"/>
      <c r="AJ149" s="132"/>
      <c r="AK149" s="133"/>
      <c r="AM149" s="262"/>
      <c r="AN149" s="266"/>
      <c r="AO149" s="121"/>
      <c r="AP149" s="121"/>
      <c r="AQ149" s="121"/>
      <c r="AR149" s="121"/>
      <c r="AS149" s="122"/>
    </row>
    <row r="150" spans="1:45" x14ac:dyDescent="0.2">
      <c r="A150" s="262"/>
      <c r="B150" s="256"/>
      <c r="C150" s="54"/>
      <c r="D150" s="54"/>
      <c r="E150" s="55"/>
      <c r="F150" s="91"/>
      <c r="G150" s="262"/>
      <c r="H150" s="266"/>
      <c r="I150" s="121"/>
      <c r="J150" s="121"/>
      <c r="K150" s="121"/>
      <c r="L150" s="121"/>
      <c r="M150" s="122"/>
      <c r="N150" s="53"/>
      <c r="O150" s="262"/>
      <c r="P150" s="266"/>
      <c r="Q150" s="121"/>
      <c r="R150" s="121"/>
      <c r="S150" s="121"/>
      <c r="T150" s="121"/>
      <c r="U150" s="122"/>
      <c r="V150" s="53"/>
      <c r="W150" s="262"/>
      <c r="X150" s="266"/>
      <c r="Y150" s="121"/>
      <c r="Z150" s="121"/>
      <c r="AA150" s="121"/>
      <c r="AB150" s="121"/>
      <c r="AC150" s="122"/>
      <c r="AE150" s="262"/>
      <c r="AF150" s="272"/>
      <c r="AG150" s="132"/>
      <c r="AH150" s="132"/>
      <c r="AI150" s="132"/>
      <c r="AJ150" s="132"/>
      <c r="AK150" s="133"/>
      <c r="AM150" s="262"/>
      <c r="AN150" s="266"/>
      <c r="AO150" s="121"/>
      <c r="AP150" s="121"/>
      <c r="AQ150" s="121"/>
      <c r="AR150" s="121"/>
      <c r="AS150" s="122"/>
    </row>
    <row r="151" spans="1:45" x14ac:dyDescent="0.2">
      <c r="A151" s="262"/>
      <c r="B151" s="256"/>
      <c r="C151" s="54"/>
      <c r="D151" s="54"/>
      <c r="E151" s="55"/>
      <c r="F151" s="91"/>
      <c r="G151" s="262"/>
      <c r="H151" s="266"/>
      <c r="I151" s="121"/>
      <c r="J151" s="121"/>
      <c r="K151" s="121"/>
      <c r="L151" s="121"/>
      <c r="M151" s="122"/>
      <c r="N151" s="53"/>
      <c r="O151" s="262"/>
      <c r="P151" s="266"/>
      <c r="Q151" s="121"/>
      <c r="R151" s="121"/>
      <c r="S151" s="121"/>
      <c r="T151" s="121"/>
      <c r="U151" s="122"/>
      <c r="V151" s="53"/>
      <c r="W151" s="262"/>
      <c r="X151" s="266"/>
      <c r="Y151" s="121"/>
      <c r="Z151" s="121"/>
      <c r="AA151" s="121"/>
      <c r="AB151" s="121"/>
      <c r="AC151" s="122"/>
      <c r="AE151" s="262"/>
      <c r="AF151" s="272"/>
      <c r="AG151" s="132"/>
      <c r="AH151" s="132"/>
      <c r="AI151" s="132"/>
      <c r="AJ151" s="132"/>
      <c r="AK151" s="133"/>
      <c r="AM151" s="262"/>
      <c r="AN151" s="266"/>
      <c r="AO151" s="121"/>
      <c r="AP151" s="121"/>
      <c r="AQ151" s="121"/>
      <c r="AR151" s="121"/>
      <c r="AS151" s="122"/>
    </row>
    <row r="152" spans="1:45" x14ac:dyDescent="0.2">
      <c r="A152" s="262"/>
      <c r="B152" s="256"/>
      <c r="C152" s="54"/>
      <c r="D152" s="54"/>
      <c r="E152" s="55"/>
      <c r="F152" s="91"/>
      <c r="G152" s="262"/>
      <c r="H152" s="266"/>
      <c r="I152" s="121"/>
      <c r="J152" s="121"/>
      <c r="K152" s="121"/>
      <c r="L152" s="121"/>
      <c r="M152" s="122"/>
      <c r="N152" s="53"/>
      <c r="O152" s="262"/>
      <c r="P152" s="266"/>
      <c r="Q152" s="121"/>
      <c r="R152" s="121"/>
      <c r="S152" s="121"/>
      <c r="T152" s="121"/>
      <c r="U152" s="122"/>
      <c r="V152" s="53"/>
      <c r="W152" s="262"/>
      <c r="X152" s="266"/>
      <c r="Y152" s="121"/>
      <c r="Z152" s="121"/>
      <c r="AA152" s="121"/>
      <c r="AB152" s="121"/>
      <c r="AC152" s="122"/>
      <c r="AE152" s="262"/>
      <c r="AF152" s="272"/>
      <c r="AG152" s="132"/>
      <c r="AH152" s="132"/>
      <c r="AI152" s="132"/>
      <c r="AJ152" s="132"/>
      <c r="AK152" s="133"/>
      <c r="AM152" s="262"/>
      <c r="AN152" s="266"/>
      <c r="AO152" s="121"/>
      <c r="AP152" s="121"/>
      <c r="AQ152" s="121"/>
      <c r="AR152" s="121"/>
      <c r="AS152" s="122"/>
    </row>
    <row r="153" spans="1:45" x14ac:dyDescent="0.2">
      <c r="A153" s="262"/>
      <c r="B153" s="256"/>
      <c r="C153" s="54"/>
      <c r="D153" s="54"/>
      <c r="E153" s="55"/>
      <c r="F153" s="91"/>
      <c r="G153" s="262"/>
      <c r="H153" s="266"/>
      <c r="I153" s="121"/>
      <c r="J153" s="121"/>
      <c r="K153" s="121"/>
      <c r="L153" s="121"/>
      <c r="M153" s="122"/>
      <c r="N153" s="53"/>
      <c r="O153" s="262"/>
      <c r="P153" s="266"/>
      <c r="Q153" s="121"/>
      <c r="R153" s="121"/>
      <c r="S153" s="121"/>
      <c r="T153" s="121"/>
      <c r="U153" s="122"/>
      <c r="V153" s="53"/>
      <c r="W153" s="262"/>
      <c r="X153" s="266"/>
      <c r="Y153" s="121"/>
      <c r="Z153" s="121"/>
      <c r="AA153" s="121"/>
      <c r="AB153" s="121"/>
      <c r="AC153" s="122"/>
      <c r="AE153" s="262"/>
      <c r="AF153" s="272"/>
      <c r="AG153" s="132"/>
      <c r="AH153" s="132"/>
      <c r="AI153" s="132"/>
      <c r="AJ153" s="132"/>
      <c r="AK153" s="133"/>
      <c r="AM153" s="262"/>
      <c r="AN153" s="266"/>
      <c r="AO153" s="121"/>
      <c r="AP153" s="121"/>
      <c r="AQ153" s="121"/>
      <c r="AR153" s="121"/>
      <c r="AS153" s="122"/>
    </row>
    <row r="154" spans="1:45" x14ac:dyDescent="0.2">
      <c r="A154" s="262"/>
      <c r="B154" s="256"/>
      <c r="C154" s="54"/>
      <c r="D154" s="54"/>
      <c r="E154" s="55"/>
      <c r="F154" s="91"/>
      <c r="G154" s="262"/>
      <c r="H154" s="266"/>
      <c r="I154" s="121"/>
      <c r="J154" s="121"/>
      <c r="K154" s="121"/>
      <c r="L154" s="121"/>
      <c r="M154" s="122"/>
      <c r="N154" s="53"/>
      <c r="O154" s="262"/>
      <c r="P154" s="266"/>
      <c r="Q154" s="121"/>
      <c r="R154" s="121"/>
      <c r="S154" s="121"/>
      <c r="T154" s="121"/>
      <c r="U154" s="122"/>
      <c r="V154" s="53"/>
      <c r="W154" s="262"/>
      <c r="X154" s="266"/>
      <c r="Y154" s="121"/>
      <c r="Z154" s="121"/>
      <c r="AA154" s="121"/>
      <c r="AB154" s="121"/>
      <c r="AC154" s="122"/>
      <c r="AE154" s="262"/>
      <c r="AF154" s="272"/>
      <c r="AG154" s="132"/>
      <c r="AH154" s="132"/>
      <c r="AI154" s="132"/>
      <c r="AJ154" s="132"/>
      <c r="AK154" s="133"/>
      <c r="AM154" s="262"/>
      <c r="AN154" s="266"/>
      <c r="AO154" s="121"/>
      <c r="AP154" s="121"/>
      <c r="AQ154" s="121"/>
      <c r="AR154" s="121"/>
      <c r="AS154" s="122"/>
    </row>
    <row r="155" spans="1:45" x14ac:dyDescent="0.2">
      <c r="A155" s="262"/>
      <c r="B155" s="256"/>
      <c r="C155" s="54"/>
      <c r="D155" s="54"/>
      <c r="E155" s="55"/>
      <c r="F155" s="91"/>
      <c r="G155" s="262"/>
      <c r="H155" s="266"/>
      <c r="I155" s="121"/>
      <c r="J155" s="121"/>
      <c r="K155" s="121"/>
      <c r="L155" s="121"/>
      <c r="M155" s="122"/>
      <c r="N155" s="53"/>
      <c r="O155" s="262"/>
      <c r="P155" s="266"/>
      <c r="Q155" s="121"/>
      <c r="R155" s="121"/>
      <c r="S155" s="121"/>
      <c r="T155" s="121"/>
      <c r="U155" s="122"/>
      <c r="V155" s="53"/>
      <c r="W155" s="262"/>
      <c r="X155" s="266"/>
      <c r="Y155" s="121"/>
      <c r="Z155" s="121"/>
      <c r="AA155" s="121"/>
      <c r="AB155" s="121"/>
      <c r="AC155" s="122"/>
      <c r="AE155" s="262"/>
      <c r="AF155" s="272"/>
      <c r="AG155" s="132"/>
      <c r="AH155" s="132"/>
      <c r="AI155" s="132"/>
      <c r="AJ155" s="132"/>
      <c r="AK155" s="133"/>
      <c r="AM155" s="262"/>
      <c r="AN155" s="266"/>
      <c r="AO155" s="121"/>
      <c r="AP155" s="121"/>
      <c r="AQ155" s="121"/>
      <c r="AR155" s="121"/>
      <c r="AS155" s="122"/>
    </row>
    <row r="156" spans="1:45" x14ac:dyDescent="0.2">
      <c r="A156" s="262"/>
      <c r="B156" s="256"/>
      <c r="C156" s="54"/>
      <c r="D156" s="54"/>
      <c r="E156" s="55"/>
      <c r="F156" s="91"/>
      <c r="G156" s="262"/>
      <c r="H156" s="266"/>
      <c r="I156" s="121"/>
      <c r="J156" s="121"/>
      <c r="K156" s="121"/>
      <c r="L156" s="121"/>
      <c r="M156" s="122"/>
      <c r="N156" s="53"/>
      <c r="O156" s="262"/>
      <c r="P156" s="266"/>
      <c r="Q156" s="121"/>
      <c r="R156" s="121"/>
      <c r="S156" s="121"/>
      <c r="T156" s="121"/>
      <c r="U156" s="122"/>
      <c r="V156" s="53"/>
      <c r="W156" s="262"/>
      <c r="X156" s="266"/>
      <c r="Y156" s="121"/>
      <c r="Z156" s="121"/>
      <c r="AA156" s="121"/>
      <c r="AB156" s="121"/>
      <c r="AC156" s="122"/>
      <c r="AE156" s="262"/>
      <c r="AF156" s="272"/>
      <c r="AG156" s="132"/>
      <c r="AH156" s="132"/>
      <c r="AI156" s="132"/>
      <c r="AJ156" s="132"/>
      <c r="AK156" s="133"/>
      <c r="AM156" s="262"/>
      <c r="AN156" s="266"/>
      <c r="AO156" s="121"/>
      <c r="AP156" s="121"/>
      <c r="AQ156" s="121"/>
      <c r="AR156" s="121"/>
      <c r="AS156" s="122"/>
    </row>
    <row r="157" spans="1:45" x14ac:dyDescent="0.2">
      <c r="A157" s="262"/>
      <c r="B157" s="256"/>
      <c r="C157" s="54"/>
      <c r="D157" s="54"/>
      <c r="E157" s="55"/>
      <c r="F157" s="91"/>
      <c r="G157" s="262"/>
      <c r="H157" s="266"/>
      <c r="I157" s="121"/>
      <c r="J157" s="121"/>
      <c r="K157" s="121"/>
      <c r="L157" s="121"/>
      <c r="M157" s="122"/>
      <c r="N157" s="53"/>
      <c r="O157" s="262"/>
      <c r="P157" s="266"/>
      <c r="Q157" s="121"/>
      <c r="R157" s="121"/>
      <c r="S157" s="121"/>
      <c r="T157" s="121"/>
      <c r="U157" s="122"/>
      <c r="V157" s="53"/>
      <c r="W157" s="262"/>
      <c r="X157" s="266"/>
      <c r="Y157" s="121"/>
      <c r="Z157" s="121"/>
      <c r="AA157" s="121"/>
      <c r="AB157" s="121"/>
      <c r="AC157" s="122"/>
      <c r="AE157" s="262"/>
      <c r="AF157" s="272"/>
      <c r="AG157" s="132"/>
      <c r="AH157" s="132"/>
      <c r="AI157" s="132"/>
      <c r="AJ157" s="132"/>
      <c r="AK157" s="133"/>
      <c r="AM157" s="262"/>
      <c r="AN157" s="266"/>
      <c r="AO157" s="121"/>
      <c r="AP157" s="121"/>
      <c r="AQ157" s="121"/>
      <c r="AR157" s="121"/>
      <c r="AS157" s="122"/>
    </row>
    <row r="158" spans="1:45" x14ac:dyDescent="0.2">
      <c r="A158" s="262"/>
      <c r="B158" s="256"/>
      <c r="C158" s="54"/>
      <c r="D158" s="54"/>
      <c r="E158" s="55"/>
      <c r="F158" s="91"/>
      <c r="G158" s="262"/>
      <c r="H158" s="266"/>
      <c r="I158" s="121"/>
      <c r="J158" s="121"/>
      <c r="K158" s="121"/>
      <c r="L158" s="121"/>
      <c r="M158" s="122"/>
      <c r="N158" s="53"/>
      <c r="O158" s="262"/>
      <c r="P158" s="266"/>
      <c r="Q158" s="121"/>
      <c r="R158" s="121"/>
      <c r="S158" s="121"/>
      <c r="T158" s="121"/>
      <c r="U158" s="122"/>
      <c r="V158" s="53"/>
      <c r="W158" s="262"/>
      <c r="X158" s="266"/>
      <c r="Y158" s="121"/>
      <c r="Z158" s="121"/>
      <c r="AA158" s="121"/>
      <c r="AB158" s="121"/>
      <c r="AC158" s="122"/>
      <c r="AE158" s="262"/>
      <c r="AF158" s="272"/>
      <c r="AG158" s="132"/>
      <c r="AH158" s="132"/>
      <c r="AI158" s="132"/>
      <c r="AJ158" s="132"/>
      <c r="AK158" s="133"/>
      <c r="AM158" s="262"/>
      <c r="AN158" s="266"/>
      <c r="AO158" s="121"/>
      <c r="AP158" s="121"/>
      <c r="AQ158" s="121"/>
      <c r="AR158" s="121"/>
      <c r="AS158" s="122"/>
    </row>
    <row r="159" spans="1:45" x14ac:dyDescent="0.2">
      <c r="A159" s="262"/>
      <c r="B159" s="256"/>
      <c r="C159" s="54"/>
      <c r="D159" s="54"/>
      <c r="E159" s="55"/>
      <c r="F159" s="91"/>
      <c r="G159" s="262"/>
      <c r="H159" s="266"/>
      <c r="I159" s="121"/>
      <c r="J159" s="121"/>
      <c r="K159" s="121"/>
      <c r="L159" s="121"/>
      <c r="M159" s="122"/>
      <c r="N159" s="53"/>
      <c r="O159" s="262"/>
      <c r="P159" s="266"/>
      <c r="Q159" s="121"/>
      <c r="R159" s="121"/>
      <c r="S159" s="121"/>
      <c r="T159" s="121"/>
      <c r="U159" s="122"/>
      <c r="V159" s="53"/>
      <c r="W159" s="262"/>
      <c r="X159" s="266"/>
      <c r="Y159" s="121"/>
      <c r="Z159" s="121"/>
      <c r="AA159" s="121"/>
      <c r="AB159" s="121"/>
      <c r="AC159" s="122"/>
      <c r="AE159" s="262"/>
      <c r="AF159" s="272"/>
      <c r="AG159" s="132"/>
      <c r="AH159" s="132"/>
      <c r="AI159" s="132"/>
      <c r="AJ159" s="132"/>
      <c r="AK159" s="133"/>
      <c r="AM159" s="262"/>
      <c r="AN159" s="266"/>
      <c r="AO159" s="121"/>
      <c r="AP159" s="121"/>
      <c r="AQ159" s="121"/>
      <c r="AR159" s="121"/>
      <c r="AS159" s="122"/>
    </row>
    <row r="160" spans="1:45" x14ac:dyDescent="0.2">
      <c r="A160" s="262"/>
      <c r="B160" s="256"/>
      <c r="C160" s="54"/>
      <c r="D160" s="54"/>
      <c r="E160" s="55"/>
      <c r="F160" s="91"/>
      <c r="G160" s="262"/>
      <c r="H160" s="266"/>
      <c r="I160" s="121"/>
      <c r="J160" s="121"/>
      <c r="K160" s="121"/>
      <c r="L160" s="121"/>
      <c r="M160" s="122"/>
      <c r="N160" s="53"/>
      <c r="O160" s="262"/>
      <c r="P160" s="266"/>
      <c r="Q160" s="121"/>
      <c r="R160" s="121"/>
      <c r="S160" s="121"/>
      <c r="T160" s="121"/>
      <c r="U160" s="122"/>
      <c r="V160" s="53"/>
      <c r="W160" s="262"/>
      <c r="X160" s="266"/>
      <c r="Y160" s="121"/>
      <c r="Z160" s="121"/>
      <c r="AA160" s="121"/>
      <c r="AB160" s="121"/>
      <c r="AC160" s="122"/>
      <c r="AE160" s="262"/>
      <c r="AF160" s="272"/>
      <c r="AG160" s="132"/>
      <c r="AH160" s="132"/>
      <c r="AI160" s="132"/>
      <c r="AJ160" s="132"/>
      <c r="AK160" s="133"/>
      <c r="AM160" s="262"/>
      <c r="AN160" s="266"/>
      <c r="AO160" s="121"/>
      <c r="AP160" s="121"/>
      <c r="AQ160" s="121"/>
      <c r="AR160" s="121"/>
      <c r="AS160" s="122"/>
    </row>
    <row r="161" spans="1:45" x14ac:dyDescent="0.2">
      <c r="A161" s="262"/>
      <c r="B161" s="256"/>
      <c r="C161" s="54"/>
      <c r="D161" s="54"/>
      <c r="E161" s="55"/>
      <c r="F161" s="91"/>
      <c r="G161" s="262"/>
      <c r="H161" s="266"/>
      <c r="I161" s="121"/>
      <c r="J161" s="121"/>
      <c r="K161" s="121"/>
      <c r="L161" s="121"/>
      <c r="M161" s="122"/>
      <c r="N161" s="53"/>
      <c r="O161" s="262"/>
      <c r="P161" s="266"/>
      <c r="Q161" s="121"/>
      <c r="R161" s="121"/>
      <c r="S161" s="121"/>
      <c r="T161" s="121"/>
      <c r="U161" s="122"/>
      <c r="V161" s="53"/>
      <c r="W161" s="262"/>
      <c r="X161" s="266"/>
      <c r="Y161" s="121"/>
      <c r="Z161" s="121"/>
      <c r="AA161" s="121"/>
      <c r="AB161" s="121"/>
      <c r="AC161" s="122"/>
      <c r="AE161" s="262"/>
      <c r="AF161" s="272"/>
      <c r="AG161" s="132"/>
      <c r="AH161" s="132"/>
      <c r="AI161" s="132"/>
      <c r="AJ161" s="132"/>
      <c r="AK161" s="133"/>
      <c r="AM161" s="262"/>
      <c r="AN161" s="266"/>
      <c r="AO161" s="121"/>
      <c r="AP161" s="121"/>
      <c r="AQ161" s="121"/>
      <c r="AR161" s="121"/>
      <c r="AS161" s="122"/>
    </row>
    <row r="162" spans="1:45" x14ac:dyDescent="0.2">
      <c r="A162" s="262"/>
      <c r="B162" s="256"/>
      <c r="C162" s="54"/>
      <c r="D162" s="54"/>
      <c r="E162" s="55"/>
      <c r="F162" s="91"/>
      <c r="G162" s="262"/>
      <c r="H162" s="266"/>
      <c r="I162" s="121"/>
      <c r="J162" s="121"/>
      <c r="K162" s="121"/>
      <c r="L162" s="121"/>
      <c r="M162" s="122"/>
      <c r="N162" s="53"/>
      <c r="O162" s="262"/>
      <c r="P162" s="266"/>
      <c r="Q162" s="121"/>
      <c r="R162" s="121"/>
      <c r="S162" s="121"/>
      <c r="T162" s="121"/>
      <c r="U162" s="122"/>
      <c r="V162" s="53"/>
      <c r="W162" s="262"/>
      <c r="X162" s="266"/>
      <c r="Y162" s="121"/>
      <c r="Z162" s="121"/>
      <c r="AA162" s="121"/>
      <c r="AB162" s="121"/>
      <c r="AC162" s="122"/>
      <c r="AE162" s="262"/>
      <c r="AF162" s="272"/>
      <c r="AG162" s="132"/>
      <c r="AH162" s="132"/>
      <c r="AI162" s="132"/>
      <c r="AJ162" s="132"/>
      <c r="AK162" s="133"/>
      <c r="AM162" s="262"/>
      <c r="AN162" s="266"/>
      <c r="AO162" s="121"/>
      <c r="AP162" s="121"/>
      <c r="AQ162" s="121"/>
      <c r="AR162" s="121"/>
      <c r="AS162" s="122"/>
    </row>
    <row r="163" spans="1:45" x14ac:dyDescent="0.2">
      <c r="A163" s="262"/>
      <c r="B163" s="256"/>
      <c r="C163" s="54"/>
      <c r="D163" s="54"/>
      <c r="E163" s="55"/>
      <c r="F163" s="91"/>
      <c r="G163" s="262"/>
      <c r="H163" s="266"/>
      <c r="I163" s="121"/>
      <c r="J163" s="121"/>
      <c r="K163" s="121"/>
      <c r="L163" s="121"/>
      <c r="M163" s="122"/>
      <c r="N163" s="53"/>
      <c r="O163" s="262"/>
      <c r="P163" s="266"/>
      <c r="Q163" s="121"/>
      <c r="R163" s="121"/>
      <c r="S163" s="121"/>
      <c r="T163" s="121"/>
      <c r="U163" s="122"/>
      <c r="V163" s="53"/>
      <c r="W163" s="262"/>
      <c r="X163" s="266"/>
      <c r="Y163" s="121"/>
      <c r="Z163" s="121"/>
      <c r="AA163" s="121"/>
      <c r="AB163" s="121"/>
      <c r="AC163" s="122"/>
      <c r="AE163" s="262"/>
      <c r="AF163" s="272"/>
      <c r="AG163" s="132"/>
      <c r="AH163" s="132"/>
      <c r="AI163" s="132"/>
      <c r="AJ163" s="132"/>
      <c r="AK163" s="133"/>
      <c r="AM163" s="262"/>
      <c r="AN163" s="266"/>
      <c r="AO163" s="121"/>
      <c r="AP163" s="121"/>
      <c r="AQ163" s="121"/>
      <c r="AR163" s="121"/>
      <c r="AS163" s="122"/>
    </row>
    <row r="164" spans="1:45" x14ac:dyDescent="0.2">
      <c r="A164" s="262"/>
      <c r="B164" s="256"/>
      <c r="C164" s="54"/>
      <c r="D164" s="54"/>
      <c r="E164" s="55"/>
      <c r="F164" s="91"/>
      <c r="G164" s="262"/>
      <c r="H164" s="266"/>
      <c r="I164" s="121"/>
      <c r="J164" s="121"/>
      <c r="K164" s="121"/>
      <c r="L164" s="121"/>
      <c r="M164" s="122"/>
      <c r="N164" s="53"/>
      <c r="O164" s="262"/>
      <c r="P164" s="266"/>
      <c r="Q164" s="121"/>
      <c r="R164" s="121"/>
      <c r="S164" s="121"/>
      <c r="T164" s="121"/>
      <c r="U164" s="122"/>
      <c r="V164" s="53"/>
      <c r="W164" s="262"/>
      <c r="X164" s="266"/>
      <c r="Y164" s="121"/>
      <c r="Z164" s="121"/>
      <c r="AA164" s="121"/>
      <c r="AB164" s="121"/>
      <c r="AC164" s="122"/>
      <c r="AE164" s="262"/>
      <c r="AF164" s="272"/>
      <c r="AG164" s="132"/>
      <c r="AH164" s="132"/>
      <c r="AI164" s="132"/>
      <c r="AJ164" s="132"/>
      <c r="AK164" s="133"/>
      <c r="AM164" s="262"/>
      <c r="AN164" s="266"/>
      <c r="AO164" s="121"/>
      <c r="AP164" s="121"/>
      <c r="AQ164" s="121"/>
      <c r="AR164" s="121"/>
      <c r="AS164" s="122"/>
    </row>
    <row r="165" spans="1:45" x14ac:dyDescent="0.2">
      <c r="A165" s="262"/>
      <c r="B165" s="256"/>
      <c r="C165" s="54"/>
      <c r="D165" s="54"/>
      <c r="E165" s="55"/>
      <c r="F165" s="91"/>
      <c r="G165" s="262"/>
      <c r="H165" s="266"/>
      <c r="I165" s="121"/>
      <c r="J165" s="121"/>
      <c r="K165" s="121"/>
      <c r="L165" s="121"/>
      <c r="M165" s="122"/>
      <c r="N165" s="53"/>
      <c r="O165" s="262"/>
      <c r="P165" s="266"/>
      <c r="Q165" s="121"/>
      <c r="R165" s="121"/>
      <c r="S165" s="121"/>
      <c r="T165" s="121"/>
      <c r="U165" s="122"/>
      <c r="V165" s="53"/>
      <c r="W165" s="262"/>
      <c r="X165" s="266"/>
      <c r="Y165" s="121"/>
      <c r="Z165" s="121"/>
      <c r="AA165" s="121"/>
      <c r="AB165" s="121"/>
      <c r="AC165" s="122"/>
      <c r="AE165" s="262"/>
      <c r="AF165" s="272"/>
      <c r="AG165" s="132"/>
      <c r="AH165" s="132"/>
      <c r="AI165" s="132"/>
      <c r="AJ165" s="132"/>
      <c r="AK165" s="133"/>
      <c r="AM165" s="262"/>
      <c r="AN165" s="266"/>
      <c r="AO165" s="121"/>
      <c r="AP165" s="121"/>
      <c r="AQ165" s="121"/>
      <c r="AR165" s="121"/>
      <c r="AS165" s="122"/>
    </row>
    <row r="166" spans="1:45" x14ac:dyDescent="0.2">
      <c r="A166" s="262"/>
      <c r="B166" s="256"/>
      <c r="C166" s="54"/>
      <c r="D166" s="54"/>
      <c r="E166" s="55"/>
      <c r="F166" s="91"/>
      <c r="G166" s="262"/>
      <c r="H166" s="266"/>
      <c r="I166" s="121"/>
      <c r="J166" s="121"/>
      <c r="K166" s="121"/>
      <c r="L166" s="121"/>
      <c r="M166" s="122"/>
      <c r="N166" s="53"/>
      <c r="O166" s="262"/>
      <c r="P166" s="266"/>
      <c r="Q166" s="121"/>
      <c r="R166" s="121"/>
      <c r="S166" s="121"/>
      <c r="T166" s="121"/>
      <c r="U166" s="122"/>
      <c r="V166" s="53"/>
      <c r="W166" s="262"/>
      <c r="X166" s="266"/>
      <c r="Y166" s="121"/>
      <c r="Z166" s="121"/>
      <c r="AA166" s="121"/>
      <c r="AB166" s="121"/>
      <c r="AC166" s="122"/>
      <c r="AE166" s="262"/>
      <c r="AF166" s="272"/>
      <c r="AG166" s="132"/>
      <c r="AH166" s="132"/>
      <c r="AI166" s="132"/>
      <c r="AJ166" s="132"/>
      <c r="AK166" s="133"/>
      <c r="AM166" s="262"/>
      <c r="AN166" s="266"/>
      <c r="AO166" s="121"/>
      <c r="AP166" s="121"/>
      <c r="AQ166" s="121"/>
      <c r="AR166" s="121"/>
      <c r="AS166" s="122"/>
    </row>
    <row r="167" spans="1:45" x14ac:dyDescent="0.2">
      <c r="A167" s="262"/>
      <c r="B167" s="256"/>
      <c r="C167" s="54"/>
      <c r="D167" s="54"/>
      <c r="E167" s="55"/>
      <c r="F167" s="91"/>
      <c r="G167" s="262"/>
      <c r="H167" s="266"/>
      <c r="I167" s="121"/>
      <c r="J167" s="121"/>
      <c r="K167" s="121"/>
      <c r="L167" s="121"/>
      <c r="M167" s="122"/>
      <c r="N167" s="53"/>
      <c r="O167" s="262"/>
      <c r="P167" s="266"/>
      <c r="Q167" s="121"/>
      <c r="R167" s="121"/>
      <c r="S167" s="121"/>
      <c r="T167" s="121"/>
      <c r="U167" s="122"/>
      <c r="V167" s="53"/>
      <c r="W167" s="262"/>
      <c r="X167" s="266"/>
      <c r="Y167" s="121"/>
      <c r="Z167" s="121"/>
      <c r="AA167" s="121"/>
      <c r="AB167" s="121"/>
      <c r="AC167" s="122"/>
      <c r="AE167" s="262"/>
      <c r="AF167" s="272"/>
      <c r="AG167" s="132"/>
      <c r="AH167" s="132"/>
      <c r="AI167" s="132"/>
      <c r="AJ167" s="132"/>
      <c r="AK167" s="133"/>
      <c r="AM167" s="262"/>
      <c r="AN167" s="266"/>
      <c r="AO167" s="121"/>
      <c r="AP167" s="121"/>
      <c r="AQ167" s="121"/>
      <c r="AR167" s="121"/>
      <c r="AS167" s="122"/>
    </row>
    <row r="168" spans="1:45" x14ac:dyDescent="0.2">
      <c r="A168" s="262"/>
      <c r="B168" s="256"/>
      <c r="C168" s="54"/>
      <c r="D168" s="54"/>
      <c r="E168" s="55"/>
      <c r="F168" s="91"/>
      <c r="G168" s="262"/>
      <c r="H168" s="266"/>
      <c r="I168" s="121"/>
      <c r="J168" s="121"/>
      <c r="K168" s="121"/>
      <c r="L168" s="121"/>
      <c r="M168" s="122"/>
      <c r="N168" s="53"/>
      <c r="O168" s="262"/>
      <c r="P168" s="266"/>
      <c r="Q168" s="121"/>
      <c r="R168" s="121"/>
      <c r="S168" s="121"/>
      <c r="T168" s="121"/>
      <c r="U168" s="122"/>
      <c r="V168" s="53"/>
      <c r="W168" s="262"/>
      <c r="X168" s="266"/>
      <c r="Y168" s="121"/>
      <c r="Z168" s="121"/>
      <c r="AA168" s="121"/>
      <c r="AB168" s="121"/>
      <c r="AC168" s="122"/>
      <c r="AE168" s="262"/>
      <c r="AF168" s="272"/>
      <c r="AG168" s="132"/>
      <c r="AH168" s="132"/>
      <c r="AI168" s="132"/>
      <c r="AJ168" s="132"/>
      <c r="AK168" s="133"/>
      <c r="AM168" s="262"/>
      <c r="AN168" s="266"/>
      <c r="AO168" s="121"/>
      <c r="AP168" s="121"/>
      <c r="AQ168" s="121"/>
      <c r="AR168" s="121"/>
      <c r="AS168" s="122"/>
    </row>
    <row r="169" spans="1:45" x14ac:dyDescent="0.2">
      <c r="A169" s="262"/>
      <c r="B169" s="256"/>
      <c r="C169" s="54"/>
      <c r="D169" s="54"/>
      <c r="E169" s="55"/>
      <c r="F169" s="91"/>
      <c r="G169" s="262"/>
      <c r="H169" s="266"/>
      <c r="I169" s="121"/>
      <c r="J169" s="121"/>
      <c r="K169" s="121"/>
      <c r="L169" s="121"/>
      <c r="M169" s="122"/>
      <c r="N169" s="53"/>
      <c r="O169" s="262"/>
      <c r="P169" s="266"/>
      <c r="Q169" s="121"/>
      <c r="R169" s="121"/>
      <c r="S169" s="121"/>
      <c r="T169" s="121"/>
      <c r="U169" s="122"/>
      <c r="V169" s="53"/>
      <c r="W169" s="262"/>
      <c r="X169" s="266"/>
      <c r="Y169" s="121"/>
      <c r="Z169" s="121"/>
      <c r="AA169" s="121"/>
      <c r="AB169" s="121"/>
      <c r="AC169" s="122"/>
      <c r="AE169" s="262"/>
      <c r="AF169" s="272"/>
      <c r="AG169" s="132"/>
      <c r="AH169" s="132"/>
      <c r="AI169" s="132"/>
      <c r="AJ169" s="132"/>
      <c r="AK169" s="133"/>
      <c r="AM169" s="262"/>
      <c r="AN169" s="266"/>
      <c r="AO169" s="121"/>
      <c r="AP169" s="121"/>
      <c r="AQ169" s="121"/>
      <c r="AR169" s="121"/>
      <c r="AS169" s="122"/>
    </row>
    <row r="170" spans="1:45" x14ac:dyDescent="0.2">
      <c r="A170" s="262"/>
      <c r="B170" s="256"/>
      <c r="C170" s="54"/>
      <c r="D170" s="54"/>
      <c r="E170" s="55"/>
      <c r="F170" s="91"/>
      <c r="G170" s="262"/>
      <c r="H170" s="266"/>
      <c r="I170" s="121"/>
      <c r="J170" s="121"/>
      <c r="K170" s="121"/>
      <c r="L170" s="121"/>
      <c r="M170" s="122"/>
      <c r="N170" s="53"/>
      <c r="O170" s="262"/>
      <c r="P170" s="266"/>
      <c r="Q170" s="121"/>
      <c r="R170" s="121"/>
      <c r="S170" s="121"/>
      <c r="T170" s="121"/>
      <c r="U170" s="122"/>
      <c r="V170" s="53"/>
      <c r="W170" s="262"/>
      <c r="X170" s="266"/>
      <c r="Y170" s="121"/>
      <c r="Z170" s="121"/>
      <c r="AA170" s="121"/>
      <c r="AB170" s="121"/>
      <c r="AC170" s="122"/>
      <c r="AE170" s="262"/>
      <c r="AF170" s="272"/>
      <c r="AG170" s="132"/>
      <c r="AH170" s="132"/>
      <c r="AI170" s="132"/>
      <c r="AJ170" s="132"/>
      <c r="AK170" s="133"/>
      <c r="AM170" s="262"/>
      <c r="AN170" s="266"/>
      <c r="AO170" s="121"/>
      <c r="AP170" s="121"/>
      <c r="AQ170" s="121"/>
      <c r="AR170" s="121"/>
      <c r="AS170" s="122"/>
    </row>
    <row r="171" spans="1:45" x14ac:dyDescent="0.2">
      <c r="A171" s="262"/>
      <c r="B171" s="256"/>
      <c r="C171" s="54"/>
      <c r="D171" s="54"/>
      <c r="E171" s="55"/>
      <c r="F171" s="91"/>
      <c r="G171" s="262"/>
      <c r="H171" s="266"/>
      <c r="I171" s="121"/>
      <c r="J171" s="121"/>
      <c r="K171" s="121"/>
      <c r="L171" s="121"/>
      <c r="M171" s="122"/>
      <c r="N171" s="53"/>
      <c r="O171" s="262"/>
      <c r="P171" s="266"/>
      <c r="Q171" s="121"/>
      <c r="R171" s="121"/>
      <c r="S171" s="121"/>
      <c r="T171" s="121"/>
      <c r="U171" s="122"/>
      <c r="V171" s="53"/>
      <c r="W171" s="262"/>
      <c r="X171" s="266"/>
      <c r="Y171" s="121"/>
      <c r="Z171" s="121"/>
      <c r="AA171" s="121"/>
      <c r="AB171" s="121"/>
      <c r="AC171" s="122"/>
      <c r="AE171" s="262"/>
      <c r="AF171" s="272"/>
      <c r="AG171" s="132"/>
      <c r="AH171" s="132"/>
      <c r="AI171" s="132"/>
      <c r="AJ171" s="132"/>
      <c r="AK171" s="133"/>
      <c r="AM171" s="262"/>
      <c r="AN171" s="266"/>
      <c r="AO171" s="121"/>
      <c r="AP171" s="121"/>
      <c r="AQ171" s="121"/>
      <c r="AR171" s="121"/>
      <c r="AS171" s="122"/>
    </row>
    <row r="172" spans="1:45" x14ac:dyDescent="0.2">
      <c r="A172" s="262"/>
      <c r="B172" s="256"/>
      <c r="C172" s="54"/>
      <c r="D172" s="54"/>
      <c r="E172" s="55"/>
      <c r="F172" s="91"/>
      <c r="G172" s="262"/>
      <c r="H172" s="266"/>
      <c r="I172" s="121"/>
      <c r="J172" s="121"/>
      <c r="K172" s="121"/>
      <c r="L172" s="121"/>
      <c r="M172" s="122"/>
      <c r="N172" s="53"/>
      <c r="O172" s="262"/>
      <c r="P172" s="266"/>
      <c r="Q172" s="121"/>
      <c r="R172" s="121"/>
      <c r="S172" s="121"/>
      <c r="T172" s="121"/>
      <c r="U172" s="122"/>
      <c r="V172" s="53"/>
      <c r="W172" s="262"/>
      <c r="X172" s="266"/>
      <c r="Y172" s="121"/>
      <c r="Z172" s="121"/>
      <c r="AA172" s="121"/>
      <c r="AB172" s="121"/>
      <c r="AC172" s="122"/>
      <c r="AE172" s="262"/>
      <c r="AF172" s="272"/>
      <c r="AG172" s="132"/>
      <c r="AH172" s="132"/>
      <c r="AI172" s="132"/>
      <c r="AJ172" s="132"/>
      <c r="AK172" s="133"/>
      <c r="AM172" s="262"/>
      <c r="AN172" s="266"/>
      <c r="AO172" s="121"/>
      <c r="AP172" s="121"/>
      <c r="AQ172" s="121"/>
      <c r="AR172" s="121"/>
      <c r="AS172" s="122"/>
    </row>
    <row r="173" spans="1:45" x14ac:dyDescent="0.2">
      <c r="A173" s="262"/>
      <c r="B173" s="256"/>
      <c r="C173" s="54"/>
      <c r="D173" s="54"/>
      <c r="E173" s="55"/>
      <c r="F173" s="91"/>
      <c r="G173" s="262"/>
      <c r="H173" s="266"/>
      <c r="I173" s="121"/>
      <c r="J173" s="121"/>
      <c r="K173" s="121"/>
      <c r="L173" s="121"/>
      <c r="M173" s="122"/>
      <c r="N173" s="53"/>
      <c r="O173" s="262"/>
      <c r="P173" s="266"/>
      <c r="Q173" s="121"/>
      <c r="R173" s="121"/>
      <c r="S173" s="121"/>
      <c r="T173" s="121"/>
      <c r="U173" s="122"/>
      <c r="V173" s="53"/>
      <c r="W173" s="262"/>
      <c r="X173" s="266"/>
      <c r="Y173" s="121"/>
      <c r="Z173" s="121"/>
      <c r="AA173" s="121"/>
      <c r="AB173" s="121"/>
      <c r="AC173" s="122"/>
      <c r="AE173" s="262"/>
      <c r="AF173" s="272"/>
      <c r="AG173" s="132"/>
      <c r="AH173" s="132"/>
      <c r="AI173" s="132"/>
      <c r="AJ173" s="132"/>
      <c r="AK173" s="133"/>
      <c r="AM173" s="262"/>
      <c r="AN173" s="266"/>
      <c r="AO173" s="121"/>
      <c r="AP173" s="121"/>
      <c r="AQ173" s="121"/>
      <c r="AR173" s="121"/>
      <c r="AS173" s="122"/>
    </row>
    <row r="174" spans="1:45" x14ac:dyDescent="0.2">
      <c r="A174" s="262"/>
      <c r="B174" s="256"/>
      <c r="C174" s="54"/>
      <c r="D174" s="54"/>
      <c r="E174" s="55"/>
      <c r="F174" s="91"/>
      <c r="G174" s="262"/>
      <c r="H174" s="266"/>
      <c r="I174" s="121"/>
      <c r="J174" s="121"/>
      <c r="K174" s="121"/>
      <c r="L174" s="121"/>
      <c r="M174" s="122"/>
      <c r="N174" s="53"/>
      <c r="O174" s="262"/>
      <c r="P174" s="266"/>
      <c r="Q174" s="121"/>
      <c r="R174" s="121"/>
      <c r="S174" s="121"/>
      <c r="T174" s="121"/>
      <c r="U174" s="122"/>
      <c r="V174" s="53"/>
      <c r="W174" s="262"/>
      <c r="X174" s="266"/>
      <c r="Y174" s="121"/>
      <c r="Z174" s="121"/>
      <c r="AA174" s="121"/>
      <c r="AB174" s="121"/>
      <c r="AC174" s="122"/>
      <c r="AE174" s="262"/>
      <c r="AF174" s="272"/>
      <c r="AG174" s="132"/>
      <c r="AH174" s="132"/>
      <c r="AI174" s="132"/>
      <c r="AJ174" s="132"/>
      <c r="AK174" s="133"/>
      <c r="AM174" s="262"/>
      <c r="AN174" s="266"/>
      <c r="AO174" s="121"/>
      <c r="AP174" s="121"/>
      <c r="AQ174" s="121"/>
      <c r="AR174" s="121"/>
      <c r="AS174" s="122"/>
    </row>
    <row r="175" spans="1:45" x14ac:dyDescent="0.2">
      <c r="A175" s="262"/>
      <c r="B175" s="256"/>
      <c r="C175" s="54"/>
      <c r="D175" s="54"/>
      <c r="E175" s="55"/>
      <c r="F175" s="91"/>
      <c r="G175" s="262"/>
      <c r="H175" s="266"/>
      <c r="I175" s="121"/>
      <c r="J175" s="121"/>
      <c r="K175" s="121"/>
      <c r="L175" s="121"/>
      <c r="M175" s="122"/>
      <c r="N175" s="53"/>
      <c r="O175" s="262"/>
      <c r="P175" s="266"/>
      <c r="Q175" s="121"/>
      <c r="R175" s="121"/>
      <c r="S175" s="121"/>
      <c r="T175" s="121"/>
      <c r="U175" s="122"/>
      <c r="V175" s="53"/>
      <c r="W175" s="262"/>
      <c r="X175" s="266"/>
      <c r="Y175" s="121"/>
      <c r="Z175" s="121"/>
      <c r="AA175" s="121"/>
      <c r="AB175" s="121"/>
      <c r="AC175" s="122"/>
      <c r="AE175" s="262"/>
      <c r="AF175" s="272"/>
      <c r="AG175" s="132"/>
      <c r="AH175" s="132"/>
      <c r="AI175" s="132"/>
      <c r="AJ175" s="132"/>
      <c r="AK175" s="133"/>
      <c r="AM175" s="262"/>
      <c r="AN175" s="266"/>
      <c r="AO175" s="121"/>
      <c r="AP175" s="121"/>
      <c r="AQ175" s="121"/>
      <c r="AR175" s="121"/>
      <c r="AS175" s="122"/>
    </row>
    <row r="176" spans="1:45" x14ac:dyDescent="0.2">
      <c r="A176" s="262"/>
      <c r="B176" s="256"/>
      <c r="C176" s="54"/>
      <c r="D176" s="54"/>
      <c r="E176" s="55"/>
      <c r="F176" s="91"/>
      <c r="G176" s="262"/>
      <c r="H176" s="266"/>
      <c r="I176" s="121"/>
      <c r="J176" s="121"/>
      <c r="K176" s="121"/>
      <c r="L176" s="121"/>
      <c r="M176" s="122"/>
      <c r="N176" s="53"/>
      <c r="O176" s="262"/>
      <c r="P176" s="266"/>
      <c r="Q176" s="121"/>
      <c r="R176" s="121"/>
      <c r="S176" s="121"/>
      <c r="T176" s="121"/>
      <c r="U176" s="122"/>
      <c r="V176" s="53"/>
      <c r="W176" s="262"/>
      <c r="X176" s="266"/>
      <c r="Y176" s="121"/>
      <c r="Z176" s="121"/>
      <c r="AA176" s="121"/>
      <c r="AB176" s="121"/>
      <c r="AC176" s="122"/>
      <c r="AE176" s="262"/>
      <c r="AF176" s="272"/>
      <c r="AG176" s="132"/>
      <c r="AH176" s="132"/>
      <c r="AI176" s="132"/>
      <c r="AJ176" s="132"/>
      <c r="AK176" s="133"/>
      <c r="AM176" s="262"/>
      <c r="AN176" s="266"/>
      <c r="AO176" s="121"/>
      <c r="AP176" s="121"/>
      <c r="AQ176" s="121"/>
      <c r="AR176" s="121"/>
      <c r="AS176" s="122"/>
    </row>
    <row r="177" spans="1:45" x14ac:dyDescent="0.2">
      <c r="A177" s="262"/>
      <c r="B177" s="256"/>
      <c r="C177" s="54"/>
      <c r="D177" s="54"/>
      <c r="E177" s="55"/>
      <c r="F177" s="91"/>
      <c r="G177" s="262"/>
      <c r="H177" s="266"/>
      <c r="I177" s="121"/>
      <c r="J177" s="121"/>
      <c r="K177" s="121"/>
      <c r="L177" s="121"/>
      <c r="M177" s="122"/>
      <c r="N177" s="53"/>
      <c r="O177" s="262"/>
      <c r="P177" s="266"/>
      <c r="Q177" s="121"/>
      <c r="R177" s="121"/>
      <c r="S177" s="121"/>
      <c r="T177" s="121"/>
      <c r="U177" s="122"/>
      <c r="V177" s="53"/>
      <c r="W177" s="262"/>
      <c r="X177" s="266"/>
      <c r="Y177" s="121"/>
      <c r="Z177" s="121"/>
      <c r="AA177" s="121"/>
      <c r="AB177" s="121"/>
      <c r="AC177" s="122"/>
      <c r="AE177" s="262"/>
      <c r="AF177" s="272"/>
      <c r="AG177" s="132"/>
      <c r="AH177" s="132"/>
      <c r="AI177" s="132"/>
      <c r="AJ177" s="132"/>
      <c r="AK177" s="133"/>
      <c r="AM177" s="262"/>
      <c r="AN177" s="266"/>
      <c r="AO177" s="121"/>
      <c r="AP177" s="121"/>
      <c r="AQ177" s="121"/>
      <c r="AR177" s="121"/>
      <c r="AS177" s="122"/>
    </row>
    <row r="178" spans="1:45" x14ac:dyDescent="0.2">
      <c r="A178" s="262"/>
      <c r="B178" s="256"/>
      <c r="C178" s="54"/>
      <c r="D178" s="54"/>
      <c r="E178" s="55"/>
      <c r="F178" s="91"/>
      <c r="G178" s="262"/>
      <c r="H178" s="266"/>
      <c r="I178" s="121"/>
      <c r="J178" s="121"/>
      <c r="K178" s="121"/>
      <c r="L178" s="121"/>
      <c r="M178" s="122"/>
      <c r="N178" s="53"/>
      <c r="O178" s="262"/>
      <c r="P178" s="266"/>
      <c r="Q178" s="121"/>
      <c r="R178" s="121"/>
      <c r="S178" s="121"/>
      <c r="T178" s="121"/>
      <c r="U178" s="122"/>
      <c r="V178" s="53"/>
      <c r="W178" s="262"/>
      <c r="X178" s="266"/>
      <c r="Y178" s="121"/>
      <c r="Z178" s="121"/>
      <c r="AA178" s="121"/>
      <c r="AB178" s="121"/>
      <c r="AC178" s="122"/>
      <c r="AE178" s="262"/>
      <c r="AF178" s="272"/>
      <c r="AG178" s="132"/>
      <c r="AH178" s="132"/>
      <c r="AI178" s="132"/>
      <c r="AJ178" s="132"/>
      <c r="AK178" s="133"/>
      <c r="AM178" s="262"/>
      <c r="AN178" s="266"/>
      <c r="AO178" s="121"/>
      <c r="AP178" s="121"/>
      <c r="AQ178" s="121"/>
      <c r="AR178" s="121"/>
      <c r="AS178" s="122"/>
    </row>
    <row r="179" spans="1:45" x14ac:dyDescent="0.2">
      <c r="A179" s="262"/>
      <c r="B179" s="256"/>
      <c r="C179" s="54"/>
      <c r="D179" s="54"/>
      <c r="E179" s="55"/>
      <c r="F179" s="91"/>
      <c r="G179" s="262"/>
      <c r="H179" s="266"/>
      <c r="I179" s="121"/>
      <c r="J179" s="121"/>
      <c r="K179" s="121"/>
      <c r="L179" s="121"/>
      <c r="M179" s="122"/>
      <c r="N179" s="53"/>
      <c r="O179" s="262"/>
      <c r="P179" s="266"/>
      <c r="Q179" s="121"/>
      <c r="R179" s="121"/>
      <c r="S179" s="121"/>
      <c r="T179" s="121"/>
      <c r="U179" s="122"/>
      <c r="V179" s="53"/>
      <c r="W179" s="262"/>
      <c r="X179" s="266"/>
      <c r="Y179" s="121"/>
      <c r="Z179" s="121"/>
      <c r="AA179" s="121"/>
      <c r="AB179" s="121"/>
      <c r="AC179" s="122"/>
      <c r="AE179" s="262"/>
      <c r="AF179" s="272"/>
      <c r="AG179" s="132"/>
      <c r="AH179" s="132"/>
      <c r="AI179" s="132"/>
      <c r="AJ179" s="132"/>
      <c r="AK179" s="133"/>
      <c r="AM179" s="262"/>
      <c r="AN179" s="266"/>
      <c r="AO179" s="121"/>
      <c r="AP179" s="121"/>
      <c r="AQ179" s="121"/>
      <c r="AR179" s="121"/>
      <c r="AS179" s="122"/>
    </row>
    <row r="180" spans="1:45" x14ac:dyDescent="0.2">
      <c r="A180" s="262"/>
      <c r="B180" s="256"/>
      <c r="C180" s="54"/>
      <c r="D180" s="54"/>
      <c r="E180" s="55"/>
      <c r="F180" s="91"/>
      <c r="G180" s="262"/>
      <c r="H180" s="266"/>
      <c r="I180" s="121"/>
      <c r="J180" s="121"/>
      <c r="K180" s="121"/>
      <c r="L180" s="121"/>
      <c r="M180" s="122"/>
      <c r="N180" s="53"/>
      <c r="O180" s="262"/>
      <c r="P180" s="266"/>
      <c r="Q180" s="121"/>
      <c r="R180" s="121"/>
      <c r="S180" s="121"/>
      <c r="T180" s="121"/>
      <c r="U180" s="122"/>
      <c r="V180" s="53"/>
      <c r="W180" s="262"/>
      <c r="X180" s="266"/>
      <c r="Y180" s="121"/>
      <c r="Z180" s="121"/>
      <c r="AA180" s="121"/>
      <c r="AB180" s="121"/>
      <c r="AC180" s="122"/>
      <c r="AE180" s="262"/>
      <c r="AF180" s="272"/>
      <c r="AG180" s="132"/>
      <c r="AH180" s="132"/>
      <c r="AI180" s="132"/>
      <c r="AJ180" s="132"/>
      <c r="AK180" s="133"/>
      <c r="AM180" s="262"/>
      <c r="AN180" s="266"/>
      <c r="AO180" s="121"/>
      <c r="AP180" s="121"/>
      <c r="AQ180" s="121"/>
      <c r="AR180" s="121"/>
      <c r="AS180" s="122"/>
    </row>
    <row r="181" spans="1:45" x14ac:dyDescent="0.2">
      <c r="A181" s="262"/>
      <c r="B181" s="256"/>
      <c r="C181" s="54"/>
      <c r="D181" s="54"/>
      <c r="E181" s="55"/>
      <c r="F181" s="91"/>
      <c r="G181" s="262"/>
      <c r="H181" s="266"/>
      <c r="I181" s="121"/>
      <c r="J181" s="121"/>
      <c r="K181" s="121"/>
      <c r="L181" s="121"/>
      <c r="M181" s="122"/>
      <c r="N181" s="53"/>
      <c r="O181" s="262"/>
      <c r="P181" s="266"/>
      <c r="Q181" s="121"/>
      <c r="R181" s="121"/>
      <c r="S181" s="121"/>
      <c r="T181" s="121"/>
      <c r="U181" s="122"/>
      <c r="V181" s="53"/>
      <c r="W181" s="262"/>
      <c r="X181" s="266"/>
      <c r="Y181" s="121"/>
      <c r="Z181" s="121"/>
      <c r="AA181" s="121"/>
      <c r="AB181" s="121"/>
      <c r="AC181" s="122"/>
      <c r="AE181" s="262"/>
      <c r="AF181" s="272"/>
      <c r="AG181" s="132"/>
      <c r="AH181" s="132"/>
      <c r="AI181" s="132"/>
      <c r="AJ181" s="132"/>
      <c r="AK181" s="133"/>
      <c r="AM181" s="262"/>
      <c r="AN181" s="266"/>
      <c r="AO181" s="121"/>
      <c r="AP181" s="121"/>
      <c r="AQ181" s="121"/>
      <c r="AR181" s="121"/>
      <c r="AS181" s="122"/>
    </row>
    <row r="182" spans="1:45" x14ac:dyDescent="0.2">
      <c r="A182" s="262"/>
      <c r="B182" s="256"/>
      <c r="C182" s="54"/>
      <c r="D182" s="54"/>
      <c r="E182" s="55"/>
      <c r="F182" s="91"/>
      <c r="G182" s="262"/>
      <c r="H182" s="266"/>
      <c r="I182" s="121"/>
      <c r="J182" s="121"/>
      <c r="K182" s="121"/>
      <c r="L182" s="121"/>
      <c r="M182" s="122"/>
      <c r="N182" s="53"/>
      <c r="O182" s="262"/>
      <c r="P182" s="266"/>
      <c r="Q182" s="121"/>
      <c r="R182" s="121"/>
      <c r="S182" s="121"/>
      <c r="T182" s="121"/>
      <c r="U182" s="122"/>
      <c r="V182" s="53"/>
      <c r="W182" s="262"/>
      <c r="X182" s="266"/>
      <c r="Y182" s="121"/>
      <c r="Z182" s="121"/>
      <c r="AA182" s="121"/>
      <c r="AB182" s="121"/>
      <c r="AC182" s="122"/>
      <c r="AE182" s="262"/>
      <c r="AF182" s="272"/>
      <c r="AG182" s="132"/>
      <c r="AH182" s="132"/>
      <c r="AI182" s="132"/>
      <c r="AJ182" s="132"/>
      <c r="AK182" s="133"/>
      <c r="AM182" s="262"/>
      <c r="AN182" s="266"/>
      <c r="AO182" s="121"/>
      <c r="AP182" s="121"/>
      <c r="AQ182" s="121"/>
      <c r="AR182" s="121"/>
      <c r="AS182" s="122"/>
    </row>
    <row r="183" spans="1:45" x14ac:dyDescent="0.2">
      <c r="A183" s="262"/>
      <c r="B183" s="256"/>
      <c r="C183" s="54"/>
      <c r="D183" s="54"/>
      <c r="E183" s="55"/>
      <c r="F183" s="91"/>
      <c r="G183" s="262"/>
      <c r="H183" s="266"/>
      <c r="I183" s="121"/>
      <c r="J183" s="121"/>
      <c r="K183" s="121"/>
      <c r="L183" s="121"/>
      <c r="M183" s="122"/>
      <c r="N183" s="53"/>
      <c r="O183" s="262"/>
      <c r="P183" s="266"/>
      <c r="Q183" s="121"/>
      <c r="R183" s="121"/>
      <c r="S183" s="121"/>
      <c r="T183" s="121"/>
      <c r="U183" s="122"/>
      <c r="V183" s="53"/>
      <c r="W183" s="262"/>
      <c r="X183" s="266"/>
      <c r="Y183" s="121"/>
      <c r="Z183" s="121"/>
      <c r="AA183" s="121"/>
      <c r="AB183" s="121"/>
      <c r="AC183" s="122"/>
      <c r="AE183" s="262"/>
      <c r="AF183" s="272"/>
      <c r="AG183" s="132"/>
      <c r="AH183" s="132"/>
      <c r="AI183" s="132"/>
      <c r="AJ183" s="132"/>
      <c r="AK183" s="133"/>
      <c r="AM183" s="262"/>
      <c r="AN183" s="266"/>
      <c r="AO183" s="121"/>
      <c r="AP183" s="121"/>
      <c r="AQ183" s="121"/>
      <c r="AR183" s="121"/>
      <c r="AS183" s="122"/>
    </row>
    <row r="184" spans="1:45" x14ac:dyDescent="0.2">
      <c r="A184" s="262"/>
      <c r="B184" s="256"/>
      <c r="C184" s="54"/>
      <c r="D184" s="54"/>
      <c r="E184" s="55"/>
      <c r="F184" s="91"/>
      <c r="G184" s="262"/>
      <c r="H184" s="266"/>
      <c r="I184" s="121"/>
      <c r="J184" s="121"/>
      <c r="K184" s="121"/>
      <c r="L184" s="121"/>
      <c r="M184" s="122"/>
      <c r="N184" s="53"/>
      <c r="O184" s="262"/>
      <c r="P184" s="266"/>
      <c r="Q184" s="121"/>
      <c r="R184" s="121"/>
      <c r="S184" s="121"/>
      <c r="T184" s="121"/>
      <c r="U184" s="122"/>
      <c r="V184" s="53"/>
      <c r="W184" s="262"/>
      <c r="X184" s="266"/>
      <c r="Y184" s="121"/>
      <c r="Z184" s="121"/>
      <c r="AA184" s="121"/>
      <c r="AB184" s="121"/>
      <c r="AC184" s="122"/>
      <c r="AE184" s="262"/>
      <c r="AF184" s="272"/>
      <c r="AG184" s="132"/>
      <c r="AH184" s="132"/>
      <c r="AI184" s="132"/>
      <c r="AJ184" s="132"/>
      <c r="AK184" s="133"/>
      <c r="AM184" s="262"/>
      <c r="AN184" s="266"/>
      <c r="AO184" s="121"/>
      <c r="AP184" s="121"/>
      <c r="AQ184" s="121"/>
      <c r="AR184" s="121"/>
      <c r="AS184" s="122"/>
    </row>
    <row r="185" spans="1:45" x14ac:dyDescent="0.2">
      <c r="A185" s="262"/>
      <c r="B185" s="256"/>
      <c r="C185" s="54"/>
      <c r="D185" s="54"/>
      <c r="E185" s="55"/>
      <c r="F185" s="91"/>
      <c r="G185" s="262"/>
      <c r="H185" s="266"/>
      <c r="I185" s="121"/>
      <c r="J185" s="121"/>
      <c r="K185" s="121"/>
      <c r="L185" s="121"/>
      <c r="M185" s="122"/>
      <c r="N185" s="53"/>
      <c r="O185" s="262"/>
      <c r="P185" s="266"/>
      <c r="Q185" s="121"/>
      <c r="R185" s="121"/>
      <c r="S185" s="121"/>
      <c r="T185" s="121"/>
      <c r="U185" s="122"/>
      <c r="V185" s="53"/>
      <c r="W185" s="262"/>
      <c r="X185" s="266"/>
      <c r="Y185" s="121"/>
      <c r="Z185" s="121"/>
      <c r="AA185" s="121"/>
      <c r="AB185" s="121"/>
      <c r="AC185" s="122"/>
      <c r="AE185" s="262"/>
      <c r="AF185" s="272"/>
      <c r="AG185" s="132"/>
      <c r="AH185" s="132"/>
      <c r="AI185" s="132"/>
      <c r="AJ185" s="132"/>
      <c r="AK185" s="133"/>
      <c r="AM185" s="262"/>
      <c r="AN185" s="266"/>
      <c r="AO185" s="121"/>
      <c r="AP185" s="121"/>
      <c r="AQ185" s="121"/>
      <c r="AR185" s="121"/>
      <c r="AS185" s="122"/>
    </row>
    <row r="186" spans="1:45" x14ac:dyDescent="0.2">
      <c r="A186" s="262"/>
      <c r="B186" s="256"/>
      <c r="C186" s="54"/>
      <c r="D186" s="54"/>
      <c r="E186" s="55"/>
      <c r="F186" s="91"/>
      <c r="G186" s="262"/>
      <c r="H186" s="266"/>
      <c r="I186" s="121"/>
      <c r="J186" s="121"/>
      <c r="K186" s="121"/>
      <c r="L186" s="121"/>
      <c r="M186" s="122"/>
      <c r="N186" s="53"/>
      <c r="O186" s="262"/>
      <c r="P186" s="266"/>
      <c r="Q186" s="121"/>
      <c r="R186" s="121"/>
      <c r="S186" s="121"/>
      <c r="T186" s="121"/>
      <c r="U186" s="122"/>
      <c r="V186" s="53"/>
      <c r="W186" s="262"/>
      <c r="X186" s="266"/>
      <c r="Y186" s="121"/>
      <c r="Z186" s="121"/>
      <c r="AA186" s="121"/>
      <c r="AB186" s="121"/>
      <c r="AC186" s="122"/>
      <c r="AE186" s="262"/>
      <c r="AF186" s="272"/>
      <c r="AG186" s="132"/>
      <c r="AH186" s="132"/>
      <c r="AI186" s="132"/>
      <c r="AJ186" s="132"/>
      <c r="AK186" s="133"/>
      <c r="AM186" s="262"/>
      <c r="AN186" s="266"/>
      <c r="AO186" s="121"/>
      <c r="AP186" s="121"/>
      <c r="AQ186" s="121"/>
      <c r="AR186" s="121"/>
      <c r="AS186" s="122"/>
    </row>
    <row r="187" spans="1:45" x14ac:dyDescent="0.2">
      <c r="A187" s="262"/>
      <c r="B187" s="256"/>
      <c r="C187" s="54"/>
      <c r="D187" s="54"/>
      <c r="E187" s="55"/>
      <c r="F187" s="91"/>
      <c r="G187" s="262"/>
      <c r="H187" s="266"/>
      <c r="I187" s="121"/>
      <c r="J187" s="121"/>
      <c r="K187" s="121"/>
      <c r="L187" s="121"/>
      <c r="M187" s="122"/>
      <c r="N187" s="53"/>
      <c r="O187" s="262"/>
      <c r="P187" s="266"/>
      <c r="Q187" s="121"/>
      <c r="R187" s="121"/>
      <c r="S187" s="121"/>
      <c r="T187" s="121"/>
      <c r="U187" s="122"/>
      <c r="V187" s="53"/>
      <c r="W187" s="262"/>
      <c r="X187" s="266"/>
      <c r="Y187" s="121"/>
      <c r="Z187" s="121"/>
      <c r="AA187" s="121"/>
      <c r="AB187" s="121"/>
      <c r="AC187" s="122"/>
      <c r="AE187" s="262"/>
      <c r="AF187" s="272"/>
      <c r="AG187" s="132"/>
      <c r="AH187" s="132"/>
      <c r="AI187" s="132"/>
      <c r="AJ187" s="132"/>
      <c r="AK187" s="133"/>
      <c r="AM187" s="262"/>
      <c r="AN187" s="266"/>
      <c r="AO187" s="121"/>
      <c r="AP187" s="121"/>
      <c r="AQ187" s="121"/>
      <c r="AR187" s="121"/>
      <c r="AS187" s="122"/>
    </row>
    <row r="188" spans="1:45" x14ac:dyDescent="0.2">
      <c r="A188" s="262"/>
      <c r="B188" s="256"/>
      <c r="C188" s="54"/>
      <c r="D188" s="54"/>
      <c r="E188" s="55"/>
      <c r="F188" s="91"/>
      <c r="G188" s="262"/>
      <c r="H188" s="266"/>
      <c r="I188" s="121"/>
      <c r="J188" s="121"/>
      <c r="K188" s="121"/>
      <c r="L188" s="121"/>
      <c r="M188" s="122"/>
      <c r="N188" s="53"/>
      <c r="O188" s="262"/>
      <c r="P188" s="266"/>
      <c r="Q188" s="121"/>
      <c r="R188" s="121"/>
      <c r="S188" s="121"/>
      <c r="T188" s="121"/>
      <c r="U188" s="122"/>
      <c r="V188" s="53"/>
      <c r="W188" s="262"/>
      <c r="X188" s="266"/>
      <c r="Y188" s="121"/>
      <c r="Z188" s="121"/>
      <c r="AA188" s="121"/>
      <c r="AB188" s="121"/>
      <c r="AC188" s="122"/>
      <c r="AE188" s="262"/>
      <c r="AF188" s="272"/>
      <c r="AG188" s="132"/>
      <c r="AH188" s="132"/>
      <c r="AI188" s="132"/>
      <c r="AJ188" s="132"/>
      <c r="AK188" s="133"/>
      <c r="AM188" s="262"/>
      <c r="AN188" s="266"/>
      <c r="AO188" s="121"/>
      <c r="AP188" s="121"/>
      <c r="AQ188" s="121"/>
      <c r="AR188" s="121"/>
      <c r="AS188" s="122"/>
    </row>
    <row r="189" spans="1:45" x14ac:dyDescent="0.2">
      <c r="A189" s="262"/>
      <c r="B189" s="256"/>
      <c r="C189" s="54"/>
      <c r="D189" s="54"/>
      <c r="E189" s="55"/>
      <c r="F189" s="91"/>
      <c r="G189" s="262"/>
      <c r="H189" s="266"/>
      <c r="I189" s="121"/>
      <c r="J189" s="121"/>
      <c r="K189" s="121"/>
      <c r="L189" s="121"/>
      <c r="M189" s="122"/>
      <c r="N189" s="53"/>
      <c r="O189" s="262"/>
      <c r="P189" s="266"/>
      <c r="Q189" s="121"/>
      <c r="R189" s="121"/>
      <c r="S189" s="121"/>
      <c r="T189" s="121"/>
      <c r="U189" s="122"/>
      <c r="V189" s="53"/>
      <c r="W189" s="262"/>
      <c r="X189" s="266"/>
      <c r="Y189" s="121"/>
      <c r="Z189" s="121"/>
      <c r="AA189" s="121"/>
      <c r="AB189" s="121"/>
      <c r="AC189" s="122"/>
      <c r="AE189" s="262"/>
      <c r="AF189" s="272"/>
      <c r="AG189" s="132"/>
      <c r="AH189" s="132"/>
      <c r="AI189" s="132"/>
      <c r="AJ189" s="132"/>
      <c r="AK189" s="133"/>
      <c r="AM189" s="262"/>
      <c r="AN189" s="266"/>
      <c r="AO189" s="121"/>
      <c r="AP189" s="121"/>
      <c r="AQ189" s="121"/>
      <c r="AR189" s="121"/>
      <c r="AS189" s="122"/>
    </row>
    <row r="190" spans="1:45" x14ac:dyDescent="0.2">
      <c r="A190" s="262"/>
      <c r="B190" s="256"/>
      <c r="C190" s="54"/>
      <c r="D190" s="54"/>
      <c r="E190" s="55"/>
      <c r="F190" s="91"/>
      <c r="G190" s="262"/>
      <c r="H190" s="266"/>
      <c r="I190" s="121"/>
      <c r="J190" s="121"/>
      <c r="K190" s="121"/>
      <c r="L190" s="121"/>
      <c r="M190" s="122"/>
      <c r="N190" s="53"/>
      <c r="O190" s="262"/>
      <c r="P190" s="266"/>
      <c r="Q190" s="121"/>
      <c r="R190" s="121"/>
      <c r="S190" s="121"/>
      <c r="T190" s="121"/>
      <c r="U190" s="122"/>
      <c r="V190" s="53"/>
      <c r="W190" s="262"/>
      <c r="X190" s="266"/>
      <c r="Y190" s="121"/>
      <c r="Z190" s="121"/>
      <c r="AA190" s="121"/>
      <c r="AB190" s="121"/>
      <c r="AC190" s="122"/>
      <c r="AE190" s="262"/>
      <c r="AF190" s="272"/>
      <c r="AG190" s="132"/>
      <c r="AH190" s="132"/>
      <c r="AI190" s="132"/>
      <c r="AJ190" s="132"/>
      <c r="AK190" s="133"/>
      <c r="AM190" s="262"/>
      <c r="AN190" s="266"/>
      <c r="AO190" s="121"/>
      <c r="AP190" s="121"/>
      <c r="AQ190" s="121"/>
      <c r="AR190" s="121"/>
      <c r="AS190" s="122"/>
    </row>
    <row r="191" spans="1:45" x14ac:dyDescent="0.2">
      <c r="A191" s="262"/>
      <c r="B191" s="256"/>
      <c r="C191" s="54"/>
      <c r="D191" s="54"/>
      <c r="E191" s="55"/>
      <c r="F191" s="91"/>
      <c r="G191" s="262"/>
      <c r="H191" s="266"/>
      <c r="I191" s="121"/>
      <c r="J191" s="121"/>
      <c r="K191" s="121"/>
      <c r="L191" s="121"/>
      <c r="M191" s="122"/>
      <c r="N191" s="53"/>
      <c r="O191" s="262"/>
      <c r="P191" s="266"/>
      <c r="Q191" s="121"/>
      <c r="R191" s="121"/>
      <c r="S191" s="121"/>
      <c r="T191" s="121"/>
      <c r="U191" s="122"/>
      <c r="V191" s="53"/>
      <c r="W191" s="262"/>
      <c r="X191" s="266"/>
      <c r="Y191" s="121"/>
      <c r="Z191" s="121"/>
      <c r="AA191" s="121"/>
      <c r="AB191" s="121"/>
      <c r="AC191" s="122"/>
      <c r="AE191" s="262"/>
      <c r="AF191" s="272"/>
      <c r="AG191" s="132"/>
      <c r="AH191" s="132"/>
      <c r="AI191" s="132"/>
      <c r="AJ191" s="132"/>
      <c r="AK191" s="133"/>
      <c r="AM191" s="262"/>
      <c r="AN191" s="266"/>
      <c r="AO191" s="121"/>
      <c r="AP191" s="121"/>
      <c r="AQ191" s="121"/>
      <c r="AR191" s="121"/>
      <c r="AS191" s="122"/>
    </row>
    <row r="192" spans="1:45" x14ac:dyDescent="0.2">
      <c r="A192" s="262"/>
      <c r="B192" s="256"/>
      <c r="C192" s="54"/>
      <c r="D192" s="54"/>
      <c r="E192" s="55"/>
      <c r="F192" s="91"/>
      <c r="G192" s="262"/>
      <c r="H192" s="266"/>
      <c r="I192" s="121"/>
      <c r="J192" s="121"/>
      <c r="K192" s="121"/>
      <c r="L192" s="121"/>
      <c r="M192" s="122"/>
      <c r="N192" s="53"/>
      <c r="O192" s="262"/>
      <c r="P192" s="266"/>
      <c r="Q192" s="121"/>
      <c r="R192" s="121"/>
      <c r="S192" s="121"/>
      <c r="T192" s="121"/>
      <c r="U192" s="122"/>
      <c r="V192" s="53"/>
      <c r="W192" s="262"/>
      <c r="X192" s="266"/>
      <c r="Y192" s="121"/>
      <c r="Z192" s="121"/>
      <c r="AA192" s="121"/>
      <c r="AB192" s="121"/>
      <c r="AC192" s="122"/>
      <c r="AE192" s="262"/>
      <c r="AF192" s="272"/>
      <c r="AG192" s="132"/>
      <c r="AH192" s="132"/>
      <c r="AI192" s="132"/>
      <c r="AJ192" s="132"/>
      <c r="AK192" s="133"/>
      <c r="AM192" s="262"/>
      <c r="AN192" s="266"/>
      <c r="AO192" s="121"/>
      <c r="AP192" s="121"/>
      <c r="AQ192" s="121"/>
      <c r="AR192" s="121"/>
      <c r="AS192" s="122"/>
    </row>
    <row r="193" spans="1:45" x14ac:dyDescent="0.2">
      <c r="A193" s="262"/>
      <c r="B193" s="256"/>
      <c r="C193" s="54"/>
      <c r="D193" s="54"/>
      <c r="E193" s="55"/>
      <c r="F193" s="91"/>
      <c r="G193" s="262"/>
      <c r="H193" s="266"/>
      <c r="I193" s="121"/>
      <c r="J193" s="121"/>
      <c r="K193" s="121"/>
      <c r="L193" s="121"/>
      <c r="M193" s="122"/>
      <c r="N193" s="53"/>
      <c r="O193" s="262"/>
      <c r="P193" s="266"/>
      <c r="Q193" s="121"/>
      <c r="R193" s="121"/>
      <c r="S193" s="121"/>
      <c r="T193" s="121"/>
      <c r="U193" s="122"/>
      <c r="V193" s="53"/>
      <c r="W193" s="262"/>
      <c r="X193" s="266"/>
      <c r="Y193" s="121"/>
      <c r="Z193" s="121"/>
      <c r="AA193" s="121"/>
      <c r="AB193" s="121"/>
      <c r="AC193" s="122"/>
      <c r="AE193" s="262"/>
      <c r="AF193" s="272"/>
      <c r="AG193" s="132"/>
      <c r="AH193" s="132"/>
      <c r="AI193" s="132"/>
      <c r="AJ193" s="132"/>
      <c r="AK193" s="133"/>
      <c r="AM193" s="262"/>
      <c r="AN193" s="266"/>
      <c r="AO193" s="121"/>
      <c r="AP193" s="121"/>
      <c r="AQ193" s="121"/>
      <c r="AR193" s="121"/>
      <c r="AS193" s="122"/>
    </row>
    <row r="194" spans="1:45" x14ac:dyDescent="0.2">
      <c r="A194" s="262"/>
      <c r="B194" s="256"/>
      <c r="C194" s="54"/>
      <c r="D194" s="54"/>
      <c r="E194" s="55"/>
      <c r="F194" s="91"/>
      <c r="G194" s="262"/>
      <c r="H194" s="266"/>
      <c r="I194" s="121"/>
      <c r="J194" s="121"/>
      <c r="K194" s="121"/>
      <c r="L194" s="121"/>
      <c r="M194" s="122"/>
      <c r="N194" s="53"/>
      <c r="O194" s="262"/>
      <c r="P194" s="266"/>
      <c r="Q194" s="121"/>
      <c r="R194" s="121"/>
      <c r="S194" s="121"/>
      <c r="T194" s="121"/>
      <c r="U194" s="122"/>
      <c r="V194" s="53"/>
      <c r="W194" s="262"/>
      <c r="X194" s="266"/>
      <c r="Y194" s="121"/>
      <c r="Z194" s="121"/>
      <c r="AA194" s="121"/>
      <c r="AB194" s="121"/>
      <c r="AC194" s="122"/>
      <c r="AE194" s="262"/>
      <c r="AF194" s="272"/>
      <c r="AG194" s="132"/>
      <c r="AH194" s="132"/>
      <c r="AI194" s="132"/>
      <c r="AJ194" s="132"/>
      <c r="AK194" s="133"/>
      <c r="AM194" s="262"/>
      <c r="AN194" s="266"/>
      <c r="AO194" s="121"/>
      <c r="AP194" s="121"/>
      <c r="AQ194" s="121"/>
      <c r="AR194" s="121"/>
      <c r="AS194" s="122"/>
    </row>
    <row r="195" spans="1:45" x14ac:dyDescent="0.2">
      <c r="A195" s="262"/>
      <c r="B195" s="256"/>
      <c r="C195" s="54"/>
      <c r="D195" s="54"/>
      <c r="E195" s="55"/>
      <c r="F195" s="91"/>
      <c r="G195" s="262"/>
      <c r="H195" s="266"/>
      <c r="I195" s="121"/>
      <c r="J195" s="121"/>
      <c r="K195" s="121"/>
      <c r="L195" s="121"/>
      <c r="M195" s="122"/>
      <c r="N195" s="53"/>
      <c r="O195" s="262"/>
      <c r="P195" s="266"/>
      <c r="Q195" s="121"/>
      <c r="R195" s="121"/>
      <c r="S195" s="121"/>
      <c r="T195" s="121"/>
      <c r="U195" s="122"/>
      <c r="V195" s="53"/>
      <c r="W195" s="262"/>
      <c r="X195" s="266"/>
      <c r="Y195" s="121"/>
      <c r="Z195" s="121"/>
      <c r="AA195" s="121"/>
      <c r="AB195" s="121"/>
      <c r="AC195" s="122"/>
      <c r="AE195" s="262"/>
      <c r="AF195" s="272"/>
      <c r="AG195" s="132"/>
      <c r="AH195" s="132"/>
      <c r="AI195" s="132"/>
      <c r="AJ195" s="132"/>
      <c r="AK195" s="133"/>
      <c r="AM195" s="262"/>
      <c r="AN195" s="266"/>
      <c r="AO195" s="121"/>
      <c r="AP195" s="121"/>
      <c r="AQ195" s="121"/>
      <c r="AR195" s="121"/>
      <c r="AS195" s="122"/>
    </row>
    <row r="196" spans="1:45" x14ac:dyDescent="0.2">
      <c r="A196" s="263"/>
      <c r="B196" s="257"/>
      <c r="C196" s="56"/>
      <c r="D196" s="56"/>
      <c r="E196" s="57"/>
      <c r="F196" s="91"/>
      <c r="G196" s="263"/>
      <c r="H196" s="267"/>
      <c r="I196" s="123"/>
      <c r="J196" s="123"/>
      <c r="K196" s="123"/>
      <c r="L196" s="123"/>
      <c r="M196" s="124"/>
      <c r="N196" s="53"/>
      <c r="O196" s="263"/>
      <c r="P196" s="267"/>
      <c r="Q196" s="123"/>
      <c r="R196" s="123"/>
      <c r="S196" s="123"/>
      <c r="T196" s="123"/>
      <c r="U196" s="124"/>
      <c r="V196" s="53"/>
      <c r="W196" s="263"/>
      <c r="X196" s="267"/>
      <c r="Y196" s="123"/>
      <c r="Z196" s="123"/>
      <c r="AA196" s="123"/>
      <c r="AB196" s="123"/>
      <c r="AC196" s="124"/>
      <c r="AE196" s="263"/>
      <c r="AF196" s="273"/>
      <c r="AG196" s="134"/>
      <c r="AH196" s="134"/>
      <c r="AI196" s="134"/>
      <c r="AJ196" s="134"/>
      <c r="AK196" s="135"/>
      <c r="AM196" s="263"/>
      <c r="AN196" s="267"/>
      <c r="AO196" s="123"/>
      <c r="AP196" s="123"/>
      <c r="AQ196" s="123"/>
      <c r="AR196" s="123"/>
      <c r="AS196" s="124"/>
    </row>
    <row r="197" spans="1:45" x14ac:dyDescent="0.2">
      <c r="B197" s="58"/>
      <c r="C197" s="58"/>
      <c r="D197" s="58"/>
      <c r="E197" s="58"/>
      <c r="F197" s="58"/>
    </row>
    <row r="198" spans="1:45" x14ac:dyDescent="0.2">
      <c r="B198" s="58"/>
      <c r="C198" s="58"/>
      <c r="D198" s="58"/>
      <c r="E198" s="58"/>
      <c r="F198" s="58"/>
    </row>
    <row r="199" spans="1:45" x14ac:dyDescent="0.2">
      <c r="B199" s="58"/>
      <c r="C199" s="58"/>
      <c r="D199" s="58"/>
      <c r="E199" s="58"/>
      <c r="F199" s="58"/>
    </row>
    <row r="200" spans="1:45" x14ac:dyDescent="0.2">
      <c r="B200" s="58"/>
      <c r="C200" s="58"/>
      <c r="D200" s="58"/>
      <c r="E200" s="58"/>
      <c r="F200" s="58"/>
    </row>
    <row r="201" spans="1:45" x14ac:dyDescent="0.2">
      <c r="B201" s="58"/>
      <c r="C201" s="58"/>
      <c r="D201" s="58"/>
      <c r="E201" s="58"/>
      <c r="F201" s="58"/>
    </row>
    <row r="202" spans="1:45" x14ac:dyDescent="0.2">
      <c r="B202" s="58"/>
      <c r="C202" s="58"/>
      <c r="D202" s="58"/>
      <c r="E202" s="58"/>
      <c r="F202" s="58"/>
    </row>
    <row r="203" spans="1:45" x14ac:dyDescent="0.2">
      <c r="B203" s="58"/>
      <c r="C203" s="58"/>
      <c r="D203" s="58"/>
      <c r="E203" s="58"/>
      <c r="F203" s="58"/>
    </row>
    <row r="204" spans="1:45" x14ac:dyDescent="0.2">
      <c r="B204" s="58"/>
      <c r="C204" s="58"/>
      <c r="D204" s="58"/>
      <c r="E204" s="58"/>
      <c r="F204" s="58"/>
    </row>
    <row r="205" spans="1:45" x14ac:dyDescent="0.2">
      <c r="B205" s="58"/>
      <c r="C205" s="58"/>
      <c r="D205" s="58"/>
      <c r="E205" s="58"/>
      <c r="F205" s="58"/>
    </row>
    <row r="206" spans="1:45" x14ac:dyDescent="0.2">
      <c r="B206" s="58"/>
      <c r="C206" s="58"/>
      <c r="D206" s="58"/>
      <c r="E206" s="58"/>
      <c r="F206" s="58"/>
    </row>
    <row r="207" spans="1:45" x14ac:dyDescent="0.2">
      <c r="B207" s="58"/>
      <c r="C207" s="58"/>
      <c r="D207" s="58"/>
      <c r="E207" s="58"/>
      <c r="F207" s="58"/>
    </row>
    <row r="208" spans="1:45" x14ac:dyDescent="0.2">
      <c r="B208" s="58"/>
      <c r="C208" s="58"/>
      <c r="D208" s="58"/>
      <c r="E208" s="58"/>
      <c r="F208" s="58"/>
    </row>
    <row r="209" spans="2:6" x14ac:dyDescent="0.2">
      <c r="B209" s="58"/>
      <c r="C209" s="58"/>
      <c r="D209" s="58"/>
      <c r="E209" s="58"/>
      <c r="F209" s="58"/>
    </row>
    <row r="210" spans="2:6" x14ac:dyDescent="0.2">
      <c r="B210" s="58"/>
      <c r="C210" s="58"/>
      <c r="D210" s="58"/>
      <c r="E210" s="58"/>
      <c r="F210" s="58"/>
    </row>
    <row r="211" spans="2:6" x14ac:dyDescent="0.2">
      <c r="B211" s="58"/>
      <c r="C211" s="58"/>
      <c r="D211" s="58"/>
      <c r="E211" s="58"/>
      <c r="F211" s="58"/>
    </row>
    <row r="212" spans="2:6" x14ac:dyDescent="0.2">
      <c r="B212" s="58"/>
      <c r="C212" s="58"/>
      <c r="D212" s="58"/>
      <c r="E212" s="58"/>
      <c r="F212" s="5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642"/>
  <sheetViews>
    <sheetView showGridLines="0" zoomScale="75" workbookViewId="0">
      <selection activeCell="A6" sqref="A6"/>
    </sheetView>
  </sheetViews>
  <sheetFormatPr defaultRowHeight="12.75" x14ac:dyDescent="0.2"/>
  <cols>
    <col min="1" max="1" width="25.28515625" customWidth="1"/>
    <col min="2" max="2" width="12.7109375" customWidth="1"/>
    <col min="3" max="6" width="16.140625" customWidth="1"/>
    <col min="7" max="8" width="15.140625" customWidth="1"/>
  </cols>
  <sheetData>
    <row r="2" spans="1:11" x14ac:dyDescent="0.2">
      <c r="A2" s="11" t="s">
        <v>25</v>
      </c>
      <c r="B2" s="12"/>
      <c r="C2" s="12"/>
      <c r="D2" s="12"/>
      <c r="E2" s="12"/>
      <c r="F2" s="12"/>
      <c r="G2" s="12"/>
      <c r="H2" s="13"/>
    </row>
    <row r="3" spans="1:11" x14ac:dyDescent="0.2">
      <c r="A3" s="14"/>
      <c r="B3" s="14"/>
      <c r="C3" s="14"/>
      <c r="D3" s="14"/>
      <c r="E3" s="14"/>
      <c r="F3" s="14"/>
      <c r="G3" s="14"/>
      <c r="H3" s="14"/>
      <c r="I3" s="3"/>
      <c r="J3" s="3"/>
      <c r="K3" s="3"/>
    </row>
    <row r="4" spans="1:11" x14ac:dyDescent="0.2">
      <c r="A4" s="14"/>
      <c r="B4" s="14"/>
      <c r="C4" s="14">
        <v>1</v>
      </c>
      <c r="D4" s="14">
        <f>+C4+1</f>
        <v>2</v>
      </c>
      <c r="E4" s="14">
        <f>+D4+1</f>
        <v>3</v>
      </c>
      <c r="F4" s="14">
        <f>+E4+1</f>
        <v>4</v>
      </c>
      <c r="G4" s="14">
        <f>+F4+1</f>
        <v>5</v>
      </c>
      <c r="H4" s="14">
        <f>+G4+1</f>
        <v>6</v>
      </c>
      <c r="I4" s="3"/>
      <c r="J4" s="3"/>
      <c r="K4" s="3"/>
    </row>
    <row r="5" spans="1:11" x14ac:dyDescent="0.2">
      <c r="A5" s="15" t="s">
        <v>26</v>
      </c>
      <c r="B5" s="16"/>
      <c r="C5" s="16" t="s">
        <v>22</v>
      </c>
      <c r="D5" s="16" t="s">
        <v>23</v>
      </c>
      <c r="E5" s="16"/>
      <c r="F5" s="16"/>
      <c r="G5" s="16"/>
      <c r="H5" s="17"/>
      <c r="I5" s="3"/>
      <c r="J5" s="3"/>
      <c r="K5" s="3"/>
    </row>
    <row r="6" spans="1:11" x14ac:dyDescent="0.2">
      <c r="A6" s="59" t="s">
        <v>31</v>
      </c>
      <c r="B6" s="18" t="s">
        <v>32</v>
      </c>
      <c r="C6" s="20">
        <f t="shared" ref="C6:H6" si="0">+C4</f>
        <v>1</v>
      </c>
      <c r="D6" s="20">
        <f t="shared" si="0"/>
        <v>2</v>
      </c>
      <c r="E6" s="20">
        <f t="shared" si="0"/>
        <v>3</v>
      </c>
      <c r="F6" s="20">
        <f t="shared" si="0"/>
        <v>4</v>
      </c>
      <c r="G6" s="20">
        <f t="shared" si="0"/>
        <v>5</v>
      </c>
      <c r="H6" s="20">
        <f t="shared" si="0"/>
        <v>6</v>
      </c>
      <c r="I6" s="3"/>
      <c r="J6" s="3"/>
      <c r="K6" s="3"/>
    </row>
    <row r="7" spans="1:11" x14ac:dyDescent="0.2">
      <c r="A7" s="22" t="s">
        <v>42</v>
      </c>
      <c r="B7" s="23" t="s">
        <v>33</v>
      </c>
      <c r="C7" s="60">
        <f>+C8*23.3</f>
        <v>2041266.4000000001</v>
      </c>
      <c r="D7" s="24">
        <f>+D8*23.3</f>
        <v>3215400</v>
      </c>
      <c r="E7" s="511"/>
      <c r="F7" s="511"/>
      <c r="G7" s="24"/>
      <c r="H7" s="25"/>
      <c r="I7" s="3"/>
      <c r="J7" s="3"/>
      <c r="K7" s="3"/>
    </row>
    <row r="8" spans="1:11" ht="18.75" x14ac:dyDescent="0.25">
      <c r="A8" s="26" t="s">
        <v>175</v>
      </c>
      <c r="B8" s="27" t="s">
        <v>174</v>
      </c>
      <c r="C8" s="69">
        <v>87608</v>
      </c>
      <c r="D8" s="30">
        <v>138000</v>
      </c>
      <c r="E8" s="510"/>
      <c r="F8" s="510"/>
      <c r="G8" s="62"/>
      <c r="H8" s="63"/>
      <c r="I8" s="3"/>
      <c r="J8" s="3"/>
      <c r="K8" s="3"/>
    </row>
    <row r="9" spans="1:11" x14ac:dyDescent="0.2">
      <c r="A9" s="26" t="s">
        <v>43</v>
      </c>
      <c r="B9" s="27" t="s">
        <v>44</v>
      </c>
      <c r="C9" s="64">
        <v>17.5</v>
      </c>
      <c r="D9" s="28">
        <v>18.399999999999999</v>
      </c>
      <c r="E9" s="28"/>
      <c r="F9" s="28"/>
      <c r="G9" s="28"/>
      <c r="H9" s="29"/>
      <c r="I9" s="3"/>
      <c r="J9" s="3"/>
      <c r="K9" s="3"/>
    </row>
    <row r="10" spans="1:11" x14ac:dyDescent="0.2">
      <c r="A10" s="26" t="s">
        <v>45</v>
      </c>
      <c r="B10" s="27" t="s">
        <v>46</v>
      </c>
      <c r="C10" s="88">
        <f>+C9*24</f>
        <v>420</v>
      </c>
      <c r="D10" s="89">
        <f>+D9*24</f>
        <v>441.59999999999997</v>
      </c>
      <c r="E10" s="28">
        <f>+ROUTES!E5/SHIPS!C10</f>
        <v>28.028571428571428</v>
      </c>
      <c r="F10" s="28">
        <f>+E10+C13+1</f>
        <v>30.028571428571428</v>
      </c>
      <c r="G10" s="28"/>
      <c r="H10" s="29"/>
      <c r="I10" s="3"/>
      <c r="J10" s="3"/>
      <c r="K10" s="3"/>
    </row>
    <row r="11" spans="1:11" x14ac:dyDescent="0.2">
      <c r="A11" s="26" t="s">
        <v>66</v>
      </c>
      <c r="B11" s="27" t="s">
        <v>47</v>
      </c>
      <c r="C11" s="65">
        <v>2.7499999999999998E-3</v>
      </c>
      <c r="D11" s="66">
        <v>1.5E-3</v>
      </c>
      <c r="E11" s="66"/>
      <c r="F11" s="197"/>
      <c r="G11" s="66"/>
      <c r="H11" s="67"/>
      <c r="I11" s="3"/>
      <c r="J11" s="3"/>
      <c r="K11" s="3"/>
    </row>
    <row r="12" spans="1:11" x14ac:dyDescent="0.2">
      <c r="A12" s="26" t="s">
        <v>48</v>
      </c>
      <c r="B12" s="27" t="s">
        <v>47</v>
      </c>
      <c r="C12" s="65"/>
      <c r="D12" s="68"/>
      <c r="E12" s="68"/>
      <c r="F12" s="68"/>
      <c r="G12" s="66"/>
      <c r="H12" s="67"/>
      <c r="I12" s="3"/>
      <c r="J12" s="3"/>
      <c r="K12" s="3"/>
    </row>
    <row r="13" spans="1:11" x14ac:dyDescent="0.2">
      <c r="A13" s="26" t="s">
        <v>49</v>
      </c>
      <c r="B13" s="27" t="s">
        <v>50</v>
      </c>
      <c r="C13" s="69">
        <v>1</v>
      </c>
      <c r="D13" s="30">
        <v>1</v>
      </c>
      <c r="E13" s="30"/>
      <c r="F13" s="198"/>
      <c r="G13" s="30"/>
      <c r="H13" s="31"/>
      <c r="I13" s="3"/>
      <c r="J13" s="3"/>
      <c r="K13" s="3"/>
    </row>
    <row r="14" spans="1:11" x14ac:dyDescent="0.2">
      <c r="A14" s="26" t="s">
        <v>51</v>
      </c>
      <c r="B14" s="27" t="s">
        <v>50</v>
      </c>
      <c r="C14" s="69">
        <v>2</v>
      </c>
      <c r="D14" s="30">
        <v>2</v>
      </c>
      <c r="E14" s="30"/>
      <c r="F14" s="30"/>
      <c r="G14" s="30"/>
      <c r="H14" s="31"/>
      <c r="I14" s="3"/>
      <c r="J14" s="3"/>
      <c r="K14" s="3"/>
    </row>
    <row r="15" spans="1:11" x14ac:dyDescent="0.2">
      <c r="A15" s="26" t="s">
        <v>52</v>
      </c>
      <c r="B15" s="27" t="s">
        <v>50</v>
      </c>
      <c r="C15" s="69">
        <v>3</v>
      </c>
      <c r="D15" s="30">
        <v>3</v>
      </c>
      <c r="E15" s="30"/>
      <c r="F15" s="30"/>
      <c r="G15" s="30"/>
      <c r="H15" s="31"/>
      <c r="I15" s="3"/>
      <c r="J15" s="3"/>
      <c r="K15" s="3"/>
    </row>
    <row r="16" spans="1:11" x14ac:dyDescent="0.2">
      <c r="A16" s="26" t="s">
        <v>53</v>
      </c>
      <c r="B16" s="27" t="s">
        <v>68</v>
      </c>
      <c r="C16" s="69">
        <v>145</v>
      </c>
      <c r="D16" s="30">
        <v>170</v>
      </c>
      <c r="E16" s="30"/>
      <c r="F16" s="30"/>
      <c r="G16" s="30"/>
      <c r="H16" s="31"/>
      <c r="I16" s="3"/>
      <c r="J16" s="3"/>
      <c r="K16" s="3"/>
    </row>
    <row r="17" spans="1:11" x14ac:dyDescent="0.2">
      <c r="A17" s="26" t="s">
        <v>54</v>
      </c>
      <c r="B17" s="27" t="s">
        <v>68</v>
      </c>
      <c r="C17" s="69">
        <v>140</v>
      </c>
      <c r="D17" s="30">
        <v>160</v>
      </c>
      <c r="E17" s="87"/>
      <c r="F17" s="30"/>
      <c r="G17" s="30"/>
      <c r="H17" s="31"/>
      <c r="I17" s="3"/>
      <c r="J17" s="3"/>
      <c r="K17" s="3"/>
    </row>
    <row r="18" spans="1:11" x14ac:dyDescent="0.2">
      <c r="A18" s="26" t="s">
        <v>55</v>
      </c>
      <c r="B18" s="27" t="s">
        <v>68</v>
      </c>
      <c r="C18" s="69">
        <v>40</v>
      </c>
      <c r="D18" s="30">
        <v>50</v>
      </c>
      <c r="E18" s="30"/>
      <c r="F18" s="30"/>
      <c r="G18" s="30"/>
      <c r="H18" s="31"/>
      <c r="I18" s="3"/>
      <c r="J18" s="3"/>
      <c r="K18" s="3"/>
    </row>
    <row r="19" spans="1:11" x14ac:dyDescent="0.2">
      <c r="A19" s="26" t="s">
        <v>56</v>
      </c>
      <c r="B19" s="27" t="s">
        <v>57</v>
      </c>
      <c r="C19" s="70" t="s">
        <v>58</v>
      </c>
      <c r="D19" s="71" t="s">
        <v>58</v>
      </c>
      <c r="E19" s="71"/>
      <c r="F19" s="71"/>
      <c r="G19" s="71"/>
      <c r="H19" s="72"/>
      <c r="I19" s="3"/>
      <c r="J19" s="3"/>
      <c r="K19" s="3"/>
    </row>
    <row r="20" spans="1:11" x14ac:dyDescent="0.2">
      <c r="A20" s="26" t="s">
        <v>59</v>
      </c>
      <c r="B20" s="27" t="s">
        <v>60</v>
      </c>
      <c r="C20" s="70">
        <v>0.53</v>
      </c>
      <c r="D20" s="71">
        <v>0.53</v>
      </c>
      <c r="E20" s="71"/>
      <c r="F20" s="71"/>
      <c r="G20" s="71"/>
      <c r="H20" s="72"/>
      <c r="I20" s="3"/>
      <c r="J20" s="3"/>
      <c r="K20" s="3"/>
    </row>
    <row r="21" spans="1:11" x14ac:dyDescent="0.2">
      <c r="A21" s="26" t="s">
        <v>61</v>
      </c>
      <c r="B21" s="27" t="s">
        <v>62</v>
      </c>
      <c r="C21" s="70">
        <v>1</v>
      </c>
      <c r="D21" s="71">
        <v>1</v>
      </c>
      <c r="E21" s="71"/>
      <c r="F21" s="71"/>
      <c r="G21" s="71"/>
      <c r="H21" s="72"/>
      <c r="I21" s="3"/>
      <c r="J21" s="3"/>
      <c r="K21" s="3"/>
    </row>
    <row r="22" spans="1:11" x14ac:dyDescent="0.2">
      <c r="A22" s="26"/>
      <c r="B22" s="27"/>
      <c r="C22" s="69"/>
      <c r="D22" s="30"/>
      <c r="E22" s="30"/>
      <c r="F22" s="30"/>
      <c r="G22" s="30"/>
      <c r="H22" s="31"/>
      <c r="I22" s="3"/>
      <c r="J22" s="3"/>
      <c r="K22" s="3"/>
    </row>
    <row r="23" spans="1:11" x14ac:dyDescent="0.2">
      <c r="A23" s="32" t="s">
        <v>63</v>
      </c>
      <c r="B23" s="33"/>
      <c r="C23" s="73">
        <v>2.5000000000000001E-2</v>
      </c>
      <c r="D23" s="74">
        <f>+C23</f>
        <v>2.5000000000000001E-2</v>
      </c>
      <c r="E23" s="74">
        <f>+D23</f>
        <v>2.5000000000000001E-2</v>
      </c>
      <c r="F23" s="74">
        <f>+E23</f>
        <v>2.5000000000000001E-2</v>
      </c>
      <c r="G23" s="74">
        <f>+F23</f>
        <v>2.5000000000000001E-2</v>
      </c>
      <c r="H23" s="75">
        <f>+G23</f>
        <v>2.5000000000000001E-2</v>
      </c>
      <c r="I23" s="3"/>
      <c r="J23" s="3"/>
      <c r="K23" s="3"/>
    </row>
    <row r="24" spans="1:11" x14ac:dyDescent="0.2">
      <c r="A24" s="11" t="s">
        <v>64</v>
      </c>
      <c r="B24" s="34" t="s">
        <v>47</v>
      </c>
      <c r="C24" s="35" t="str">
        <f t="shared" ref="C24:H24" si="1">+IF(C$5="","",C$5)</f>
        <v>HG</v>
      </c>
      <c r="D24" s="35" t="str">
        <f t="shared" si="1"/>
        <v>EXMAR</v>
      </c>
      <c r="E24" s="35" t="str">
        <f t="shared" si="1"/>
        <v/>
      </c>
      <c r="F24" s="35" t="str">
        <f t="shared" si="1"/>
        <v/>
      </c>
      <c r="G24" s="35" t="str">
        <f t="shared" si="1"/>
        <v/>
      </c>
      <c r="H24" s="36" t="str">
        <f t="shared" si="1"/>
        <v/>
      </c>
    </row>
    <row r="25" spans="1:11" x14ac:dyDescent="0.2">
      <c r="A25" s="11"/>
      <c r="B25" s="34"/>
      <c r="C25" s="35">
        <f t="shared" ref="C25:H25" si="2">+C6</f>
        <v>1</v>
      </c>
      <c r="D25" s="35">
        <f t="shared" si="2"/>
        <v>2</v>
      </c>
      <c r="E25" s="35">
        <f t="shared" si="2"/>
        <v>3</v>
      </c>
      <c r="F25" s="35">
        <f t="shared" si="2"/>
        <v>4</v>
      </c>
      <c r="G25" s="35">
        <f t="shared" si="2"/>
        <v>5</v>
      </c>
      <c r="H25" s="36">
        <f t="shared" si="2"/>
        <v>6</v>
      </c>
    </row>
    <row r="26" spans="1:11" x14ac:dyDescent="0.2">
      <c r="A26" s="39" t="s">
        <v>79</v>
      </c>
      <c r="B26" s="182">
        <v>36708</v>
      </c>
      <c r="C26" s="38">
        <v>0</v>
      </c>
      <c r="D26" s="38">
        <v>0</v>
      </c>
      <c r="E26" s="38"/>
      <c r="F26" s="38"/>
      <c r="G26" s="38"/>
      <c r="H26" s="38"/>
      <c r="I26" s="3"/>
      <c r="J26" s="3"/>
      <c r="K26" s="3"/>
    </row>
    <row r="27" spans="1:11" x14ac:dyDescent="0.2">
      <c r="A27" s="39"/>
      <c r="B27" s="37">
        <f>+DATE(YEAR(B26),MONTH(B26)+1,1)</f>
        <v>36739</v>
      </c>
      <c r="C27" s="38">
        <v>0</v>
      </c>
      <c r="D27" s="38">
        <v>0</v>
      </c>
      <c r="E27" s="38"/>
      <c r="F27" s="38"/>
      <c r="G27" s="38"/>
      <c r="H27" s="38"/>
      <c r="I27" s="3"/>
      <c r="J27" s="3"/>
      <c r="K27" s="3"/>
    </row>
    <row r="28" spans="1:11" x14ac:dyDescent="0.2">
      <c r="A28" s="39"/>
      <c r="B28" s="37">
        <f t="shared" ref="B28:B91" si="3">+DATE(YEAR(B27),MONTH(B27)+1,1)</f>
        <v>36770</v>
      </c>
      <c r="C28" s="38">
        <f>+C27</f>
        <v>0</v>
      </c>
      <c r="D28" s="38">
        <v>0</v>
      </c>
      <c r="E28" s="38"/>
      <c r="F28" s="38"/>
      <c r="G28" s="38"/>
      <c r="H28" s="38"/>
      <c r="I28" s="3"/>
      <c r="J28" s="3"/>
      <c r="K28" s="3"/>
    </row>
    <row r="29" spans="1:11" x14ac:dyDescent="0.2">
      <c r="A29" s="39"/>
      <c r="B29" s="37">
        <f t="shared" si="3"/>
        <v>36800</v>
      </c>
      <c r="C29" s="38">
        <f>+C28</f>
        <v>0</v>
      </c>
      <c r="D29" s="38">
        <v>0</v>
      </c>
      <c r="E29" s="38"/>
      <c r="F29" s="38"/>
      <c r="G29" s="38"/>
      <c r="H29" s="38"/>
      <c r="I29" s="3"/>
      <c r="J29" s="3"/>
      <c r="K29" s="3"/>
    </row>
    <row r="30" spans="1:11" x14ac:dyDescent="0.2">
      <c r="A30" s="39"/>
      <c r="B30" s="37">
        <f t="shared" si="3"/>
        <v>36831</v>
      </c>
      <c r="C30" s="38">
        <v>9500</v>
      </c>
      <c r="D30" s="38">
        <v>0</v>
      </c>
      <c r="E30" s="38"/>
      <c r="F30" s="38"/>
      <c r="G30" s="38"/>
      <c r="H30" s="38"/>
      <c r="I30" s="3"/>
      <c r="J30" s="3"/>
      <c r="K30" s="3"/>
    </row>
    <row r="31" spans="1:11" x14ac:dyDescent="0.2">
      <c r="A31" s="39"/>
      <c r="B31" s="37">
        <f t="shared" si="3"/>
        <v>36861</v>
      </c>
      <c r="C31" s="38">
        <f t="shared" ref="C31:C55" si="4">+C30</f>
        <v>9500</v>
      </c>
      <c r="D31" s="38">
        <v>0</v>
      </c>
      <c r="E31" s="38"/>
      <c r="F31" s="38"/>
      <c r="G31" s="38"/>
      <c r="H31" s="38"/>
      <c r="I31" s="3"/>
      <c r="J31" s="3"/>
      <c r="K31" s="3"/>
    </row>
    <row r="32" spans="1:11" x14ac:dyDescent="0.2">
      <c r="A32" s="39"/>
      <c r="B32" s="37">
        <f t="shared" si="3"/>
        <v>36892</v>
      </c>
      <c r="C32" s="38">
        <f t="shared" si="4"/>
        <v>9500</v>
      </c>
      <c r="D32" s="38">
        <v>0</v>
      </c>
      <c r="E32" s="38"/>
      <c r="F32" s="38"/>
      <c r="G32" s="38"/>
      <c r="H32" s="38"/>
      <c r="I32" s="3"/>
      <c r="J32" s="3"/>
      <c r="K32" s="3"/>
    </row>
    <row r="33" spans="1:11" x14ac:dyDescent="0.2">
      <c r="A33" s="39"/>
      <c r="B33" s="37">
        <f t="shared" si="3"/>
        <v>36923</v>
      </c>
      <c r="C33" s="38">
        <f t="shared" si="4"/>
        <v>9500</v>
      </c>
      <c r="D33" s="38">
        <v>0</v>
      </c>
      <c r="E33" s="38"/>
      <c r="F33" s="38"/>
      <c r="G33" s="38"/>
      <c r="H33" s="38"/>
      <c r="I33" s="3"/>
      <c r="J33" s="3"/>
      <c r="K33" s="3"/>
    </row>
    <row r="34" spans="1:11" x14ac:dyDescent="0.2">
      <c r="A34" s="39"/>
      <c r="B34" s="37">
        <f t="shared" si="3"/>
        <v>36951</v>
      </c>
      <c r="C34" s="38">
        <f t="shared" si="4"/>
        <v>9500</v>
      </c>
      <c r="D34" s="38">
        <v>0</v>
      </c>
      <c r="E34" s="38"/>
      <c r="F34" s="38"/>
      <c r="G34" s="38"/>
      <c r="H34" s="38"/>
      <c r="I34" s="3"/>
      <c r="J34" s="3"/>
      <c r="K34" s="3"/>
    </row>
    <row r="35" spans="1:11" x14ac:dyDescent="0.2">
      <c r="A35" s="40"/>
      <c r="B35" s="37">
        <f t="shared" si="3"/>
        <v>36982</v>
      </c>
      <c r="C35" s="38">
        <f t="shared" si="4"/>
        <v>9500</v>
      </c>
      <c r="D35" s="38">
        <v>0</v>
      </c>
      <c r="E35" s="38"/>
      <c r="F35" s="38"/>
      <c r="G35" s="41"/>
      <c r="H35" s="41"/>
    </row>
    <row r="36" spans="1:11" x14ac:dyDescent="0.2">
      <c r="A36" s="40"/>
      <c r="B36" s="37">
        <f t="shared" si="3"/>
        <v>37012</v>
      </c>
      <c r="C36" s="38">
        <f t="shared" si="4"/>
        <v>9500</v>
      </c>
      <c r="D36" s="38">
        <v>0</v>
      </c>
      <c r="E36" s="38"/>
      <c r="F36" s="38"/>
      <c r="G36" s="41"/>
      <c r="H36" s="41"/>
    </row>
    <row r="37" spans="1:11" x14ac:dyDescent="0.2">
      <c r="A37" s="40"/>
      <c r="B37" s="37">
        <f t="shared" si="3"/>
        <v>37043</v>
      </c>
      <c r="C37" s="38">
        <f t="shared" si="4"/>
        <v>9500</v>
      </c>
      <c r="D37" s="38">
        <v>0</v>
      </c>
      <c r="E37" s="38"/>
      <c r="F37" s="38"/>
      <c r="G37" s="41"/>
      <c r="H37" s="41"/>
    </row>
    <row r="38" spans="1:11" x14ac:dyDescent="0.2">
      <c r="A38" s="40"/>
      <c r="B38" s="37">
        <f t="shared" si="3"/>
        <v>37073</v>
      </c>
      <c r="C38" s="38">
        <f t="shared" si="4"/>
        <v>9500</v>
      </c>
      <c r="D38" s="38">
        <v>0</v>
      </c>
      <c r="E38" s="38"/>
      <c r="F38" s="38"/>
      <c r="G38" s="41"/>
      <c r="H38" s="41"/>
    </row>
    <row r="39" spans="1:11" x14ac:dyDescent="0.2">
      <c r="A39" s="40"/>
      <c r="B39" s="37">
        <f t="shared" si="3"/>
        <v>37104</v>
      </c>
      <c r="C39" s="38">
        <f t="shared" si="4"/>
        <v>9500</v>
      </c>
      <c r="D39" s="38">
        <v>0</v>
      </c>
      <c r="E39" s="38"/>
      <c r="F39" s="38"/>
      <c r="G39" s="41"/>
      <c r="H39" s="41"/>
    </row>
    <row r="40" spans="1:11" x14ac:dyDescent="0.2">
      <c r="A40" s="40"/>
      <c r="B40" s="37">
        <f t="shared" si="3"/>
        <v>37135</v>
      </c>
      <c r="C40" s="38">
        <f t="shared" si="4"/>
        <v>9500</v>
      </c>
      <c r="D40" s="38">
        <v>0</v>
      </c>
      <c r="E40" s="38"/>
      <c r="F40" s="38"/>
      <c r="G40" s="41"/>
      <c r="H40" s="41"/>
    </row>
    <row r="41" spans="1:11" x14ac:dyDescent="0.2">
      <c r="A41" s="40"/>
      <c r="B41" s="37">
        <f t="shared" si="3"/>
        <v>37165</v>
      </c>
      <c r="C41" s="38">
        <f t="shared" si="4"/>
        <v>9500</v>
      </c>
      <c r="D41" s="38">
        <v>0</v>
      </c>
      <c r="E41" s="38"/>
      <c r="F41" s="38"/>
      <c r="G41" s="41"/>
      <c r="H41" s="41"/>
    </row>
    <row r="42" spans="1:11" x14ac:dyDescent="0.2">
      <c r="A42" s="40"/>
      <c r="B42" s="37">
        <f t="shared" si="3"/>
        <v>37196</v>
      </c>
      <c r="C42" s="38">
        <f t="shared" si="4"/>
        <v>9500</v>
      </c>
      <c r="D42" s="38">
        <v>0</v>
      </c>
      <c r="E42" s="38"/>
      <c r="F42" s="38"/>
      <c r="G42" s="41"/>
      <c r="H42" s="41"/>
    </row>
    <row r="43" spans="1:11" x14ac:dyDescent="0.2">
      <c r="A43" s="40"/>
      <c r="B43" s="37">
        <f t="shared" si="3"/>
        <v>37226</v>
      </c>
      <c r="C43" s="38">
        <f t="shared" si="4"/>
        <v>9500</v>
      </c>
      <c r="D43" s="38">
        <v>0</v>
      </c>
      <c r="E43" s="38"/>
      <c r="F43" s="38"/>
      <c r="G43" s="41"/>
      <c r="H43" s="41"/>
    </row>
    <row r="44" spans="1:11" x14ac:dyDescent="0.2">
      <c r="A44" s="40"/>
      <c r="B44" s="37">
        <f t="shared" si="3"/>
        <v>37257</v>
      </c>
      <c r="C44" s="38">
        <f t="shared" si="4"/>
        <v>9500</v>
      </c>
      <c r="D44" s="38">
        <v>0</v>
      </c>
      <c r="E44" s="38"/>
      <c r="F44" s="38"/>
      <c r="G44" s="41"/>
      <c r="H44" s="41"/>
    </row>
    <row r="45" spans="1:11" x14ac:dyDescent="0.2">
      <c r="A45" s="40"/>
      <c r="B45" s="37">
        <f t="shared" si="3"/>
        <v>37288</v>
      </c>
      <c r="C45" s="38">
        <f t="shared" si="4"/>
        <v>9500</v>
      </c>
      <c r="D45" s="38">
        <v>0</v>
      </c>
      <c r="E45" s="38"/>
      <c r="F45" s="38"/>
      <c r="G45" s="41"/>
      <c r="H45" s="41"/>
    </row>
    <row r="46" spans="1:11" x14ac:dyDescent="0.2">
      <c r="A46" s="40"/>
      <c r="B46" s="37">
        <f t="shared" si="3"/>
        <v>37316</v>
      </c>
      <c r="C46" s="38">
        <f t="shared" si="4"/>
        <v>9500</v>
      </c>
      <c r="D46" s="38">
        <v>0</v>
      </c>
      <c r="E46" s="38"/>
      <c r="F46" s="38"/>
      <c r="G46" s="41"/>
      <c r="H46" s="41"/>
    </row>
    <row r="47" spans="1:11" x14ac:dyDescent="0.2">
      <c r="A47" s="40"/>
      <c r="B47" s="37">
        <f t="shared" si="3"/>
        <v>37347</v>
      </c>
      <c r="C47" s="38">
        <f t="shared" si="4"/>
        <v>9500</v>
      </c>
      <c r="D47" s="38">
        <v>0</v>
      </c>
      <c r="E47" s="38"/>
      <c r="F47" s="38"/>
      <c r="G47" s="41"/>
      <c r="H47" s="41"/>
    </row>
    <row r="48" spans="1:11" x14ac:dyDescent="0.2">
      <c r="A48" s="40"/>
      <c r="B48" s="37">
        <f t="shared" si="3"/>
        <v>37377</v>
      </c>
      <c r="C48" s="38">
        <f t="shared" si="4"/>
        <v>9500</v>
      </c>
      <c r="D48" s="38">
        <v>0</v>
      </c>
      <c r="E48" s="38"/>
      <c r="F48" s="38"/>
      <c r="G48" s="41"/>
      <c r="H48" s="41"/>
    </row>
    <row r="49" spans="1:8" x14ac:dyDescent="0.2">
      <c r="A49" s="40"/>
      <c r="B49" s="37">
        <f t="shared" si="3"/>
        <v>37408</v>
      </c>
      <c r="C49" s="38">
        <f t="shared" si="4"/>
        <v>9500</v>
      </c>
      <c r="D49" s="38">
        <v>0</v>
      </c>
      <c r="E49" s="38"/>
      <c r="F49" s="38"/>
      <c r="G49" s="41"/>
      <c r="H49" s="41"/>
    </row>
    <row r="50" spans="1:8" x14ac:dyDescent="0.2">
      <c r="A50" s="40"/>
      <c r="B50" s="37">
        <f t="shared" si="3"/>
        <v>37438</v>
      </c>
      <c r="C50" s="38">
        <f t="shared" si="4"/>
        <v>9500</v>
      </c>
      <c r="D50" s="38">
        <v>0</v>
      </c>
      <c r="E50" s="38"/>
      <c r="F50" s="38"/>
      <c r="G50" s="41"/>
      <c r="H50" s="41"/>
    </row>
    <row r="51" spans="1:8" x14ac:dyDescent="0.2">
      <c r="A51" s="40"/>
      <c r="B51" s="37">
        <f t="shared" si="3"/>
        <v>37469</v>
      </c>
      <c r="C51" s="38">
        <f t="shared" si="4"/>
        <v>9500</v>
      </c>
      <c r="D51" s="38">
        <v>0</v>
      </c>
      <c r="E51" s="38"/>
      <c r="F51" s="38"/>
      <c r="G51" s="41"/>
      <c r="H51" s="41"/>
    </row>
    <row r="52" spans="1:8" x14ac:dyDescent="0.2">
      <c r="A52" s="40"/>
      <c r="B52" s="37">
        <f t="shared" si="3"/>
        <v>37500</v>
      </c>
      <c r="C52" s="38">
        <f t="shared" si="4"/>
        <v>9500</v>
      </c>
      <c r="D52" s="38">
        <v>0</v>
      </c>
      <c r="E52" s="38"/>
      <c r="F52" s="38"/>
      <c r="G52" s="41"/>
      <c r="H52" s="41"/>
    </row>
    <row r="53" spans="1:8" x14ac:dyDescent="0.2">
      <c r="A53" s="40"/>
      <c r="B53" s="37">
        <f t="shared" si="3"/>
        <v>37530</v>
      </c>
      <c r="C53" s="38">
        <f t="shared" si="4"/>
        <v>9500</v>
      </c>
      <c r="D53" s="38">
        <v>0</v>
      </c>
      <c r="E53" s="38"/>
      <c r="F53" s="38"/>
      <c r="G53" s="41"/>
      <c r="H53" s="41"/>
    </row>
    <row r="54" spans="1:8" x14ac:dyDescent="0.2">
      <c r="A54" s="40"/>
      <c r="B54" s="37">
        <f t="shared" si="3"/>
        <v>37561</v>
      </c>
      <c r="C54" s="38">
        <f t="shared" si="4"/>
        <v>9500</v>
      </c>
      <c r="D54" s="38">
        <v>0</v>
      </c>
      <c r="E54" s="38"/>
      <c r="F54" s="38"/>
      <c r="G54" s="41"/>
      <c r="H54" s="41"/>
    </row>
    <row r="55" spans="1:8" x14ac:dyDescent="0.2">
      <c r="A55" s="40"/>
      <c r="B55" s="37">
        <f t="shared" si="3"/>
        <v>37591</v>
      </c>
      <c r="C55" s="38">
        <f t="shared" si="4"/>
        <v>9500</v>
      </c>
      <c r="D55" s="38">
        <v>0</v>
      </c>
      <c r="E55" s="38"/>
      <c r="F55" s="38"/>
      <c r="G55" s="41"/>
      <c r="H55" s="41"/>
    </row>
    <row r="56" spans="1:8" x14ac:dyDescent="0.2">
      <c r="A56" s="40"/>
      <c r="B56" s="37">
        <f t="shared" si="3"/>
        <v>37622</v>
      </c>
      <c r="C56" s="38">
        <v>16000</v>
      </c>
      <c r="D56" s="38">
        <v>51850</v>
      </c>
      <c r="E56" s="38"/>
      <c r="F56" s="38"/>
      <c r="G56" s="41"/>
      <c r="H56" s="41"/>
    </row>
    <row r="57" spans="1:8" x14ac:dyDescent="0.2">
      <c r="A57" s="40"/>
      <c r="B57" s="37">
        <f t="shared" si="3"/>
        <v>37653</v>
      </c>
      <c r="C57" s="38">
        <f t="shared" ref="C57:C120" si="5">+C56</f>
        <v>16000</v>
      </c>
      <c r="D57" s="38">
        <f t="shared" ref="D57:D120" si="6">+D56</f>
        <v>51850</v>
      </c>
      <c r="E57" s="38"/>
      <c r="F57" s="38"/>
      <c r="G57" s="41"/>
      <c r="H57" s="41"/>
    </row>
    <row r="58" spans="1:8" x14ac:dyDescent="0.2">
      <c r="A58" s="40"/>
      <c r="B58" s="37">
        <f t="shared" si="3"/>
        <v>37681</v>
      </c>
      <c r="C58" s="38">
        <f t="shared" si="5"/>
        <v>16000</v>
      </c>
      <c r="D58" s="38">
        <f t="shared" si="6"/>
        <v>51850</v>
      </c>
      <c r="E58" s="38"/>
      <c r="F58" s="38"/>
      <c r="G58" s="41"/>
      <c r="H58" s="41"/>
    </row>
    <row r="59" spans="1:8" x14ac:dyDescent="0.2">
      <c r="A59" s="40"/>
      <c r="B59" s="37">
        <f t="shared" si="3"/>
        <v>37712</v>
      </c>
      <c r="C59" s="38">
        <f t="shared" si="5"/>
        <v>16000</v>
      </c>
      <c r="D59" s="38">
        <f t="shared" si="6"/>
        <v>51850</v>
      </c>
      <c r="E59" s="38"/>
      <c r="F59" s="38"/>
      <c r="G59" s="41"/>
      <c r="H59" s="41"/>
    </row>
    <row r="60" spans="1:8" x14ac:dyDescent="0.2">
      <c r="A60" s="40"/>
      <c r="B60" s="37">
        <f t="shared" si="3"/>
        <v>37742</v>
      </c>
      <c r="C60" s="38">
        <f t="shared" si="5"/>
        <v>16000</v>
      </c>
      <c r="D60" s="38">
        <f t="shared" si="6"/>
        <v>51850</v>
      </c>
      <c r="E60" s="38"/>
      <c r="F60" s="38"/>
      <c r="G60" s="41"/>
      <c r="H60" s="41"/>
    </row>
    <row r="61" spans="1:8" x14ac:dyDescent="0.2">
      <c r="A61" s="40"/>
      <c r="B61" s="37">
        <f t="shared" si="3"/>
        <v>37773</v>
      </c>
      <c r="C61" s="38">
        <f t="shared" si="5"/>
        <v>16000</v>
      </c>
      <c r="D61" s="38">
        <f t="shared" si="6"/>
        <v>51850</v>
      </c>
      <c r="E61" s="38"/>
      <c r="F61" s="38"/>
      <c r="G61" s="41"/>
      <c r="H61" s="41"/>
    </row>
    <row r="62" spans="1:8" x14ac:dyDescent="0.2">
      <c r="A62" s="40"/>
      <c r="B62" s="37">
        <f t="shared" si="3"/>
        <v>37803</v>
      </c>
      <c r="C62" s="38">
        <f t="shared" si="5"/>
        <v>16000</v>
      </c>
      <c r="D62" s="38">
        <f t="shared" si="6"/>
        <v>51850</v>
      </c>
      <c r="E62" s="38"/>
      <c r="F62" s="38"/>
      <c r="G62" s="41"/>
      <c r="H62" s="41"/>
    </row>
    <row r="63" spans="1:8" x14ac:dyDescent="0.2">
      <c r="A63" s="40"/>
      <c r="B63" s="37">
        <f t="shared" si="3"/>
        <v>37834</v>
      </c>
      <c r="C63" s="38">
        <f t="shared" si="5"/>
        <v>16000</v>
      </c>
      <c r="D63" s="38">
        <f t="shared" si="6"/>
        <v>51850</v>
      </c>
      <c r="E63" s="38"/>
      <c r="F63" s="38"/>
      <c r="G63" s="41"/>
      <c r="H63" s="41"/>
    </row>
    <row r="64" spans="1:8" x14ac:dyDescent="0.2">
      <c r="A64" s="40"/>
      <c r="B64" s="37">
        <f t="shared" si="3"/>
        <v>37865</v>
      </c>
      <c r="C64" s="38">
        <f t="shared" si="5"/>
        <v>16000</v>
      </c>
      <c r="D64" s="38">
        <f t="shared" si="6"/>
        <v>51850</v>
      </c>
      <c r="E64" s="38"/>
      <c r="F64" s="38"/>
      <c r="G64" s="41"/>
      <c r="H64" s="41"/>
    </row>
    <row r="65" spans="1:8" x14ac:dyDescent="0.2">
      <c r="A65" s="40"/>
      <c r="B65" s="37">
        <f t="shared" si="3"/>
        <v>37895</v>
      </c>
      <c r="C65" s="38">
        <f t="shared" si="5"/>
        <v>16000</v>
      </c>
      <c r="D65" s="38">
        <f t="shared" si="6"/>
        <v>51850</v>
      </c>
      <c r="E65" s="38"/>
      <c r="F65" s="38"/>
      <c r="G65" s="41"/>
      <c r="H65" s="41"/>
    </row>
    <row r="66" spans="1:8" x14ac:dyDescent="0.2">
      <c r="A66" s="40"/>
      <c r="B66" s="37">
        <f t="shared" si="3"/>
        <v>37926</v>
      </c>
      <c r="C66" s="38">
        <f t="shared" si="5"/>
        <v>16000</v>
      </c>
      <c r="D66" s="38">
        <f t="shared" si="6"/>
        <v>51850</v>
      </c>
      <c r="E66" s="38"/>
      <c r="F66" s="38"/>
      <c r="G66" s="41"/>
      <c r="H66" s="41"/>
    </row>
    <row r="67" spans="1:8" x14ac:dyDescent="0.2">
      <c r="A67" s="40"/>
      <c r="B67" s="37">
        <f t="shared" si="3"/>
        <v>37956</v>
      </c>
      <c r="C67" s="38">
        <f t="shared" si="5"/>
        <v>16000</v>
      </c>
      <c r="D67" s="38">
        <f t="shared" si="6"/>
        <v>51850</v>
      </c>
      <c r="E67" s="38"/>
      <c r="F67" s="38"/>
      <c r="G67" s="41"/>
      <c r="H67" s="41"/>
    </row>
    <row r="68" spans="1:8" x14ac:dyDescent="0.2">
      <c r="A68" s="40"/>
      <c r="B68" s="37">
        <f t="shared" si="3"/>
        <v>37987</v>
      </c>
      <c r="C68" s="38">
        <f t="shared" si="5"/>
        <v>16000</v>
      </c>
      <c r="D68" s="38">
        <f t="shared" si="6"/>
        <v>51850</v>
      </c>
      <c r="E68" s="38"/>
      <c r="F68" s="38"/>
      <c r="G68" s="41"/>
      <c r="H68" s="41"/>
    </row>
    <row r="69" spans="1:8" x14ac:dyDescent="0.2">
      <c r="A69" s="40"/>
      <c r="B69" s="37">
        <f t="shared" si="3"/>
        <v>38018</v>
      </c>
      <c r="C69" s="38">
        <f t="shared" si="5"/>
        <v>16000</v>
      </c>
      <c r="D69" s="38">
        <f t="shared" si="6"/>
        <v>51850</v>
      </c>
      <c r="E69" s="38"/>
      <c r="F69" s="38"/>
      <c r="G69" s="41"/>
      <c r="H69" s="41"/>
    </row>
    <row r="70" spans="1:8" x14ac:dyDescent="0.2">
      <c r="A70" s="40"/>
      <c r="B70" s="37">
        <f t="shared" si="3"/>
        <v>38047</v>
      </c>
      <c r="C70" s="38">
        <f t="shared" si="5"/>
        <v>16000</v>
      </c>
      <c r="D70" s="38">
        <f t="shared" si="6"/>
        <v>51850</v>
      </c>
      <c r="E70" s="38"/>
      <c r="F70" s="38"/>
      <c r="G70" s="41"/>
      <c r="H70" s="41"/>
    </row>
    <row r="71" spans="1:8" x14ac:dyDescent="0.2">
      <c r="A71" s="40"/>
      <c r="B71" s="37">
        <f t="shared" si="3"/>
        <v>38078</v>
      </c>
      <c r="C71" s="38">
        <f t="shared" si="5"/>
        <v>16000</v>
      </c>
      <c r="D71" s="38">
        <f t="shared" si="6"/>
        <v>51850</v>
      </c>
      <c r="E71" s="38"/>
      <c r="F71" s="38"/>
      <c r="G71" s="41"/>
      <c r="H71" s="41"/>
    </row>
    <row r="72" spans="1:8" x14ac:dyDescent="0.2">
      <c r="A72" s="40"/>
      <c r="B72" s="37">
        <f t="shared" si="3"/>
        <v>38108</v>
      </c>
      <c r="C72" s="38">
        <f t="shared" si="5"/>
        <v>16000</v>
      </c>
      <c r="D72" s="38">
        <f t="shared" si="6"/>
        <v>51850</v>
      </c>
      <c r="E72" s="38"/>
      <c r="F72" s="38"/>
      <c r="G72" s="41"/>
      <c r="H72" s="41"/>
    </row>
    <row r="73" spans="1:8" x14ac:dyDescent="0.2">
      <c r="A73" s="40"/>
      <c r="B73" s="37">
        <f t="shared" si="3"/>
        <v>38139</v>
      </c>
      <c r="C73" s="38">
        <f t="shared" si="5"/>
        <v>16000</v>
      </c>
      <c r="D73" s="38">
        <f t="shared" si="6"/>
        <v>51850</v>
      </c>
      <c r="E73" s="38"/>
      <c r="F73" s="38"/>
      <c r="G73" s="41"/>
      <c r="H73" s="41"/>
    </row>
    <row r="74" spans="1:8" x14ac:dyDescent="0.2">
      <c r="A74" s="40"/>
      <c r="B74" s="37">
        <f t="shared" si="3"/>
        <v>38169</v>
      </c>
      <c r="C74" s="38">
        <f t="shared" si="5"/>
        <v>16000</v>
      </c>
      <c r="D74" s="38">
        <f t="shared" si="6"/>
        <v>51850</v>
      </c>
      <c r="E74" s="38"/>
      <c r="F74" s="38"/>
      <c r="G74" s="41"/>
      <c r="H74" s="41"/>
    </row>
    <row r="75" spans="1:8" x14ac:dyDescent="0.2">
      <c r="A75" s="40"/>
      <c r="B75" s="37">
        <f t="shared" si="3"/>
        <v>38200</v>
      </c>
      <c r="C75" s="38">
        <f t="shared" si="5"/>
        <v>16000</v>
      </c>
      <c r="D75" s="38">
        <f t="shared" si="6"/>
        <v>51850</v>
      </c>
      <c r="E75" s="38"/>
      <c r="F75" s="38"/>
      <c r="G75" s="41"/>
      <c r="H75" s="41"/>
    </row>
    <row r="76" spans="1:8" x14ac:dyDescent="0.2">
      <c r="A76" s="40"/>
      <c r="B76" s="37">
        <f t="shared" si="3"/>
        <v>38231</v>
      </c>
      <c r="C76" s="38">
        <f t="shared" si="5"/>
        <v>16000</v>
      </c>
      <c r="D76" s="38">
        <f t="shared" si="6"/>
        <v>51850</v>
      </c>
      <c r="E76" s="38"/>
      <c r="F76" s="38"/>
      <c r="G76" s="41"/>
      <c r="H76" s="41"/>
    </row>
    <row r="77" spans="1:8" x14ac:dyDescent="0.2">
      <c r="A77" s="40"/>
      <c r="B77" s="37">
        <f t="shared" si="3"/>
        <v>38261</v>
      </c>
      <c r="C77" s="38">
        <f t="shared" si="5"/>
        <v>16000</v>
      </c>
      <c r="D77" s="38">
        <f t="shared" si="6"/>
        <v>51850</v>
      </c>
      <c r="E77" s="38"/>
      <c r="F77" s="38"/>
      <c r="G77" s="41"/>
      <c r="H77" s="41"/>
    </row>
    <row r="78" spans="1:8" x14ac:dyDescent="0.2">
      <c r="A78" s="40"/>
      <c r="B78" s="37">
        <f t="shared" si="3"/>
        <v>38292</v>
      </c>
      <c r="C78" s="38">
        <f t="shared" si="5"/>
        <v>16000</v>
      </c>
      <c r="D78" s="38">
        <f t="shared" si="6"/>
        <v>51850</v>
      </c>
      <c r="E78" s="38"/>
      <c r="F78" s="38"/>
      <c r="G78" s="41"/>
      <c r="H78" s="41"/>
    </row>
    <row r="79" spans="1:8" x14ac:dyDescent="0.2">
      <c r="A79" s="40"/>
      <c r="B79" s="37">
        <f t="shared" si="3"/>
        <v>38322</v>
      </c>
      <c r="C79" s="38">
        <f t="shared" si="5"/>
        <v>16000</v>
      </c>
      <c r="D79" s="38">
        <f t="shared" si="6"/>
        <v>51850</v>
      </c>
      <c r="E79" s="38"/>
      <c r="F79" s="38"/>
      <c r="G79" s="41"/>
      <c r="H79" s="41"/>
    </row>
    <row r="80" spans="1:8" x14ac:dyDescent="0.2">
      <c r="A80" s="40"/>
      <c r="B80" s="37">
        <f t="shared" si="3"/>
        <v>38353</v>
      </c>
      <c r="C80" s="38">
        <f t="shared" si="5"/>
        <v>16000</v>
      </c>
      <c r="D80" s="38">
        <f t="shared" si="6"/>
        <v>51850</v>
      </c>
      <c r="E80" s="38"/>
      <c r="F80" s="38"/>
      <c r="G80" s="41"/>
      <c r="H80" s="41"/>
    </row>
    <row r="81" spans="1:8" x14ac:dyDescent="0.2">
      <c r="A81" s="42"/>
      <c r="B81" s="37">
        <f t="shared" si="3"/>
        <v>38384</v>
      </c>
      <c r="C81" s="38">
        <f t="shared" si="5"/>
        <v>16000</v>
      </c>
      <c r="D81" s="38">
        <f t="shared" si="6"/>
        <v>51850</v>
      </c>
      <c r="E81" s="38"/>
      <c r="F81" s="38"/>
      <c r="G81" s="41"/>
      <c r="H81" s="41"/>
    </row>
    <row r="82" spans="1:8" x14ac:dyDescent="0.2">
      <c r="A82" s="42"/>
      <c r="B82" s="37">
        <f t="shared" si="3"/>
        <v>38412</v>
      </c>
      <c r="C82" s="38">
        <f t="shared" si="5"/>
        <v>16000</v>
      </c>
      <c r="D82" s="38">
        <f t="shared" si="6"/>
        <v>51850</v>
      </c>
      <c r="E82" s="38"/>
      <c r="F82" s="38"/>
      <c r="G82" s="41"/>
      <c r="H82" s="41"/>
    </row>
    <row r="83" spans="1:8" x14ac:dyDescent="0.2">
      <c r="A83" s="42"/>
      <c r="B83" s="37">
        <f t="shared" si="3"/>
        <v>38443</v>
      </c>
      <c r="C83" s="38">
        <f t="shared" si="5"/>
        <v>16000</v>
      </c>
      <c r="D83" s="38">
        <f t="shared" si="6"/>
        <v>51850</v>
      </c>
      <c r="E83" s="38"/>
      <c r="F83" s="38"/>
      <c r="G83" s="41"/>
      <c r="H83" s="41"/>
    </row>
    <row r="84" spans="1:8" x14ac:dyDescent="0.2">
      <c r="A84" s="42"/>
      <c r="B84" s="37">
        <f t="shared" si="3"/>
        <v>38473</v>
      </c>
      <c r="C84" s="38">
        <f t="shared" si="5"/>
        <v>16000</v>
      </c>
      <c r="D84" s="38">
        <f t="shared" si="6"/>
        <v>51850</v>
      </c>
      <c r="E84" s="38"/>
      <c r="F84" s="38"/>
      <c r="G84" s="41"/>
      <c r="H84" s="41"/>
    </row>
    <row r="85" spans="1:8" x14ac:dyDescent="0.2">
      <c r="A85" s="42"/>
      <c r="B85" s="37">
        <f t="shared" si="3"/>
        <v>38504</v>
      </c>
      <c r="C85" s="38">
        <f t="shared" si="5"/>
        <v>16000</v>
      </c>
      <c r="D85" s="38">
        <f t="shared" si="6"/>
        <v>51850</v>
      </c>
      <c r="E85" s="38"/>
      <c r="F85" s="38"/>
      <c r="G85" s="41"/>
      <c r="H85" s="41"/>
    </row>
    <row r="86" spans="1:8" x14ac:dyDescent="0.2">
      <c r="A86" s="42"/>
      <c r="B86" s="37">
        <f t="shared" si="3"/>
        <v>38534</v>
      </c>
      <c r="C86" s="38">
        <f t="shared" si="5"/>
        <v>16000</v>
      </c>
      <c r="D86" s="38">
        <f t="shared" si="6"/>
        <v>51850</v>
      </c>
      <c r="E86" s="38"/>
      <c r="F86" s="38"/>
      <c r="G86" s="41"/>
      <c r="H86" s="41"/>
    </row>
    <row r="87" spans="1:8" x14ac:dyDescent="0.2">
      <c r="A87" s="42"/>
      <c r="B87" s="37">
        <f t="shared" si="3"/>
        <v>38565</v>
      </c>
      <c r="C87" s="38">
        <f t="shared" si="5"/>
        <v>16000</v>
      </c>
      <c r="D87" s="38">
        <f t="shared" si="6"/>
        <v>51850</v>
      </c>
      <c r="E87" s="38"/>
      <c r="F87" s="38"/>
      <c r="G87" s="41"/>
      <c r="H87" s="41"/>
    </row>
    <row r="88" spans="1:8" x14ac:dyDescent="0.2">
      <c r="A88" s="42"/>
      <c r="B88" s="37">
        <f t="shared" si="3"/>
        <v>38596</v>
      </c>
      <c r="C88" s="38">
        <f t="shared" si="5"/>
        <v>16000</v>
      </c>
      <c r="D88" s="38">
        <f t="shared" si="6"/>
        <v>51850</v>
      </c>
      <c r="E88" s="38"/>
      <c r="F88" s="38"/>
      <c r="G88" s="41"/>
      <c r="H88" s="41"/>
    </row>
    <row r="89" spans="1:8" x14ac:dyDescent="0.2">
      <c r="A89" s="42"/>
      <c r="B89" s="37">
        <f t="shared" si="3"/>
        <v>38626</v>
      </c>
      <c r="C89" s="38">
        <f t="shared" si="5"/>
        <v>16000</v>
      </c>
      <c r="D89" s="38">
        <f t="shared" si="6"/>
        <v>51850</v>
      </c>
      <c r="E89" s="38"/>
      <c r="F89" s="38"/>
      <c r="G89" s="41"/>
      <c r="H89" s="41"/>
    </row>
    <row r="90" spans="1:8" x14ac:dyDescent="0.2">
      <c r="A90" s="42"/>
      <c r="B90" s="37">
        <f t="shared" si="3"/>
        <v>38657</v>
      </c>
      <c r="C90" s="38">
        <f t="shared" si="5"/>
        <v>16000</v>
      </c>
      <c r="D90" s="38">
        <f t="shared" si="6"/>
        <v>51850</v>
      </c>
      <c r="E90" s="38"/>
      <c r="F90" s="38"/>
      <c r="G90" s="41"/>
      <c r="H90" s="41"/>
    </row>
    <row r="91" spans="1:8" x14ac:dyDescent="0.2">
      <c r="A91" s="42"/>
      <c r="B91" s="37">
        <f t="shared" si="3"/>
        <v>38687</v>
      </c>
      <c r="C91" s="38">
        <f t="shared" si="5"/>
        <v>16000</v>
      </c>
      <c r="D91" s="38">
        <f t="shared" si="6"/>
        <v>51850</v>
      </c>
      <c r="E91" s="38"/>
      <c r="F91" s="38"/>
      <c r="G91" s="41"/>
      <c r="H91" s="41"/>
    </row>
    <row r="92" spans="1:8" x14ac:dyDescent="0.2">
      <c r="A92" s="42"/>
      <c r="B92" s="37">
        <f t="shared" ref="B92:B155" si="7">+DATE(YEAR(B91),MONTH(B91)+1,1)</f>
        <v>38718</v>
      </c>
      <c r="C92" s="38">
        <f t="shared" si="5"/>
        <v>16000</v>
      </c>
      <c r="D92" s="38">
        <f t="shared" si="6"/>
        <v>51850</v>
      </c>
      <c r="E92" s="38"/>
      <c r="F92" s="38"/>
      <c r="G92" s="41"/>
      <c r="H92" s="41"/>
    </row>
    <row r="93" spans="1:8" x14ac:dyDescent="0.2">
      <c r="A93" s="42"/>
      <c r="B93" s="37">
        <f t="shared" si="7"/>
        <v>38749</v>
      </c>
      <c r="C93" s="38">
        <f t="shared" si="5"/>
        <v>16000</v>
      </c>
      <c r="D93" s="38">
        <f t="shared" si="6"/>
        <v>51850</v>
      </c>
      <c r="E93" s="38"/>
      <c r="F93" s="38"/>
      <c r="G93" s="41"/>
      <c r="H93" s="41"/>
    </row>
    <row r="94" spans="1:8" x14ac:dyDescent="0.2">
      <c r="A94" s="42"/>
      <c r="B94" s="37">
        <f t="shared" si="7"/>
        <v>38777</v>
      </c>
      <c r="C94" s="38">
        <f t="shared" si="5"/>
        <v>16000</v>
      </c>
      <c r="D94" s="38">
        <f t="shared" si="6"/>
        <v>51850</v>
      </c>
      <c r="E94" s="38"/>
      <c r="F94" s="38"/>
      <c r="G94" s="41"/>
      <c r="H94" s="41"/>
    </row>
    <row r="95" spans="1:8" x14ac:dyDescent="0.2">
      <c r="A95" s="42"/>
      <c r="B95" s="37">
        <f t="shared" si="7"/>
        <v>38808</v>
      </c>
      <c r="C95" s="38">
        <f t="shared" si="5"/>
        <v>16000</v>
      </c>
      <c r="D95" s="38">
        <f t="shared" si="6"/>
        <v>51850</v>
      </c>
      <c r="E95" s="38"/>
      <c r="F95" s="38"/>
      <c r="G95" s="41"/>
      <c r="H95" s="41"/>
    </row>
    <row r="96" spans="1:8" x14ac:dyDescent="0.2">
      <c r="A96" s="42"/>
      <c r="B96" s="37">
        <f t="shared" si="7"/>
        <v>38838</v>
      </c>
      <c r="C96" s="38">
        <f t="shared" si="5"/>
        <v>16000</v>
      </c>
      <c r="D96" s="38">
        <f t="shared" si="6"/>
        <v>51850</v>
      </c>
      <c r="E96" s="38"/>
      <c r="F96" s="38"/>
      <c r="G96" s="41"/>
      <c r="H96" s="41"/>
    </row>
    <row r="97" spans="1:8" x14ac:dyDescent="0.2">
      <c r="A97" s="42"/>
      <c r="B97" s="37">
        <f t="shared" si="7"/>
        <v>38869</v>
      </c>
      <c r="C97" s="38">
        <f t="shared" si="5"/>
        <v>16000</v>
      </c>
      <c r="D97" s="38">
        <f t="shared" si="6"/>
        <v>51850</v>
      </c>
      <c r="E97" s="38"/>
      <c r="F97" s="38"/>
      <c r="G97" s="41"/>
      <c r="H97" s="41"/>
    </row>
    <row r="98" spans="1:8" x14ac:dyDescent="0.2">
      <c r="A98" s="42"/>
      <c r="B98" s="37">
        <f t="shared" si="7"/>
        <v>38899</v>
      </c>
      <c r="C98" s="38">
        <f t="shared" si="5"/>
        <v>16000</v>
      </c>
      <c r="D98" s="38">
        <f t="shared" si="6"/>
        <v>51850</v>
      </c>
      <c r="E98" s="38"/>
      <c r="F98" s="38"/>
      <c r="G98" s="41"/>
      <c r="H98" s="41"/>
    </row>
    <row r="99" spans="1:8" x14ac:dyDescent="0.2">
      <c r="A99" s="42"/>
      <c r="B99" s="37">
        <f t="shared" si="7"/>
        <v>38930</v>
      </c>
      <c r="C99" s="38">
        <f t="shared" si="5"/>
        <v>16000</v>
      </c>
      <c r="D99" s="38">
        <f t="shared" si="6"/>
        <v>51850</v>
      </c>
      <c r="E99" s="38"/>
      <c r="F99" s="38"/>
      <c r="G99" s="41"/>
      <c r="H99" s="41"/>
    </row>
    <row r="100" spans="1:8" x14ac:dyDescent="0.2">
      <c r="A100" s="42"/>
      <c r="B100" s="37">
        <f t="shared" si="7"/>
        <v>38961</v>
      </c>
      <c r="C100" s="38">
        <f t="shared" si="5"/>
        <v>16000</v>
      </c>
      <c r="D100" s="38">
        <f t="shared" si="6"/>
        <v>51850</v>
      </c>
      <c r="E100" s="38"/>
      <c r="F100" s="38"/>
      <c r="G100" s="41"/>
      <c r="H100" s="41"/>
    </row>
    <row r="101" spans="1:8" x14ac:dyDescent="0.2">
      <c r="A101" s="42"/>
      <c r="B101" s="37">
        <f t="shared" si="7"/>
        <v>38991</v>
      </c>
      <c r="C101" s="38">
        <f t="shared" si="5"/>
        <v>16000</v>
      </c>
      <c r="D101" s="38">
        <f t="shared" si="6"/>
        <v>51850</v>
      </c>
      <c r="E101" s="38"/>
      <c r="F101" s="38"/>
      <c r="G101" s="41"/>
      <c r="H101" s="41"/>
    </row>
    <row r="102" spans="1:8" x14ac:dyDescent="0.2">
      <c r="A102" s="42"/>
      <c r="B102" s="37">
        <f t="shared" si="7"/>
        <v>39022</v>
      </c>
      <c r="C102" s="38">
        <f t="shared" si="5"/>
        <v>16000</v>
      </c>
      <c r="D102" s="38">
        <f t="shared" si="6"/>
        <v>51850</v>
      </c>
      <c r="E102" s="38"/>
      <c r="F102" s="38"/>
      <c r="G102" s="41"/>
      <c r="H102" s="41"/>
    </row>
    <row r="103" spans="1:8" x14ac:dyDescent="0.2">
      <c r="A103" s="42"/>
      <c r="B103" s="37">
        <f t="shared" si="7"/>
        <v>39052</v>
      </c>
      <c r="C103" s="38">
        <f t="shared" si="5"/>
        <v>16000</v>
      </c>
      <c r="D103" s="38">
        <f t="shared" si="6"/>
        <v>51850</v>
      </c>
      <c r="E103" s="38"/>
      <c r="F103" s="38"/>
      <c r="G103" s="41"/>
      <c r="H103" s="41"/>
    </row>
    <row r="104" spans="1:8" x14ac:dyDescent="0.2">
      <c r="A104" s="42"/>
      <c r="B104" s="37">
        <f t="shared" si="7"/>
        <v>39083</v>
      </c>
      <c r="C104" s="38">
        <f t="shared" si="5"/>
        <v>16000</v>
      </c>
      <c r="D104" s="38">
        <f t="shared" si="6"/>
        <v>51850</v>
      </c>
      <c r="E104" s="38"/>
      <c r="F104" s="38"/>
      <c r="G104" s="41"/>
      <c r="H104" s="41"/>
    </row>
    <row r="105" spans="1:8" x14ac:dyDescent="0.2">
      <c r="A105" s="42"/>
      <c r="B105" s="37">
        <f t="shared" si="7"/>
        <v>39114</v>
      </c>
      <c r="C105" s="38">
        <f t="shared" si="5"/>
        <v>16000</v>
      </c>
      <c r="D105" s="38">
        <f t="shared" si="6"/>
        <v>51850</v>
      </c>
      <c r="E105" s="38"/>
      <c r="F105" s="38"/>
      <c r="G105" s="41"/>
      <c r="H105" s="41"/>
    </row>
    <row r="106" spans="1:8" x14ac:dyDescent="0.2">
      <c r="A106" s="42"/>
      <c r="B106" s="37">
        <f t="shared" si="7"/>
        <v>39142</v>
      </c>
      <c r="C106" s="38">
        <f t="shared" si="5"/>
        <v>16000</v>
      </c>
      <c r="D106" s="38">
        <f t="shared" si="6"/>
        <v>51850</v>
      </c>
      <c r="E106" s="38"/>
      <c r="F106" s="38"/>
      <c r="G106" s="41"/>
      <c r="H106" s="41"/>
    </row>
    <row r="107" spans="1:8" x14ac:dyDescent="0.2">
      <c r="A107" s="42"/>
      <c r="B107" s="37">
        <f t="shared" si="7"/>
        <v>39173</v>
      </c>
      <c r="C107" s="38">
        <f t="shared" si="5"/>
        <v>16000</v>
      </c>
      <c r="D107" s="38">
        <f t="shared" si="6"/>
        <v>51850</v>
      </c>
      <c r="E107" s="38"/>
      <c r="F107" s="38"/>
      <c r="G107" s="41"/>
      <c r="H107" s="41"/>
    </row>
    <row r="108" spans="1:8" x14ac:dyDescent="0.2">
      <c r="A108" s="42"/>
      <c r="B108" s="37">
        <f t="shared" si="7"/>
        <v>39203</v>
      </c>
      <c r="C108" s="38">
        <f t="shared" si="5"/>
        <v>16000</v>
      </c>
      <c r="D108" s="38">
        <f t="shared" si="6"/>
        <v>51850</v>
      </c>
      <c r="E108" s="38"/>
      <c r="F108" s="38"/>
      <c r="G108" s="41"/>
      <c r="H108" s="41"/>
    </row>
    <row r="109" spans="1:8" x14ac:dyDescent="0.2">
      <c r="A109" s="42"/>
      <c r="B109" s="37">
        <f t="shared" si="7"/>
        <v>39234</v>
      </c>
      <c r="C109" s="38">
        <f t="shared" si="5"/>
        <v>16000</v>
      </c>
      <c r="D109" s="38">
        <f t="shared" si="6"/>
        <v>51850</v>
      </c>
      <c r="E109" s="38"/>
      <c r="F109" s="38"/>
      <c r="G109" s="41"/>
      <c r="H109" s="41"/>
    </row>
    <row r="110" spans="1:8" x14ac:dyDescent="0.2">
      <c r="A110" s="42"/>
      <c r="B110" s="37">
        <f t="shared" si="7"/>
        <v>39264</v>
      </c>
      <c r="C110" s="38">
        <f t="shared" si="5"/>
        <v>16000</v>
      </c>
      <c r="D110" s="38">
        <f t="shared" si="6"/>
        <v>51850</v>
      </c>
      <c r="E110" s="38"/>
      <c r="F110" s="38"/>
      <c r="G110" s="41"/>
      <c r="H110" s="41"/>
    </row>
    <row r="111" spans="1:8" x14ac:dyDescent="0.2">
      <c r="A111" s="42"/>
      <c r="B111" s="37">
        <f t="shared" si="7"/>
        <v>39295</v>
      </c>
      <c r="C111" s="38">
        <f t="shared" si="5"/>
        <v>16000</v>
      </c>
      <c r="D111" s="38">
        <f t="shared" si="6"/>
        <v>51850</v>
      </c>
      <c r="E111" s="38"/>
      <c r="F111" s="38"/>
      <c r="G111" s="41"/>
      <c r="H111" s="41"/>
    </row>
    <row r="112" spans="1:8" x14ac:dyDescent="0.2">
      <c r="A112" s="42"/>
      <c r="B112" s="37">
        <f t="shared" si="7"/>
        <v>39326</v>
      </c>
      <c r="C112" s="38">
        <f t="shared" si="5"/>
        <v>16000</v>
      </c>
      <c r="D112" s="38">
        <f t="shared" si="6"/>
        <v>51850</v>
      </c>
      <c r="E112" s="38"/>
      <c r="F112" s="38"/>
      <c r="G112" s="41"/>
      <c r="H112" s="41"/>
    </row>
    <row r="113" spans="1:8" x14ac:dyDescent="0.2">
      <c r="A113" s="42"/>
      <c r="B113" s="37">
        <f t="shared" si="7"/>
        <v>39356</v>
      </c>
      <c r="C113" s="38">
        <f t="shared" si="5"/>
        <v>16000</v>
      </c>
      <c r="D113" s="38">
        <f t="shared" si="6"/>
        <v>51850</v>
      </c>
      <c r="E113" s="38"/>
      <c r="F113" s="38"/>
      <c r="G113" s="41"/>
      <c r="H113" s="41"/>
    </row>
    <row r="114" spans="1:8" x14ac:dyDescent="0.2">
      <c r="A114" s="42"/>
      <c r="B114" s="37">
        <f t="shared" si="7"/>
        <v>39387</v>
      </c>
      <c r="C114" s="38">
        <f t="shared" si="5"/>
        <v>16000</v>
      </c>
      <c r="D114" s="38">
        <f t="shared" si="6"/>
        <v>51850</v>
      </c>
      <c r="E114" s="38"/>
      <c r="F114" s="38"/>
      <c r="G114" s="41"/>
      <c r="H114" s="41"/>
    </row>
    <row r="115" spans="1:8" x14ac:dyDescent="0.2">
      <c r="A115" s="42"/>
      <c r="B115" s="37">
        <f t="shared" si="7"/>
        <v>39417</v>
      </c>
      <c r="C115" s="38">
        <f t="shared" si="5"/>
        <v>16000</v>
      </c>
      <c r="D115" s="38">
        <f t="shared" si="6"/>
        <v>51850</v>
      </c>
      <c r="E115" s="38"/>
      <c r="F115" s="38"/>
      <c r="G115" s="41"/>
      <c r="H115" s="41"/>
    </row>
    <row r="116" spans="1:8" x14ac:dyDescent="0.2">
      <c r="A116" s="42"/>
      <c r="B116" s="37">
        <f t="shared" si="7"/>
        <v>39448</v>
      </c>
      <c r="C116" s="38">
        <f t="shared" si="5"/>
        <v>16000</v>
      </c>
      <c r="D116" s="38">
        <f t="shared" si="6"/>
        <v>51850</v>
      </c>
      <c r="E116" s="38"/>
      <c r="F116" s="38"/>
      <c r="G116" s="41"/>
      <c r="H116" s="41"/>
    </row>
    <row r="117" spans="1:8" x14ac:dyDescent="0.2">
      <c r="A117" s="42"/>
      <c r="B117" s="37">
        <f t="shared" si="7"/>
        <v>39479</v>
      </c>
      <c r="C117" s="38">
        <f t="shared" si="5"/>
        <v>16000</v>
      </c>
      <c r="D117" s="38">
        <f t="shared" si="6"/>
        <v>51850</v>
      </c>
      <c r="E117" s="38"/>
      <c r="F117" s="38"/>
      <c r="G117" s="41"/>
      <c r="H117" s="41"/>
    </row>
    <row r="118" spans="1:8" x14ac:dyDescent="0.2">
      <c r="A118" s="42"/>
      <c r="B118" s="37">
        <f t="shared" si="7"/>
        <v>39508</v>
      </c>
      <c r="C118" s="38">
        <f t="shared" si="5"/>
        <v>16000</v>
      </c>
      <c r="D118" s="38">
        <f t="shared" si="6"/>
        <v>51850</v>
      </c>
      <c r="E118" s="38"/>
      <c r="F118" s="38"/>
      <c r="G118" s="41"/>
      <c r="H118" s="41"/>
    </row>
    <row r="119" spans="1:8" x14ac:dyDescent="0.2">
      <c r="A119" s="42"/>
      <c r="B119" s="37">
        <f t="shared" si="7"/>
        <v>39539</v>
      </c>
      <c r="C119" s="38">
        <f t="shared" si="5"/>
        <v>16000</v>
      </c>
      <c r="D119" s="38">
        <f t="shared" si="6"/>
        <v>51850</v>
      </c>
      <c r="E119" s="38"/>
      <c r="F119" s="38"/>
      <c r="G119" s="41"/>
      <c r="H119" s="41"/>
    </row>
    <row r="120" spans="1:8" x14ac:dyDescent="0.2">
      <c r="A120" s="42"/>
      <c r="B120" s="37">
        <f t="shared" si="7"/>
        <v>39569</v>
      </c>
      <c r="C120" s="38">
        <f t="shared" si="5"/>
        <v>16000</v>
      </c>
      <c r="D120" s="38">
        <f t="shared" si="6"/>
        <v>51850</v>
      </c>
      <c r="E120" s="38"/>
      <c r="F120" s="38"/>
      <c r="G120" s="41"/>
      <c r="H120" s="41"/>
    </row>
    <row r="121" spans="1:8" x14ac:dyDescent="0.2">
      <c r="A121" s="42"/>
      <c r="B121" s="37">
        <f t="shared" si="7"/>
        <v>39600</v>
      </c>
      <c r="C121" s="38">
        <f t="shared" ref="C121:C184" si="8">+C120</f>
        <v>16000</v>
      </c>
      <c r="D121" s="38">
        <f t="shared" ref="D121:D184" si="9">+D120</f>
        <v>51850</v>
      </c>
      <c r="E121" s="38"/>
      <c r="F121" s="38"/>
      <c r="G121" s="41"/>
      <c r="H121" s="41"/>
    </row>
    <row r="122" spans="1:8" x14ac:dyDescent="0.2">
      <c r="A122" s="42"/>
      <c r="B122" s="37">
        <f t="shared" si="7"/>
        <v>39630</v>
      </c>
      <c r="C122" s="38">
        <f t="shared" si="8"/>
        <v>16000</v>
      </c>
      <c r="D122" s="38">
        <f t="shared" si="9"/>
        <v>51850</v>
      </c>
      <c r="E122" s="38"/>
      <c r="F122" s="38"/>
      <c r="G122" s="41"/>
      <c r="H122" s="41"/>
    </row>
    <row r="123" spans="1:8" x14ac:dyDescent="0.2">
      <c r="A123" s="42"/>
      <c r="B123" s="37">
        <f t="shared" si="7"/>
        <v>39661</v>
      </c>
      <c r="C123" s="38">
        <f t="shared" si="8"/>
        <v>16000</v>
      </c>
      <c r="D123" s="38">
        <f t="shared" si="9"/>
        <v>51850</v>
      </c>
      <c r="E123" s="38"/>
      <c r="F123" s="38"/>
      <c r="G123" s="41"/>
      <c r="H123" s="41"/>
    </row>
    <row r="124" spans="1:8" x14ac:dyDescent="0.2">
      <c r="A124" s="42"/>
      <c r="B124" s="37">
        <f t="shared" si="7"/>
        <v>39692</v>
      </c>
      <c r="C124" s="38">
        <f t="shared" si="8"/>
        <v>16000</v>
      </c>
      <c r="D124" s="38">
        <f t="shared" si="9"/>
        <v>51850</v>
      </c>
      <c r="E124" s="38"/>
      <c r="F124" s="38"/>
      <c r="G124" s="41"/>
      <c r="H124" s="41"/>
    </row>
    <row r="125" spans="1:8" x14ac:dyDescent="0.2">
      <c r="A125" s="42"/>
      <c r="B125" s="37">
        <f t="shared" si="7"/>
        <v>39722</v>
      </c>
      <c r="C125" s="38">
        <f t="shared" si="8"/>
        <v>16000</v>
      </c>
      <c r="D125" s="38">
        <f t="shared" si="9"/>
        <v>51850</v>
      </c>
      <c r="E125" s="38"/>
      <c r="F125" s="38"/>
      <c r="G125" s="41"/>
      <c r="H125" s="41"/>
    </row>
    <row r="126" spans="1:8" x14ac:dyDescent="0.2">
      <c r="A126" s="42"/>
      <c r="B126" s="37">
        <f t="shared" si="7"/>
        <v>39753</v>
      </c>
      <c r="C126" s="38">
        <f t="shared" si="8"/>
        <v>16000</v>
      </c>
      <c r="D126" s="38">
        <f t="shared" si="9"/>
        <v>51850</v>
      </c>
      <c r="E126" s="38"/>
      <c r="F126" s="38"/>
      <c r="G126" s="41"/>
      <c r="H126" s="41"/>
    </row>
    <row r="127" spans="1:8" x14ac:dyDescent="0.2">
      <c r="A127" s="42"/>
      <c r="B127" s="37">
        <f t="shared" si="7"/>
        <v>39783</v>
      </c>
      <c r="C127" s="38">
        <f t="shared" si="8"/>
        <v>16000</v>
      </c>
      <c r="D127" s="38">
        <f t="shared" si="9"/>
        <v>51850</v>
      </c>
      <c r="E127" s="38"/>
      <c r="F127" s="38"/>
      <c r="G127" s="41"/>
      <c r="H127" s="41"/>
    </row>
    <row r="128" spans="1:8" x14ac:dyDescent="0.2">
      <c r="A128" s="42"/>
      <c r="B128" s="37">
        <f t="shared" si="7"/>
        <v>39814</v>
      </c>
      <c r="C128" s="38">
        <f t="shared" si="8"/>
        <v>16000</v>
      </c>
      <c r="D128" s="38">
        <f t="shared" si="9"/>
        <v>51850</v>
      </c>
      <c r="E128" s="38"/>
      <c r="F128" s="38"/>
      <c r="G128" s="41"/>
      <c r="H128" s="41"/>
    </row>
    <row r="129" spans="1:8" x14ac:dyDescent="0.2">
      <c r="A129" s="42"/>
      <c r="B129" s="37">
        <f t="shared" si="7"/>
        <v>39845</v>
      </c>
      <c r="C129" s="38">
        <f t="shared" si="8"/>
        <v>16000</v>
      </c>
      <c r="D129" s="38">
        <f t="shared" si="9"/>
        <v>51850</v>
      </c>
      <c r="E129" s="38"/>
      <c r="F129" s="38"/>
      <c r="G129" s="41"/>
      <c r="H129" s="41"/>
    </row>
    <row r="130" spans="1:8" x14ac:dyDescent="0.2">
      <c r="A130" s="42"/>
      <c r="B130" s="37">
        <f t="shared" si="7"/>
        <v>39873</v>
      </c>
      <c r="C130" s="38">
        <f t="shared" si="8"/>
        <v>16000</v>
      </c>
      <c r="D130" s="38">
        <f t="shared" si="9"/>
        <v>51850</v>
      </c>
      <c r="E130" s="38"/>
      <c r="F130" s="38"/>
      <c r="G130" s="41"/>
      <c r="H130" s="41"/>
    </row>
    <row r="131" spans="1:8" x14ac:dyDescent="0.2">
      <c r="A131" s="42"/>
      <c r="B131" s="37">
        <f t="shared" si="7"/>
        <v>39904</v>
      </c>
      <c r="C131" s="38">
        <f t="shared" si="8"/>
        <v>16000</v>
      </c>
      <c r="D131" s="38">
        <f t="shared" si="9"/>
        <v>51850</v>
      </c>
      <c r="E131" s="38"/>
      <c r="F131" s="38"/>
      <c r="G131" s="41"/>
      <c r="H131" s="41"/>
    </row>
    <row r="132" spans="1:8" x14ac:dyDescent="0.2">
      <c r="A132" s="42"/>
      <c r="B132" s="37">
        <f t="shared" si="7"/>
        <v>39934</v>
      </c>
      <c r="C132" s="38">
        <f t="shared" si="8"/>
        <v>16000</v>
      </c>
      <c r="D132" s="38">
        <f t="shared" si="9"/>
        <v>51850</v>
      </c>
      <c r="E132" s="38"/>
      <c r="F132" s="38"/>
      <c r="G132" s="41"/>
      <c r="H132" s="41"/>
    </row>
    <row r="133" spans="1:8" x14ac:dyDescent="0.2">
      <c r="A133" s="42"/>
      <c r="B133" s="37">
        <f t="shared" si="7"/>
        <v>39965</v>
      </c>
      <c r="C133" s="38">
        <f t="shared" si="8"/>
        <v>16000</v>
      </c>
      <c r="D133" s="38">
        <f t="shared" si="9"/>
        <v>51850</v>
      </c>
      <c r="E133" s="38"/>
      <c r="F133" s="38"/>
      <c r="G133" s="41"/>
      <c r="H133" s="41"/>
    </row>
    <row r="134" spans="1:8" x14ac:dyDescent="0.2">
      <c r="A134" s="42"/>
      <c r="B134" s="37">
        <f t="shared" si="7"/>
        <v>39995</v>
      </c>
      <c r="C134" s="38">
        <f t="shared" si="8"/>
        <v>16000</v>
      </c>
      <c r="D134" s="38">
        <f t="shared" si="9"/>
        <v>51850</v>
      </c>
      <c r="E134" s="38"/>
      <c r="F134" s="38"/>
      <c r="G134" s="41"/>
      <c r="H134" s="41"/>
    </row>
    <row r="135" spans="1:8" x14ac:dyDescent="0.2">
      <c r="A135" s="42"/>
      <c r="B135" s="37">
        <f t="shared" si="7"/>
        <v>40026</v>
      </c>
      <c r="C135" s="38">
        <f t="shared" si="8"/>
        <v>16000</v>
      </c>
      <c r="D135" s="38">
        <f t="shared" si="9"/>
        <v>51850</v>
      </c>
      <c r="E135" s="38"/>
      <c r="F135" s="38"/>
      <c r="G135" s="41"/>
      <c r="H135" s="41"/>
    </row>
    <row r="136" spans="1:8" x14ac:dyDescent="0.2">
      <c r="A136" s="42"/>
      <c r="B136" s="37">
        <f t="shared" si="7"/>
        <v>40057</v>
      </c>
      <c r="C136" s="38">
        <f t="shared" si="8"/>
        <v>16000</v>
      </c>
      <c r="D136" s="38">
        <f t="shared" si="9"/>
        <v>51850</v>
      </c>
      <c r="E136" s="38"/>
      <c r="F136" s="38"/>
      <c r="G136" s="41"/>
      <c r="H136" s="41"/>
    </row>
    <row r="137" spans="1:8" x14ac:dyDescent="0.2">
      <c r="A137" s="42"/>
      <c r="B137" s="37">
        <f t="shared" si="7"/>
        <v>40087</v>
      </c>
      <c r="C137" s="38">
        <f t="shared" si="8"/>
        <v>16000</v>
      </c>
      <c r="D137" s="38">
        <f t="shared" si="9"/>
        <v>51850</v>
      </c>
      <c r="E137" s="38"/>
      <c r="F137" s="38"/>
      <c r="G137" s="41"/>
      <c r="H137" s="41"/>
    </row>
    <row r="138" spans="1:8" x14ac:dyDescent="0.2">
      <c r="A138" s="42"/>
      <c r="B138" s="37">
        <f t="shared" si="7"/>
        <v>40118</v>
      </c>
      <c r="C138" s="38">
        <f t="shared" si="8"/>
        <v>16000</v>
      </c>
      <c r="D138" s="38">
        <f t="shared" si="9"/>
        <v>51850</v>
      </c>
      <c r="E138" s="38"/>
      <c r="F138" s="38"/>
      <c r="G138" s="41"/>
      <c r="H138" s="41"/>
    </row>
    <row r="139" spans="1:8" x14ac:dyDescent="0.2">
      <c r="A139" s="42"/>
      <c r="B139" s="37">
        <f t="shared" si="7"/>
        <v>40148</v>
      </c>
      <c r="C139" s="38">
        <f t="shared" si="8"/>
        <v>16000</v>
      </c>
      <c r="D139" s="38">
        <f t="shared" si="9"/>
        <v>51850</v>
      </c>
      <c r="E139" s="38"/>
      <c r="F139" s="38"/>
      <c r="G139" s="41"/>
      <c r="H139" s="41"/>
    </row>
    <row r="140" spans="1:8" x14ac:dyDescent="0.2">
      <c r="A140" s="42"/>
      <c r="B140" s="37">
        <f t="shared" si="7"/>
        <v>40179</v>
      </c>
      <c r="C140" s="38">
        <f t="shared" si="8"/>
        <v>16000</v>
      </c>
      <c r="D140" s="38">
        <f t="shared" si="9"/>
        <v>51850</v>
      </c>
      <c r="E140" s="38"/>
      <c r="F140" s="38"/>
      <c r="G140" s="41"/>
      <c r="H140" s="41"/>
    </row>
    <row r="141" spans="1:8" x14ac:dyDescent="0.2">
      <c r="A141" s="42"/>
      <c r="B141" s="37">
        <f t="shared" si="7"/>
        <v>40210</v>
      </c>
      <c r="C141" s="38">
        <f t="shared" si="8"/>
        <v>16000</v>
      </c>
      <c r="D141" s="38">
        <f t="shared" si="9"/>
        <v>51850</v>
      </c>
      <c r="E141" s="38"/>
      <c r="F141" s="38"/>
      <c r="G141" s="41"/>
      <c r="H141" s="41"/>
    </row>
    <row r="142" spans="1:8" x14ac:dyDescent="0.2">
      <c r="A142" s="42"/>
      <c r="B142" s="37">
        <f t="shared" si="7"/>
        <v>40238</v>
      </c>
      <c r="C142" s="38">
        <f t="shared" si="8"/>
        <v>16000</v>
      </c>
      <c r="D142" s="38">
        <f t="shared" si="9"/>
        <v>51850</v>
      </c>
      <c r="E142" s="38"/>
      <c r="F142" s="38"/>
      <c r="G142" s="41"/>
      <c r="H142" s="41"/>
    </row>
    <row r="143" spans="1:8" x14ac:dyDescent="0.2">
      <c r="A143" s="42"/>
      <c r="B143" s="37">
        <f t="shared" si="7"/>
        <v>40269</v>
      </c>
      <c r="C143" s="38">
        <f t="shared" si="8"/>
        <v>16000</v>
      </c>
      <c r="D143" s="38">
        <f t="shared" si="9"/>
        <v>51850</v>
      </c>
      <c r="E143" s="38"/>
      <c r="F143" s="38"/>
      <c r="G143" s="41"/>
      <c r="H143" s="41"/>
    </row>
    <row r="144" spans="1:8" x14ac:dyDescent="0.2">
      <c r="A144" s="42"/>
      <c r="B144" s="37">
        <f t="shared" si="7"/>
        <v>40299</v>
      </c>
      <c r="C144" s="38">
        <f t="shared" si="8"/>
        <v>16000</v>
      </c>
      <c r="D144" s="38">
        <f t="shared" si="9"/>
        <v>51850</v>
      </c>
      <c r="E144" s="38"/>
      <c r="F144" s="38"/>
      <c r="G144" s="41"/>
      <c r="H144" s="41"/>
    </row>
    <row r="145" spans="1:8" x14ac:dyDescent="0.2">
      <c r="A145" s="42"/>
      <c r="B145" s="37">
        <f t="shared" si="7"/>
        <v>40330</v>
      </c>
      <c r="C145" s="38">
        <f t="shared" si="8"/>
        <v>16000</v>
      </c>
      <c r="D145" s="38">
        <f t="shared" si="9"/>
        <v>51850</v>
      </c>
      <c r="E145" s="38"/>
      <c r="F145" s="38"/>
      <c r="G145" s="41"/>
      <c r="H145" s="41"/>
    </row>
    <row r="146" spans="1:8" x14ac:dyDescent="0.2">
      <c r="A146" s="42"/>
      <c r="B146" s="37">
        <f t="shared" si="7"/>
        <v>40360</v>
      </c>
      <c r="C146" s="38">
        <f t="shared" si="8"/>
        <v>16000</v>
      </c>
      <c r="D146" s="38">
        <f t="shared" si="9"/>
        <v>51850</v>
      </c>
      <c r="E146" s="38"/>
      <c r="F146" s="38"/>
      <c r="G146" s="41"/>
      <c r="H146" s="41"/>
    </row>
    <row r="147" spans="1:8" x14ac:dyDescent="0.2">
      <c r="A147" s="42"/>
      <c r="B147" s="37">
        <f t="shared" si="7"/>
        <v>40391</v>
      </c>
      <c r="C147" s="38">
        <f t="shared" si="8"/>
        <v>16000</v>
      </c>
      <c r="D147" s="38">
        <f t="shared" si="9"/>
        <v>51850</v>
      </c>
      <c r="E147" s="38"/>
      <c r="F147" s="38"/>
      <c r="G147" s="41"/>
      <c r="H147" s="41"/>
    </row>
    <row r="148" spans="1:8" x14ac:dyDescent="0.2">
      <c r="A148" s="42"/>
      <c r="B148" s="37">
        <f t="shared" si="7"/>
        <v>40422</v>
      </c>
      <c r="C148" s="38">
        <f t="shared" si="8"/>
        <v>16000</v>
      </c>
      <c r="D148" s="38">
        <f t="shared" si="9"/>
        <v>51850</v>
      </c>
      <c r="E148" s="38"/>
      <c r="F148" s="38"/>
      <c r="G148" s="41"/>
      <c r="H148" s="41"/>
    </row>
    <row r="149" spans="1:8" x14ac:dyDescent="0.2">
      <c r="A149" s="42"/>
      <c r="B149" s="37">
        <f t="shared" si="7"/>
        <v>40452</v>
      </c>
      <c r="C149" s="38">
        <f t="shared" si="8"/>
        <v>16000</v>
      </c>
      <c r="D149" s="38">
        <f t="shared" si="9"/>
        <v>51850</v>
      </c>
      <c r="E149" s="38"/>
      <c r="F149" s="38"/>
      <c r="G149" s="41"/>
      <c r="H149" s="41"/>
    </row>
    <row r="150" spans="1:8" x14ac:dyDescent="0.2">
      <c r="A150" s="42"/>
      <c r="B150" s="37">
        <f t="shared" si="7"/>
        <v>40483</v>
      </c>
      <c r="C150" s="38">
        <f t="shared" si="8"/>
        <v>16000</v>
      </c>
      <c r="D150" s="38">
        <f t="shared" si="9"/>
        <v>51850</v>
      </c>
      <c r="E150" s="38"/>
      <c r="F150" s="38"/>
      <c r="G150" s="41"/>
      <c r="H150" s="41"/>
    </row>
    <row r="151" spans="1:8" x14ac:dyDescent="0.2">
      <c r="A151" s="42"/>
      <c r="B151" s="37">
        <f t="shared" si="7"/>
        <v>40513</v>
      </c>
      <c r="C151" s="38">
        <f t="shared" si="8"/>
        <v>16000</v>
      </c>
      <c r="D151" s="38">
        <f t="shared" si="9"/>
        <v>51850</v>
      </c>
      <c r="E151" s="38"/>
      <c r="F151" s="38"/>
      <c r="G151" s="41"/>
      <c r="H151" s="41"/>
    </row>
    <row r="152" spans="1:8" x14ac:dyDescent="0.2">
      <c r="A152" s="42"/>
      <c r="B152" s="37">
        <f t="shared" si="7"/>
        <v>40544</v>
      </c>
      <c r="C152" s="38">
        <f t="shared" si="8"/>
        <v>16000</v>
      </c>
      <c r="D152" s="38">
        <f t="shared" si="9"/>
        <v>51850</v>
      </c>
      <c r="E152" s="38"/>
      <c r="F152" s="38"/>
      <c r="G152" s="41"/>
      <c r="H152" s="41"/>
    </row>
    <row r="153" spans="1:8" x14ac:dyDescent="0.2">
      <c r="A153" s="42"/>
      <c r="B153" s="37">
        <f t="shared" si="7"/>
        <v>40575</v>
      </c>
      <c r="C153" s="38">
        <f t="shared" si="8"/>
        <v>16000</v>
      </c>
      <c r="D153" s="38">
        <f t="shared" si="9"/>
        <v>51850</v>
      </c>
      <c r="E153" s="38"/>
      <c r="F153" s="38"/>
      <c r="G153" s="41"/>
      <c r="H153" s="41"/>
    </row>
    <row r="154" spans="1:8" x14ac:dyDescent="0.2">
      <c r="A154" s="42"/>
      <c r="B154" s="37">
        <f t="shared" si="7"/>
        <v>40603</v>
      </c>
      <c r="C154" s="38">
        <f t="shared" si="8"/>
        <v>16000</v>
      </c>
      <c r="D154" s="38">
        <f t="shared" si="9"/>
        <v>51850</v>
      </c>
      <c r="E154" s="38"/>
      <c r="F154" s="38"/>
      <c r="G154" s="41"/>
      <c r="H154" s="41"/>
    </row>
    <row r="155" spans="1:8" x14ac:dyDescent="0.2">
      <c r="A155" s="42"/>
      <c r="B155" s="37">
        <f t="shared" si="7"/>
        <v>40634</v>
      </c>
      <c r="C155" s="38">
        <f t="shared" si="8"/>
        <v>16000</v>
      </c>
      <c r="D155" s="38">
        <f t="shared" si="9"/>
        <v>51850</v>
      </c>
      <c r="E155" s="38"/>
      <c r="F155" s="38"/>
      <c r="G155" s="41"/>
      <c r="H155" s="41"/>
    </row>
    <row r="156" spans="1:8" x14ac:dyDescent="0.2">
      <c r="A156" s="42"/>
      <c r="B156" s="37">
        <f t="shared" ref="B156:B219" si="10">+DATE(YEAR(B155),MONTH(B155)+1,1)</f>
        <v>40664</v>
      </c>
      <c r="C156" s="38">
        <f t="shared" si="8"/>
        <v>16000</v>
      </c>
      <c r="D156" s="38">
        <f t="shared" si="9"/>
        <v>51850</v>
      </c>
      <c r="E156" s="38"/>
      <c r="F156" s="38"/>
      <c r="G156" s="41"/>
      <c r="H156" s="41"/>
    </row>
    <row r="157" spans="1:8" x14ac:dyDescent="0.2">
      <c r="A157" s="42"/>
      <c r="B157" s="37">
        <f t="shared" si="10"/>
        <v>40695</v>
      </c>
      <c r="C157" s="38">
        <f t="shared" si="8"/>
        <v>16000</v>
      </c>
      <c r="D157" s="38">
        <f t="shared" si="9"/>
        <v>51850</v>
      </c>
      <c r="E157" s="38"/>
      <c r="F157" s="38"/>
      <c r="G157" s="41"/>
      <c r="H157" s="41"/>
    </row>
    <row r="158" spans="1:8" x14ac:dyDescent="0.2">
      <c r="A158" s="42"/>
      <c r="B158" s="37">
        <f t="shared" si="10"/>
        <v>40725</v>
      </c>
      <c r="C158" s="38">
        <f t="shared" si="8"/>
        <v>16000</v>
      </c>
      <c r="D158" s="38">
        <f t="shared" si="9"/>
        <v>51850</v>
      </c>
      <c r="E158" s="38"/>
      <c r="F158" s="38"/>
      <c r="G158" s="41"/>
      <c r="H158" s="41"/>
    </row>
    <row r="159" spans="1:8" x14ac:dyDescent="0.2">
      <c r="A159" s="42"/>
      <c r="B159" s="37">
        <f t="shared" si="10"/>
        <v>40756</v>
      </c>
      <c r="C159" s="38">
        <f t="shared" si="8"/>
        <v>16000</v>
      </c>
      <c r="D159" s="38">
        <f t="shared" si="9"/>
        <v>51850</v>
      </c>
      <c r="E159" s="38"/>
      <c r="F159" s="38"/>
      <c r="G159" s="41"/>
      <c r="H159" s="41"/>
    </row>
    <row r="160" spans="1:8" x14ac:dyDescent="0.2">
      <c r="A160" s="42"/>
      <c r="B160" s="37">
        <f t="shared" si="10"/>
        <v>40787</v>
      </c>
      <c r="C160" s="38">
        <f t="shared" si="8"/>
        <v>16000</v>
      </c>
      <c r="D160" s="38">
        <f t="shared" si="9"/>
        <v>51850</v>
      </c>
      <c r="E160" s="38"/>
      <c r="F160" s="38"/>
      <c r="G160" s="41"/>
      <c r="H160" s="41"/>
    </row>
    <row r="161" spans="1:8" x14ac:dyDescent="0.2">
      <c r="A161" s="42"/>
      <c r="B161" s="37">
        <f t="shared" si="10"/>
        <v>40817</v>
      </c>
      <c r="C161" s="38">
        <f t="shared" si="8"/>
        <v>16000</v>
      </c>
      <c r="D161" s="38">
        <f t="shared" si="9"/>
        <v>51850</v>
      </c>
      <c r="E161" s="38"/>
      <c r="F161" s="38"/>
      <c r="G161" s="41"/>
      <c r="H161" s="41"/>
    </row>
    <row r="162" spans="1:8" x14ac:dyDescent="0.2">
      <c r="A162" s="42"/>
      <c r="B162" s="37">
        <f t="shared" si="10"/>
        <v>40848</v>
      </c>
      <c r="C162" s="38">
        <f t="shared" si="8"/>
        <v>16000</v>
      </c>
      <c r="D162" s="38">
        <f t="shared" si="9"/>
        <v>51850</v>
      </c>
      <c r="E162" s="38"/>
      <c r="F162" s="38"/>
      <c r="G162" s="41"/>
      <c r="H162" s="41"/>
    </row>
    <row r="163" spans="1:8" x14ac:dyDescent="0.2">
      <c r="A163" s="42"/>
      <c r="B163" s="37">
        <f t="shared" si="10"/>
        <v>40878</v>
      </c>
      <c r="C163" s="38">
        <f t="shared" si="8"/>
        <v>16000</v>
      </c>
      <c r="D163" s="38">
        <f t="shared" si="9"/>
        <v>51850</v>
      </c>
      <c r="E163" s="38"/>
      <c r="F163" s="38"/>
      <c r="G163" s="41"/>
      <c r="H163" s="41"/>
    </row>
    <row r="164" spans="1:8" x14ac:dyDescent="0.2">
      <c r="A164" s="42"/>
      <c r="B164" s="37">
        <f t="shared" si="10"/>
        <v>40909</v>
      </c>
      <c r="C164" s="38">
        <f t="shared" si="8"/>
        <v>16000</v>
      </c>
      <c r="D164" s="38">
        <f t="shared" si="9"/>
        <v>51850</v>
      </c>
      <c r="E164" s="38"/>
      <c r="F164" s="38"/>
      <c r="G164" s="41"/>
      <c r="H164" s="41"/>
    </row>
    <row r="165" spans="1:8" x14ac:dyDescent="0.2">
      <c r="A165" s="42"/>
      <c r="B165" s="37">
        <f t="shared" si="10"/>
        <v>40940</v>
      </c>
      <c r="C165" s="38">
        <f t="shared" si="8"/>
        <v>16000</v>
      </c>
      <c r="D165" s="38">
        <f t="shared" si="9"/>
        <v>51850</v>
      </c>
      <c r="E165" s="38"/>
      <c r="F165" s="38"/>
      <c r="G165" s="41"/>
      <c r="H165" s="41"/>
    </row>
    <row r="166" spans="1:8" x14ac:dyDescent="0.2">
      <c r="A166" s="42"/>
      <c r="B166" s="37">
        <f t="shared" si="10"/>
        <v>40969</v>
      </c>
      <c r="C166" s="38">
        <f t="shared" si="8"/>
        <v>16000</v>
      </c>
      <c r="D166" s="38">
        <f t="shared" si="9"/>
        <v>51850</v>
      </c>
      <c r="E166" s="38"/>
      <c r="F166" s="38"/>
      <c r="G166" s="41"/>
      <c r="H166" s="41"/>
    </row>
    <row r="167" spans="1:8" x14ac:dyDescent="0.2">
      <c r="A167" s="42"/>
      <c r="B167" s="37">
        <f t="shared" si="10"/>
        <v>41000</v>
      </c>
      <c r="C167" s="38">
        <f t="shared" si="8"/>
        <v>16000</v>
      </c>
      <c r="D167" s="38">
        <f t="shared" si="9"/>
        <v>51850</v>
      </c>
      <c r="E167" s="38"/>
      <c r="F167" s="38"/>
      <c r="G167" s="41"/>
      <c r="H167" s="41"/>
    </row>
    <row r="168" spans="1:8" x14ac:dyDescent="0.2">
      <c r="A168" s="42"/>
      <c r="B168" s="37">
        <f t="shared" si="10"/>
        <v>41030</v>
      </c>
      <c r="C168" s="38">
        <f t="shared" si="8"/>
        <v>16000</v>
      </c>
      <c r="D168" s="38">
        <f t="shared" si="9"/>
        <v>51850</v>
      </c>
      <c r="E168" s="38"/>
      <c r="F168" s="38"/>
      <c r="G168" s="41"/>
      <c r="H168" s="41"/>
    </row>
    <row r="169" spans="1:8" x14ac:dyDescent="0.2">
      <c r="A169" s="42"/>
      <c r="B169" s="37">
        <f t="shared" si="10"/>
        <v>41061</v>
      </c>
      <c r="C169" s="38">
        <f t="shared" si="8"/>
        <v>16000</v>
      </c>
      <c r="D169" s="38">
        <f t="shared" si="9"/>
        <v>51850</v>
      </c>
      <c r="E169" s="38"/>
      <c r="F169" s="38"/>
      <c r="G169" s="41"/>
      <c r="H169" s="41"/>
    </row>
    <row r="170" spans="1:8" x14ac:dyDescent="0.2">
      <c r="A170" s="42"/>
      <c r="B170" s="37">
        <f t="shared" si="10"/>
        <v>41091</v>
      </c>
      <c r="C170" s="38">
        <f t="shared" si="8"/>
        <v>16000</v>
      </c>
      <c r="D170" s="38">
        <f t="shared" si="9"/>
        <v>51850</v>
      </c>
      <c r="E170" s="38"/>
      <c r="F170" s="38"/>
      <c r="G170" s="41"/>
      <c r="H170" s="41"/>
    </row>
    <row r="171" spans="1:8" x14ac:dyDescent="0.2">
      <c r="A171" s="42"/>
      <c r="B171" s="37">
        <f t="shared" si="10"/>
        <v>41122</v>
      </c>
      <c r="C171" s="38">
        <f t="shared" si="8"/>
        <v>16000</v>
      </c>
      <c r="D171" s="38">
        <f t="shared" si="9"/>
        <v>51850</v>
      </c>
      <c r="E171" s="38"/>
      <c r="F171" s="38"/>
      <c r="G171" s="41"/>
      <c r="H171" s="41"/>
    </row>
    <row r="172" spans="1:8" x14ac:dyDescent="0.2">
      <c r="A172" s="42"/>
      <c r="B172" s="37">
        <f t="shared" si="10"/>
        <v>41153</v>
      </c>
      <c r="C172" s="38">
        <f t="shared" si="8"/>
        <v>16000</v>
      </c>
      <c r="D172" s="38">
        <f t="shared" si="9"/>
        <v>51850</v>
      </c>
      <c r="E172" s="38"/>
      <c r="F172" s="38"/>
      <c r="G172" s="41"/>
      <c r="H172" s="41"/>
    </row>
    <row r="173" spans="1:8" x14ac:dyDescent="0.2">
      <c r="A173" s="42"/>
      <c r="B173" s="37">
        <f t="shared" si="10"/>
        <v>41183</v>
      </c>
      <c r="C173" s="38">
        <f t="shared" si="8"/>
        <v>16000</v>
      </c>
      <c r="D173" s="38">
        <f t="shared" si="9"/>
        <v>51850</v>
      </c>
      <c r="E173" s="38"/>
      <c r="F173" s="38"/>
      <c r="G173" s="41"/>
      <c r="H173" s="41"/>
    </row>
    <row r="174" spans="1:8" x14ac:dyDescent="0.2">
      <c r="A174" s="42"/>
      <c r="B174" s="37">
        <f t="shared" si="10"/>
        <v>41214</v>
      </c>
      <c r="C174" s="38">
        <f t="shared" si="8"/>
        <v>16000</v>
      </c>
      <c r="D174" s="38">
        <f t="shared" si="9"/>
        <v>51850</v>
      </c>
      <c r="E174" s="38"/>
      <c r="F174" s="38"/>
      <c r="G174" s="41"/>
      <c r="H174" s="41"/>
    </row>
    <row r="175" spans="1:8" x14ac:dyDescent="0.2">
      <c r="A175" s="42"/>
      <c r="B175" s="37">
        <f t="shared" si="10"/>
        <v>41244</v>
      </c>
      <c r="C175" s="38">
        <f t="shared" si="8"/>
        <v>16000</v>
      </c>
      <c r="D175" s="38">
        <f t="shared" si="9"/>
        <v>51850</v>
      </c>
      <c r="E175" s="38"/>
      <c r="F175" s="38"/>
      <c r="G175" s="41"/>
      <c r="H175" s="41"/>
    </row>
    <row r="176" spans="1:8" x14ac:dyDescent="0.2">
      <c r="A176" s="42"/>
      <c r="B176" s="37">
        <f t="shared" si="10"/>
        <v>41275</v>
      </c>
      <c r="C176" s="38">
        <f t="shared" si="8"/>
        <v>16000</v>
      </c>
      <c r="D176" s="38">
        <f t="shared" si="9"/>
        <v>51850</v>
      </c>
      <c r="E176" s="38"/>
      <c r="F176" s="38"/>
      <c r="G176" s="41"/>
      <c r="H176" s="41"/>
    </row>
    <row r="177" spans="1:8" x14ac:dyDescent="0.2">
      <c r="A177" s="42"/>
      <c r="B177" s="37">
        <f t="shared" si="10"/>
        <v>41306</v>
      </c>
      <c r="C177" s="38">
        <f t="shared" si="8"/>
        <v>16000</v>
      </c>
      <c r="D177" s="38">
        <f t="shared" si="9"/>
        <v>51850</v>
      </c>
      <c r="E177" s="38"/>
      <c r="F177" s="38"/>
      <c r="G177" s="41"/>
      <c r="H177" s="41"/>
    </row>
    <row r="178" spans="1:8" x14ac:dyDescent="0.2">
      <c r="A178" s="42"/>
      <c r="B178" s="37">
        <f t="shared" si="10"/>
        <v>41334</v>
      </c>
      <c r="C178" s="38">
        <f t="shared" si="8"/>
        <v>16000</v>
      </c>
      <c r="D178" s="38">
        <f t="shared" si="9"/>
        <v>51850</v>
      </c>
      <c r="E178" s="38"/>
      <c r="F178" s="38"/>
      <c r="G178" s="41"/>
      <c r="H178" s="41"/>
    </row>
    <row r="179" spans="1:8" x14ac:dyDescent="0.2">
      <c r="A179" s="42"/>
      <c r="B179" s="37">
        <f t="shared" si="10"/>
        <v>41365</v>
      </c>
      <c r="C179" s="38">
        <f t="shared" si="8"/>
        <v>16000</v>
      </c>
      <c r="D179" s="38">
        <f t="shared" si="9"/>
        <v>51850</v>
      </c>
      <c r="E179" s="38"/>
      <c r="F179" s="38"/>
      <c r="G179" s="41"/>
      <c r="H179" s="41"/>
    </row>
    <row r="180" spans="1:8" x14ac:dyDescent="0.2">
      <c r="A180" s="42"/>
      <c r="B180" s="37">
        <f t="shared" si="10"/>
        <v>41395</v>
      </c>
      <c r="C180" s="38">
        <f t="shared" si="8"/>
        <v>16000</v>
      </c>
      <c r="D180" s="38">
        <f t="shared" si="9"/>
        <v>51850</v>
      </c>
      <c r="E180" s="38"/>
      <c r="F180" s="38"/>
      <c r="G180" s="41"/>
      <c r="H180" s="41"/>
    </row>
    <row r="181" spans="1:8" x14ac:dyDescent="0.2">
      <c r="A181" s="42"/>
      <c r="B181" s="37">
        <f t="shared" si="10"/>
        <v>41426</v>
      </c>
      <c r="C181" s="38">
        <f t="shared" si="8"/>
        <v>16000</v>
      </c>
      <c r="D181" s="38">
        <f t="shared" si="9"/>
        <v>51850</v>
      </c>
      <c r="E181" s="38"/>
      <c r="F181" s="38"/>
      <c r="G181" s="41"/>
      <c r="H181" s="41"/>
    </row>
    <row r="182" spans="1:8" x14ac:dyDescent="0.2">
      <c r="A182" s="42"/>
      <c r="B182" s="37">
        <f t="shared" si="10"/>
        <v>41456</v>
      </c>
      <c r="C182" s="38">
        <f t="shared" si="8"/>
        <v>16000</v>
      </c>
      <c r="D182" s="38">
        <f t="shared" si="9"/>
        <v>51850</v>
      </c>
      <c r="E182" s="38"/>
      <c r="F182" s="38"/>
      <c r="G182" s="41"/>
      <c r="H182" s="41"/>
    </row>
    <row r="183" spans="1:8" x14ac:dyDescent="0.2">
      <c r="A183" s="42"/>
      <c r="B183" s="37">
        <f t="shared" si="10"/>
        <v>41487</v>
      </c>
      <c r="C183" s="38">
        <f t="shared" si="8"/>
        <v>16000</v>
      </c>
      <c r="D183" s="38">
        <f t="shared" si="9"/>
        <v>51850</v>
      </c>
      <c r="E183" s="38"/>
      <c r="F183" s="38"/>
      <c r="G183" s="41"/>
      <c r="H183" s="41"/>
    </row>
    <row r="184" spans="1:8" x14ac:dyDescent="0.2">
      <c r="A184" s="42"/>
      <c r="B184" s="37">
        <f t="shared" si="10"/>
        <v>41518</v>
      </c>
      <c r="C184" s="38">
        <f t="shared" si="8"/>
        <v>16000</v>
      </c>
      <c r="D184" s="38">
        <f t="shared" si="9"/>
        <v>51850</v>
      </c>
      <c r="E184" s="38"/>
      <c r="F184" s="38"/>
      <c r="G184" s="41"/>
      <c r="H184" s="41"/>
    </row>
    <row r="185" spans="1:8" x14ac:dyDescent="0.2">
      <c r="A185" s="42"/>
      <c r="B185" s="37">
        <f t="shared" si="10"/>
        <v>41548</v>
      </c>
      <c r="C185" s="38">
        <f t="shared" ref="C185:C248" si="11">+C184</f>
        <v>16000</v>
      </c>
      <c r="D185" s="38">
        <f t="shared" ref="D185:D248" si="12">+D184</f>
        <v>51850</v>
      </c>
      <c r="E185" s="38"/>
      <c r="F185" s="38"/>
      <c r="G185" s="41"/>
      <c r="H185" s="41"/>
    </row>
    <row r="186" spans="1:8" x14ac:dyDescent="0.2">
      <c r="A186" s="42"/>
      <c r="B186" s="37">
        <f t="shared" si="10"/>
        <v>41579</v>
      </c>
      <c r="C186" s="38">
        <f t="shared" si="11"/>
        <v>16000</v>
      </c>
      <c r="D186" s="38">
        <f t="shared" si="12"/>
        <v>51850</v>
      </c>
      <c r="E186" s="38"/>
      <c r="F186" s="38"/>
      <c r="G186" s="41"/>
      <c r="H186" s="41"/>
    </row>
    <row r="187" spans="1:8" x14ac:dyDescent="0.2">
      <c r="A187" s="42"/>
      <c r="B187" s="37">
        <f t="shared" si="10"/>
        <v>41609</v>
      </c>
      <c r="C187" s="38">
        <f t="shared" si="11"/>
        <v>16000</v>
      </c>
      <c r="D187" s="38">
        <f t="shared" si="12"/>
        <v>51850</v>
      </c>
      <c r="E187" s="38"/>
      <c r="F187" s="38"/>
      <c r="G187" s="41"/>
      <c r="H187" s="41"/>
    </row>
    <row r="188" spans="1:8" x14ac:dyDescent="0.2">
      <c r="A188" s="42"/>
      <c r="B188" s="37">
        <f t="shared" si="10"/>
        <v>41640</v>
      </c>
      <c r="C188" s="38">
        <f t="shared" si="11"/>
        <v>16000</v>
      </c>
      <c r="D188" s="38">
        <f t="shared" si="12"/>
        <v>51850</v>
      </c>
      <c r="E188" s="38"/>
      <c r="F188" s="38"/>
      <c r="G188" s="41"/>
      <c r="H188" s="41"/>
    </row>
    <row r="189" spans="1:8" x14ac:dyDescent="0.2">
      <c r="A189" s="42"/>
      <c r="B189" s="37">
        <f t="shared" si="10"/>
        <v>41671</v>
      </c>
      <c r="C189" s="38">
        <f t="shared" si="11"/>
        <v>16000</v>
      </c>
      <c r="D189" s="38">
        <f t="shared" si="12"/>
        <v>51850</v>
      </c>
      <c r="E189" s="38"/>
      <c r="F189" s="38"/>
      <c r="G189" s="41"/>
      <c r="H189" s="41"/>
    </row>
    <row r="190" spans="1:8" x14ac:dyDescent="0.2">
      <c r="A190" s="42"/>
      <c r="B190" s="37">
        <f t="shared" si="10"/>
        <v>41699</v>
      </c>
      <c r="C190" s="38">
        <f t="shared" si="11"/>
        <v>16000</v>
      </c>
      <c r="D190" s="38">
        <f t="shared" si="12"/>
        <v>51850</v>
      </c>
      <c r="E190" s="38"/>
      <c r="F190" s="38"/>
      <c r="G190" s="41"/>
      <c r="H190" s="41"/>
    </row>
    <row r="191" spans="1:8" x14ac:dyDescent="0.2">
      <c r="A191" s="42"/>
      <c r="B191" s="37">
        <f t="shared" si="10"/>
        <v>41730</v>
      </c>
      <c r="C191" s="38">
        <f t="shared" si="11"/>
        <v>16000</v>
      </c>
      <c r="D191" s="38">
        <f t="shared" si="12"/>
        <v>51850</v>
      </c>
      <c r="E191" s="38"/>
      <c r="F191" s="38"/>
      <c r="G191" s="41"/>
      <c r="H191" s="41"/>
    </row>
    <row r="192" spans="1:8" x14ac:dyDescent="0.2">
      <c r="A192" s="42"/>
      <c r="B192" s="37">
        <f t="shared" si="10"/>
        <v>41760</v>
      </c>
      <c r="C192" s="38">
        <f t="shared" si="11"/>
        <v>16000</v>
      </c>
      <c r="D192" s="38">
        <f t="shared" si="12"/>
        <v>51850</v>
      </c>
      <c r="E192" s="38"/>
      <c r="F192" s="38"/>
      <c r="G192" s="41"/>
      <c r="H192" s="41"/>
    </row>
    <row r="193" spans="1:8" x14ac:dyDescent="0.2">
      <c r="A193" s="42"/>
      <c r="B193" s="37">
        <f t="shared" si="10"/>
        <v>41791</v>
      </c>
      <c r="C193" s="38">
        <f t="shared" si="11"/>
        <v>16000</v>
      </c>
      <c r="D193" s="38">
        <f t="shared" si="12"/>
        <v>51850</v>
      </c>
      <c r="E193" s="38"/>
      <c r="F193" s="38"/>
      <c r="G193" s="41"/>
      <c r="H193" s="41"/>
    </row>
    <row r="194" spans="1:8" x14ac:dyDescent="0.2">
      <c r="A194" s="42"/>
      <c r="B194" s="37">
        <f t="shared" si="10"/>
        <v>41821</v>
      </c>
      <c r="C194" s="38">
        <f t="shared" si="11"/>
        <v>16000</v>
      </c>
      <c r="D194" s="38">
        <f t="shared" si="12"/>
        <v>51850</v>
      </c>
      <c r="E194" s="38"/>
      <c r="F194" s="38"/>
      <c r="G194" s="41"/>
      <c r="H194" s="41"/>
    </row>
    <row r="195" spans="1:8" x14ac:dyDescent="0.2">
      <c r="A195" s="42"/>
      <c r="B195" s="37">
        <f t="shared" si="10"/>
        <v>41852</v>
      </c>
      <c r="C195" s="38">
        <f t="shared" si="11"/>
        <v>16000</v>
      </c>
      <c r="D195" s="38">
        <f t="shared" si="12"/>
        <v>51850</v>
      </c>
      <c r="E195" s="38"/>
      <c r="F195" s="38"/>
      <c r="G195" s="41"/>
      <c r="H195" s="41"/>
    </row>
    <row r="196" spans="1:8" x14ac:dyDescent="0.2">
      <c r="A196" s="42"/>
      <c r="B196" s="37">
        <f t="shared" si="10"/>
        <v>41883</v>
      </c>
      <c r="C196" s="38">
        <f t="shared" si="11"/>
        <v>16000</v>
      </c>
      <c r="D196" s="38">
        <f t="shared" si="12"/>
        <v>51850</v>
      </c>
      <c r="E196" s="38"/>
      <c r="F196" s="38"/>
      <c r="G196" s="41"/>
      <c r="H196" s="41"/>
    </row>
    <row r="197" spans="1:8" x14ac:dyDescent="0.2">
      <c r="A197" s="42"/>
      <c r="B197" s="37">
        <f t="shared" si="10"/>
        <v>41913</v>
      </c>
      <c r="C197" s="38">
        <f t="shared" si="11"/>
        <v>16000</v>
      </c>
      <c r="D197" s="38">
        <f t="shared" si="12"/>
        <v>51850</v>
      </c>
      <c r="E197" s="38"/>
      <c r="F197" s="38"/>
      <c r="G197" s="41"/>
      <c r="H197" s="41"/>
    </row>
    <row r="198" spans="1:8" x14ac:dyDescent="0.2">
      <c r="A198" s="42"/>
      <c r="B198" s="37">
        <f t="shared" si="10"/>
        <v>41944</v>
      </c>
      <c r="C198" s="38">
        <f t="shared" si="11"/>
        <v>16000</v>
      </c>
      <c r="D198" s="38">
        <f t="shared" si="12"/>
        <v>51850</v>
      </c>
      <c r="E198" s="38"/>
      <c r="F198" s="38"/>
      <c r="G198" s="41"/>
      <c r="H198" s="41"/>
    </row>
    <row r="199" spans="1:8" x14ac:dyDescent="0.2">
      <c r="A199" s="42"/>
      <c r="B199" s="37">
        <f t="shared" si="10"/>
        <v>41974</v>
      </c>
      <c r="C199" s="38">
        <f t="shared" si="11"/>
        <v>16000</v>
      </c>
      <c r="D199" s="38">
        <f t="shared" si="12"/>
        <v>51850</v>
      </c>
      <c r="E199" s="38"/>
      <c r="F199" s="38"/>
      <c r="G199" s="41"/>
      <c r="H199" s="41"/>
    </row>
    <row r="200" spans="1:8" x14ac:dyDescent="0.2">
      <c r="A200" s="42"/>
      <c r="B200" s="37">
        <f t="shared" si="10"/>
        <v>42005</v>
      </c>
      <c r="C200" s="38">
        <f t="shared" si="11"/>
        <v>16000</v>
      </c>
      <c r="D200" s="38">
        <f t="shared" si="12"/>
        <v>51850</v>
      </c>
      <c r="E200" s="38"/>
      <c r="F200" s="38"/>
      <c r="G200" s="41"/>
      <c r="H200" s="41"/>
    </row>
    <row r="201" spans="1:8" x14ac:dyDescent="0.2">
      <c r="A201" s="42"/>
      <c r="B201" s="37">
        <f t="shared" si="10"/>
        <v>42036</v>
      </c>
      <c r="C201" s="38">
        <f t="shared" si="11"/>
        <v>16000</v>
      </c>
      <c r="D201" s="38">
        <f t="shared" si="12"/>
        <v>51850</v>
      </c>
      <c r="E201" s="38"/>
      <c r="F201" s="38"/>
      <c r="G201" s="41"/>
      <c r="H201" s="41"/>
    </row>
    <row r="202" spans="1:8" x14ac:dyDescent="0.2">
      <c r="A202" s="42"/>
      <c r="B202" s="37">
        <f t="shared" si="10"/>
        <v>42064</v>
      </c>
      <c r="C202" s="38">
        <f t="shared" si="11"/>
        <v>16000</v>
      </c>
      <c r="D202" s="38">
        <f t="shared" si="12"/>
        <v>51850</v>
      </c>
      <c r="E202" s="38"/>
      <c r="F202" s="38"/>
      <c r="G202" s="41"/>
      <c r="H202" s="41"/>
    </row>
    <row r="203" spans="1:8" x14ac:dyDescent="0.2">
      <c r="A203" s="42"/>
      <c r="B203" s="37">
        <f t="shared" si="10"/>
        <v>42095</v>
      </c>
      <c r="C203" s="38">
        <f t="shared" si="11"/>
        <v>16000</v>
      </c>
      <c r="D203" s="38">
        <f t="shared" si="12"/>
        <v>51850</v>
      </c>
      <c r="E203" s="38"/>
      <c r="F203" s="38"/>
      <c r="G203" s="41"/>
      <c r="H203" s="41"/>
    </row>
    <row r="204" spans="1:8" x14ac:dyDescent="0.2">
      <c r="A204" s="42"/>
      <c r="B204" s="37">
        <f t="shared" si="10"/>
        <v>42125</v>
      </c>
      <c r="C204" s="38">
        <f t="shared" si="11"/>
        <v>16000</v>
      </c>
      <c r="D204" s="38">
        <f t="shared" si="12"/>
        <v>51850</v>
      </c>
      <c r="E204" s="38"/>
      <c r="F204" s="38"/>
      <c r="G204" s="41"/>
      <c r="H204" s="41"/>
    </row>
    <row r="205" spans="1:8" x14ac:dyDescent="0.2">
      <c r="A205" s="42"/>
      <c r="B205" s="37">
        <f t="shared" si="10"/>
        <v>42156</v>
      </c>
      <c r="C205" s="38">
        <f t="shared" si="11"/>
        <v>16000</v>
      </c>
      <c r="D205" s="38">
        <f t="shared" si="12"/>
        <v>51850</v>
      </c>
      <c r="E205" s="38"/>
      <c r="F205" s="38"/>
      <c r="G205" s="41"/>
      <c r="H205" s="41"/>
    </row>
    <row r="206" spans="1:8" x14ac:dyDescent="0.2">
      <c r="A206" s="42"/>
      <c r="B206" s="37">
        <f t="shared" si="10"/>
        <v>42186</v>
      </c>
      <c r="C206" s="38">
        <f t="shared" si="11"/>
        <v>16000</v>
      </c>
      <c r="D206" s="38">
        <f t="shared" si="12"/>
        <v>51850</v>
      </c>
      <c r="E206" s="38"/>
      <c r="F206" s="38"/>
      <c r="G206" s="41"/>
      <c r="H206" s="41"/>
    </row>
    <row r="207" spans="1:8" x14ac:dyDescent="0.2">
      <c r="A207" s="42"/>
      <c r="B207" s="37">
        <f t="shared" si="10"/>
        <v>42217</v>
      </c>
      <c r="C207" s="38">
        <f t="shared" si="11"/>
        <v>16000</v>
      </c>
      <c r="D207" s="38">
        <f t="shared" si="12"/>
        <v>51850</v>
      </c>
      <c r="E207" s="38"/>
      <c r="F207" s="38"/>
      <c r="G207" s="41"/>
      <c r="H207" s="41"/>
    </row>
    <row r="208" spans="1:8" x14ac:dyDescent="0.2">
      <c r="A208" s="42"/>
      <c r="B208" s="37">
        <f t="shared" si="10"/>
        <v>42248</v>
      </c>
      <c r="C208" s="38">
        <f t="shared" si="11"/>
        <v>16000</v>
      </c>
      <c r="D208" s="38">
        <f t="shared" si="12"/>
        <v>51850</v>
      </c>
      <c r="E208" s="38"/>
      <c r="F208" s="38"/>
      <c r="G208" s="41"/>
      <c r="H208" s="41"/>
    </row>
    <row r="209" spans="1:8" x14ac:dyDescent="0.2">
      <c r="A209" s="42"/>
      <c r="B209" s="37">
        <f t="shared" si="10"/>
        <v>42278</v>
      </c>
      <c r="C209" s="38">
        <f t="shared" si="11"/>
        <v>16000</v>
      </c>
      <c r="D209" s="38">
        <f t="shared" si="12"/>
        <v>51850</v>
      </c>
      <c r="E209" s="38"/>
      <c r="F209" s="38"/>
      <c r="G209" s="41"/>
      <c r="H209" s="41"/>
    </row>
    <row r="210" spans="1:8" x14ac:dyDescent="0.2">
      <c r="A210" s="42"/>
      <c r="B210" s="37">
        <f t="shared" si="10"/>
        <v>42309</v>
      </c>
      <c r="C210" s="38">
        <f t="shared" si="11"/>
        <v>16000</v>
      </c>
      <c r="D210" s="38">
        <f t="shared" si="12"/>
        <v>51850</v>
      </c>
      <c r="E210" s="38"/>
      <c r="F210" s="38"/>
      <c r="G210" s="41"/>
      <c r="H210" s="41"/>
    </row>
    <row r="211" spans="1:8" x14ac:dyDescent="0.2">
      <c r="A211" s="42"/>
      <c r="B211" s="37">
        <f t="shared" si="10"/>
        <v>42339</v>
      </c>
      <c r="C211" s="38">
        <f t="shared" si="11"/>
        <v>16000</v>
      </c>
      <c r="D211" s="38">
        <f t="shared" si="12"/>
        <v>51850</v>
      </c>
      <c r="E211" s="38"/>
      <c r="F211" s="38"/>
      <c r="G211" s="41"/>
      <c r="H211" s="41"/>
    </row>
    <row r="212" spans="1:8" x14ac:dyDescent="0.2">
      <c r="A212" s="42"/>
      <c r="B212" s="37">
        <f t="shared" si="10"/>
        <v>42370</v>
      </c>
      <c r="C212" s="38">
        <f t="shared" si="11"/>
        <v>16000</v>
      </c>
      <c r="D212" s="38">
        <f t="shared" si="12"/>
        <v>51850</v>
      </c>
      <c r="E212" s="38"/>
      <c r="F212" s="38"/>
      <c r="G212" s="41"/>
      <c r="H212" s="41"/>
    </row>
    <row r="213" spans="1:8" x14ac:dyDescent="0.2">
      <c r="A213" s="42"/>
      <c r="B213" s="37">
        <f t="shared" si="10"/>
        <v>42401</v>
      </c>
      <c r="C213" s="38">
        <f t="shared" si="11"/>
        <v>16000</v>
      </c>
      <c r="D213" s="38">
        <f t="shared" si="12"/>
        <v>51850</v>
      </c>
      <c r="E213" s="38"/>
      <c r="F213" s="38"/>
      <c r="G213" s="41"/>
      <c r="H213" s="41"/>
    </row>
    <row r="214" spans="1:8" x14ac:dyDescent="0.2">
      <c r="A214" s="42"/>
      <c r="B214" s="37">
        <f t="shared" si="10"/>
        <v>42430</v>
      </c>
      <c r="C214" s="38">
        <f t="shared" si="11"/>
        <v>16000</v>
      </c>
      <c r="D214" s="38">
        <f t="shared" si="12"/>
        <v>51850</v>
      </c>
      <c r="E214" s="38"/>
      <c r="F214" s="38"/>
      <c r="G214" s="41"/>
      <c r="H214" s="41"/>
    </row>
    <row r="215" spans="1:8" x14ac:dyDescent="0.2">
      <c r="A215" s="42"/>
      <c r="B215" s="37">
        <f t="shared" si="10"/>
        <v>42461</v>
      </c>
      <c r="C215" s="38">
        <f t="shared" si="11"/>
        <v>16000</v>
      </c>
      <c r="D215" s="38">
        <f t="shared" si="12"/>
        <v>51850</v>
      </c>
      <c r="E215" s="38"/>
      <c r="F215" s="38"/>
      <c r="G215" s="41"/>
      <c r="H215" s="41"/>
    </row>
    <row r="216" spans="1:8" x14ac:dyDescent="0.2">
      <c r="A216" s="42"/>
      <c r="B216" s="37">
        <f t="shared" si="10"/>
        <v>42491</v>
      </c>
      <c r="C216" s="38">
        <f t="shared" si="11"/>
        <v>16000</v>
      </c>
      <c r="D216" s="38">
        <f t="shared" si="12"/>
        <v>51850</v>
      </c>
      <c r="E216" s="38"/>
      <c r="F216" s="38"/>
      <c r="G216" s="41"/>
      <c r="H216" s="41"/>
    </row>
    <row r="217" spans="1:8" x14ac:dyDescent="0.2">
      <c r="A217" s="42"/>
      <c r="B217" s="37">
        <f t="shared" si="10"/>
        <v>42522</v>
      </c>
      <c r="C217" s="38">
        <f t="shared" si="11"/>
        <v>16000</v>
      </c>
      <c r="D217" s="38">
        <f t="shared" si="12"/>
        <v>51850</v>
      </c>
      <c r="E217" s="38"/>
      <c r="F217" s="38"/>
      <c r="G217" s="41"/>
      <c r="H217" s="41"/>
    </row>
    <row r="218" spans="1:8" x14ac:dyDescent="0.2">
      <c r="A218" s="42"/>
      <c r="B218" s="37">
        <f t="shared" si="10"/>
        <v>42552</v>
      </c>
      <c r="C218" s="38">
        <f t="shared" si="11"/>
        <v>16000</v>
      </c>
      <c r="D218" s="38">
        <f t="shared" si="12"/>
        <v>51850</v>
      </c>
      <c r="E218" s="38"/>
      <c r="F218" s="38"/>
      <c r="G218" s="41"/>
      <c r="H218" s="41"/>
    </row>
    <row r="219" spans="1:8" x14ac:dyDescent="0.2">
      <c r="A219" s="42"/>
      <c r="B219" s="37">
        <f t="shared" si="10"/>
        <v>42583</v>
      </c>
      <c r="C219" s="38">
        <f t="shared" si="11"/>
        <v>16000</v>
      </c>
      <c r="D219" s="38">
        <f t="shared" si="12"/>
        <v>51850</v>
      </c>
      <c r="E219" s="38"/>
      <c r="F219" s="38"/>
      <c r="G219" s="41"/>
      <c r="H219" s="41"/>
    </row>
    <row r="220" spans="1:8" x14ac:dyDescent="0.2">
      <c r="A220" s="42"/>
      <c r="B220" s="37">
        <f t="shared" ref="B220:B283" si="13">+DATE(YEAR(B219),MONTH(B219)+1,1)</f>
        <v>42614</v>
      </c>
      <c r="C220" s="38">
        <f t="shared" si="11"/>
        <v>16000</v>
      </c>
      <c r="D220" s="38">
        <f t="shared" si="12"/>
        <v>51850</v>
      </c>
      <c r="E220" s="38"/>
      <c r="F220" s="38"/>
      <c r="G220" s="41"/>
      <c r="H220" s="41"/>
    </row>
    <row r="221" spans="1:8" x14ac:dyDescent="0.2">
      <c r="A221" s="42"/>
      <c r="B221" s="37">
        <f t="shared" si="13"/>
        <v>42644</v>
      </c>
      <c r="C221" s="38">
        <f t="shared" si="11"/>
        <v>16000</v>
      </c>
      <c r="D221" s="38">
        <f t="shared" si="12"/>
        <v>51850</v>
      </c>
      <c r="E221" s="38"/>
      <c r="F221" s="38"/>
      <c r="G221" s="41"/>
      <c r="H221" s="41"/>
    </row>
    <row r="222" spans="1:8" x14ac:dyDescent="0.2">
      <c r="A222" s="42"/>
      <c r="B222" s="37">
        <f t="shared" si="13"/>
        <v>42675</v>
      </c>
      <c r="C222" s="38">
        <f t="shared" si="11"/>
        <v>16000</v>
      </c>
      <c r="D222" s="38">
        <f t="shared" si="12"/>
        <v>51850</v>
      </c>
      <c r="E222" s="38"/>
      <c r="F222" s="38"/>
      <c r="G222" s="41"/>
      <c r="H222" s="41"/>
    </row>
    <row r="223" spans="1:8" x14ac:dyDescent="0.2">
      <c r="A223" s="42"/>
      <c r="B223" s="37">
        <f t="shared" si="13"/>
        <v>42705</v>
      </c>
      <c r="C223" s="38">
        <f t="shared" si="11"/>
        <v>16000</v>
      </c>
      <c r="D223" s="38">
        <f t="shared" si="12"/>
        <v>51850</v>
      </c>
      <c r="E223" s="38"/>
      <c r="F223" s="38"/>
      <c r="G223" s="41"/>
      <c r="H223" s="41"/>
    </row>
    <row r="224" spans="1:8" x14ac:dyDescent="0.2">
      <c r="A224" s="42"/>
      <c r="B224" s="37">
        <f t="shared" si="13"/>
        <v>42736</v>
      </c>
      <c r="C224" s="38">
        <f t="shared" si="11"/>
        <v>16000</v>
      </c>
      <c r="D224" s="38">
        <f t="shared" si="12"/>
        <v>51850</v>
      </c>
      <c r="E224" s="38"/>
      <c r="F224" s="38"/>
      <c r="G224" s="41"/>
      <c r="H224" s="41"/>
    </row>
    <row r="225" spans="1:8" x14ac:dyDescent="0.2">
      <c r="A225" s="42"/>
      <c r="B225" s="37">
        <f t="shared" si="13"/>
        <v>42767</v>
      </c>
      <c r="C225" s="38">
        <f t="shared" si="11"/>
        <v>16000</v>
      </c>
      <c r="D225" s="38">
        <f t="shared" si="12"/>
        <v>51850</v>
      </c>
      <c r="E225" s="38"/>
      <c r="F225" s="38"/>
      <c r="G225" s="41"/>
      <c r="H225" s="41"/>
    </row>
    <row r="226" spans="1:8" x14ac:dyDescent="0.2">
      <c r="A226" s="42"/>
      <c r="B226" s="37">
        <f t="shared" si="13"/>
        <v>42795</v>
      </c>
      <c r="C226" s="38">
        <f t="shared" si="11"/>
        <v>16000</v>
      </c>
      <c r="D226" s="38">
        <f t="shared" si="12"/>
        <v>51850</v>
      </c>
      <c r="E226" s="38"/>
      <c r="F226" s="38"/>
      <c r="G226" s="41"/>
      <c r="H226" s="41"/>
    </row>
    <row r="227" spans="1:8" x14ac:dyDescent="0.2">
      <c r="A227" s="42"/>
      <c r="B227" s="37">
        <f t="shared" si="13"/>
        <v>42826</v>
      </c>
      <c r="C227" s="38">
        <f t="shared" si="11"/>
        <v>16000</v>
      </c>
      <c r="D227" s="38">
        <f t="shared" si="12"/>
        <v>51850</v>
      </c>
      <c r="E227" s="38"/>
      <c r="F227" s="38"/>
      <c r="G227" s="41"/>
      <c r="H227" s="41"/>
    </row>
    <row r="228" spans="1:8" x14ac:dyDescent="0.2">
      <c r="A228" s="42"/>
      <c r="B228" s="37">
        <f t="shared" si="13"/>
        <v>42856</v>
      </c>
      <c r="C228" s="38">
        <f t="shared" si="11"/>
        <v>16000</v>
      </c>
      <c r="D228" s="38">
        <f t="shared" si="12"/>
        <v>51850</v>
      </c>
      <c r="E228" s="38"/>
      <c r="F228" s="38"/>
      <c r="G228" s="41"/>
      <c r="H228" s="41"/>
    </row>
    <row r="229" spans="1:8" x14ac:dyDescent="0.2">
      <c r="A229" s="42"/>
      <c r="B229" s="37">
        <f t="shared" si="13"/>
        <v>42887</v>
      </c>
      <c r="C229" s="38">
        <f t="shared" si="11"/>
        <v>16000</v>
      </c>
      <c r="D229" s="38">
        <f t="shared" si="12"/>
        <v>51850</v>
      </c>
      <c r="E229" s="38"/>
      <c r="F229" s="38"/>
      <c r="G229" s="41"/>
      <c r="H229" s="41"/>
    </row>
    <row r="230" spans="1:8" x14ac:dyDescent="0.2">
      <c r="A230" s="42"/>
      <c r="B230" s="37">
        <f t="shared" si="13"/>
        <v>42917</v>
      </c>
      <c r="C230" s="38">
        <f t="shared" si="11"/>
        <v>16000</v>
      </c>
      <c r="D230" s="38">
        <f t="shared" si="12"/>
        <v>51850</v>
      </c>
      <c r="E230" s="38"/>
      <c r="F230" s="38"/>
      <c r="G230" s="41"/>
      <c r="H230" s="41"/>
    </row>
    <row r="231" spans="1:8" x14ac:dyDescent="0.2">
      <c r="A231" s="42"/>
      <c r="B231" s="37">
        <f t="shared" si="13"/>
        <v>42948</v>
      </c>
      <c r="C231" s="38">
        <f t="shared" si="11"/>
        <v>16000</v>
      </c>
      <c r="D231" s="38">
        <f t="shared" si="12"/>
        <v>51850</v>
      </c>
      <c r="E231" s="38"/>
      <c r="F231" s="38"/>
      <c r="G231" s="41"/>
      <c r="H231" s="41"/>
    </row>
    <row r="232" spans="1:8" x14ac:dyDescent="0.2">
      <c r="A232" s="42"/>
      <c r="B232" s="37">
        <f t="shared" si="13"/>
        <v>42979</v>
      </c>
      <c r="C232" s="38">
        <f t="shared" si="11"/>
        <v>16000</v>
      </c>
      <c r="D232" s="38">
        <f t="shared" si="12"/>
        <v>51850</v>
      </c>
      <c r="E232" s="38"/>
      <c r="F232" s="38"/>
      <c r="G232" s="41"/>
      <c r="H232" s="41"/>
    </row>
    <row r="233" spans="1:8" x14ac:dyDescent="0.2">
      <c r="A233" s="42"/>
      <c r="B233" s="37">
        <f t="shared" si="13"/>
        <v>43009</v>
      </c>
      <c r="C233" s="38">
        <f t="shared" si="11"/>
        <v>16000</v>
      </c>
      <c r="D233" s="38">
        <f t="shared" si="12"/>
        <v>51850</v>
      </c>
      <c r="E233" s="38"/>
      <c r="F233" s="38"/>
      <c r="G233" s="41"/>
      <c r="H233" s="41"/>
    </row>
    <row r="234" spans="1:8" x14ac:dyDescent="0.2">
      <c r="A234" s="42"/>
      <c r="B234" s="37">
        <f t="shared" si="13"/>
        <v>43040</v>
      </c>
      <c r="C234" s="38">
        <f t="shared" si="11"/>
        <v>16000</v>
      </c>
      <c r="D234" s="38">
        <f t="shared" si="12"/>
        <v>51850</v>
      </c>
      <c r="E234" s="38"/>
      <c r="F234" s="38"/>
      <c r="G234" s="41"/>
      <c r="H234" s="41"/>
    </row>
    <row r="235" spans="1:8" x14ac:dyDescent="0.2">
      <c r="A235" s="42"/>
      <c r="B235" s="37">
        <f t="shared" si="13"/>
        <v>43070</v>
      </c>
      <c r="C235" s="38">
        <f t="shared" si="11"/>
        <v>16000</v>
      </c>
      <c r="D235" s="38">
        <f t="shared" si="12"/>
        <v>51850</v>
      </c>
      <c r="E235" s="38"/>
      <c r="F235" s="38"/>
      <c r="G235" s="41"/>
      <c r="H235" s="41"/>
    </row>
    <row r="236" spans="1:8" x14ac:dyDescent="0.2">
      <c r="A236" s="42"/>
      <c r="B236" s="37">
        <f t="shared" si="13"/>
        <v>43101</v>
      </c>
      <c r="C236" s="38">
        <v>0</v>
      </c>
      <c r="D236" s="38">
        <f t="shared" si="12"/>
        <v>51850</v>
      </c>
      <c r="E236" s="38"/>
      <c r="F236" s="38"/>
      <c r="G236" s="41"/>
      <c r="H236" s="41"/>
    </row>
    <row r="237" spans="1:8" x14ac:dyDescent="0.2">
      <c r="A237" s="42"/>
      <c r="B237" s="37">
        <f t="shared" si="13"/>
        <v>43132</v>
      </c>
      <c r="C237" s="38">
        <f t="shared" si="11"/>
        <v>0</v>
      </c>
      <c r="D237" s="38">
        <f t="shared" si="12"/>
        <v>51850</v>
      </c>
      <c r="E237" s="38"/>
      <c r="F237" s="38"/>
      <c r="G237" s="41"/>
      <c r="H237" s="41"/>
    </row>
    <row r="238" spans="1:8" x14ac:dyDescent="0.2">
      <c r="A238" s="42"/>
      <c r="B238" s="37">
        <f t="shared" si="13"/>
        <v>43160</v>
      </c>
      <c r="C238" s="38">
        <f t="shared" si="11"/>
        <v>0</v>
      </c>
      <c r="D238" s="38">
        <f t="shared" si="12"/>
        <v>51850</v>
      </c>
      <c r="E238" s="38"/>
      <c r="F238" s="38"/>
      <c r="G238" s="41"/>
      <c r="H238" s="41"/>
    </row>
    <row r="239" spans="1:8" x14ac:dyDescent="0.2">
      <c r="A239" s="42"/>
      <c r="B239" s="37">
        <f t="shared" si="13"/>
        <v>43191</v>
      </c>
      <c r="C239" s="38">
        <f t="shared" si="11"/>
        <v>0</v>
      </c>
      <c r="D239" s="38">
        <f t="shared" si="12"/>
        <v>51850</v>
      </c>
      <c r="E239" s="38"/>
      <c r="F239" s="38"/>
      <c r="G239" s="41"/>
      <c r="H239" s="41"/>
    </row>
    <row r="240" spans="1:8" x14ac:dyDescent="0.2">
      <c r="A240" s="42"/>
      <c r="B240" s="37">
        <f t="shared" si="13"/>
        <v>43221</v>
      </c>
      <c r="C240" s="38">
        <f t="shared" si="11"/>
        <v>0</v>
      </c>
      <c r="D240" s="38">
        <f t="shared" si="12"/>
        <v>51850</v>
      </c>
      <c r="E240" s="38"/>
      <c r="F240" s="38"/>
      <c r="G240" s="41"/>
      <c r="H240" s="41"/>
    </row>
    <row r="241" spans="1:8" x14ac:dyDescent="0.2">
      <c r="A241" s="42"/>
      <c r="B241" s="37">
        <f t="shared" si="13"/>
        <v>43252</v>
      </c>
      <c r="C241" s="38">
        <f t="shared" si="11"/>
        <v>0</v>
      </c>
      <c r="D241" s="38">
        <f t="shared" si="12"/>
        <v>51850</v>
      </c>
      <c r="E241" s="38"/>
      <c r="F241" s="38"/>
      <c r="G241" s="41"/>
      <c r="H241" s="41"/>
    </row>
    <row r="242" spans="1:8" x14ac:dyDescent="0.2">
      <c r="A242" s="42"/>
      <c r="B242" s="37">
        <f t="shared" si="13"/>
        <v>43282</v>
      </c>
      <c r="C242" s="38">
        <f t="shared" si="11"/>
        <v>0</v>
      </c>
      <c r="D242" s="38">
        <f t="shared" si="12"/>
        <v>51850</v>
      </c>
      <c r="E242" s="38"/>
      <c r="F242" s="38"/>
      <c r="G242" s="41"/>
      <c r="H242" s="41"/>
    </row>
    <row r="243" spans="1:8" x14ac:dyDescent="0.2">
      <c r="A243" s="42"/>
      <c r="B243" s="37">
        <f t="shared" si="13"/>
        <v>43313</v>
      </c>
      <c r="C243" s="38">
        <f t="shared" si="11"/>
        <v>0</v>
      </c>
      <c r="D243" s="38">
        <f t="shared" si="12"/>
        <v>51850</v>
      </c>
      <c r="E243" s="38"/>
      <c r="F243" s="38"/>
      <c r="G243" s="41"/>
      <c r="H243" s="41"/>
    </row>
    <row r="244" spans="1:8" x14ac:dyDescent="0.2">
      <c r="A244" s="42"/>
      <c r="B244" s="37">
        <f t="shared" si="13"/>
        <v>43344</v>
      </c>
      <c r="C244" s="38">
        <f t="shared" si="11"/>
        <v>0</v>
      </c>
      <c r="D244" s="38">
        <f t="shared" si="12"/>
        <v>51850</v>
      </c>
      <c r="E244" s="38"/>
      <c r="F244" s="38"/>
      <c r="G244" s="41"/>
      <c r="H244" s="41"/>
    </row>
    <row r="245" spans="1:8" x14ac:dyDescent="0.2">
      <c r="A245" s="42"/>
      <c r="B245" s="37">
        <f t="shared" si="13"/>
        <v>43374</v>
      </c>
      <c r="C245" s="38">
        <f t="shared" si="11"/>
        <v>0</v>
      </c>
      <c r="D245" s="38">
        <f t="shared" si="12"/>
        <v>51850</v>
      </c>
      <c r="E245" s="38"/>
      <c r="F245" s="38"/>
      <c r="G245" s="41"/>
      <c r="H245" s="41"/>
    </row>
    <row r="246" spans="1:8" x14ac:dyDescent="0.2">
      <c r="A246" s="42"/>
      <c r="B246" s="37">
        <f t="shared" si="13"/>
        <v>43405</v>
      </c>
      <c r="C246" s="38">
        <f t="shared" si="11"/>
        <v>0</v>
      </c>
      <c r="D246" s="38">
        <f t="shared" si="12"/>
        <v>51850</v>
      </c>
      <c r="E246" s="38"/>
      <c r="F246" s="38"/>
      <c r="G246" s="41"/>
      <c r="H246" s="41"/>
    </row>
    <row r="247" spans="1:8" x14ac:dyDescent="0.2">
      <c r="A247" s="42"/>
      <c r="B247" s="37">
        <f t="shared" si="13"/>
        <v>43435</v>
      </c>
      <c r="C247" s="38">
        <f t="shared" si="11"/>
        <v>0</v>
      </c>
      <c r="D247" s="38">
        <f t="shared" si="12"/>
        <v>51850</v>
      </c>
      <c r="E247" s="38"/>
      <c r="F247" s="38"/>
      <c r="G247" s="41"/>
      <c r="H247" s="41"/>
    </row>
    <row r="248" spans="1:8" x14ac:dyDescent="0.2">
      <c r="A248" s="42"/>
      <c r="B248" s="37">
        <f t="shared" si="13"/>
        <v>43466</v>
      </c>
      <c r="C248" s="38">
        <f t="shared" si="11"/>
        <v>0</v>
      </c>
      <c r="D248" s="38">
        <f t="shared" si="12"/>
        <v>51850</v>
      </c>
      <c r="E248" s="38"/>
      <c r="F248" s="38"/>
      <c r="G248" s="41"/>
      <c r="H248" s="41"/>
    </row>
    <row r="249" spans="1:8" x14ac:dyDescent="0.2">
      <c r="A249" s="42"/>
      <c r="B249" s="37">
        <f t="shared" si="13"/>
        <v>43497</v>
      </c>
      <c r="C249" s="38">
        <f t="shared" ref="C249:C312" si="14">+C248</f>
        <v>0</v>
      </c>
      <c r="D249" s="38">
        <f t="shared" ref="D249:D312" si="15">+D248</f>
        <v>51850</v>
      </c>
      <c r="E249" s="38"/>
      <c r="F249" s="38"/>
      <c r="G249" s="41"/>
      <c r="H249" s="41"/>
    </row>
    <row r="250" spans="1:8" x14ac:dyDescent="0.2">
      <c r="A250" s="42"/>
      <c r="B250" s="37">
        <f t="shared" si="13"/>
        <v>43525</v>
      </c>
      <c r="C250" s="38">
        <f t="shared" si="14"/>
        <v>0</v>
      </c>
      <c r="D250" s="38">
        <f t="shared" si="15"/>
        <v>51850</v>
      </c>
      <c r="E250" s="38"/>
      <c r="F250" s="38"/>
      <c r="G250" s="41"/>
      <c r="H250" s="41"/>
    </row>
    <row r="251" spans="1:8" x14ac:dyDescent="0.2">
      <c r="A251" s="42"/>
      <c r="B251" s="37">
        <f t="shared" si="13"/>
        <v>43556</v>
      </c>
      <c r="C251" s="38">
        <f t="shared" si="14"/>
        <v>0</v>
      </c>
      <c r="D251" s="38">
        <f t="shared" si="15"/>
        <v>51850</v>
      </c>
      <c r="E251" s="38"/>
      <c r="F251" s="38"/>
      <c r="G251" s="41"/>
      <c r="H251" s="41"/>
    </row>
    <row r="252" spans="1:8" x14ac:dyDescent="0.2">
      <c r="A252" s="42"/>
      <c r="B252" s="37">
        <f t="shared" si="13"/>
        <v>43586</v>
      </c>
      <c r="C252" s="38">
        <f t="shared" si="14"/>
        <v>0</v>
      </c>
      <c r="D252" s="38">
        <f t="shared" si="15"/>
        <v>51850</v>
      </c>
      <c r="E252" s="38"/>
      <c r="F252" s="38"/>
      <c r="G252" s="41"/>
      <c r="H252" s="41"/>
    </row>
    <row r="253" spans="1:8" x14ac:dyDescent="0.2">
      <c r="A253" s="42"/>
      <c r="B253" s="37">
        <f t="shared" si="13"/>
        <v>43617</v>
      </c>
      <c r="C253" s="38">
        <f t="shared" si="14"/>
        <v>0</v>
      </c>
      <c r="D253" s="38">
        <f t="shared" si="15"/>
        <v>51850</v>
      </c>
      <c r="E253" s="38"/>
      <c r="F253" s="38"/>
      <c r="G253" s="41"/>
      <c r="H253" s="41"/>
    </row>
    <row r="254" spans="1:8" x14ac:dyDescent="0.2">
      <c r="A254" s="42"/>
      <c r="B254" s="37">
        <f t="shared" si="13"/>
        <v>43647</v>
      </c>
      <c r="C254" s="38">
        <f t="shared" si="14"/>
        <v>0</v>
      </c>
      <c r="D254" s="38">
        <f t="shared" si="15"/>
        <v>51850</v>
      </c>
      <c r="E254" s="38"/>
      <c r="F254" s="38"/>
      <c r="G254" s="41"/>
      <c r="H254" s="41"/>
    </row>
    <row r="255" spans="1:8" x14ac:dyDescent="0.2">
      <c r="A255" s="42"/>
      <c r="B255" s="37">
        <f t="shared" si="13"/>
        <v>43678</v>
      </c>
      <c r="C255" s="38">
        <f t="shared" si="14"/>
        <v>0</v>
      </c>
      <c r="D255" s="38">
        <f t="shared" si="15"/>
        <v>51850</v>
      </c>
      <c r="E255" s="38"/>
      <c r="F255" s="38"/>
      <c r="G255" s="41"/>
      <c r="H255" s="41"/>
    </row>
    <row r="256" spans="1:8" x14ac:dyDescent="0.2">
      <c r="A256" s="42"/>
      <c r="B256" s="37">
        <f t="shared" si="13"/>
        <v>43709</v>
      </c>
      <c r="C256" s="38">
        <f t="shared" si="14"/>
        <v>0</v>
      </c>
      <c r="D256" s="38">
        <f t="shared" si="15"/>
        <v>51850</v>
      </c>
      <c r="E256" s="38"/>
      <c r="F256" s="38"/>
      <c r="G256" s="41"/>
      <c r="H256" s="41"/>
    </row>
    <row r="257" spans="1:8" x14ac:dyDescent="0.2">
      <c r="A257" s="42"/>
      <c r="B257" s="37">
        <f t="shared" si="13"/>
        <v>43739</v>
      </c>
      <c r="C257" s="38">
        <f t="shared" si="14"/>
        <v>0</v>
      </c>
      <c r="D257" s="38">
        <f t="shared" si="15"/>
        <v>51850</v>
      </c>
      <c r="E257" s="38"/>
      <c r="F257" s="38"/>
      <c r="G257" s="41"/>
      <c r="H257" s="41"/>
    </row>
    <row r="258" spans="1:8" x14ac:dyDescent="0.2">
      <c r="A258" s="42"/>
      <c r="B258" s="37">
        <f t="shared" si="13"/>
        <v>43770</v>
      </c>
      <c r="C258" s="38">
        <f t="shared" si="14"/>
        <v>0</v>
      </c>
      <c r="D258" s="38">
        <f t="shared" si="15"/>
        <v>51850</v>
      </c>
      <c r="E258" s="38"/>
      <c r="F258" s="38"/>
      <c r="G258" s="41"/>
      <c r="H258" s="41"/>
    </row>
    <row r="259" spans="1:8" x14ac:dyDescent="0.2">
      <c r="A259" s="42"/>
      <c r="B259" s="37">
        <f t="shared" si="13"/>
        <v>43800</v>
      </c>
      <c r="C259" s="38">
        <f t="shared" si="14"/>
        <v>0</v>
      </c>
      <c r="D259" s="38">
        <f t="shared" si="15"/>
        <v>51850</v>
      </c>
      <c r="E259" s="38"/>
      <c r="F259" s="38"/>
      <c r="G259" s="41"/>
      <c r="H259" s="41"/>
    </row>
    <row r="260" spans="1:8" x14ac:dyDescent="0.2">
      <c r="A260" s="42"/>
      <c r="B260" s="37">
        <f t="shared" si="13"/>
        <v>43831</v>
      </c>
      <c r="C260" s="38">
        <f t="shared" si="14"/>
        <v>0</v>
      </c>
      <c r="D260" s="38">
        <f t="shared" si="15"/>
        <v>51850</v>
      </c>
      <c r="E260" s="38"/>
      <c r="F260" s="38"/>
      <c r="G260" s="41"/>
      <c r="H260" s="41"/>
    </row>
    <row r="261" spans="1:8" x14ac:dyDescent="0.2">
      <c r="A261" s="42"/>
      <c r="B261" s="37">
        <f t="shared" si="13"/>
        <v>43862</v>
      </c>
      <c r="C261" s="38">
        <f t="shared" si="14"/>
        <v>0</v>
      </c>
      <c r="D261" s="38">
        <f t="shared" si="15"/>
        <v>51850</v>
      </c>
      <c r="E261" s="38"/>
      <c r="F261" s="38"/>
      <c r="G261" s="41"/>
      <c r="H261" s="41"/>
    </row>
    <row r="262" spans="1:8" x14ac:dyDescent="0.2">
      <c r="A262" s="42"/>
      <c r="B262" s="37">
        <f t="shared" si="13"/>
        <v>43891</v>
      </c>
      <c r="C262" s="38">
        <f t="shared" si="14"/>
        <v>0</v>
      </c>
      <c r="D262" s="38">
        <f t="shared" si="15"/>
        <v>51850</v>
      </c>
      <c r="E262" s="38"/>
      <c r="F262" s="38"/>
      <c r="G262" s="41"/>
      <c r="H262" s="41"/>
    </row>
    <row r="263" spans="1:8" x14ac:dyDescent="0.2">
      <c r="A263" s="42"/>
      <c r="B263" s="37">
        <f t="shared" si="13"/>
        <v>43922</v>
      </c>
      <c r="C263" s="38">
        <f t="shared" si="14"/>
        <v>0</v>
      </c>
      <c r="D263" s="38">
        <f t="shared" si="15"/>
        <v>51850</v>
      </c>
      <c r="E263" s="38"/>
      <c r="F263" s="38"/>
      <c r="G263" s="41"/>
      <c r="H263" s="41"/>
    </row>
    <row r="264" spans="1:8" x14ac:dyDescent="0.2">
      <c r="A264" s="42"/>
      <c r="B264" s="37">
        <f t="shared" si="13"/>
        <v>43952</v>
      </c>
      <c r="C264" s="38">
        <f t="shared" si="14"/>
        <v>0</v>
      </c>
      <c r="D264" s="38">
        <f t="shared" si="15"/>
        <v>51850</v>
      </c>
      <c r="E264" s="38"/>
      <c r="F264" s="38"/>
      <c r="G264" s="41"/>
      <c r="H264" s="41"/>
    </row>
    <row r="265" spans="1:8" x14ac:dyDescent="0.2">
      <c r="A265" s="42"/>
      <c r="B265" s="37">
        <f t="shared" si="13"/>
        <v>43983</v>
      </c>
      <c r="C265" s="38">
        <f t="shared" si="14"/>
        <v>0</v>
      </c>
      <c r="D265" s="38">
        <f t="shared" si="15"/>
        <v>51850</v>
      </c>
      <c r="E265" s="38"/>
      <c r="F265" s="38"/>
      <c r="G265" s="41"/>
      <c r="H265" s="41"/>
    </row>
    <row r="266" spans="1:8" x14ac:dyDescent="0.2">
      <c r="A266" s="42"/>
      <c r="B266" s="37">
        <f t="shared" si="13"/>
        <v>44013</v>
      </c>
      <c r="C266" s="38">
        <f t="shared" si="14"/>
        <v>0</v>
      </c>
      <c r="D266" s="38">
        <f t="shared" si="15"/>
        <v>51850</v>
      </c>
      <c r="E266" s="38"/>
      <c r="F266" s="38"/>
      <c r="G266" s="41"/>
      <c r="H266" s="41"/>
    </row>
    <row r="267" spans="1:8" x14ac:dyDescent="0.2">
      <c r="A267" s="42"/>
      <c r="B267" s="37">
        <f t="shared" si="13"/>
        <v>44044</v>
      </c>
      <c r="C267" s="38">
        <f t="shared" si="14"/>
        <v>0</v>
      </c>
      <c r="D267" s="38">
        <f t="shared" si="15"/>
        <v>51850</v>
      </c>
      <c r="E267" s="38"/>
      <c r="F267" s="38"/>
      <c r="G267" s="41"/>
      <c r="H267" s="41"/>
    </row>
    <row r="268" spans="1:8" x14ac:dyDescent="0.2">
      <c r="A268" s="42"/>
      <c r="B268" s="37">
        <f t="shared" si="13"/>
        <v>44075</v>
      </c>
      <c r="C268" s="38">
        <f t="shared" si="14"/>
        <v>0</v>
      </c>
      <c r="D268" s="38">
        <f t="shared" si="15"/>
        <v>51850</v>
      </c>
      <c r="E268" s="38"/>
      <c r="F268" s="38"/>
      <c r="G268" s="41"/>
      <c r="H268" s="41"/>
    </row>
    <row r="269" spans="1:8" x14ac:dyDescent="0.2">
      <c r="A269" s="42"/>
      <c r="B269" s="37">
        <f t="shared" si="13"/>
        <v>44105</v>
      </c>
      <c r="C269" s="38">
        <f t="shared" si="14"/>
        <v>0</v>
      </c>
      <c r="D269" s="38">
        <f t="shared" si="15"/>
        <v>51850</v>
      </c>
      <c r="E269" s="38"/>
      <c r="F269" s="38"/>
      <c r="G269" s="41"/>
      <c r="H269" s="41"/>
    </row>
    <row r="270" spans="1:8" x14ac:dyDescent="0.2">
      <c r="A270" s="42"/>
      <c r="B270" s="37">
        <f t="shared" si="13"/>
        <v>44136</v>
      </c>
      <c r="C270" s="38">
        <f t="shared" si="14"/>
        <v>0</v>
      </c>
      <c r="D270" s="38">
        <f t="shared" si="15"/>
        <v>51850</v>
      </c>
      <c r="E270" s="38"/>
      <c r="F270" s="38"/>
      <c r="G270" s="41"/>
      <c r="H270" s="41"/>
    </row>
    <row r="271" spans="1:8" x14ac:dyDescent="0.2">
      <c r="A271" s="42"/>
      <c r="B271" s="37">
        <f t="shared" si="13"/>
        <v>44166</v>
      </c>
      <c r="C271" s="38">
        <f t="shared" si="14"/>
        <v>0</v>
      </c>
      <c r="D271" s="38">
        <f t="shared" si="15"/>
        <v>51850</v>
      </c>
      <c r="E271" s="38"/>
      <c r="F271" s="38"/>
      <c r="G271" s="41"/>
      <c r="H271" s="41"/>
    </row>
    <row r="272" spans="1:8" x14ac:dyDescent="0.2">
      <c r="A272" s="42"/>
      <c r="B272" s="37">
        <f t="shared" si="13"/>
        <v>44197</v>
      </c>
      <c r="C272" s="38">
        <f t="shared" si="14"/>
        <v>0</v>
      </c>
      <c r="D272" s="38">
        <f t="shared" si="15"/>
        <v>51850</v>
      </c>
      <c r="E272" s="38"/>
      <c r="F272" s="38"/>
      <c r="G272" s="41"/>
      <c r="H272" s="41"/>
    </row>
    <row r="273" spans="1:8" x14ac:dyDescent="0.2">
      <c r="A273" s="42"/>
      <c r="B273" s="37">
        <f t="shared" si="13"/>
        <v>44228</v>
      </c>
      <c r="C273" s="38">
        <f t="shared" si="14"/>
        <v>0</v>
      </c>
      <c r="D273" s="38">
        <f t="shared" si="15"/>
        <v>51850</v>
      </c>
      <c r="E273" s="38"/>
      <c r="F273" s="38"/>
      <c r="G273" s="41"/>
      <c r="H273" s="41"/>
    </row>
    <row r="274" spans="1:8" x14ac:dyDescent="0.2">
      <c r="A274" s="42"/>
      <c r="B274" s="37">
        <f t="shared" si="13"/>
        <v>44256</v>
      </c>
      <c r="C274" s="38">
        <f t="shared" si="14"/>
        <v>0</v>
      </c>
      <c r="D274" s="38">
        <f t="shared" si="15"/>
        <v>51850</v>
      </c>
      <c r="E274" s="38"/>
      <c r="F274" s="38"/>
      <c r="G274" s="41"/>
      <c r="H274" s="41"/>
    </row>
    <row r="275" spans="1:8" x14ac:dyDescent="0.2">
      <c r="A275" s="42"/>
      <c r="B275" s="37">
        <f t="shared" si="13"/>
        <v>44287</v>
      </c>
      <c r="C275" s="38">
        <f t="shared" si="14"/>
        <v>0</v>
      </c>
      <c r="D275" s="38">
        <f t="shared" si="15"/>
        <v>51850</v>
      </c>
      <c r="E275" s="38"/>
      <c r="F275" s="38"/>
      <c r="G275" s="41"/>
      <c r="H275" s="41"/>
    </row>
    <row r="276" spans="1:8" x14ac:dyDescent="0.2">
      <c r="A276" s="42"/>
      <c r="B276" s="37">
        <f t="shared" si="13"/>
        <v>44317</v>
      </c>
      <c r="C276" s="38">
        <f t="shared" si="14"/>
        <v>0</v>
      </c>
      <c r="D276" s="38">
        <f t="shared" si="15"/>
        <v>51850</v>
      </c>
      <c r="E276" s="38"/>
      <c r="F276" s="38"/>
      <c r="G276" s="41"/>
      <c r="H276" s="41"/>
    </row>
    <row r="277" spans="1:8" x14ac:dyDescent="0.2">
      <c r="A277" s="42"/>
      <c r="B277" s="37">
        <f t="shared" si="13"/>
        <v>44348</v>
      </c>
      <c r="C277" s="38">
        <f t="shared" si="14"/>
        <v>0</v>
      </c>
      <c r="D277" s="38">
        <f t="shared" si="15"/>
        <v>51850</v>
      </c>
      <c r="E277" s="38"/>
      <c r="F277" s="38"/>
      <c r="G277" s="41"/>
      <c r="H277" s="41"/>
    </row>
    <row r="278" spans="1:8" x14ac:dyDescent="0.2">
      <c r="A278" s="42"/>
      <c r="B278" s="37">
        <f t="shared" si="13"/>
        <v>44378</v>
      </c>
      <c r="C278" s="38">
        <f t="shared" si="14"/>
        <v>0</v>
      </c>
      <c r="D278" s="38">
        <f t="shared" si="15"/>
        <v>51850</v>
      </c>
      <c r="E278" s="38"/>
      <c r="F278" s="38"/>
      <c r="G278" s="41"/>
      <c r="H278" s="41"/>
    </row>
    <row r="279" spans="1:8" x14ac:dyDescent="0.2">
      <c r="A279" s="42"/>
      <c r="B279" s="37">
        <f t="shared" si="13"/>
        <v>44409</v>
      </c>
      <c r="C279" s="38">
        <f t="shared" si="14"/>
        <v>0</v>
      </c>
      <c r="D279" s="38">
        <f t="shared" si="15"/>
        <v>51850</v>
      </c>
      <c r="E279" s="38"/>
      <c r="F279" s="38"/>
      <c r="G279" s="41"/>
      <c r="H279" s="41"/>
    </row>
    <row r="280" spans="1:8" x14ac:dyDescent="0.2">
      <c r="A280" s="42"/>
      <c r="B280" s="37">
        <f t="shared" si="13"/>
        <v>44440</v>
      </c>
      <c r="C280" s="38">
        <f t="shared" si="14"/>
        <v>0</v>
      </c>
      <c r="D280" s="38">
        <f t="shared" si="15"/>
        <v>51850</v>
      </c>
      <c r="E280" s="38"/>
      <c r="F280" s="38"/>
      <c r="G280" s="41"/>
      <c r="H280" s="41"/>
    </row>
    <row r="281" spans="1:8" x14ac:dyDescent="0.2">
      <c r="A281" s="42"/>
      <c r="B281" s="37">
        <f t="shared" si="13"/>
        <v>44470</v>
      </c>
      <c r="C281" s="38">
        <f t="shared" si="14"/>
        <v>0</v>
      </c>
      <c r="D281" s="38">
        <f t="shared" si="15"/>
        <v>51850</v>
      </c>
      <c r="E281" s="38"/>
      <c r="F281" s="38"/>
      <c r="G281" s="41"/>
      <c r="H281" s="41"/>
    </row>
    <row r="282" spans="1:8" x14ac:dyDescent="0.2">
      <c r="A282" s="42"/>
      <c r="B282" s="37">
        <f t="shared" si="13"/>
        <v>44501</v>
      </c>
      <c r="C282" s="38">
        <f t="shared" si="14"/>
        <v>0</v>
      </c>
      <c r="D282" s="38">
        <f t="shared" si="15"/>
        <v>51850</v>
      </c>
      <c r="E282" s="38"/>
      <c r="F282" s="38"/>
      <c r="G282" s="41"/>
      <c r="H282" s="41"/>
    </row>
    <row r="283" spans="1:8" x14ac:dyDescent="0.2">
      <c r="A283" s="42"/>
      <c r="B283" s="37">
        <f t="shared" si="13"/>
        <v>44531</v>
      </c>
      <c r="C283" s="38">
        <f t="shared" si="14"/>
        <v>0</v>
      </c>
      <c r="D283" s="38">
        <f t="shared" si="15"/>
        <v>51850</v>
      </c>
      <c r="E283" s="38"/>
      <c r="F283" s="38"/>
      <c r="G283" s="41"/>
      <c r="H283" s="41"/>
    </row>
    <row r="284" spans="1:8" x14ac:dyDescent="0.2">
      <c r="A284" s="42"/>
      <c r="B284" s="37">
        <f t="shared" ref="B284:B332" si="16">+DATE(YEAR(B283),MONTH(B283)+1,1)</f>
        <v>44562</v>
      </c>
      <c r="C284" s="38">
        <f t="shared" si="14"/>
        <v>0</v>
      </c>
      <c r="D284" s="38">
        <f t="shared" si="15"/>
        <v>51850</v>
      </c>
      <c r="E284" s="38"/>
      <c r="F284" s="38"/>
      <c r="G284" s="41"/>
      <c r="H284" s="41"/>
    </row>
    <row r="285" spans="1:8" x14ac:dyDescent="0.2">
      <c r="A285" s="42"/>
      <c r="B285" s="37">
        <f t="shared" si="16"/>
        <v>44593</v>
      </c>
      <c r="C285" s="38">
        <f t="shared" si="14"/>
        <v>0</v>
      </c>
      <c r="D285" s="38">
        <f t="shared" si="15"/>
        <v>51850</v>
      </c>
      <c r="E285" s="38"/>
      <c r="F285" s="38"/>
      <c r="G285" s="41"/>
      <c r="H285" s="41"/>
    </row>
    <row r="286" spans="1:8" x14ac:dyDescent="0.2">
      <c r="A286" s="42"/>
      <c r="B286" s="37">
        <f t="shared" si="16"/>
        <v>44621</v>
      </c>
      <c r="C286" s="38">
        <f t="shared" si="14"/>
        <v>0</v>
      </c>
      <c r="D286" s="38">
        <f t="shared" si="15"/>
        <v>51850</v>
      </c>
      <c r="E286" s="38"/>
      <c r="F286" s="38"/>
      <c r="G286" s="41"/>
      <c r="H286" s="41"/>
    </row>
    <row r="287" spans="1:8" x14ac:dyDescent="0.2">
      <c r="A287" s="42"/>
      <c r="B287" s="37">
        <f t="shared" si="16"/>
        <v>44652</v>
      </c>
      <c r="C287" s="38">
        <f t="shared" si="14"/>
        <v>0</v>
      </c>
      <c r="D287" s="38">
        <f t="shared" si="15"/>
        <v>51850</v>
      </c>
      <c r="E287" s="38"/>
      <c r="F287" s="38"/>
      <c r="G287" s="41"/>
      <c r="H287" s="41"/>
    </row>
    <row r="288" spans="1:8" x14ac:dyDescent="0.2">
      <c r="A288" s="42"/>
      <c r="B288" s="37">
        <f t="shared" si="16"/>
        <v>44682</v>
      </c>
      <c r="C288" s="38">
        <f t="shared" si="14"/>
        <v>0</v>
      </c>
      <c r="D288" s="38">
        <f t="shared" si="15"/>
        <v>51850</v>
      </c>
      <c r="E288" s="38"/>
      <c r="F288" s="38"/>
      <c r="G288" s="41"/>
      <c r="H288" s="41"/>
    </row>
    <row r="289" spans="1:8" x14ac:dyDescent="0.2">
      <c r="A289" s="42"/>
      <c r="B289" s="37">
        <f t="shared" si="16"/>
        <v>44713</v>
      </c>
      <c r="C289" s="38">
        <f t="shared" si="14"/>
        <v>0</v>
      </c>
      <c r="D289" s="38">
        <f t="shared" si="15"/>
        <v>51850</v>
      </c>
      <c r="E289" s="38"/>
      <c r="F289" s="38"/>
      <c r="G289" s="41"/>
      <c r="H289" s="41"/>
    </row>
    <row r="290" spans="1:8" x14ac:dyDescent="0.2">
      <c r="A290" s="42"/>
      <c r="B290" s="37">
        <f t="shared" si="16"/>
        <v>44743</v>
      </c>
      <c r="C290" s="38">
        <f t="shared" si="14"/>
        <v>0</v>
      </c>
      <c r="D290" s="38">
        <f t="shared" si="15"/>
        <v>51850</v>
      </c>
      <c r="E290" s="38"/>
      <c r="F290" s="38"/>
      <c r="G290" s="41"/>
      <c r="H290" s="41"/>
    </row>
    <row r="291" spans="1:8" x14ac:dyDescent="0.2">
      <c r="A291" s="42"/>
      <c r="B291" s="37">
        <f t="shared" si="16"/>
        <v>44774</v>
      </c>
      <c r="C291" s="38">
        <f t="shared" si="14"/>
        <v>0</v>
      </c>
      <c r="D291" s="38">
        <f t="shared" si="15"/>
        <v>51850</v>
      </c>
      <c r="E291" s="38"/>
      <c r="F291" s="38"/>
      <c r="G291" s="41"/>
      <c r="H291" s="41"/>
    </row>
    <row r="292" spans="1:8" x14ac:dyDescent="0.2">
      <c r="A292" s="42"/>
      <c r="B292" s="37">
        <f t="shared" si="16"/>
        <v>44805</v>
      </c>
      <c r="C292" s="38">
        <f t="shared" si="14"/>
        <v>0</v>
      </c>
      <c r="D292" s="38">
        <f t="shared" si="15"/>
        <v>51850</v>
      </c>
      <c r="E292" s="38"/>
      <c r="F292" s="38"/>
      <c r="G292" s="41"/>
      <c r="H292" s="41"/>
    </row>
    <row r="293" spans="1:8" x14ac:dyDescent="0.2">
      <c r="A293" s="42"/>
      <c r="B293" s="37">
        <f t="shared" si="16"/>
        <v>44835</v>
      </c>
      <c r="C293" s="38">
        <f t="shared" si="14"/>
        <v>0</v>
      </c>
      <c r="D293" s="38">
        <f t="shared" si="15"/>
        <v>51850</v>
      </c>
      <c r="E293" s="38"/>
      <c r="F293" s="38"/>
      <c r="G293" s="41"/>
      <c r="H293" s="41"/>
    </row>
    <row r="294" spans="1:8" x14ac:dyDescent="0.2">
      <c r="A294" s="42"/>
      <c r="B294" s="37">
        <f t="shared" si="16"/>
        <v>44866</v>
      </c>
      <c r="C294" s="38">
        <f t="shared" si="14"/>
        <v>0</v>
      </c>
      <c r="D294" s="38">
        <f t="shared" si="15"/>
        <v>51850</v>
      </c>
      <c r="E294" s="38"/>
      <c r="F294" s="38"/>
      <c r="G294" s="41"/>
      <c r="H294" s="41"/>
    </row>
    <row r="295" spans="1:8" x14ac:dyDescent="0.2">
      <c r="A295" s="42"/>
      <c r="B295" s="37">
        <f t="shared" si="16"/>
        <v>44896</v>
      </c>
      <c r="C295" s="38">
        <f t="shared" si="14"/>
        <v>0</v>
      </c>
      <c r="D295" s="38">
        <f t="shared" si="15"/>
        <v>51850</v>
      </c>
      <c r="E295" s="38"/>
      <c r="F295" s="38"/>
      <c r="G295" s="41"/>
      <c r="H295" s="41"/>
    </row>
    <row r="296" spans="1:8" x14ac:dyDescent="0.2">
      <c r="A296" s="42"/>
      <c r="B296" s="37">
        <f t="shared" si="16"/>
        <v>44927</v>
      </c>
      <c r="C296" s="38">
        <f t="shared" si="14"/>
        <v>0</v>
      </c>
      <c r="D296" s="38">
        <f t="shared" si="15"/>
        <v>51850</v>
      </c>
      <c r="E296" s="38"/>
      <c r="F296" s="38"/>
      <c r="G296" s="41"/>
      <c r="H296" s="41"/>
    </row>
    <row r="297" spans="1:8" x14ac:dyDescent="0.2">
      <c r="A297" s="42"/>
      <c r="B297" s="37">
        <f t="shared" si="16"/>
        <v>44958</v>
      </c>
      <c r="C297" s="38">
        <f t="shared" si="14"/>
        <v>0</v>
      </c>
      <c r="D297" s="38">
        <f t="shared" si="15"/>
        <v>51850</v>
      </c>
      <c r="E297" s="38"/>
      <c r="F297" s="38"/>
      <c r="G297" s="41"/>
      <c r="H297" s="41"/>
    </row>
    <row r="298" spans="1:8" x14ac:dyDescent="0.2">
      <c r="A298" s="42"/>
      <c r="B298" s="37">
        <f t="shared" si="16"/>
        <v>44986</v>
      </c>
      <c r="C298" s="38">
        <f t="shared" si="14"/>
        <v>0</v>
      </c>
      <c r="D298" s="38">
        <f t="shared" si="15"/>
        <v>51850</v>
      </c>
      <c r="E298" s="38"/>
      <c r="F298" s="38"/>
      <c r="G298" s="41"/>
      <c r="H298" s="41"/>
    </row>
    <row r="299" spans="1:8" x14ac:dyDescent="0.2">
      <c r="A299" s="42"/>
      <c r="B299" s="37">
        <f t="shared" si="16"/>
        <v>45017</v>
      </c>
      <c r="C299" s="38">
        <f t="shared" si="14"/>
        <v>0</v>
      </c>
      <c r="D299" s="38">
        <f t="shared" si="15"/>
        <v>51850</v>
      </c>
      <c r="E299" s="38"/>
      <c r="F299" s="38"/>
      <c r="G299" s="41"/>
      <c r="H299" s="41"/>
    </row>
    <row r="300" spans="1:8" x14ac:dyDescent="0.2">
      <c r="A300" s="42"/>
      <c r="B300" s="37">
        <f t="shared" si="16"/>
        <v>45047</v>
      </c>
      <c r="C300" s="38">
        <f t="shared" si="14"/>
        <v>0</v>
      </c>
      <c r="D300" s="38">
        <f t="shared" si="15"/>
        <v>51850</v>
      </c>
      <c r="E300" s="38"/>
      <c r="F300" s="38"/>
      <c r="G300" s="41"/>
      <c r="H300" s="41"/>
    </row>
    <row r="301" spans="1:8" x14ac:dyDescent="0.2">
      <c r="A301" s="42"/>
      <c r="B301" s="37">
        <f t="shared" si="16"/>
        <v>45078</v>
      </c>
      <c r="C301" s="38">
        <f t="shared" si="14"/>
        <v>0</v>
      </c>
      <c r="D301" s="38">
        <f t="shared" si="15"/>
        <v>51850</v>
      </c>
      <c r="E301" s="38"/>
      <c r="F301" s="38"/>
      <c r="G301" s="41"/>
      <c r="H301" s="41"/>
    </row>
    <row r="302" spans="1:8" x14ac:dyDescent="0.2">
      <c r="A302" s="42"/>
      <c r="B302" s="37">
        <f t="shared" si="16"/>
        <v>45108</v>
      </c>
      <c r="C302" s="38">
        <f t="shared" si="14"/>
        <v>0</v>
      </c>
      <c r="D302" s="38">
        <f t="shared" si="15"/>
        <v>51850</v>
      </c>
      <c r="E302" s="38"/>
      <c r="F302" s="38"/>
      <c r="G302" s="41"/>
      <c r="H302" s="41"/>
    </row>
    <row r="303" spans="1:8" x14ac:dyDescent="0.2">
      <c r="A303" s="42"/>
      <c r="B303" s="37">
        <f t="shared" si="16"/>
        <v>45139</v>
      </c>
      <c r="C303" s="38">
        <f t="shared" si="14"/>
        <v>0</v>
      </c>
      <c r="D303" s="38">
        <f t="shared" si="15"/>
        <v>51850</v>
      </c>
      <c r="E303" s="38"/>
      <c r="F303" s="38"/>
      <c r="G303" s="41"/>
      <c r="H303" s="41"/>
    </row>
    <row r="304" spans="1:8" x14ac:dyDescent="0.2">
      <c r="A304" s="42"/>
      <c r="B304" s="37">
        <f t="shared" si="16"/>
        <v>45170</v>
      </c>
      <c r="C304" s="38">
        <f t="shared" si="14"/>
        <v>0</v>
      </c>
      <c r="D304" s="38">
        <f t="shared" si="15"/>
        <v>51850</v>
      </c>
      <c r="E304" s="38"/>
      <c r="F304" s="38"/>
      <c r="G304" s="41"/>
      <c r="H304" s="41"/>
    </row>
    <row r="305" spans="1:8" x14ac:dyDescent="0.2">
      <c r="A305" s="42"/>
      <c r="B305" s="37">
        <f t="shared" si="16"/>
        <v>45200</v>
      </c>
      <c r="C305" s="38">
        <f t="shared" si="14"/>
        <v>0</v>
      </c>
      <c r="D305" s="38">
        <f t="shared" si="15"/>
        <v>51850</v>
      </c>
      <c r="E305" s="38"/>
      <c r="F305" s="38"/>
      <c r="G305" s="41"/>
      <c r="H305" s="41"/>
    </row>
    <row r="306" spans="1:8" x14ac:dyDescent="0.2">
      <c r="A306" s="42"/>
      <c r="B306" s="37">
        <f t="shared" si="16"/>
        <v>45231</v>
      </c>
      <c r="C306" s="38">
        <f t="shared" si="14"/>
        <v>0</v>
      </c>
      <c r="D306" s="38">
        <f t="shared" si="15"/>
        <v>51850</v>
      </c>
      <c r="E306" s="38"/>
      <c r="F306" s="38"/>
      <c r="G306" s="41"/>
      <c r="H306" s="41"/>
    </row>
    <row r="307" spans="1:8" x14ac:dyDescent="0.2">
      <c r="A307" s="42"/>
      <c r="B307" s="37">
        <f t="shared" si="16"/>
        <v>45261</v>
      </c>
      <c r="C307" s="38">
        <f t="shared" si="14"/>
        <v>0</v>
      </c>
      <c r="D307" s="38">
        <f t="shared" si="15"/>
        <v>51850</v>
      </c>
      <c r="E307" s="38"/>
      <c r="F307" s="38"/>
      <c r="G307" s="41"/>
      <c r="H307" s="41"/>
    </row>
    <row r="308" spans="1:8" x14ac:dyDescent="0.2">
      <c r="A308" s="42"/>
      <c r="B308" s="37">
        <f t="shared" si="16"/>
        <v>45292</v>
      </c>
      <c r="C308" s="38">
        <f t="shared" si="14"/>
        <v>0</v>
      </c>
      <c r="D308" s="38">
        <f t="shared" si="15"/>
        <v>51850</v>
      </c>
      <c r="E308" s="38"/>
      <c r="F308" s="38"/>
      <c r="G308" s="41"/>
      <c r="H308" s="41"/>
    </row>
    <row r="309" spans="1:8" x14ac:dyDescent="0.2">
      <c r="A309" s="42"/>
      <c r="B309" s="37">
        <f t="shared" si="16"/>
        <v>45323</v>
      </c>
      <c r="C309" s="38">
        <f t="shared" si="14"/>
        <v>0</v>
      </c>
      <c r="D309" s="38">
        <f t="shared" si="15"/>
        <v>51850</v>
      </c>
      <c r="E309" s="38"/>
      <c r="F309" s="38"/>
      <c r="G309" s="41"/>
      <c r="H309" s="41"/>
    </row>
    <row r="310" spans="1:8" x14ac:dyDescent="0.2">
      <c r="A310" s="42"/>
      <c r="B310" s="37">
        <f t="shared" si="16"/>
        <v>45352</v>
      </c>
      <c r="C310" s="38">
        <f t="shared" si="14"/>
        <v>0</v>
      </c>
      <c r="D310" s="38">
        <f t="shared" si="15"/>
        <v>51850</v>
      </c>
      <c r="E310" s="38"/>
      <c r="F310" s="38"/>
      <c r="G310" s="41"/>
      <c r="H310" s="41"/>
    </row>
    <row r="311" spans="1:8" x14ac:dyDescent="0.2">
      <c r="A311" s="42"/>
      <c r="B311" s="37">
        <f t="shared" si="16"/>
        <v>45383</v>
      </c>
      <c r="C311" s="38">
        <f t="shared" si="14"/>
        <v>0</v>
      </c>
      <c r="D311" s="38">
        <f t="shared" si="15"/>
        <v>51850</v>
      </c>
      <c r="E311" s="38"/>
      <c r="F311" s="38"/>
      <c r="G311" s="41"/>
      <c r="H311" s="41"/>
    </row>
    <row r="312" spans="1:8" x14ac:dyDescent="0.2">
      <c r="A312" s="42"/>
      <c r="B312" s="37">
        <f t="shared" si="16"/>
        <v>45413</v>
      </c>
      <c r="C312" s="38">
        <f t="shared" si="14"/>
        <v>0</v>
      </c>
      <c r="D312" s="38">
        <f t="shared" si="15"/>
        <v>51850</v>
      </c>
      <c r="E312" s="38"/>
      <c r="F312" s="38"/>
      <c r="G312" s="41"/>
      <c r="H312" s="41"/>
    </row>
    <row r="313" spans="1:8" x14ac:dyDescent="0.2">
      <c r="A313" s="42"/>
      <c r="B313" s="37">
        <f t="shared" si="16"/>
        <v>45444</v>
      </c>
      <c r="C313" s="38">
        <f t="shared" ref="C313:C332" si="17">+C312</f>
        <v>0</v>
      </c>
      <c r="D313" s="38">
        <f t="shared" ref="D313:D331" si="18">+D312</f>
        <v>51850</v>
      </c>
      <c r="E313" s="38"/>
      <c r="F313" s="38"/>
      <c r="G313" s="41"/>
      <c r="H313" s="41"/>
    </row>
    <row r="314" spans="1:8" x14ac:dyDescent="0.2">
      <c r="A314" s="42"/>
      <c r="B314" s="37">
        <f t="shared" si="16"/>
        <v>45474</v>
      </c>
      <c r="C314" s="38">
        <f t="shared" si="17"/>
        <v>0</v>
      </c>
      <c r="D314" s="38">
        <f t="shared" si="18"/>
        <v>51850</v>
      </c>
      <c r="E314" s="38"/>
      <c r="F314" s="38"/>
      <c r="G314" s="41"/>
      <c r="H314" s="41"/>
    </row>
    <row r="315" spans="1:8" x14ac:dyDescent="0.2">
      <c r="A315" s="42"/>
      <c r="B315" s="37">
        <f t="shared" si="16"/>
        <v>45505</v>
      </c>
      <c r="C315" s="38">
        <f t="shared" si="17"/>
        <v>0</v>
      </c>
      <c r="D315" s="38">
        <f t="shared" si="18"/>
        <v>51850</v>
      </c>
      <c r="E315" s="38"/>
      <c r="F315" s="38"/>
      <c r="G315" s="41"/>
      <c r="H315" s="41"/>
    </row>
    <row r="316" spans="1:8" x14ac:dyDescent="0.2">
      <c r="A316" s="42"/>
      <c r="B316" s="37">
        <f t="shared" si="16"/>
        <v>45536</v>
      </c>
      <c r="C316" s="38">
        <f t="shared" si="17"/>
        <v>0</v>
      </c>
      <c r="D316" s="38">
        <f t="shared" si="18"/>
        <v>51850</v>
      </c>
      <c r="E316" s="38"/>
      <c r="F316" s="38"/>
      <c r="G316" s="41"/>
      <c r="H316" s="41"/>
    </row>
    <row r="317" spans="1:8" x14ac:dyDescent="0.2">
      <c r="A317" s="42"/>
      <c r="B317" s="37">
        <f t="shared" si="16"/>
        <v>45566</v>
      </c>
      <c r="C317" s="38">
        <f t="shared" si="17"/>
        <v>0</v>
      </c>
      <c r="D317" s="38">
        <f t="shared" si="18"/>
        <v>51850</v>
      </c>
      <c r="E317" s="38"/>
      <c r="F317" s="38"/>
      <c r="G317" s="41"/>
      <c r="H317" s="41"/>
    </row>
    <row r="318" spans="1:8" x14ac:dyDescent="0.2">
      <c r="A318" s="42"/>
      <c r="B318" s="37">
        <f t="shared" si="16"/>
        <v>45597</v>
      </c>
      <c r="C318" s="38">
        <f t="shared" si="17"/>
        <v>0</v>
      </c>
      <c r="D318" s="38">
        <f t="shared" si="18"/>
        <v>51850</v>
      </c>
      <c r="E318" s="38"/>
      <c r="F318" s="38"/>
      <c r="G318" s="41"/>
      <c r="H318" s="41"/>
    </row>
    <row r="319" spans="1:8" x14ac:dyDescent="0.2">
      <c r="A319" s="42"/>
      <c r="B319" s="37">
        <f t="shared" si="16"/>
        <v>45627</v>
      </c>
      <c r="C319" s="38">
        <f t="shared" si="17"/>
        <v>0</v>
      </c>
      <c r="D319" s="38">
        <f t="shared" si="18"/>
        <v>51850</v>
      </c>
      <c r="E319" s="38"/>
      <c r="F319" s="38"/>
      <c r="G319" s="41"/>
      <c r="H319" s="41"/>
    </row>
    <row r="320" spans="1:8" x14ac:dyDescent="0.2">
      <c r="A320" s="42"/>
      <c r="B320" s="37">
        <f t="shared" si="16"/>
        <v>45658</v>
      </c>
      <c r="C320" s="38">
        <f t="shared" si="17"/>
        <v>0</v>
      </c>
      <c r="D320" s="38">
        <f t="shared" si="18"/>
        <v>51850</v>
      </c>
      <c r="E320" s="38"/>
      <c r="F320" s="38"/>
      <c r="G320" s="41"/>
      <c r="H320" s="41"/>
    </row>
    <row r="321" spans="1:8" x14ac:dyDescent="0.2">
      <c r="A321" s="42"/>
      <c r="B321" s="37">
        <f t="shared" si="16"/>
        <v>45689</v>
      </c>
      <c r="C321" s="38">
        <f t="shared" si="17"/>
        <v>0</v>
      </c>
      <c r="D321" s="38">
        <f t="shared" si="18"/>
        <v>51850</v>
      </c>
      <c r="E321" s="38"/>
      <c r="F321" s="38"/>
      <c r="G321" s="41"/>
      <c r="H321" s="41"/>
    </row>
    <row r="322" spans="1:8" x14ac:dyDescent="0.2">
      <c r="A322" s="42"/>
      <c r="B322" s="37">
        <f t="shared" si="16"/>
        <v>45717</v>
      </c>
      <c r="C322" s="38">
        <f t="shared" si="17"/>
        <v>0</v>
      </c>
      <c r="D322" s="38">
        <f t="shared" si="18"/>
        <v>51850</v>
      </c>
      <c r="E322" s="38"/>
      <c r="F322" s="38"/>
      <c r="G322" s="41"/>
      <c r="H322" s="41"/>
    </row>
    <row r="323" spans="1:8" x14ac:dyDescent="0.2">
      <c r="A323" s="42"/>
      <c r="B323" s="37">
        <f t="shared" si="16"/>
        <v>45748</v>
      </c>
      <c r="C323" s="38">
        <f t="shared" si="17"/>
        <v>0</v>
      </c>
      <c r="D323" s="38">
        <f t="shared" si="18"/>
        <v>51850</v>
      </c>
      <c r="E323" s="38"/>
      <c r="F323" s="38"/>
      <c r="G323" s="41"/>
      <c r="H323" s="41"/>
    </row>
    <row r="324" spans="1:8" x14ac:dyDescent="0.2">
      <c r="A324" s="42"/>
      <c r="B324" s="37">
        <f t="shared" si="16"/>
        <v>45778</v>
      </c>
      <c r="C324" s="38">
        <f t="shared" si="17"/>
        <v>0</v>
      </c>
      <c r="D324" s="38">
        <f t="shared" si="18"/>
        <v>51850</v>
      </c>
      <c r="E324" s="38"/>
      <c r="F324" s="38"/>
      <c r="G324" s="41"/>
      <c r="H324" s="41"/>
    </row>
    <row r="325" spans="1:8" x14ac:dyDescent="0.2">
      <c r="A325" s="42"/>
      <c r="B325" s="37">
        <f t="shared" si="16"/>
        <v>45809</v>
      </c>
      <c r="C325" s="38">
        <f t="shared" si="17"/>
        <v>0</v>
      </c>
      <c r="D325" s="38">
        <f t="shared" si="18"/>
        <v>51850</v>
      </c>
      <c r="E325" s="38"/>
      <c r="F325" s="38"/>
      <c r="G325" s="41"/>
      <c r="H325" s="41"/>
    </row>
    <row r="326" spans="1:8" x14ac:dyDescent="0.2">
      <c r="A326" s="42"/>
      <c r="B326" s="37">
        <f t="shared" si="16"/>
        <v>45839</v>
      </c>
      <c r="C326" s="38">
        <f t="shared" si="17"/>
        <v>0</v>
      </c>
      <c r="D326" s="38">
        <f t="shared" si="18"/>
        <v>51850</v>
      </c>
      <c r="E326" s="38"/>
      <c r="F326" s="38"/>
      <c r="G326" s="41"/>
      <c r="H326" s="41"/>
    </row>
    <row r="327" spans="1:8" x14ac:dyDescent="0.2">
      <c r="A327" s="42"/>
      <c r="B327" s="37">
        <f t="shared" si="16"/>
        <v>45870</v>
      </c>
      <c r="C327" s="38">
        <f t="shared" si="17"/>
        <v>0</v>
      </c>
      <c r="D327" s="38">
        <f t="shared" si="18"/>
        <v>51850</v>
      </c>
      <c r="E327" s="38"/>
      <c r="F327" s="38"/>
      <c r="G327" s="41"/>
      <c r="H327" s="41"/>
    </row>
    <row r="328" spans="1:8" x14ac:dyDescent="0.2">
      <c r="A328" s="42"/>
      <c r="B328" s="37">
        <f t="shared" si="16"/>
        <v>45901</v>
      </c>
      <c r="C328" s="38">
        <f t="shared" si="17"/>
        <v>0</v>
      </c>
      <c r="D328" s="38">
        <f t="shared" si="18"/>
        <v>51850</v>
      </c>
      <c r="E328" s="38"/>
      <c r="F328" s="38"/>
      <c r="G328" s="41"/>
      <c r="H328" s="41"/>
    </row>
    <row r="329" spans="1:8" x14ac:dyDescent="0.2">
      <c r="A329" s="42"/>
      <c r="B329" s="37">
        <f t="shared" si="16"/>
        <v>45931</v>
      </c>
      <c r="C329" s="38">
        <f t="shared" si="17"/>
        <v>0</v>
      </c>
      <c r="D329" s="38">
        <f t="shared" si="18"/>
        <v>51850</v>
      </c>
      <c r="E329" s="38"/>
      <c r="F329" s="38"/>
      <c r="G329" s="41"/>
      <c r="H329" s="41"/>
    </row>
    <row r="330" spans="1:8" x14ac:dyDescent="0.2">
      <c r="A330" s="42"/>
      <c r="B330" s="37">
        <f t="shared" si="16"/>
        <v>45962</v>
      </c>
      <c r="C330" s="38">
        <f t="shared" si="17"/>
        <v>0</v>
      </c>
      <c r="D330" s="38">
        <f t="shared" si="18"/>
        <v>51850</v>
      </c>
      <c r="E330" s="38"/>
      <c r="F330" s="38"/>
      <c r="G330" s="41"/>
      <c r="H330" s="41"/>
    </row>
    <row r="331" spans="1:8" x14ac:dyDescent="0.2">
      <c r="A331" s="42"/>
      <c r="B331" s="37">
        <f t="shared" si="16"/>
        <v>45992</v>
      </c>
      <c r="C331" s="38">
        <f t="shared" si="17"/>
        <v>0</v>
      </c>
      <c r="D331" s="38">
        <f t="shared" si="18"/>
        <v>51850</v>
      </c>
      <c r="E331" s="38"/>
      <c r="F331" s="38"/>
      <c r="G331" s="41"/>
      <c r="H331" s="41"/>
    </row>
    <row r="332" spans="1:8" x14ac:dyDescent="0.2">
      <c r="A332" s="42"/>
      <c r="B332" s="37">
        <f t="shared" si="16"/>
        <v>46023</v>
      </c>
      <c r="C332" s="38">
        <f t="shared" si="17"/>
        <v>0</v>
      </c>
      <c r="D332" s="38">
        <v>0</v>
      </c>
      <c r="E332" s="38"/>
      <c r="F332" s="38"/>
      <c r="G332" s="41"/>
      <c r="H332" s="41"/>
    </row>
    <row r="333" spans="1:8" ht="6" customHeight="1" x14ac:dyDescent="0.2">
      <c r="A333" s="43"/>
      <c r="B333" s="44"/>
      <c r="C333" s="45"/>
      <c r="D333" s="45"/>
      <c r="E333" s="45"/>
      <c r="F333" s="45"/>
      <c r="G333" s="46"/>
      <c r="H333" s="46"/>
    </row>
    <row r="334" spans="1:8" x14ac:dyDescent="0.2">
      <c r="A334" s="76" t="s">
        <v>65</v>
      </c>
      <c r="B334" s="77" t="s">
        <v>47</v>
      </c>
      <c r="C334" s="81" t="str">
        <f t="shared" ref="C334:H334" si="19">+IF(C$5="","",C$5)</f>
        <v>HG</v>
      </c>
      <c r="D334" s="35" t="str">
        <f t="shared" si="19"/>
        <v>EXMAR</v>
      </c>
      <c r="E334" s="35" t="str">
        <f t="shared" si="19"/>
        <v/>
      </c>
      <c r="F334" s="35" t="str">
        <f t="shared" si="19"/>
        <v/>
      </c>
      <c r="G334" s="35" t="str">
        <f t="shared" si="19"/>
        <v/>
      </c>
      <c r="H334" s="36" t="str">
        <f t="shared" si="19"/>
        <v/>
      </c>
    </row>
    <row r="335" spans="1:8" x14ac:dyDescent="0.2">
      <c r="A335" s="11"/>
      <c r="B335" s="34"/>
      <c r="C335" s="81">
        <f t="shared" ref="C335:H335" si="20">+C25</f>
        <v>1</v>
      </c>
      <c r="D335" s="35">
        <f t="shared" si="20"/>
        <v>2</v>
      </c>
      <c r="E335" s="35">
        <f t="shared" si="20"/>
        <v>3</v>
      </c>
      <c r="F335" s="35">
        <f t="shared" si="20"/>
        <v>4</v>
      </c>
      <c r="G335" s="35">
        <f t="shared" si="20"/>
        <v>5</v>
      </c>
      <c r="H335" s="36">
        <f t="shared" si="20"/>
        <v>6</v>
      </c>
    </row>
    <row r="336" spans="1:8" x14ac:dyDescent="0.2">
      <c r="A336" s="39"/>
      <c r="B336" s="37">
        <f>+B26</f>
        <v>36708</v>
      </c>
      <c r="C336" s="38">
        <v>0</v>
      </c>
      <c r="D336" s="38">
        <v>0</v>
      </c>
      <c r="E336" s="38"/>
      <c r="F336" s="38"/>
      <c r="G336" s="38"/>
      <c r="H336" s="38"/>
    </row>
    <row r="337" spans="1:8" x14ac:dyDescent="0.2">
      <c r="A337" s="39"/>
      <c r="B337" s="37">
        <f>+DATE(YEAR(B336),MONTH(B336)+1,1)</f>
        <v>36739</v>
      </c>
      <c r="C337" s="38">
        <f t="shared" ref="C337:D340" si="21">+C336</f>
        <v>0</v>
      </c>
      <c r="D337" s="38">
        <f t="shared" si="21"/>
        <v>0</v>
      </c>
      <c r="E337" s="38"/>
      <c r="F337" s="38"/>
      <c r="G337" s="38"/>
      <c r="H337" s="38"/>
    </row>
    <row r="338" spans="1:8" x14ac:dyDescent="0.2">
      <c r="A338" s="39"/>
      <c r="B338" s="37">
        <f t="shared" ref="B338:B401" si="22">+DATE(YEAR(B337),MONTH(B337)+1,1)</f>
        <v>36770</v>
      </c>
      <c r="C338" s="38">
        <f t="shared" si="21"/>
        <v>0</v>
      </c>
      <c r="D338" s="38">
        <f t="shared" si="21"/>
        <v>0</v>
      </c>
      <c r="E338" s="38"/>
      <c r="F338" s="38"/>
      <c r="G338" s="38"/>
      <c r="H338" s="38"/>
    </row>
    <row r="339" spans="1:8" x14ac:dyDescent="0.2">
      <c r="A339" s="39"/>
      <c r="B339" s="37">
        <f t="shared" si="22"/>
        <v>36800</v>
      </c>
      <c r="C339" s="38">
        <f t="shared" si="21"/>
        <v>0</v>
      </c>
      <c r="D339" s="38">
        <f t="shared" si="21"/>
        <v>0</v>
      </c>
      <c r="E339" s="38"/>
      <c r="F339" s="38"/>
      <c r="G339" s="38"/>
      <c r="H339" s="38"/>
    </row>
    <row r="340" spans="1:8" x14ac:dyDescent="0.2">
      <c r="A340" s="39"/>
      <c r="B340" s="37">
        <f t="shared" si="22"/>
        <v>36831</v>
      </c>
      <c r="C340" s="38">
        <v>14000</v>
      </c>
      <c r="D340" s="38">
        <f t="shared" si="21"/>
        <v>0</v>
      </c>
      <c r="E340" s="38"/>
      <c r="F340" s="38"/>
      <c r="G340" s="38"/>
      <c r="H340" s="38"/>
    </row>
    <row r="341" spans="1:8" x14ac:dyDescent="0.2">
      <c r="A341" s="39"/>
      <c r="B341" s="37">
        <f t="shared" si="22"/>
        <v>36861</v>
      </c>
      <c r="C341" s="38">
        <f>+C340</f>
        <v>14000</v>
      </c>
      <c r="D341" s="38">
        <f t="shared" ref="D341:D365" si="23">+D340</f>
        <v>0</v>
      </c>
      <c r="E341" s="38"/>
      <c r="F341" s="38"/>
      <c r="G341" s="38"/>
      <c r="H341" s="38"/>
    </row>
    <row r="342" spans="1:8" x14ac:dyDescent="0.2">
      <c r="A342" s="39"/>
      <c r="B342" s="37">
        <f t="shared" si="22"/>
        <v>36892</v>
      </c>
      <c r="C342" s="38">
        <f>+C341</f>
        <v>14000</v>
      </c>
      <c r="D342" s="38">
        <f t="shared" si="23"/>
        <v>0</v>
      </c>
      <c r="E342" s="38"/>
      <c r="F342" s="38"/>
      <c r="G342" s="38"/>
      <c r="H342" s="38"/>
    </row>
    <row r="343" spans="1:8" x14ac:dyDescent="0.2">
      <c r="A343" s="39"/>
      <c r="B343" s="37">
        <f t="shared" si="22"/>
        <v>36923</v>
      </c>
      <c r="C343" s="38">
        <f>+C342</f>
        <v>14000</v>
      </c>
      <c r="D343" s="38">
        <f t="shared" si="23"/>
        <v>0</v>
      </c>
      <c r="E343" s="38"/>
      <c r="F343" s="38"/>
      <c r="G343" s="38"/>
      <c r="H343" s="38"/>
    </row>
    <row r="344" spans="1:8" x14ac:dyDescent="0.2">
      <c r="A344" s="39"/>
      <c r="B344" s="37">
        <f t="shared" si="22"/>
        <v>36951</v>
      </c>
      <c r="C344" s="38">
        <f>+C343*(1+(C$23/12))</f>
        <v>14029.166666666668</v>
      </c>
      <c r="D344" s="38">
        <f>+D343*(1+($C$23/12))</f>
        <v>0</v>
      </c>
      <c r="E344" s="38"/>
      <c r="F344" s="38"/>
      <c r="G344" s="38"/>
      <c r="H344" s="38"/>
    </row>
    <row r="345" spans="1:8" x14ac:dyDescent="0.2">
      <c r="A345" s="40"/>
      <c r="B345" s="37">
        <f t="shared" si="22"/>
        <v>36982</v>
      </c>
      <c r="C345" s="38">
        <f t="shared" ref="C345:D408" si="24">+C344*(1+(C$23/12))</f>
        <v>14058.394097222224</v>
      </c>
      <c r="D345" s="38">
        <f t="shared" si="23"/>
        <v>0</v>
      </c>
      <c r="E345" s="38"/>
      <c r="F345" s="38"/>
      <c r="G345" s="41"/>
      <c r="H345" s="41"/>
    </row>
    <row r="346" spans="1:8" x14ac:dyDescent="0.2">
      <c r="A346" s="40"/>
      <c r="B346" s="37">
        <f t="shared" si="22"/>
        <v>37012</v>
      </c>
      <c r="C346" s="38">
        <f t="shared" si="24"/>
        <v>14087.682418258106</v>
      </c>
      <c r="D346" s="38">
        <f t="shared" si="23"/>
        <v>0</v>
      </c>
      <c r="E346" s="38"/>
      <c r="F346" s="38"/>
      <c r="G346" s="41"/>
      <c r="H346" s="41"/>
    </row>
    <row r="347" spans="1:8" x14ac:dyDescent="0.2">
      <c r="A347" s="40"/>
      <c r="B347" s="37">
        <f t="shared" si="22"/>
        <v>37043</v>
      </c>
      <c r="C347" s="38">
        <f t="shared" si="24"/>
        <v>14117.031756629478</v>
      </c>
      <c r="D347" s="38">
        <f t="shared" si="23"/>
        <v>0</v>
      </c>
      <c r="E347" s="38"/>
      <c r="F347" s="38"/>
      <c r="G347" s="41"/>
      <c r="H347" s="41"/>
    </row>
    <row r="348" spans="1:8" x14ac:dyDescent="0.2">
      <c r="A348" s="40"/>
      <c r="B348" s="37">
        <f t="shared" si="22"/>
        <v>37073</v>
      </c>
      <c r="C348" s="38">
        <f t="shared" si="24"/>
        <v>14146.442239455791</v>
      </c>
      <c r="D348" s="38">
        <f t="shared" si="23"/>
        <v>0</v>
      </c>
      <c r="E348" s="38"/>
      <c r="F348" s="38"/>
      <c r="G348" s="41"/>
      <c r="H348" s="41"/>
    </row>
    <row r="349" spans="1:8" x14ac:dyDescent="0.2">
      <c r="A349" s="40"/>
      <c r="B349" s="37">
        <f t="shared" si="22"/>
        <v>37104</v>
      </c>
      <c r="C349" s="38">
        <f t="shared" si="24"/>
        <v>14175.913994121325</v>
      </c>
      <c r="D349" s="38">
        <f t="shared" si="23"/>
        <v>0</v>
      </c>
      <c r="E349" s="38"/>
      <c r="F349" s="38"/>
      <c r="G349" s="41"/>
      <c r="H349" s="41"/>
    </row>
    <row r="350" spans="1:8" x14ac:dyDescent="0.2">
      <c r="A350" s="40"/>
      <c r="B350" s="37">
        <f t="shared" si="22"/>
        <v>37135</v>
      </c>
      <c r="C350" s="38">
        <f t="shared" si="24"/>
        <v>14205.447148275745</v>
      </c>
      <c r="D350" s="38">
        <f t="shared" si="23"/>
        <v>0</v>
      </c>
      <c r="E350" s="38"/>
      <c r="F350" s="38"/>
      <c r="G350" s="41"/>
      <c r="H350" s="41"/>
    </row>
    <row r="351" spans="1:8" x14ac:dyDescent="0.2">
      <c r="A351" s="40"/>
      <c r="B351" s="37">
        <f t="shared" si="22"/>
        <v>37165</v>
      </c>
      <c r="C351" s="38">
        <f t="shared" si="24"/>
        <v>14235.041829834654</v>
      </c>
      <c r="D351" s="38">
        <f t="shared" si="23"/>
        <v>0</v>
      </c>
      <c r="E351" s="38"/>
      <c r="F351" s="38"/>
      <c r="G351" s="41"/>
      <c r="H351" s="41"/>
    </row>
    <row r="352" spans="1:8" x14ac:dyDescent="0.2">
      <c r="A352" s="40"/>
      <c r="B352" s="37">
        <f t="shared" si="22"/>
        <v>37196</v>
      </c>
      <c r="C352" s="38">
        <f t="shared" si="24"/>
        <v>14264.698166980144</v>
      </c>
      <c r="D352" s="38">
        <f t="shared" si="23"/>
        <v>0</v>
      </c>
      <c r="E352" s="38"/>
      <c r="F352" s="38"/>
      <c r="G352" s="41"/>
      <c r="H352" s="41"/>
    </row>
    <row r="353" spans="1:8" x14ac:dyDescent="0.2">
      <c r="A353" s="40"/>
      <c r="B353" s="37">
        <f t="shared" si="22"/>
        <v>37226</v>
      </c>
      <c r="C353" s="38">
        <f t="shared" si="24"/>
        <v>14294.416288161354</v>
      </c>
      <c r="D353" s="38">
        <f t="shared" si="23"/>
        <v>0</v>
      </c>
      <c r="E353" s="38"/>
      <c r="F353" s="38"/>
      <c r="G353" s="78"/>
      <c r="H353" s="41"/>
    </row>
    <row r="354" spans="1:8" x14ac:dyDescent="0.2">
      <c r="A354" s="40"/>
      <c r="B354" s="37">
        <f t="shared" si="22"/>
        <v>37257</v>
      </c>
      <c r="C354" s="38">
        <f t="shared" si="24"/>
        <v>14324.196322095026</v>
      </c>
      <c r="D354" s="38">
        <f t="shared" si="23"/>
        <v>0</v>
      </c>
      <c r="E354" s="38"/>
      <c r="F354" s="38"/>
      <c r="G354" s="41"/>
      <c r="H354" s="41"/>
    </row>
    <row r="355" spans="1:8" x14ac:dyDescent="0.2">
      <c r="A355" s="40"/>
      <c r="B355" s="37">
        <f t="shared" si="22"/>
        <v>37288</v>
      </c>
      <c r="C355" s="38">
        <f t="shared" si="24"/>
        <v>14354.038397766059</v>
      </c>
      <c r="D355" s="38">
        <f t="shared" si="23"/>
        <v>0</v>
      </c>
      <c r="E355" s="38"/>
      <c r="F355" s="38"/>
      <c r="G355" s="41"/>
      <c r="H355" s="41"/>
    </row>
    <row r="356" spans="1:8" x14ac:dyDescent="0.2">
      <c r="A356" s="40"/>
      <c r="B356" s="37">
        <f t="shared" si="22"/>
        <v>37316</v>
      </c>
      <c r="C356" s="38">
        <f t="shared" si="24"/>
        <v>14383.942644428073</v>
      </c>
      <c r="D356" s="38">
        <f t="shared" si="23"/>
        <v>0</v>
      </c>
      <c r="E356" s="38"/>
      <c r="F356" s="38"/>
      <c r="G356" s="41"/>
      <c r="H356" s="41"/>
    </row>
    <row r="357" spans="1:8" x14ac:dyDescent="0.2">
      <c r="A357" s="40"/>
      <c r="B357" s="37">
        <f t="shared" si="22"/>
        <v>37347</v>
      </c>
      <c r="C357" s="38">
        <f t="shared" si="24"/>
        <v>14413.909191603965</v>
      </c>
      <c r="D357" s="38">
        <f t="shared" si="23"/>
        <v>0</v>
      </c>
      <c r="E357" s="38"/>
      <c r="F357" s="38"/>
      <c r="G357" s="41"/>
      <c r="H357" s="41"/>
    </row>
    <row r="358" spans="1:8" x14ac:dyDescent="0.2">
      <c r="A358" s="40"/>
      <c r="B358" s="37">
        <f t="shared" si="22"/>
        <v>37377</v>
      </c>
      <c r="C358" s="38">
        <f t="shared" si="24"/>
        <v>14443.938169086476</v>
      </c>
      <c r="D358" s="38">
        <f t="shared" si="23"/>
        <v>0</v>
      </c>
      <c r="E358" s="38"/>
      <c r="F358" s="38"/>
      <c r="G358" s="41"/>
      <c r="H358" s="41"/>
    </row>
    <row r="359" spans="1:8" x14ac:dyDescent="0.2">
      <c r="A359" s="40"/>
      <c r="B359" s="37">
        <f t="shared" si="22"/>
        <v>37408</v>
      </c>
      <c r="C359" s="38">
        <f t="shared" si="24"/>
        <v>14474.02970693874</v>
      </c>
      <c r="D359" s="38">
        <f t="shared" si="23"/>
        <v>0</v>
      </c>
      <c r="E359" s="38"/>
      <c r="F359" s="38"/>
      <c r="G359" s="41"/>
      <c r="H359" s="41"/>
    </row>
    <row r="360" spans="1:8" x14ac:dyDescent="0.2">
      <c r="A360" s="40"/>
      <c r="B360" s="37">
        <f t="shared" si="22"/>
        <v>37438</v>
      </c>
      <c r="C360" s="38">
        <f t="shared" si="24"/>
        <v>14504.183935494864</v>
      </c>
      <c r="D360" s="38">
        <f t="shared" si="23"/>
        <v>0</v>
      </c>
      <c r="E360" s="38"/>
      <c r="F360" s="38"/>
      <c r="G360" s="41"/>
      <c r="H360" s="41"/>
    </row>
    <row r="361" spans="1:8" x14ac:dyDescent="0.2">
      <c r="A361" s="40"/>
      <c r="B361" s="37">
        <f t="shared" si="22"/>
        <v>37469</v>
      </c>
      <c r="C361" s="38">
        <f t="shared" si="24"/>
        <v>14534.40098536048</v>
      </c>
      <c r="D361" s="38">
        <f t="shared" si="23"/>
        <v>0</v>
      </c>
      <c r="E361" s="38"/>
      <c r="F361" s="38"/>
      <c r="G361" s="41"/>
      <c r="H361" s="41"/>
    </row>
    <row r="362" spans="1:8" x14ac:dyDescent="0.2">
      <c r="A362" s="40"/>
      <c r="B362" s="37">
        <f t="shared" si="22"/>
        <v>37500</v>
      </c>
      <c r="C362" s="38">
        <f t="shared" si="24"/>
        <v>14564.680987413316</v>
      </c>
      <c r="D362" s="38">
        <f t="shared" si="23"/>
        <v>0</v>
      </c>
      <c r="E362" s="38"/>
      <c r="F362" s="38"/>
      <c r="G362" s="41"/>
      <c r="H362" s="41"/>
    </row>
    <row r="363" spans="1:8" x14ac:dyDescent="0.2">
      <c r="A363" s="40"/>
      <c r="B363" s="37">
        <f t="shared" si="22"/>
        <v>37530</v>
      </c>
      <c r="C363" s="38">
        <f t="shared" si="24"/>
        <v>14595.024072803762</v>
      </c>
      <c r="D363" s="38">
        <f t="shared" si="23"/>
        <v>0</v>
      </c>
      <c r="E363" s="38"/>
      <c r="F363" s="38"/>
      <c r="G363" s="41"/>
      <c r="H363" s="41"/>
    </row>
    <row r="364" spans="1:8" x14ac:dyDescent="0.2">
      <c r="A364" s="40"/>
      <c r="B364" s="37">
        <f t="shared" si="22"/>
        <v>37561</v>
      </c>
      <c r="C364" s="38">
        <f t="shared" si="24"/>
        <v>14625.430372955438</v>
      </c>
      <c r="D364" s="38">
        <f t="shared" si="23"/>
        <v>0</v>
      </c>
      <c r="E364" s="38"/>
      <c r="F364" s="38"/>
      <c r="G364" s="41"/>
      <c r="H364" s="41"/>
    </row>
    <row r="365" spans="1:8" x14ac:dyDescent="0.2">
      <c r="A365" s="40"/>
      <c r="B365" s="37">
        <f t="shared" si="22"/>
        <v>37591</v>
      </c>
      <c r="C365" s="38">
        <f t="shared" si="24"/>
        <v>14655.900019565763</v>
      </c>
      <c r="D365" s="38">
        <f t="shared" si="23"/>
        <v>0</v>
      </c>
      <c r="E365" s="38"/>
      <c r="F365" s="38"/>
      <c r="G365" s="41"/>
      <c r="H365" s="41"/>
    </row>
    <row r="366" spans="1:8" x14ac:dyDescent="0.2">
      <c r="A366" s="40"/>
      <c r="B366" s="37">
        <f t="shared" si="22"/>
        <v>37622</v>
      </c>
      <c r="C366" s="38">
        <f t="shared" si="24"/>
        <v>14686.433144606526</v>
      </c>
      <c r="D366" s="38">
        <v>10790</v>
      </c>
      <c r="E366" s="38"/>
      <c r="F366" s="38"/>
      <c r="G366" s="41"/>
      <c r="H366" s="41"/>
    </row>
    <row r="367" spans="1:8" x14ac:dyDescent="0.2">
      <c r="A367" s="40"/>
      <c r="B367" s="37">
        <f t="shared" si="22"/>
        <v>37653</v>
      </c>
      <c r="C367" s="38">
        <f t="shared" si="24"/>
        <v>14717.029880324459</v>
      </c>
      <c r="D367" s="38">
        <f t="shared" si="24"/>
        <v>10812.479166666668</v>
      </c>
      <c r="E367" s="38"/>
      <c r="F367" s="38"/>
      <c r="G367" s="41"/>
      <c r="H367" s="41"/>
    </row>
    <row r="368" spans="1:8" x14ac:dyDescent="0.2">
      <c r="A368" s="40"/>
      <c r="B368" s="37">
        <f t="shared" si="22"/>
        <v>37681</v>
      </c>
      <c r="C368" s="38">
        <f t="shared" si="24"/>
        <v>14747.690359241802</v>
      </c>
      <c r="D368" s="38">
        <f t="shared" si="24"/>
        <v>10835.005164930559</v>
      </c>
      <c r="E368" s="38"/>
      <c r="F368" s="38"/>
      <c r="G368" s="41"/>
      <c r="H368" s="41"/>
    </row>
    <row r="369" spans="1:8" x14ac:dyDescent="0.2">
      <c r="A369" s="40"/>
      <c r="B369" s="37">
        <f t="shared" si="22"/>
        <v>37712</v>
      </c>
      <c r="C369" s="38">
        <f t="shared" si="24"/>
        <v>14778.41471415689</v>
      </c>
      <c r="D369" s="38">
        <f t="shared" si="24"/>
        <v>10857.578092357498</v>
      </c>
      <c r="E369" s="38"/>
      <c r="F369" s="38"/>
      <c r="G369" s="41"/>
      <c r="H369" s="41"/>
    </row>
    <row r="370" spans="1:8" x14ac:dyDescent="0.2">
      <c r="A370" s="40"/>
      <c r="B370" s="37">
        <f t="shared" si="22"/>
        <v>37742</v>
      </c>
      <c r="C370" s="38">
        <f t="shared" si="24"/>
        <v>14809.203078144719</v>
      </c>
      <c r="D370" s="38">
        <f t="shared" si="24"/>
        <v>10880.198046716578</v>
      </c>
      <c r="E370" s="38"/>
      <c r="F370" s="38"/>
      <c r="G370" s="41"/>
      <c r="H370" s="41"/>
    </row>
    <row r="371" spans="1:8" x14ac:dyDescent="0.2">
      <c r="A371" s="40"/>
      <c r="B371" s="37">
        <f t="shared" si="22"/>
        <v>37773</v>
      </c>
      <c r="C371" s="38">
        <f t="shared" si="24"/>
        <v>14840.055584557522</v>
      </c>
      <c r="D371" s="38">
        <f t="shared" si="24"/>
        <v>10902.865125980572</v>
      </c>
      <c r="E371" s="38"/>
      <c r="F371" s="38"/>
      <c r="G371" s="41"/>
      <c r="H371" s="41"/>
    </row>
    <row r="372" spans="1:8" x14ac:dyDescent="0.2">
      <c r="A372" s="40"/>
      <c r="B372" s="37">
        <f t="shared" si="22"/>
        <v>37803</v>
      </c>
      <c r="C372" s="38">
        <f t="shared" si="24"/>
        <v>14870.972367025352</v>
      </c>
      <c r="D372" s="38">
        <f t="shared" si="24"/>
        <v>10925.579428326366</v>
      </c>
      <c r="E372" s="38"/>
      <c r="F372" s="38"/>
      <c r="G372" s="41"/>
      <c r="H372" s="41"/>
    </row>
    <row r="373" spans="1:8" x14ac:dyDescent="0.2">
      <c r="A373" s="40"/>
      <c r="B373" s="37">
        <f t="shared" si="22"/>
        <v>37834</v>
      </c>
      <c r="C373" s="38">
        <f t="shared" si="24"/>
        <v>14901.953559456655</v>
      </c>
      <c r="D373" s="38">
        <f t="shared" si="24"/>
        <v>10948.34105213538</v>
      </c>
      <c r="E373" s="38"/>
      <c r="F373" s="38"/>
      <c r="G373" s="41"/>
      <c r="H373" s="41"/>
    </row>
    <row r="374" spans="1:8" x14ac:dyDescent="0.2">
      <c r="A374" s="40"/>
      <c r="B374" s="37">
        <f t="shared" si="22"/>
        <v>37865</v>
      </c>
      <c r="C374" s="38">
        <f t="shared" si="24"/>
        <v>14932.999296038857</v>
      </c>
      <c r="D374" s="38">
        <f t="shared" si="24"/>
        <v>10971.150095993997</v>
      </c>
      <c r="E374" s="38"/>
      <c r="F374" s="38"/>
      <c r="G374" s="41"/>
      <c r="H374" s="41"/>
    </row>
    <row r="375" spans="1:8" x14ac:dyDescent="0.2">
      <c r="A375" s="40"/>
      <c r="B375" s="37">
        <f t="shared" si="22"/>
        <v>37895</v>
      </c>
      <c r="C375" s="38">
        <f t="shared" si="24"/>
        <v>14964.10971123894</v>
      </c>
      <c r="D375" s="38">
        <f t="shared" si="24"/>
        <v>10994.006658693985</v>
      </c>
      <c r="E375" s="38"/>
      <c r="F375" s="38"/>
      <c r="G375" s="41"/>
      <c r="H375" s="41"/>
    </row>
    <row r="376" spans="1:8" x14ac:dyDescent="0.2">
      <c r="A376" s="40"/>
      <c r="B376" s="37">
        <f t="shared" si="22"/>
        <v>37926</v>
      </c>
      <c r="C376" s="38">
        <f t="shared" si="24"/>
        <v>14995.284939804022</v>
      </c>
      <c r="D376" s="38">
        <f t="shared" si="24"/>
        <v>11016.910839232931</v>
      </c>
      <c r="E376" s="38"/>
      <c r="F376" s="38"/>
      <c r="G376" s="41"/>
      <c r="H376" s="41"/>
    </row>
    <row r="377" spans="1:8" x14ac:dyDescent="0.2">
      <c r="A377" s="40"/>
      <c r="B377" s="37">
        <f t="shared" si="22"/>
        <v>37956</v>
      </c>
      <c r="C377" s="38">
        <f t="shared" si="24"/>
        <v>15026.525116761948</v>
      </c>
      <c r="D377" s="38">
        <f t="shared" si="24"/>
        <v>11039.862736814668</v>
      </c>
      <c r="E377" s="38"/>
      <c r="F377" s="38"/>
      <c r="G377" s="41"/>
      <c r="H377" s="41"/>
    </row>
    <row r="378" spans="1:8" x14ac:dyDescent="0.2">
      <c r="A378" s="40"/>
      <c r="B378" s="37">
        <f t="shared" si="22"/>
        <v>37987</v>
      </c>
      <c r="C378" s="38">
        <f t="shared" si="24"/>
        <v>15057.830377421871</v>
      </c>
      <c r="D378" s="38">
        <f t="shared" si="24"/>
        <v>11062.8624508497</v>
      </c>
      <c r="E378" s="38"/>
      <c r="F378" s="38"/>
      <c r="G378" s="41"/>
      <c r="H378" s="41"/>
    </row>
    <row r="379" spans="1:8" x14ac:dyDescent="0.2">
      <c r="A379" s="40"/>
      <c r="B379" s="37">
        <f t="shared" si="22"/>
        <v>38018</v>
      </c>
      <c r="C379" s="38">
        <f t="shared" si="24"/>
        <v>15089.200857374835</v>
      </c>
      <c r="D379" s="38">
        <f t="shared" si="24"/>
        <v>11085.910080955638</v>
      </c>
      <c r="E379" s="38"/>
      <c r="F379" s="38"/>
      <c r="G379" s="41"/>
      <c r="H379" s="41"/>
    </row>
    <row r="380" spans="1:8" x14ac:dyDescent="0.2">
      <c r="A380" s="40"/>
      <c r="B380" s="37">
        <f t="shared" si="22"/>
        <v>38047</v>
      </c>
      <c r="C380" s="38">
        <f t="shared" si="24"/>
        <v>15120.636692494369</v>
      </c>
      <c r="D380" s="38">
        <f t="shared" si="24"/>
        <v>11109.00572695763</v>
      </c>
      <c r="E380" s="38"/>
      <c r="F380" s="38"/>
      <c r="G380" s="41"/>
      <c r="H380" s="41"/>
    </row>
    <row r="381" spans="1:8" x14ac:dyDescent="0.2">
      <c r="A381" s="40"/>
      <c r="B381" s="37">
        <f t="shared" si="22"/>
        <v>38078</v>
      </c>
      <c r="C381" s="38">
        <f t="shared" si="24"/>
        <v>15152.138018937067</v>
      </c>
      <c r="D381" s="38">
        <f t="shared" si="24"/>
        <v>11132.149488888794</v>
      </c>
      <c r="E381" s="38"/>
      <c r="F381" s="38"/>
      <c r="G381" s="41"/>
      <c r="H381" s="41"/>
    </row>
    <row r="382" spans="1:8" x14ac:dyDescent="0.2">
      <c r="A382" s="40"/>
      <c r="B382" s="37">
        <f t="shared" si="22"/>
        <v>38108</v>
      </c>
      <c r="C382" s="38">
        <f t="shared" si="24"/>
        <v>15183.704973143187</v>
      </c>
      <c r="D382" s="38">
        <f t="shared" si="24"/>
        <v>11155.341466990647</v>
      </c>
      <c r="E382" s="38"/>
      <c r="F382" s="38"/>
      <c r="G382" s="41"/>
      <c r="H382" s="41"/>
    </row>
    <row r="383" spans="1:8" x14ac:dyDescent="0.2">
      <c r="A383" s="40"/>
      <c r="B383" s="37">
        <f t="shared" si="22"/>
        <v>38139</v>
      </c>
      <c r="C383" s="38">
        <f t="shared" si="24"/>
        <v>15215.337691837238</v>
      </c>
      <c r="D383" s="38">
        <f t="shared" si="24"/>
        <v>11178.581761713545</v>
      </c>
      <c r="E383" s="38"/>
      <c r="F383" s="38"/>
      <c r="G383" s="41"/>
      <c r="H383" s="41"/>
    </row>
    <row r="384" spans="1:8" x14ac:dyDescent="0.2">
      <c r="A384" s="40"/>
      <c r="B384" s="37">
        <f t="shared" si="22"/>
        <v>38169</v>
      </c>
      <c r="C384" s="38">
        <f t="shared" si="24"/>
        <v>15247.036312028567</v>
      </c>
      <c r="D384" s="38">
        <f t="shared" si="24"/>
        <v>11201.870473717116</v>
      </c>
      <c r="E384" s="38"/>
      <c r="F384" s="38"/>
      <c r="G384" s="41"/>
      <c r="H384" s="41"/>
    </row>
    <row r="385" spans="1:8" x14ac:dyDescent="0.2">
      <c r="A385" s="40"/>
      <c r="B385" s="37">
        <f t="shared" si="22"/>
        <v>38200</v>
      </c>
      <c r="C385" s="38">
        <f t="shared" si="24"/>
        <v>15278.800971011962</v>
      </c>
      <c r="D385" s="38">
        <f t="shared" si="24"/>
        <v>11225.207703870694</v>
      </c>
      <c r="E385" s="38"/>
      <c r="F385" s="38"/>
      <c r="G385" s="41"/>
      <c r="H385" s="41"/>
    </row>
    <row r="386" spans="1:8" x14ac:dyDescent="0.2">
      <c r="A386" s="40"/>
      <c r="B386" s="37">
        <f t="shared" si="22"/>
        <v>38231</v>
      </c>
      <c r="C386" s="38">
        <f t="shared" si="24"/>
        <v>15310.631806368239</v>
      </c>
      <c r="D386" s="38">
        <f t="shared" si="24"/>
        <v>11248.593553253759</v>
      </c>
      <c r="E386" s="38"/>
      <c r="F386" s="38"/>
      <c r="G386" s="41"/>
      <c r="H386" s="41"/>
    </row>
    <row r="387" spans="1:8" x14ac:dyDescent="0.2">
      <c r="A387" s="40"/>
      <c r="B387" s="37">
        <f t="shared" si="22"/>
        <v>38261</v>
      </c>
      <c r="C387" s="38">
        <f t="shared" si="24"/>
        <v>15342.528955964841</v>
      </c>
      <c r="D387" s="38">
        <f t="shared" si="24"/>
        <v>11272.028123156371</v>
      </c>
      <c r="E387" s="38"/>
      <c r="F387" s="38"/>
      <c r="G387" s="41"/>
      <c r="H387" s="41"/>
    </row>
    <row r="388" spans="1:8" x14ac:dyDescent="0.2">
      <c r="A388" s="40"/>
      <c r="B388" s="37">
        <f t="shared" si="22"/>
        <v>38292</v>
      </c>
      <c r="C388" s="38">
        <f t="shared" si="24"/>
        <v>15374.492557956435</v>
      </c>
      <c r="D388" s="38">
        <f t="shared" si="24"/>
        <v>11295.511515079615</v>
      </c>
      <c r="E388" s="38"/>
      <c r="F388" s="38"/>
      <c r="G388" s="41"/>
      <c r="H388" s="41"/>
    </row>
    <row r="389" spans="1:8" x14ac:dyDescent="0.2">
      <c r="A389" s="40"/>
      <c r="B389" s="37">
        <f t="shared" si="22"/>
        <v>38322</v>
      </c>
      <c r="C389" s="38">
        <f t="shared" si="24"/>
        <v>15406.522750785512</v>
      </c>
      <c r="D389" s="38">
        <f t="shared" si="24"/>
        <v>11319.043830736033</v>
      </c>
      <c r="E389" s="38"/>
      <c r="F389" s="38"/>
      <c r="G389" s="41"/>
      <c r="H389" s="41"/>
    </row>
    <row r="390" spans="1:8" x14ac:dyDescent="0.2">
      <c r="A390" s="40"/>
      <c r="B390" s="37">
        <f t="shared" si="22"/>
        <v>38353</v>
      </c>
      <c r="C390" s="38">
        <f t="shared" si="24"/>
        <v>15438.619673182984</v>
      </c>
      <c r="D390" s="38">
        <f t="shared" si="24"/>
        <v>11342.625172050068</v>
      </c>
      <c r="E390" s="38"/>
      <c r="F390" s="38"/>
      <c r="G390" s="41"/>
      <c r="H390" s="41"/>
    </row>
    <row r="391" spans="1:8" x14ac:dyDescent="0.2">
      <c r="A391" s="42"/>
      <c r="B391" s="37">
        <f t="shared" si="22"/>
        <v>38384</v>
      </c>
      <c r="C391" s="38">
        <f t="shared" si="24"/>
        <v>15470.783464168784</v>
      </c>
      <c r="D391" s="38">
        <f t="shared" si="24"/>
        <v>11366.255641158506</v>
      </c>
      <c r="E391" s="38"/>
      <c r="F391" s="38"/>
      <c r="G391" s="41"/>
      <c r="H391" s="41"/>
    </row>
    <row r="392" spans="1:8" x14ac:dyDescent="0.2">
      <c r="A392" s="42"/>
      <c r="B392" s="37">
        <f t="shared" si="22"/>
        <v>38412</v>
      </c>
      <c r="C392" s="38">
        <f t="shared" si="24"/>
        <v>15503.014263052472</v>
      </c>
      <c r="D392" s="38">
        <f t="shared" si="24"/>
        <v>11389.935340410921</v>
      </c>
      <c r="E392" s="38"/>
      <c r="F392" s="38"/>
      <c r="G392" s="41"/>
      <c r="H392" s="41"/>
    </row>
    <row r="393" spans="1:8" x14ac:dyDescent="0.2">
      <c r="A393" s="42"/>
      <c r="B393" s="37">
        <f t="shared" si="22"/>
        <v>38443</v>
      </c>
      <c r="C393" s="38">
        <f t="shared" si="24"/>
        <v>15535.312209433832</v>
      </c>
      <c r="D393" s="38">
        <f t="shared" si="24"/>
        <v>11413.664372370111</v>
      </c>
      <c r="E393" s="38"/>
      <c r="F393" s="38"/>
      <c r="G393" s="41"/>
      <c r="H393" s="41"/>
    </row>
    <row r="394" spans="1:8" x14ac:dyDescent="0.2">
      <c r="A394" s="42"/>
      <c r="B394" s="37">
        <f t="shared" si="22"/>
        <v>38473</v>
      </c>
      <c r="C394" s="38">
        <f t="shared" si="24"/>
        <v>15567.677443203487</v>
      </c>
      <c r="D394" s="38">
        <f t="shared" si="24"/>
        <v>11437.442839812549</v>
      </c>
      <c r="E394" s="38"/>
      <c r="F394" s="38"/>
      <c r="G394" s="41"/>
      <c r="H394" s="41"/>
    </row>
    <row r="395" spans="1:8" x14ac:dyDescent="0.2">
      <c r="A395" s="42"/>
      <c r="B395" s="37">
        <f t="shared" si="22"/>
        <v>38504</v>
      </c>
      <c r="C395" s="38">
        <f t="shared" si="24"/>
        <v>15600.110104543495</v>
      </c>
      <c r="D395" s="38">
        <f t="shared" si="24"/>
        <v>11461.270845728826</v>
      </c>
      <c r="E395" s="38"/>
      <c r="F395" s="38"/>
      <c r="G395" s="41"/>
      <c r="H395" s="41"/>
    </row>
    <row r="396" spans="1:8" x14ac:dyDescent="0.2">
      <c r="A396" s="42"/>
      <c r="B396" s="37">
        <f t="shared" si="22"/>
        <v>38534</v>
      </c>
      <c r="C396" s="38">
        <f t="shared" si="24"/>
        <v>15632.610333927962</v>
      </c>
      <c r="D396" s="38">
        <f t="shared" si="24"/>
        <v>11485.148493324095</v>
      </c>
      <c r="E396" s="38"/>
      <c r="F396" s="38"/>
      <c r="G396" s="41"/>
      <c r="H396" s="41"/>
    </row>
    <row r="397" spans="1:8" x14ac:dyDescent="0.2">
      <c r="A397" s="42"/>
      <c r="B397" s="37">
        <f t="shared" si="22"/>
        <v>38565</v>
      </c>
      <c r="C397" s="38">
        <f t="shared" si="24"/>
        <v>15665.178272123647</v>
      </c>
      <c r="D397" s="38">
        <f t="shared" si="24"/>
        <v>11509.075886018521</v>
      </c>
      <c r="E397" s="38"/>
      <c r="F397" s="38"/>
      <c r="G397" s="41"/>
      <c r="H397" s="41"/>
    </row>
    <row r="398" spans="1:8" x14ac:dyDescent="0.2">
      <c r="A398" s="42"/>
      <c r="B398" s="37">
        <f t="shared" si="22"/>
        <v>38596</v>
      </c>
      <c r="C398" s="38">
        <f t="shared" si="24"/>
        <v>15697.814060190572</v>
      </c>
      <c r="D398" s="38">
        <f t="shared" si="24"/>
        <v>11533.053127447727</v>
      </c>
      <c r="E398" s="38"/>
      <c r="F398" s="38"/>
      <c r="G398" s="41"/>
      <c r="H398" s="41"/>
    </row>
    <row r="399" spans="1:8" x14ac:dyDescent="0.2">
      <c r="A399" s="42"/>
      <c r="B399" s="37">
        <f t="shared" si="22"/>
        <v>38626</v>
      </c>
      <c r="C399" s="38">
        <f t="shared" si="24"/>
        <v>15730.517839482638</v>
      </c>
      <c r="D399" s="38">
        <f t="shared" si="24"/>
        <v>11557.080321463245</v>
      </c>
      <c r="E399" s="38"/>
      <c r="F399" s="38"/>
      <c r="G399" s="41"/>
      <c r="H399" s="41"/>
    </row>
    <row r="400" spans="1:8" x14ac:dyDescent="0.2">
      <c r="A400" s="42"/>
      <c r="B400" s="37">
        <f t="shared" si="22"/>
        <v>38657</v>
      </c>
      <c r="C400" s="38">
        <f t="shared" si="24"/>
        <v>15763.289751648228</v>
      </c>
      <c r="D400" s="38">
        <f t="shared" si="24"/>
        <v>11581.157572132961</v>
      </c>
      <c r="E400" s="38"/>
      <c r="F400" s="38"/>
      <c r="G400" s="41"/>
      <c r="H400" s="41"/>
    </row>
    <row r="401" spans="1:8" x14ac:dyDescent="0.2">
      <c r="A401" s="42"/>
      <c r="B401" s="37">
        <f t="shared" si="22"/>
        <v>38687</v>
      </c>
      <c r="C401" s="38">
        <f t="shared" si="24"/>
        <v>15796.129938630831</v>
      </c>
      <c r="D401" s="38">
        <f t="shared" si="24"/>
        <v>11605.284983741572</v>
      </c>
      <c r="E401" s="38"/>
      <c r="F401" s="38"/>
      <c r="G401" s="41"/>
      <c r="H401" s="41"/>
    </row>
    <row r="402" spans="1:8" x14ac:dyDescent="0.2">
      <c r="A402" s="42"/>
      <c r="B402" s="37">
        <f t="shared" ref="B402:B465" si="25">+DATE(YEAR(B401),MONTH(B401)+1,1)</f>
        <v>38718</v>
      </c>
      <c r="C402" s="38">
        <f t="shared" si="24"/>
        <v>15829.038542669647</v>
      </c>
      <c r="D402" s="38">
        <f t="shared" si="24"/>
        <v>11629.462660791036</v>
      </c>
      <c r="E402" s="38"/>
      <c r="F402" s="38"/>
      <c r="G402" s="41"/>
      <c r="H402" s="41"/>
    </row>
    <row r="403" spans="1:8" x14ac:dyDescent="0.2">
      <c r="A403" s="42"/>
      <c r="B403" s="37">
        <f t="shared" si="25"/>
        <v>38749</v>
      </c>
      <c r="C403" s="38">
        <f t="shared" si="24"/>
        <v>15862.01570630021</v>
      </c>
      <c r="D403" s="38">
        <f t="shared" si="24"/>
        <v>11653.690708001019</v>
      </c>
      <c r="E403" s="38"/>
      <c r="F403" s="38"/>
      <c r="G403" s="41"/>
      <c r="H403" s="41"/>
    </row>
    <row r="404" spans="1:8" x14ac:dyDescent="0.2">
      <c r="A404" s="42"/>
      <c r="B404" s="37">
        <f t="shared" si="25"/>
        <v>38777</v>
      </c>
      <c r="C404" s="38">
        <f t="shared" si="24"/>
        <v>15895.061572355004</v>
      </c>
      <c r="D404" s="38">
        <f t="shared" si="24"/>
        <v>11677.969230309356</v>
      </c>
      <c r="E404" s="38"/>
      <c r="F404" s="38"/>
      <c r="G404" s="41"/>
      <c r="H404" s="41"/>
    </row>
    <row r="405" spans="1:8" x14ac:dyDescent="0.2">
      <c r="A405" s="42"/>
      <c r="B405" s="37">
        <f t="shared" si="25"/>
        <v>38808</v>
      </c>
      <c r="C405" s="38">
        <f t="shared" si="24"/>
        <v>15928.176283964078</v>
      </c>
      <c r="D405" s="38">
        <f t="shared" si="24"/>
        <v>11702.298332872502</v>
      </c>
      <c r="E405" s="38"/>
      <c r="F405" s="38"/>
      <c r="G405" s="41"/>
      <c r="H405" s="41"/>
    </row>
    <row r="406" spans="1:8" x14ac:dyDescent="0.2">
      <c r="A406" s="42"/>
      <c r="B406" s="37">
        <f t="shared" si="25"/>
        <v>38838</v>
      </c>
      <c r="C406" s="38">
        <f t="shared" si="24"/>
        <v>15961.359984555671</v>
      </c>
      <c r="D406" s="38">
        <f t="shared" si="24"/>
        <v>11726.678121065988</v>
      </c>
      <c r="E406" s="38"/>
      <c r="F406" s="38"/>
      <c r="G406" s="41"/>
      <c r="H406" s="41"/>
    </row>
    <row r="407" spans="1:8" x14ac:dyDescent="0.2">
      <c r="A407" s="42"/>
      <c r="B407" s="37">
        <f t="shared" si="25"/>
        <v>38869</v>
      </c>
      <c r="C407" s="38">
        <f t="shared" si="24"/>
        <v>15994.612817856831</v>
      </c>
      <c r="D407" s="38">
        <f t="shared" si="24"/>
        <v>11751.108700484878</v>
      </c>
      <c r="E407" s="38"/>
      <c r="F407" s="38"/>
      <c r="G407" s="41"/>
      <c r="H407" s="41"/>
    </row>
    <row r="408" spans="1:8" x14ac:dyDescent="0.2">
      <c r="A408" s="42"/>
      <c r="B408" s="37">
        <f t="shared" si="25"/>
        <v>38899</v>
      </c>
      <c r="C408" s="38">
        <f t="shared" si="24"/>
        <v>16027.934927894034</v>
      </c>
      <c r="D408" s="38">
        <f t="shared" si="24"/>
        <v>11775.590176944223</v>
      </c>
      <c r="E408" s="38"/>
      <c r="F408" s="38"/>
      <c r="G408" s="41"/>
      <c r="H408" s="41"/>
    </row>
    <row r="409" spans="1:8" x14ac:dyDescent="0.2">
      <c r="A409" s="42"/>
      <c r="B409" s="37">
        <f t="shared" si="25"/>
        <v>38930</v>
      </c>
      <c r="C409" s="38">
        <f t="shared" ref="C409:D472" si="26">+C408*(1+(C$23/12))</f>
        <v>16061.326458993815</v>
      </c>
      <c r="D409" s="38">
        <f t="shared" si="26"/>
        <v>11800.122656479523</v>
      </c>
      <c r="E409" s="38"/>
      <c r="F409" s="38"/>
      <c r="G409" s="41"/>
      <c r="H409" s="41"/>
    </row>
    <row r="410" spans="1:8" x14ac:dyDescent="0.2">
      <c r="A410" s="42"/>
      <c r="B410" s="37">
        <f t="shared" si="25"/>
        <v>38961</v>
      </c>
      <c r="C410" s="38">
        <f t="shared" si="26"/>
        <v>16094.787555783387</v>
      </c>
      <c r="D410" s="38">
        <f t="shared" si="26"/>
        <v>11824.70624534719</v>
      </c>
      <c r="E410" s="38"/>
      <c r="F410" s="38"/>
      <c r="G410" s="41"/>
      <c r="H410" s="41"/>
    </row>
    <row r="411" spans="1:8" x14ac:dyDescent="0.2">
      <c r="A411" s="42"/>
      <c r="B411" s="37">
        <f t="shared" si="25"/>
        <v>38991</v>
      </c>
      <c r="C411" s="38">
        <f t="shared" si="26"/>
        <v>16128.318363191271</v>
      </c>
      <c r="D411" s="38">
        <f t="shared" si="26"/>
        <v>11849.341050024997</v>
      </c>
      <c r="E411" s="38"/>
      <c r="F411" s="38"/>
      <c r="G411" s="41"/>
      <c r="H411" s="41"/>
    </row>
    <row r="412" spans="1:8" x14ac:dyDescent="0.2">
      <c r="A412" s="42"/>
      <c r="B412" s="37">
        <f t="shared" si="25"/>
        <v>39022</v>
      </c>
      <c r="C412" s="38">
        <f t="shared" si="26"/>
        <v>16161.91902644792</v>
      </c>
      <c r="D412" s="38">
        <f t="shared" si="26"/>
        <v>11874.027177212551</v>
      </c>
      <c r="E412" s="38"/>
      <c r="F412" s="38"/>
      <c r="G412" s="41"/>
      <c r="H412" s="41"/>
    </row>
    <row r="413" spans="1:8" x14ac:dyDescent="0.2">
      <c r="A413" s="42"/>
      <c r="B413" s="37">
        <f t="shared" si="25"/>
        <v>39052</v>
      </c>
      <c r="C413" s="38">
        <f t="shared" si="26"/>
        <v>16195.589691086356</v>
      </c>
      <c r="D413" s="38">
        <f t="shared" si="26"/>
        <v>11898.764733831746</v>
      </c>
      <c r="E413" s="38"/>
      <c r="F413" s="38"/>
      <c r="G413" s="41"/>
      <c r="H413" s="41"/>
    </row>
    <row r="414" spans="1:8" x14ac:dyDescent="0.2">
      <c r="A414" s="42"/>
      <c r="B414" s="37">
        <f t="shared" si="25"/>
        <v>39083</v>
      </c>
      <c r="C414" s="38">
        <f t="shared" si="26"/>
        <v>16229.330502942787</v>
      </c>
      <c r="D414" s="38">
        <f t="shared" si="26"/>
        <v>11923.55382702723</v>
      </c>
      <c r="E414" s="38"/>
      <c r="F414" s="38"/>
      <c r="G414" s="41"/>
      <c r="H414" s="41"/>
    </row>
    <row r="415" spans="1:8" x14ac:dyDescent="0.2">
      <c r="A415" s="42"/>
      <c r="B415" s="37">
        <f t="shared" si="25"/>
        <v>39114</v>
      </c>
      <c r="C415" s="38">
        <f t="shared" si="26"/>
        <v>16263.141608157252</v>
      </c>
      <c r="D415" s="38">
        <f t="shared" si="26"/>
        <v>11948.394564166871</v>
      </c>
      <c r="E415" s="38"/>
      <c r="F415" s="38"/>
      <c r="G415" s="41"/>
      <c r="H415" s="41"/>
    </row>
    <row r="416" spans="1:8" x14ac:dyDescent="0.2">
      <c r="A416" s="42"/>
      <c r="B416" s="37">
        <f t="shared" si="25"/>
        <v>39142</v>
      </c>
      <c r="C416" s="38">
        <f t="shared" si="26"/>
        <v>16297.023153174248</v>
      </c>
      <c r="D416" s="38">
        <f t="shared" si="26"/>
        <v>11973.287052842219</v>
      </c>
      <c r="E416" s="38"/>
      <c r="F416" s="38"/>
      <c r="G416" s="41"/>
      <c r="H416" s="41"/>
    </row>
    <row r="417" spans="1:8" x14ac:dyDescent="0.2">
      <c r="A417" s="42"/>
      <c r="B417" s="37">
        <f t="shared" si="25"/>
        <v>39173</v>
      </c>
      <c r="C417" s="38">
        <f t="shared" si="26"/>
        <v>16330.975284743363</v>
      </c>
      <c r="D417" s="38">
        <f t="shared" si="26"/>
        <v>11998.231400868975</v>
      </c>
      <c r="E417" s="38"/>
      <c r="F417" s="38"/>
      <c r="G417" s="41"/>
      <c r="H417" s="41"/>
    </row>
    <row r="418" spans="1:8" x14ac:dyDescent="0.2">
      <c r="A418" s="42"/>
      <c r="B418" s="37">
        <f t="shared" si="25"/>
        <v>39203</v>
      </c>
      <c r="C418" s="38">
        <f t="shared" si="26"/>
        <v>16364.998149919913</v>
      </c>
      <c r="D418" s="38">
        <f t="shared" si="26"/>
        <v>12023.227716287454</v>
      </c>
      <c r="E418" s="38"/>
      <c r="F418" s="38"/>
      <c r="G418" s="41"/>
      <c r="H418" s="41"/>
    </row>
    <row r="419" spans="1:8" x14ac:dyDescent="0.2">
      <c r="A419" s="42"/>
      <c r="B419" s="37">
        <f t="shared" si="25"/>
        <v>39234</v>
      </c>
      <c r="C419" s="38">
        <f t="shared" si="26"/>
        <v>16399.09189606558</v>
      </c>
      <c r="D419" s="38">
        <f t="shared" si="26"/>
        <v>12048.276107363054</v>
      </c>
      <c r="E419" s="38"/>
      <c r="F419" s="38"/>
      <c r="G419" s="41"/>
      <c r="H419" s="41"/>
    </row>
    <row r="420" spans="1:8" x14ac:dyDescent="0.2">
      <c r="A420" s="42"/>
      <c r="B420" s="37">
        <f t="shared" si="25"/>
        <v>39264</v>
      </c>
      <c r="C420" s="38">
        <f t="shared" si="26"/>
        <v>16433.256670849052</v>
      </c>
      <c r="D420" s="38">
        <f t="shared" si="26"/>
        <v>12073.376682586728</v>
      </c>
      <c r="E420" s="38"/>
      <c r="F420" s="38"/>
      <c r="G420" s="41"/>
      <c r="H420" s="41"/>
    </row>
    <row r="421" spans="1:8" x14ac:dyDescent="0.2">
      <c r="A421" s="42"/>
      <c r="B421" s="37">
        <f t="shared" si="25"/>
        <v>39295</v>
      </c>
      <c r="C421" s="38">
        <f t="shared" si="26"/>
        <v>16467.492622246657</v>
      </c>
      <c r="D421" s="38">
        <f t="shared" si="26"/>
        <v>12098.529550675452</v>
      </c>
      <c r="E421" s="38"/>
      <c r="F421" s="38"/>
      <c r="G421" s="41"/>
      <c r="H421" s="41"/>
    </row>
    <row r="422" spans="1:8" x14ac:dyDescent="0.2">
      <c r="A422" s="42"/>
      <c r="B422" s="37">
        <f t="shared" si="25"/>
        <v>39326</v>
      </c>
      <c r="C422" s="38">
        <f t="shared" si="26"/>
        <v>16501.799898543006</v>
      </c>
      <c r="D422" s="38">
        <f t="shared" si="26"/>
        <v>12123.734820572694</v>
      </c>
      <c r="E422" s="38"/>
      <c r="F422" s="38"/>
      <c r="G422" s="41"/>
      <c r="H422" s="41"/>
    </row>
    <row r="423" spans="1:8" x14ac:dyDescent="0.2">
      <c r="A423" s="42"/>
      <c r="B423" s="37">
        <f t="shared" si="25"/>
        <v>39356</v>
      </c>
      <c r="C423" s="38">
        <f t="shared" si="26"/>
        <v>16536.178648331639</v>
      </c>
      <c r="D423" s="38">
        <f t="shared" si="26"/>
        <v>12148.992601448888</v>
      </c>
      <c r="E423" s="38"/>
      <c r="F423" s="38"/>
      <c r="G423" s="41"/>
      <c r="H423" s="41"/>
    </row>
    <row r="424" spans="1:8" x14ac:dyDescent="0.2">
      <c r="A424" s="42"/>
      <c r="B424" s="37">
        <f t="shared" si="25"/>
        <v>39387</v>
      </c>
      <c r="C424" s="38">
        <f t="shared" si="26"/>
        <v>16570.629020515666</v>
      </c>
      <c r="D424" s="38">
        <f t="shared" si="26"/>
        <v>12174.303002701909</v>
      </c>
      <c r="E424" s="38"/>
      <c r="F424" s="38"/>
      <c r="G424" s="41"/>
      <c r="H424" s="41"/>
    </row>
    <row r="425" spans="1:8" x14ac:dyDescent="0.2">
      <c r="A425" s="42"/>
      <c r="B425" s="37">
        <f t="shared" si="25"/>
        <v>39417</v>
      </c>
      <c r="C425" s="38">
        <f t="shared" si="26"/>
        <v>16605.151164308409</v>
      </c>
      <c r="D425" s="38">
        <f t="shared" si="26"/>
        <v>12199.666133957538</v>
      </c>
      <c r="E425" s="38"/>
      <c r="F425" s="38"/>
      <c r="G425" s="41"/>
      <c r="H425" s="41"/>
    </row>
    <row r="426" spans="1:8" x14ac:dyDescent="0.2">
      <c r="A426" s="42"/>
      <c r="B426" s="37">
        <f t="shared" si="25"/>
        <v>39448</v>
      </c>
      <c r="C426" s="38">
        <f t="shared" si="26"/>
        <v>16639.745229234053</v>
      </c>
      <c r="D426" s="38">
        <f t="shared" si="26"/>
        <v>12225.082105069951</v>
      </c>
      <c r="E426" s="38"/>
      <c r="F426" s="38"/>
      <c r="G426" s="41"/>
      <c r="H426" s="41"/>
    </row>
    <row r="427" spans="1:8" x14ac:dyDescent="0.2">
      <c r="A427" s="42"/>
      <c r="B427" s="37">
        <f t="shared" si="25"/>
        <v>39479</v>
      </c>
      <c r="C427" s="38">
        <f t="shared" si="26"/>
        <v>16674.411365128293</v>
      </c>
      <c r="D427" s="38">
        <f t="shared" si="26"/>
        <v>12250.551026122181</v>
      </c>
      <c r="E427" s="38"/>
      <c r="F427" s="38"/>
      <c r="G427" s="41"/>
      <c r="H427" s="41"/>
    </row>
    <row r="428" spans="1:8" x14ac:dyDescent="0.2">
      <c r="A428" s="42"/>
      <c r="B428" s="37">
        <f t="shared" si="25"/>
        <v>39508</v>
      </c>
      <c r="C428" s="38">
        <f t="shared" si="26"/>
        <v>16709.14972213898</v>
      </c>
      <c r="D428" s="38">
        <f t="shared" si="26"/>
        <v>12276.073007426603</v>
      </c>
      <c r="E428" s="38"/>
      <c r="F428" s="38"/>
      <c r="G428" s="41"/>
      <c r="H428" s="41"/>
    </row>
    <row r="429" spans="1:8" x14ac:dyDescent="0.2">
      <c r="A429" s="42"/>
      <c r="B429" s="37">
        <f t="shared" si="25"/>
        <v>39539</v>
      </c>
      <c r="C429" s="38">
        <f t="shared" si="26"/>
        <v>16743.960450726772</v>
      </c>
      <c r="D429" s="38">
        <f t="shared" si="26"/>
        <v>12301.64815952541</v>
      </c>
      <c r="E429" s="38"/>
      <c r="F429" s="38"/>
      <c r="G429" s="78"/>
      <c r="H429" s="41"/>
    </row>
    <row r="430" spans="1:8" x14ac:dyDescent="0.2">
      <c r="A430" s="42"/>
      <c r="B430" s="37">
        <f t="shared" si="25"/>
        <v>39569</v>
      </c>
      <c r="C430" s="38">
        <f t="shared" si="26"/>
        <v>16778.843701665788</v>
      </c>
      <c r="D430" s="38">
        <f t="shared" si="26"/>
        <v>12327.276593191089</v>
      </c>
      <c r="E430" s="38"/>
      <c r="F430" s="38"/>
      <c r="G430" s="41"/>
      <c r="H430" s="41"/>
    </row>
    <row r="431" spans="1:8" x14ac:dyDescent="0.2">
      <c r="A431" s="42"/>
      <c r="B431" s="37">
        <f t="shared" si="25"/>
        <v>39600</v>
      </c>
      <c r="C431" s="38">
        <f t="shared" si="26"/>
        <v>16813.79962604426</v>
      </c>
      <c r="D431" s="38">
        <f t="shared" si="26"/>
        <v>12352.958419426905</v>
      </c>
      <c r="E431" s="38"/>
      <c r="F431" s="38"/>
      <c r="G431" s="41"/>
      <c r="H431" s="41"/>
    </row>
    <row r="432" spans="1:8" x14ac:dyDescent="0.2">
      <c r="A432" s="42"/>
      <c r="B432" s="37">
        <f t="shared" si="25"/>
        <v>39630</v>
      </c>
      <c r="C432" s="38">
        <f t="shared" si="26"/>
        <v>16848.828375265188</v>
      </c>
      <c r="D432" s="38">
        <f t="shared" si="26"/>
        <v>12378.693749467378</v>
      </c>
      <c r="E432" s="38"/>
      <c r="F432" s="38"/>
      <c r="G432" s="41"/>
      <c r="H432" s="41"/>
    </row>
    <row r="433" spans="1:8" x14ac:dyDescent="0.2">
      <c r="A433" s="42"/>
      <c r="B433" s="37">
        <f t="shared" si="25"/>
        <v>39661</v>
      </c>
      <c r="C433" s="38">
        <f t="shared" si="26"/>
        <v>16883.930101046994</v>
      </c>
      <c r="D433" s="38">
        <f t="shared" si="26"/>
        <v>12404.48269477877</v>
      </c>
      <c r="E433" s="38"/>
      <c r="F433" s="38"/>
      <c r="G433" s="41"/>
      <c r="H433" s="41"/>
    </row>
    <row r="434" spans="1:8" x14ac:dyDescent="0.2">
      <c r="A434" s="42"/>
      <c r="B434" s="37">
        <f t="shared" si="25"/>
        <v>39692</v>
      </c>
      <c r="C434" s="38">
        <f t="shared" si="26"/>
        <v>16919.104955424176</v>
      </c>
      <c r="D434" s="38">
        <f t="shared" si="26"/>
        <v>12430.32536705956</v>
      </c>
      <c r="E434" s="38"/>
      <c r="F434" s="38"/>
      <c r="G434" s="41"/>
      <c r="H434" s="41"/>
    </row>
    <row r="435" spans="1:8" x14ac:dyDescent="0.2">
      <c r="A435" s="42"/>
      <c r="B435" s="37">
        <f t="shared" si="25"/>
        <v>39722</v>
      </c>
      <c r="C435" s="38">
        <f t="shared" si="26"/>
        <v>16954.35309074798</v>
      </c>
      <c r="D435" s="38">
        <f t="shared" si="26"/>
        <v>12456.221878240936</v>
      </c>
      <c r="E435" s="38"/>
      <c r="F435" s="38"/>
      <c r="G435" s="41"/>
      <c r="H435" s="41"/>
    </row>
    <row r="436" spans="1:8" x14ac:dyDescent="0.2">
      <c r="A436" s="42"/>
      <c r="B436" s="37">
        <f t="shared" si="25"/>
        <v>39753</v>
      </c>
      <c r="C436" s="38">
        <f t="shared" si="26"/>
        <v>16989.67465968704</v>
      </c>
      <c r="D436" s="38">
        <f t="shared" si="26"/>
        <v>12482.172340487274</v>
      </c>
      <c r="E436" s="38"/>
      <c r="F436" s="38"/>
      <c r="G436" s="41"/>
      <c r="H436" s="41"/>
    </row>
    <row r="437" spans="1:8" x14ac:dyDescent="0.2">
      <c r="A437" s="42"/>
      <c r="B437" s="37">
        <f t="shared" si="25"/>
        <v>39783</v>
      </c>
      <c r="C437" s="38">
        <f t="shared" si="26"/>
        <v>17025.069815228057</v>
      </c>
      <c r="D437" s="38">
        <f t="shared" si="26"/>
        <v>12508.176866196623</v>
      </c>
      <c r="E437" s="38"/>
      <c r="F437" s="38"/>
      <c r="G437" s="41"/>
      <c r="H437" s="41"/>
    </row>
    <row r="438" spans="1:8" x14ac:dyDescent="0.2">
      <c r="A438" s="42"/>
      <c r="B438" s="37">
        <f t="shared" si="25"/>
        <v>39814</v>
      </c>
      <c r="C438" s="38">
        <f t="shared" si="26"/>
        <v>17060.53871067645</v>
      </c>
      <c r="D438" s="38">
        <f t="shared" si="26"/>
        <v>12534.235568001201</v>
      </c>
      <c r="E438" s="38"/>
      <c r="F438" s="38"/>
      <c r="G438" s="41"/>
      <c r="H438" s="41"/>
    </row>
    <row r="439" spans="1:8" x14ac:dyDescent="0.2">
      <c r="A439" s="42"/>
      <c r="B439" s="37">
        <f t="shared" si="25"/>
        <v>39845</v>
      </c>
      <c r="C439" s="38">
        <f t="shared" si="26"/>
        <v>17096.081499657026</v>
      </c>
      <c r="D439" s="38">
        <f t="shared" si="26"/>
        <v>12560.348558767872</v>
      </c>
      <c r="E439" s="38"/>
      <c r="F439" s="38"/>
      <c r="G439" s="41"/>
      <c r="H439" s="41"/>
    </row>
    <row r="440" spans="1:8" x14ac:dyDescent="0.2">
      <c r="A440" s="42"/>
      <c r="B440" s="37">
        <f t="shared" si="25"/>
        <v>39873</v>
      </c>
      <c r="C440" s="38">
        <f t="shared" si="26"/>
        <v>17131.698336114645</v>
      </c>
      <c r="D440" s="38">
        <f t="shared" si="26"/>
        <v>12586.51595159864</v>
      </c>
      <c r="E440" s="38"/>
      <c r="F440" s="38"/>
      <c r="G440" s="41"/>
      <c r="H440" s="41"/>
    </row>
    <row r="441" spans="1:8" x14ac:dyDescent="0.2">
      <c r="A441" s="42"/>
      <c r="B441" s="37">
        <f t="shared" si="25"/>
        <v>39904</v>
      </c>
      <c r="C441" s="38">
        <f t="shared" si="26"/>
        <v>17167.389374314884</v>
      </c>
      <c r="D441" s="38">
        <f t="shared" si="26"/>
        <v>12612.737859831139</v>
      </c>
      <c r="E441" s="38"/>
      <c r="F441" s="38"/>
      <c r="G441" s="41"/>
      <c r="H441" s="41"/>
    </row>
    <row r="442" spans="1:8" x14ac:dyDescent="0.2">
      <c r="A442" s="42"/>
      <c r="B442" s="37">
        <f t="shared" si="25"/>
        <v>39934</v>
      </c>
      <c r="C442" s="38">
        <f t="shared" si="26"/>
        <v>17203.15476884471</v>
      </c>
      <c r="D442" s="38">
        <f t="shared" si="26"/>
        <v>12639.014397039122</v>
      </c>
      <c r="E442" s="38"/>
      <c r="F442" s="38"/>
      <c r="G442" s="41"/>
      <c r="H442" s="41"/>
    </row>
    <row r="443" spans="1:8" x14ac:dyDescent="0.2">
      <c r="A443" s="42"/>
      <c r="B443" s="37">
        <f t="shared" si="25"/>
        <v>39965</v>
      </c>
      <c r="C443" s="38">
        <f t="shared" si="26"/>
        <v>17238.994674613139</v>
      </c>
      <c r="D443" s="38">
        <f t="shared" si="26"/>
        <v>12665.345677032954</v>
      </c>
      <c r="E443" s="38"/>
      <c r="F443" s="38"/>
      <c r="G443" s="41"/>
      <c r="H443" s="41"/>
    </row>
    <row r="444" spans="1:8" x14ac:dyDescent="0.2">
      <c r="A444" s="42"/>
      <c r="B444" s="37">
        <f t="shared" si="25"/>
        <v>39995</v>
      </c>
      <c r="C444" s="38">
        <f t="shared" si="26"/>
        <v>17274.909246851919</v>
      </c>
      <c r="D444" s="38">
        <f t="shared" si="26"/>
        <v>12691.731813860108</v>
      </c>
      <c r="E444" s="38"/>
      <c r="F444" s="38"/>
      <c r="G444" s="41"/>
      <c r="H444" s="41"/>
    </row>
    <row r="445" spans="1:8" x14ac:dyDescent="0.2">
      <c r="A445" s="42"/>
      <c r="B445" s="37">
        <f t="shared" si="25"/>
        <v>40026</v>
      </c>
      <c r="C445" s="38">
        <f t="shared" si="26"/>
        <v>17310.898641116197</v>
      </c>
      <c r="D445" s="38">
        <f t="shared" si="26"/>
        <v>12718.172921805652</v>
      </c>
      <c r="E445" s="38"/>
      <c r="F445" s="38"/>
      <c r="G445" s="41"/>
      <c r="H445" s="41"/>
    </row>
    <row r="446" spans="1:8" x14ac:dyDescent="0.2">
      <c r="A446" s="42"/>
      <c r="B446" s="37">
        <f t="shared" si="25"/>
        <v>40057</v>
      </c>
      <c r="C446" s="38">
        <f t="shared" si="26"/>
        <v>17346.963013285189</v>
      </c>
      <c r="D446" s="38">
        <f t="shared" si="26"/>
        <v>12744.669115392748</v>
      </c>
      <c r="E446" s="38"/>
      <c r="F446" s="38"/>
      <c r="G446" s="41"/>
      <c r="H446" s="41"/>
    </row>
    <row r="447" spans="1:8" x14ac:dyDescent="0.2">
      <c r="A447" s="42"/>
      <c r="B447" s="37">
        <f t="shared" si="25"/>
        <v>40087</v>
      </c>
      <c r="C447" s="38">
        <f t="shared" si="26"/>
        <v>17383.102519562868</v>
      </c>
      <c r="D447" s="38">
        <f t="shared" si="26"/>
        <v>12771.220509383151</v>
      </c>
      <c r="E447" s="38"/>
      <c r="F447" s="38"/>
      <c r="G447" s="41"/>
      <c r="H447" s="41"/>
    </row>
    <row r="448" spans="1:8" x14ac:dyDescent="0.2">
      <c r="A448" s="42"/>
      <c r="B448" s="37">
        <f t="shared" si="25"/>
        <v>40118</v>
      </c>
      <c r="C448" s="38">
        <f t="shared" si="26"/>
        <v>17419.317316478628</v>
      </c>
      <c r="D448" s="38">
        <f t="shared" si="26"/>
        <v>12797.8272187777</v>
      </c>
      <c r="E448" s="38"/>
      <c r="F448" s="38"/>
      <c r="G448" s="41"/>
      <c r="H448" s="41"/>
    </row>
    <row r="449" spans="1:8" x14ac:dyDescent="0.2">
      <c r="A449" s="42"/>
      <c r="B449" s="37">
        <f t="shared" si="25"/>
        <v>40148</v>
      </c>
      <c r="C449" s="38">
        <f t="shared" si="26"/>
        <v>17455.607560887958</v>
      </c>
      <c r="D449" s="38">
        <f t="shared" si="26"/>
        <v>12824.489358816822</v>
      </c>
      <c r="E449" s="38"/>
      <c r="F449" s="38"/>
      <c r="G449" s="41"/>
      <c r="H449" s="41"/>
    </row>
    <row r="450" spans="1:8" x14ac:dyDescent="0.2">
      <c r="A450" s="42"/>
      <c r="B450" s="37">
        <f t="shared" si="25"/>
        <v>40179</v>
      </c>
      <c r="C450" s="38">
        <f t="shared" si="26"/>
        <v>17491.973409973143</v>
      </c>
      <c r="D450" s="38">
        <f t="shared" si="26"/>
        <v>12851.207044981025</v>
      </c>
      <c r="E450" s="38"/>
      <c r="F450" s="38"/>
      <c r="G450" s="41"/>
      <c r="H450" s="41"/>
    </row>
    <row r="451" spans="1:8" x14ac:dyDescent="0.2">
      <c r="A451" s="42"/>
      <c r="B451" s="37">
        <f t="shared" si="25"/>
        <v>40210</v>
      </c>
      <c r="C451" s="38">
        <f t="shared" si="26"/>
        <v>17528.415021243924</v>
      </c>
      <c r="D451" s="38">
        <f t="shared" si="26"/>
        <v>12877.980392991403</v>
      </c>
      <c r="E451" s="38"/>
      <c r="F451" s="38"/>
      <c r="G451" s="41"/>
      <c r="H451" s="41"/>
    </row>
    <row r="452" spans="1:8" x14ac:dyDescent="0.2">
      <c r="A452" s="42"/>
      <c r="B452" s="37">
        <f t="shared" si="25"/>
        <v>40238</v>
      </c>
      <c r="C452" s="38">
        <f t="shared" si="26"/>
        <v>17564.932552538183</v>
      </c>
      <c r="D452" s="38">
        <f t="shared" si="26"/>
        <v>12904.809518810136</v>
      </c>
      <c r="E452" s="38"/>
      <c r="F452" s="38"/>
      <c r="G452" s="41"/>
      <c r="H452" s="41"/>
    </row>
    <row r="453" spans="1:8" x14ac:dyDescent="0.2">
      <c r="A453" s="42"/>
      <c r="B453" s="37">
        <f t="shared" si="25"/>
        <v>40269</v>
      </c>
      <c r="C453" s="38">
        <f t="shared" si="26"/>
        <v>17601.526162022637</v>
      </c>
      <c r="D453" s="38">
        <f t="shared" si="26"/>
        <v>12931.694538640992</v>
      </c>
      <c r="E453" s="38"/>
      <c r="F453" s="38"/>
      <c r="G453" s="41"/>
      <c r="H453" s="41"/>
    </row>
    <row r="454" spans="1:8" x14ac:dyDescent="0.2">
      <c r="A454" s="42"/>
      <c r="B454" s="37">
        <f t="shared" si="25"/>
        <v>40299</v>
      </c>
      <c r="C454" s="38">
        <f t="shared" si="26"/>
        <v>17638.196008193521</v>
      </c>
      <c r="D454" s="38">
        <f t="shared" si="26"/>
        <v>12958.635568929829</v>
      </c>
      <c r="E454" s="38"/>
      <c r="F454" s="38"/>
      <c r="G454" s="41"/>
      <c r="H454" s="41"/>
    </row>
    <row r="455" spans="1:8" x14ac:dyDescent="0.2">
      <c r="A455" s="42"/>
      <c r="B455" s="37">
        <f t="shared" si="25"/>
        <v>40330</v>
      </c>
      <c r="C455" s="38">
        <f t="shared" si="26"/>
        <v>17674.942249877258</v>
      </c>
      <c r="D455" s="38">
        <f t="shared" si="26"/>
        <v>12985.6327263651</v>
      </c>
      <c r="E455" s="38"/>
      <c r="F455" s="38"/>
      <c r="G455" s="41"/>
      <c r="H455" s="41"/>
    </row>
    <row r="456" spans="1:8" x14ac:dyDescent="0.2">
      <c r="A456" s="42"/>
      <c r="B456" s="37">
        <f t="shared" si="25"/>
        <v>40360</v>
      </c>
      <c r="C456" s="38">
        <f t="shared" si="26"/>
        <v>17711.765046231172</v>
      </c>
      <c r="D456" s="38">
        <f t="shared" si="26"/>
        <v>13012.686127878362</v>
      </c>
      <c r="E456" s="38"/>
      <c r="F456" s="38"/>
      <c r="G456" s="41"/>
      <c r="H456" s="41"/>
    </row>
    <row r="457" spans="1:8" x14ac:dyDescent="0.2">
      <c r="A457" s="42"/>
      <c r="B457" s="37">
        <f t="shared" si="25"/>
        <v>40391</v>
      </c>
      <c r="C457" s="38">
        <f t="shared" si="26"/>
        <v>17748.664556744156</v>
      </c>
      <c r="D457" s="38">
        <f t="shared" si="26"/>
        <v>13039.795890644777</v>
      </c>
      <c r="E457" s="38"/>
      <c r="F457" s="38"/>
      <c r="G457" s="41"/>
      <c r="H457" s="41"/>
    </row>
    <row r="458" spans="1:8" x14ac:dyDescent="0.2">
      <c r="A458" s="42"/>
      <c r="B458" s="37">
        <f t="shared" si="25"/>
        <v>40422</v>
      </c>
      <c r="C458" s="38">
        <f t="shared" si="26"/>
        <v>17785.640941237376</v>
      </c>
      <c r="D458" s="38">
        <f t="shared" si="26"/>
        <v>13066.962132083621</v>
      </c>
      <c r="E458" s="38"/>
      <c r="F458" s="38"/>
      <c r="G458" s="41"/>
      <c r="H458" s="41"/>
    </row>
    <row r="459" spans="1:8" x14ac:dyDescent="0.2">
      <c r="A459" s="42"/>
      <c r="B459" s="37">
        <f t="shared" si="25"/>
        <v>40452</v>
      </c>
      <c r="C459" s="38">
        <f t="shared" si="26"/>
        <v>17822.694359864956</v>
      </c>
      <c r="D459" s="38">
        <f t="shared" si="26"/>
        <v>13094.184969858798</v>
      </c>
      <c r="E459" s="38"/>
      <c r="F459" s="38"/>
      <c r="G459" s="41"/>
      <c r="H459" s="41"/>
    </row>
    <row r="460" spans="1:8" x14ac:dyDescent="0.2">
      <c r="A460" s="42"/>
      <c r="B460" s="37">
        <f t="shared" si="25"/>
        <v>40483</v>
      </c>
      <c r="C460" s="38">
        <f t="shared" si="26"/>
        <v>17859.824973114675</v>
      </c>
      <c r="D460" s="38">
        <f t="shared" si="26"/>
        <v>13121.464521879338</v>
      </c>
      <c r="E460" s="38"/>
      <c r="F460" s="38"/>
      <c r="G460" s="41"/>
      <c r="H460" s="41"/>
    </row>
    <row r="461" spans="1:8" x14ac:dyDescent="0.2">
      <c r="A461" s="42"/>
      <c r="B461" s="37">
        <f t="shared" si="25"/>
        <v>40513</v>
      </c>
      <c r="C461" s="38">
        <f t="shared" si="26"/>
        <v>17897.032941808666</v>
      </c>
      <c r="D461" s="38">
        <f t="shared" si="26"/>
        <v>13148.800906299921</v>
      </c>
      <c r="E461" s="38"/>
      <c r="F461" s="38"/>
      <c r="G461" s="41"/>
      <c r="H461" s="41"/>
    </row>
    <row r="462" spans="1:8" x14ac:dyDescent="0.2">
      <c r="A462" s="42"/>
      <c r="B462" s="37">
        <f t="shared" si="25"/>
        <v>40544</v>
      </c>
      <c r="C462" s="38">
        <f t="shared" si="26"/>
        <v>17934.318427104103</v>
      </c>
      <c r="D462" s="38">
        <f t="shared" si="26"/>
        <v>13176.19424152138</v>
      </c>
      <c r="E462" s="38"/>
      <c r="F462" s="38"/>
      <c r="G462" s="41"/>
      <c r="H462" s="41"/>
    </row>
    <row r="463" spans="1:8" x14ac:dyDescent="0.2">
      <c r="A463" s="42"/>
      <c r="B463" s="37">
        <f t="shared" si="25"/>
        <v>40575</v>
      </c>
      <c r="C463" s="38">
        <f t="shared" si="26"/>
        <v>17971.681590493903</v>
      </c>
      <c r="D463" s="38">
        <f t="shared" si="26"/>
        <v>13203.644646191218</v>
      </c>
      <c r="E463" s="38"/>
      <c r="F463" s="38"/>
      <c r="G463" s="41"/>
      <c r="H463" s="41"/>
    </row>
    <row r="464" spans="1:8" x14ac:dyDescent="0.2">
      <c r="A464" s="42"/>
      <c r="B464" s="37">
        <f t="shared" si="25"/>
        <v>40603</v>
      </c>
      <c r="C464" s="38">
        <f t="shared" si="26"/>
        <v>18009.122593807435</v>
      </c>
      <c r="D464" s="38">
        <f t="shared" si="26"/>
        <v>13231.152239204119</v>
      </c>
      <c r="E464" s="38"/>
      <c r="F464" s="38"/>
      <c r="G464" s="41"/>
      <c r="H464" s="41"/>
    </row>
    <row r="465" spans="1:8" x14ac:dyDescent="0.2">
      <c r="A465" s="42"/>
      <c r="B465" s="37">
        <f t="shared" si="25"/>
        <v>40634</v>
      </c>
      <c r="C465" s="38">
        <f t="shared" si="26"/>
        <v>18046.641599211202</v>
      </c>
      <c r="D465" s="38">
        <f t="shared" si="26"/>
        <v>13258.717139702461</v>
      </c>
      <c r="E465" s="38"/>
      <c r="F465" s="38"/>
      <c r="G465" s="41"/>
      <c r="H465" s="41"/>
    </row>
    <row r="466" spans="1:8" x14ac:dyDescent="0.2">
      <c r="A466" s="42"/>
      <c r="B466" s="37">
        <f t="shared" ref="B466:B529" si="27">+DATE(YEAR(B465),MONTH(B465)+1,1)</f>
        <v>40664</v>
      </c>
      <c r="C466" s="38">
        <f t="shared" si="26"/>
        <v>18084.238769209562</v>
      </c>
      <c r="D466" s="38">
        <f t="shared" si="26"/>
        <v>13286.339467076843</v>
      </c>
      <c r="E466" s="38"/>
      <c r="F466" s="38"/>
      <c r="G466" s="41"/>
      <c r="H466" s="41"/>
    </row>
    <row r="467" spans="1:8" x14ac:dyDescent="0.2">
      <c r="A467" s="42"/>
      <c r="B467" s="37">
        <f t="shared" si="27"/>
        <v>40695</v>
      </c>
      <c r="C467" s="38">
        <f t="shared" si="26"/>
        <v>18121.914266645417</v>
      </c>
      <c r="D467" s="38">
        <f t="shared" si="26"/>
        <v>13314.019340966588</v>
      </c>
      <c r="E467" s="38"/>
      <c r="F467" s="38"/>
      <c r="G467" s="41"/>
      <c r="H467" s="41"/>
    </row>
    <row r="468" spans="1:8" x14ac:dyDescent="0.2">
      <c r="A468" s="42"/>
      <c r="B468" s="37">
        <f t="shared" si="27"/>
        <v>40725</v>
      </c>
      <c r="C468" s="38">
        <f t="shared" si="26"/>
        <v>18159.66825470093</v>
      </c>
      <c r="D468" s="38">
        <f t="shared" si="26"/>
        <v>13341.756881260269</v>
      </c>
      <c r="E468" s="38"/>
      <c r="F468" s="38"/>
      <c r="G468" s="41"/>
      <c r="H468" s="41"/>
    </row>
    <row r="469" spans="1:8" x14ac:dyDescent="0.2">
      <c r="A469" s="42"/>
      <c r="B469" s="37">
        <f t="shared" si="27"/>
        <v>40756</v>
      </c>
      <c r="C469" s="38">
        <f t="shared" si="26"/>
        <v>18197.500896898226</v>
      </c>
      <c r="D469" s="38">
        <f t="shared" si="26"/>
        <v>13369.552208096229</v>
      </c>
      <c r="E469" s="38"/>
      <c r="F469" s="38"/>
      <c r="G469" s="41"/>
      <c r="H469" s="41"/>
    </row>
    <row r="470" spans="1:8" x14ac:dyDescent="0.2">
      <c r="A470" s="42"/>
      <c r="B470" s="37">
        <f t="shared" si="27"/>
        <v>40787</v>
      </c>
      <c r="C470" s="38">
        <f t="shared" si="26"/>
        <v>18235.4123571001</v>
      </c>
      <c r="D470" s="38">
        <f t="shared" si="26"/>
        <v>13397.405441863099</v>
      </c>
      <c r="E470" s="38"/>
      <c r="F470" s="38"/>
      <c r="G470" s="41"/>
      <c r="H470" s="41"/>
    </row>
    <row r="471" spans="1:8" x14ac:dyDescent="0.2">
      <c r="A471" s="42"/>
      <c r="B471" s="37">
        <f t="shared" si="27"/>
        <v>40817</v>
      </c>
      <c r="C471" s="38">
        <f t="shared" si="26"/>
        <v>18273.402799510728</v>
      </c>
      <c r="D471" s="38">
        <f t="shared" si="26"/>
        <v>13425.316703200315</v>
      </c>
      <c r="E471" s="38"/>
      <c r="F471" s="38"/>
      <c r="G471" s="41"/>
      <c r="H471" s="41"/>
    </row>
    <row r="472" spans="1:8" x14ac:dyDescent="0.2">
      <c r="A472" s="42"/>
      <c r="B472" s="37">
        <f t="shared" si="27"/>
        <v>40848</v>
      </c>
      <c r="C472" s="38">
        <f t="shared" si="26"/>
        <v>18311.472388676379</v>
      </c>
      <c r="D472" s="38">
        <f t="shared" ref="D472:D535" si="28">+D471*(1+(D$23/12))</f>
        <v>13453.28611299865</v>
      </c>
      <c r="E472" s="38"/>
      <c r="F472" s="38"/>
      <c r="G472" s="41"/>
      <c r="H472" s="41"/>
    </row>
    <row r="473" spans="1:8" x14ac:dyDescent="0.2">
      <c r="A473" s="42"/>
      <c r="B473" s="37">
        <f t="shared" si="27"/>
        <v>40878</v>
      </c>
      <c r="C473" s="38">
        <f t="shared" ref="C473:D536" si="29">+C472*(1+(C$23/12))</f>
        <v>18349.621289486124</v>
      </c>
      <c r="D473" s="38">
        <f t="shared" si="28"/>
        <v>13481.313792400731</v>
      </c>
      <c r="E473" s="38"/>
      <c r="F473" s="38"/>
      <c r="G473" s="41"/>
      <c r="H473" s="41"/>
    </row>
    <row r="474" spans="1:8" x14ac:dyDescent="0.2">
      <c r="A474" s="42"/>
      <c r="B474" s="37">
        <f t="shared" si="27"/>
        <v>40909</v>
      </c>
      <c r="C474" s="38">
        <f t="shared" si="29"/>
        <v>18387.849667172555</v>
      </c>
      <c r="D474" s="38">
        <f t="shared" si="28"/>
        <v>13509.399862801567</v>
      </c>
      <c r="E474" s="38"/>
      <c r="F474" s="38"/>
      <c r="G474" s="41"/>
      <c r="H474" s="41"/>
    </row>
    <row r="475" spans="1:8" x14ac:dyDescent="0.2">
      <c r="A475" s="42"/>
      <c r="B475" s="37">
        <f t="shared" si="27"/>
        <v>40940</v>
      </c>
      <c r="C475" s="38">
        <f t="shared" si="29"/>
        <v>18426.157687312501</v>
      </c>
      <c r="D475" s="38">
        <f t="shared" si="28"/>
        <v>13537.544445849071</v>
      </c>
      <c r="E475" s="38"/>
      <c r="F475" s="38"/>
      <c r="G475" s="41"/>
      <c r="H475" s="41"/>
    </row>
    <row r="476" spans="1:8" x14ac:dyDescent="0.2">
      <c r="A476" s="42"/>
      <c r="B476" s="37">
        <f t="shared" si="27"/>
        <v>40969</v>
      </c>
      <c r="C476" s="38">
        <f t="shared" si="29"/>
        <v>18464.545515827736</v>
      </c>
      <c r="D476" s="38">
        <f t="shared" si="28"/>
        <v>13565.747663444592</v>
      </c>
      <c r="E476" s="38"/>
      <c r="F476" s="38"/>
      <c r="G476" s="41"/>
      <c r="H476" s="41"/>
    </row>
    <row r="477" spans="1:8" x14ac:dyDescent="0.2">
      <c r="A477" s="42"/>
      <c r="B477" s="37">
        <f t="shared" si="27"/>
        <v>41000</v>
      </c>
      <c r="C477" s="38">
        <f t="shared" si="29"/>
        <v>18503.013318985712</v>
      </c>
      <c r="D477" s="38">
        <f t="shared" si="28"/>
        <v>13594.009637743437</v>
      </c>
      <c r="E477" s="38"/>
      <c r="F477" s="38"/>
      <c r="G477" s="41"/>
      <c r="H477" s="41"/>
    </row>
    <row r="478" spans="1:8" x14ac:dyDescent="0.2">
      <c r="A478" s="42"/>
      <c r="B478" s="37">
        <f t="shared" si="27"/>
        <v>41030</v>
      </c>
      <c r="C478" s="38">
        <f t="shared" si="29"/>
        <v>18541.561263400268</v>
      </c>
      <c r="D478" s="38">
        <f t="shared" si="28"/>
        <v>13622.330491155404</v>
      </c>
      <c r="E478" s="38"/>
      <c r="F478" s="38"/>
      <c r="G478" s="41"/>
      <c r="H478" s="41"/>
    </row>
    <row r="479" spans="1:8" x14ac:dyDescent="0.2">
      <c r="A479" s="42"/>
      <c r="B479" s="37">
        <f t="shared" si="27"/>
        <v>41061</v>
      </c>
      <c r="C479" s="38">
        <f t="shared" si="29"/>
        <v>18580.189516032355</v>
      </c>
      <c r="D479" s="38">
        <f t="shared" si="28"/>
        <v>13650.710346345313</v>
      </c>
      <c r="E479" s="38"/>
      <c r="F479" s="38"/>
      <c r="G479" s="41"/>
      <c r="H479" s="41"/>
    </row>
    <row r="480" spans="1:8" x14ac:dyDescent="0.2">
      <c r="A480" s="42"/>
      <c r="B480" s="37">
        <f t="shared" si="27"/>
        <v>41091</v>
      </c>
      <c r="C480" s="38">
        <f t="shared" si="29"/>
        <v>18618.898244190757</v>
      </c>
      <c r="D480" s="38">
        <f t="shared" si="28"/>
        <v>13679.149326233533</v>
      </c>
      <c r="E480" s="38"/>
      <c r="F480" s="38"/>
      <c r="G480" s="41"/>
      <c r="H480" s="41"/>
    </row>
    <row r="481" spans="1:8" x14ac:dyDescent="0.2">
      <c r="A481" s="42"/>
      <c r="B481" s="37">
        <f t="shared" si="27"/>
        <v>41122</v>
      </c>
      <c r="C481" s="38">
        <f t="shared" si="29"/>
        <v>18657.687615532825</v>
      </c>
      <c r="D481" s="38">
        <f t="shared" si="28"/>
        <v>13707.647553996521</v>
      </c>
      <c r="E481" s="38"/>
      <c r="F481" s="38"/>
      <c r="G481" s="41"/>
      <c r="H481" s="41"/>
    </row>
    <row r="482" spans="1:8" x14ac:dyDescent="0.2">
      <c r="A482" s="42"/>
      <c r="B482" s="37">
        <f t="shared" si="27"/>
        <v>41153</v>
      </c>
      <c r="C482" s="38">
        <f t="shared" si="29"/>
        <v>18696.557798065187</v>
      </c>
      <c r="D482" s="38">
        <f t="shared" si="28"/>
        <v>13736.205153067349</v>
      </c>
      <c r="E482" s="38"/>
      <c r="F482" s="38"/>
      <c r="G482" s="41"/>
      <c r="H482" s="41"/>
    </row>
    <row r="483" spans="1:8" x14ac:dyDescent="0.2">
      <c r="A483" s="42"/>
      <c r="B483" s="37">
        <f t="shared" si="27"/>
        <v>41183</v>
      </c>
      <c r="C483" s="38">
        <f t="shared" si="29"/>
        <v>18735.508960144492</v>
      </c>
      <c r="D483" s="38">
        <f t="shared" si="28"/>
        <v>13764.822247136241</v>
      </c>
      <c r="E483" s="38"/>
      <c r="F483" s="38"/>
      <c r="G483" s="41"/>
      <c r="H483" s="41"/>
    </row>
    <row r="484" spans="1:8" x14ac:dyDescent="0.2">
      <c r="A484" s="42"/>
      <c r="B484" s="37">
        <f t="shared" si="27"/>
        <v>41214</v>
      </c>
      <c r="C484" s="38">
        <f t="shared" si="29"/>
        <v>18774.54127047813</v>
      </c>
      <c r="D484" s="38">
        <f t="shared" si="28"/>
        <v>13793.49896015111</v>
      </c>
      <c r="E484" s="38"/>
      <c r="F484" s="38"/>
      <c r="G484" s="41"/>
      <c r="H484" s="41"/>
    </row>
    <row r="485" spans="1:8" x14ac:dyDescent="0.2">
      <c r="A485" s="42"/>
      <c r="B485" s="37">
        <f t="shared" si="27"/>
        <v>41244</v>
      </c>
      <c r="C485" s="38">
        <f t="shared" si="29"/>
        <v>18813.654898124962</v>
      </c>
      <c r="D485" s="38">
        <f t="shared" si="28"/>
        <v>13822.235416318093</v>
      </c>
      <c r="E485" s="38"/>
      <c r="F485" s="38"/>
      <c r="G485" s="41"/>
      <c r="H485" s="41"/>
    </row>
    <row r="486" spans="1:8" x14ac:dyDescent="0.2">
      <c r="A486" s="42"/>
      <c r="B486" s="37">
        <f t="shared" si="27"/>
        <v>41275</v>
      </c>
      <c r="C486" s="38">
        <f t="shared" si="29"/>
        <v>18852.850012496056</v>
      </c>
      <c r="D486" s="38">
        <f t="shared" si="28"/>
        <v>13851.031740102091</v>
      </c>
      <c r="E486" s="38"/>
      <c r="F486" s="38"/>
      <c r="G486" s="41"/>
      <c r="H486" s="41"/>
    </row>
    <row r="487" spans="1:8" x14ac:dyDescent="0.2">
      <c r="A487" s="42"/>
      <c r="B487" s="37">
        <f t="shared" si="27"/>
        <v>41306</v>
      </c>
      <c r="C487" s="38">
        <f t="shared" si="29"/>
        <v>18892.126783355423</v>
      </c>
      <c r="D487" s="38">
        <f t="shared" si="28"/>
        <v>13879.888056227306</v>
      </c>
      <c r="E487" s="38"/>
      <c r="F487" s="38"/>
      <c r="G487" s="41"/>
      <c r="H487" s="41"/>
    </row>
    <row r="488" spans="1:8" x14ac:dyDescent="0.2">
      <c r="A488" s="42"/>
      <c r="B488" s="37">
        <f t="shared" si="27"/>
        <v>41334</v>
      </c>
      <c r="C488" s="38">
        <f t="shared" si="29"/>
        <v>18931.485380820748</v>
      </c>
      <c r="D488" s="38">
        <f t="shared" si="28"/>
        <v>13908.804489677781</v>
      </c>
      <c r="E488" s="38"/>
      <c r="F488" s="38"/>
      <c r="G488" s="41"/>
      <c r="H488" s="41"/>
    </row>
    <row r="489" spans="1:8" x14ac:dyDescent="0.2">
      <c r="A489" s="42"/>
      <c r="B489" s="37">
        <f t="shared" si="27"/>
        <v>41365</v>
      </c>
      <c r="C489" s="38">
        <f t="shared" si="29"/>
        <v>18970.925975364127</v>
      </c>
      <c r="D489" s="38">
        <f t="shared" si="28"/>
        <v>13937.781165697945</v>
      </c>
      <c r="E489" s="38"/>
      <c r="F489" s="38"/>
      <c r="G489" s="41"/>
      <c r="H489" s="41"/>
    </row>
    <row r="490" spans="1:8" x14ac:dyDescent="0.2">
      <c r="A490" s="42"/>
      <c r="B490" s="37">
        <f t="shared" si="27"/>
        <v>41395</v>
      </c>
      <c r="C490" s="38">
        <f t="shared" si="29"/>
        <v>19010.448737812803</v>
      </c>
      <c r="D490" s="38">
        <f t="shared" si="28"/>
        <v>13966.818209793149</v>
      </c>
      <c r="E490" s="38"/>
      <c r="F490" s="38"/>
      <c r="G490" s="41"/>
      <c r="H490" s="41"/>
    </row>
    <row r="491" spans="1:8" x14ac:dyDescent="0.2">
      <c r="A491" s="42"/>
      <c r="B491" s="37">
        <f t="shared" si="27"/>
        <v>41426</v>
      </c>
      <c r="C491" s="38">
        <f t="shared" si="29"/>
        <v>19050.053839349916</v>
      </c>
      <c r="D491" s="38">
        <f t="shared" si="28"/>
        <v>13995.91574773022</v>
      </c>
      <c r="E491" s="38"/>
      <c r="F491" s="38"/>
      <c r="G491" s="41"/>
      <c r="H491" s="41"/>
    </row>
    <row r="492" spans="1:8" x14ac:dyDescent="0.2">
      <c r="A492" s="42"/>
      <c r="B492" s="37">
        <f t="shared" si="27"/>
        <v>41456</v>
      </c>
      <c r="C492" s="38">
        <f t="shared" si="29"/>
        <v>19089.74145151523</v>
      </c>
      <c r="D492" s="38">
        <f t="shared" si="28"/>
        <v>14025.073905537993</v>
      </c>
      <c r="E492" s="38"/>
      <c r="F492" s="38"/>
      <c r="G492" s="41"/>
      <c r="H492" s="41"/>
    </row>
    <row r="493" spans="1:8" x14ac:dyDescent="0.2">
      <c r="A493" s="42"/>
      <c r="B493" s="37">
        <f t="shared" si="27"/>
        <v>41487</v>
      </c>
      <c r="C493" s="38">
        <f t="shared" si="29"/>
        <v>19129.511746205888</v>
      </c>
      <c r="D493" s="38">
        <f t="shared" si="28"/>
        <v>14054.292809507864</v>
      </c>
      <c r="E493" s="38"/>
      <c r="F493" s="38"/>
      <c r="G493" s="41"/>
      <c r="H493" s="41"/>
    </row>
    <row r="494" spans="1:8" x14ac:dyDescent="0.2">
      <c r="A494" s="42"/>
      <c r="B494" s="37">
        <f t="shared" si="27"/>
        <v>41518</v>
      </c>
      <c r="C494" s="38">
        <f t="shared" si="29"/>
        <v>19169.36489567715</v>
      </c>
      <c r="D494" s="38">
        <f t="shared" si="28"/>
        <v>14083.572586194341</v>
      </c>
      <c r="E494" s="38"/>
      <c r="F494" s="38"/>
      <c r="G494" s="41"/>
      <c r="H494" s="41"/>
    </row>
    <row r="495" spans="1:8" x14ac:dyDescent="0.2">
      <c r="A495" s="42"/>
      <c r="B495" s="37">
        <f t="shared" si="27"/>
        <v>41548</v>
      </c>
      <c r="C495" s="38">
        <f t="shared" si="29"/>
        <v>19209.301072543145</v>
      </c>
      <c r="D495" s="38">
        <f t="shared" si="28"/>
        <v>14112.91336241558</v>
      </c>
      <c r="E495" s="38"/>
      <c r="F495" s="38"/>
      <c r="G495" s="41"/>
      <c r="H495" s="41"/>
    </row>
    <row r="496" spans="1:8" x14ac:dyDescent="0.2">
      <c r="A496" s="42"/>
      <c r="B496" s="37">
        <f t="shared" si="27"/>
        <v>41579</v>
      </c>
      <c r="C496" s="38">
        <f t="shared" si="29"/>
        <v>19249.320449777613</v>
      </c>
      <c r="D496" s="38">
        <f t="shared" si="28"/>
        <v>14142.315265253947</v>
      </c>
      <c r="E496" s="38"/>
      <c r="F496" s="38"/>
      <c r="G496" s="41"/>
      <c r="H496" s="41"/>
    </row>
    <row r="497" spans="1:8" x14ac:dyDescent="0.2">
      <c r="A497" s="42"/>
      <c r="B497" s="37">
        <f t="shared" si="27"/>
        <v>41609</v>
      </c>
      <c r="C497" s="38">
        <f t="shared" si="29"/>
        <v>19289.423200714653</v>
      </c>
      <c r="D497" s="38">
        <f t="shared" si="28"/>
        <v>14171.778422056561</v>
      </c>
      <c r="E497" s="38"/>
      <c r="F497" s="38"/>
      <c r="G497" s="41"/>
      <c r="H497" s="41"/>
    </row>
    <row r="498" spans="1:8" x14ac:dyDescent="0.2">
      <c r="A498" s="42"/>
      <c r="B498" s="37">
        <f t="shared" si="27"/>
        <v>41640</v>
      </c>
      <c r="C498" s="38">
        <f t="shared" si="29"/>
        <v>19329.609499049478</v>
      </c>
      <c r="D498" s="38">
        <f t="shared" si="28"/>
        <v>14201.302960435847</v>
      </c>
      <c r="E498" s="38"/>
      <c r="F498" s="38"/>
      <c r="G498" s="41"/>
      <c r="H498" s="41"/>
    </row>
    <row r="499" spans="1:8" x14ac:dyDescent="0.2">
      <c r="A499" s="42"/>
      <c r="B499" s="37">
        <f t="shared" si="27"/>
        <v>41671</v>
      </c>
      <c r="C499" s="38">
        <f t="shared" si="29"/>
        <v>19369.879518839167</v>
      </c>
      <c r="D499" s="38">
        <f t="shared" si="28"/>
        <v>14230.889008270089</v>
      </c>
      <c r="E499" s="38"/>
      <c r="F499" s="38"/>
      <c r="G499" s="41"/>
      <c r="H499" s="41"/>
    </row>
    <row r="500" spans="1:8" x14ac:dyDescent="0.2">
      <c r="A500" s="42"/>
      <c r="B500" s="37">
        <f t="shared" si="27"/>
        <v>41699</v>
      </c>
      <c r="C500" s="38">
        <f t="shared" si="29"/>
        <v>19410.233434503418</v>
      </c>
      <c r="D500" s="38">
        <f t="shared" si="28"/>
        <v>14260.536693703987</v>
      </c>
      <c r="E500" s="38"/>
      <c r="F500" s="38"/>
      <c r="G500" s="41"/>
      <c r="H500" s="41"/>
    </row>
    <row r="501" spans="1:8" x14ac:dyDescent="0.2">
      <c r="A501" s="42"/>
      <c r="B501" s="37">
        <f t="shared" si="27"/>
        <v>41730</v>
      </c>
      <c r="C501" s="38">
        <f t="shared" si="29"/>
        <v>19450.671420825303</v>
      </c>
      <c r="D501" s="38">
        <f t="shared" si="28"/>
        <v>14290.246145149205</v>
      </c>
      <c r="E501" s="38"/>
      <c r="F501" s="38"/>
      <c r="G501" s="41"/>
      <c r="H501" s="41"/>
    </row>
    <row r="502" spans="1:8" x14ac:dyDescent="0.2">
      <c r="A502" s="42"/>
      <c r="B502" s="37">
        <f t="shared" si="27"/>
        <v>41760</v>
      </c>
      <c r="C502" s="38">
        <f t="shared" si="29"/>
        <v>19491.193652952024</v>
      </c>
      <c r="D502" s="38">
        <f t="shared" si="28"/>
        <v>14320.017491284934</v>
      </c>
      <c r="E502" s="38"/>
      <c r="F502" s="38"/>
      <c r="G502" s="41"/>
      <c r="H502" s="41"/>
    </row>
    <row r="503" spans="1:8" x14ac:dyDescent="0.2">
      <c r="A503" s="42"/>
      <c r="B503" s="37">
        <f t="shared" si="27"/>
        <v>41791</v>
      </c>
      <c r="C503" s="38">
        <f t="shared" si="29"/>
        <v>19531.800306395675</v>
      </c>
      <c r="D503" s="38">
        <f t="shared" si="28"/>
        <v>14349.850861058447</v>
      </c>
      <c r="E503" s="38"/>
      <c r="F503" s="38"/>
      <c r="G503" s="41"/>
      <c r="H503" s="41"/>
    </row>
    <row r="504" spans="1:8" x14ac:dyDescent="0.2">
      <c r="A504" s="42"/>
      <c r="B504" s="37">
        <f t="shared" si="27"/>
        <v>41821</v>
      </c>
      <c r="C504" s="38">
        <f t="shared" si="29"/>
        <v>19572.491557034002</v>
      </c>
      <c r="D504" s="38">
        <f t="shared" si="28"/>
        <v>14379.746383685653</v>
      </c>
      <c r="E504" s="38"/>
      <c r="F504" s="38"/>
      <c r="G504" s="41"/>
      <c r="H504" s="41"/>
    </row>
    <row r="505" spans="1:8" x14ac:dyDescent="0.2">
      <c r="A505" s="42"/>
      <c r="B505" s="37">
        <f t="shared" si="27"/>
        <v>41852</v>
      </c>
      <c r="C505" s="38">
        <f t="shared" si="29"/>
        <v>19613.267581111159</v>
      </c>
      <c r="D505" s="38">
        <f t="shared" si="28"/>
        <v>14409.704188651667</v>
      </c>
      <c r="E505" s="38"/>
      <c r="F505" s="38"/>
      <c r="G505" s="41"/>
      <c r="H505" s="41"/>
    </row>
    <row r="506" spans="1:8" x14ac:dyDescent="0.2">
      <c r="A506" s="42"/>
      <c r="B506" s="37">
        <f t="shared" si="27"/>
        <v>41883</v>
      </c>
      <c r="C506" s="38">
        <f t="shared" si="29"/>
        <v>19654.128555238476</v>
      </c>
      <c r="D506" s="38">
        <f t="shared" si="28"/>
        <v>14439.72440571136</v>
      </c>
      <c r="E506" s="38"/>
      <c r="F506" s="38"/>
      <c r="G506" s="41"/>
      <c r="H506" s="41"/>
    </row>
    <row r="507" spans="1:8" x14ac:dyDescent="0.2">
      <c r="A507" s="42"/>
      <c r="B507" s="37">
        <f t="shared" si="27"/>
        <v>41913</v>
      </c>
      <c r="C507" s="38">
        <f t="shared" si="29"/>
        <v>19695.074656395223</v>
      </c>
      <c r="D507" s="38">
        <f t="shared" si="28"/>
        <v>14469.807164889928</v>
      </c>
      <c r="E507" s="38"/>
      <c r="F507" s="38"/>
      <c r="G507" s="41"/>
      <c r="H507" s="41"/>
    </row>
    <row r="508" spans="1:8" x14ac:dyDescent="0.2">
      <c r="A508" s="42"/>
      <c r="B508" s="37">
        <f t="shared" si="27"/>
        <v>41944</v>
      </c>
      <c r="C508" s="38">
        <f t="shared" si="29"/>
        <v>19736.106061929382</v>
      </c>
      <c r="D508" s="38">
        <f t="shared" si="28"/>
        <v>14499.95259648345</v>
      </c>
      <c r="E508" s="38"/>
      <c r="F508" s="38"/>
      <c r="G508" s="41"/>
      <c r="H508" s="41"/>
    </row>
    <row r="509" spans="1:8" x14ac:dyDescent="0.2">
      <c r="A509" s="42"/>
      <c r="B509" s="37">
        <f t="shared" si="27"/>
        <v>41974</v>
      </c>
      <c r="C509" s="38">
        <f t="shared" si="29"/>
        <v>19777.222949558403</v>
      </c>
      <c r="D509" s="38">
        <f t="shared" si="28"/>
        <v>14530.160831059458</v>
      </c>
      <c r="E509" s="38"/>
      <c r="F509" s="38"/>
      <c r="G509" s="41"/>
      <c r="H509" s="41"/>
    </row>
    <row r="510" spans="1:8" x14ac:dyDescent="0.2">
      <c r="A510" s="42"/>
      <c r="B510" s="37">
        <f t="shared" si="27"/>
        <v>42005</v>
      </c>
      <c r="C510" s="38">
        <f t="shared" si="29"/>
        <v>19818.425497369986</v>
      </c>
      <c r="D510" s="38">
        <f t="shared" si="28"/>
        <v>14560.4319994575</v>
      </c>
      <c r="E510" s="38"/>
      <c r="F510" s="38"/>
      <c r="G510" s="41"/>
      <c r="H510" s="41"/>
    </row>
    <row r="511" spans="1:8" x14ac:dyDescent="0.2">
      <c r="A511" s="42"/>
      <c r="B511" s="37">
        <f t="shared" si="27"/>
        <v>42036</v>
      </c>
      <c r="C511" s="38">
        <f t="shared" si="29"/>
        <v>19859.713883822842</v>
      </c>
      <c r="D511" s="38">
        <f t="shared" si="28"/>
        <v>14590.766232789705</v>
      </c>
      <c r="E511" s="38"/>
      <c r="F511" s="38"/>
      <c r="G511" s="41"/>
      <c r="H511" s="41"/>
    </row>
    <row r="512" spans="1:8" x14ac:dyDescent="0.2">
      <c r="A512" s="42"/>
      <c r="B512" s="37">
        <f t="shared" si="27"/>
        <v>42064</v>
      </c>
      <c r="C512" s="38">
        <f t="shared" si="29"/>
        <v>19901.088287747476</v>
      </c>
      <c r="D512" s="38">
        <f t="shared" si="28"/>
        <v>14621.163662441351</v>
      </c>
      <c r="E512" s="38"/>
      <c r="F512" s="38"/>
      <c r="G512" s="41"/>
      <c r="H512" s="41"/>
    </row>
    <row r="513" spans="1:8" x14ac:dyDescent="0.2">
      <c r="A513" s="42"/>
      <c r="B513" s="37">
        <f t="shared" si="27"/>
        <v>42095</v>
      </c>
      <c r="C513" s="38">
        <f t="shared" si="29"/>
        <v>19942.548888346952</v>
      </c>
      <c r="D513" s="38">
        <f t="shared" si="28"/>
        <v>14651.624420071439</v>
      </c>
      <c r="E513" s="38"/>
      <c r="F513" s="38"/>
      <c r="G513" s="41"/>
      <c r="H513" s="41"/>
    </row>
    <row r="514" spans="1:8" x14ac:dyDescent="0.2">
      <c r="A514" s="42"/>
      <c r="B514" s="37">
        <f t="shared" si="27"/>
        <v>42125</v>
      </c>
      <c r="C514" s="38">
        <f t="shared" si="29"/>
        <v>19984.095865197676</v>
      </c>
      <c r="D514" s="38">
        <f t="shared" si="28"/>
        <v>14682.148637613256</v>
      </c>
      <c r="E514" s="38"/>
      <c r="F514" s="38"/>
      <c r="G514" s="41"/>
      <c r="H514" s="41"/>
    </row>
    <row r="515" spans="1:8" x14ac:dyDescent="0.2">
      <c r="A515" s="42"/>
      <c r="B515" s="37">
        <f t="shared" si="27"/>
        <v>42156</v>
      </c>
      <c r="C515" s="38">
        <f t="shared" si="29"/>
        <v>20025.729398250172</v>
      </c>
      <c r="D515" s="38">
        <f t="shared" si="28"/>
        <v>14712.736447274952</v>
      </c>
      <c r="E515" s="38"/>
      <c r="F515" s="38"/>
      <c r="G515" s="41"/>
      <c r="H515" s="41"/>
    </row>
    <row r="516" spans="1:8" x14ac:dyDescent="0.2">
      <c r="A516" s="42"/>
      <c r="B516" s="37">
        <f t="shared" si="27"/>
        <v>42186</v>
      </c>
      <c r="C516" s="38">
        <f t="shared" si="29"/>
        <v>20067.449667829864</v>
      </c>
      <c r="D516" s="38">
        <f t="shared" si="28"/>
        <v>14743.387981540111</v>
      </c>
      <c r="E516" s="38"/>
      <c r="F516" s="38"/>
      <c r="G516" s="41"/>
      <c r="H516" s="41"/>
    </row>
    <row r="517" spans="1:8" x14ac:dyDescent="0.2">
      <c r="A517" s="42"/>
      <c r="B517" s="37">
        <f t="shared" si="27"/>
        <v>42217</v>
      </c>
      <c r="C517" s="38">
        <f t="shared" si="29"/>
        <v>20109.256854637846</v>
      </c>
      <c r="D517" s="38">
        <f t="shared" si="28"/>
        <v>14774.10337316832</v>
      </c>
      <c r="E517" s="38"/>
      <c r="F517" s="38"/>
      <c r="G517" s="41"/>
      <c r="H517" s="41"/>
    </row>
    <row r="518" spans="1:8" x14ac:dyDescent="0.2">
      <c r="A518" s="42"/>
      <c r="B518" s="37">
        <f t="shared" si="27"/>
        <v>42248</v>
      </c>
      <c r="C518" s="38">
        <f t="shared" si="29"/>
        <v>20151.151139751677</v>
      </c>
      <c r="D518" s="38">
        <f t="shared" si="28"/>
        <v>14804.882755195755</v>
      </c>
      <c r="E518" s="38"/>
      <c r="F518" s="38"/>
      <c r="G518" s="41"/>
      <c r="H518" s="41"/>
    </row>
    <row r="519" spans="1:8" x14ac:dyDescent="0.2">
      <c r="A519" s="42"/>
      <c r="B519" s="37">
        <f t="shared" si="27"/>
        <v>42278</v>
      </c>
      <c r="C519" s="38">
        <f t="shared" si="29"/>
        <v>20193.132704626161</v>
      </c>
      <c r="D519" s="38">
        <f t="shared" si="28"/>
        <v>14835.726260935748</v>
      </c>
      <c r="E519" s="38"/>
      <c r="F519" s="38"/>
      <c r="G519" s="41"/>
      <c r="H519" s="41"/>
    </row>
    <row r="520" spans="1:8" x14ac:dyDescent="0.2">
      <c r="A520" s="42"/>
      <c r="B520" s="37">
        <f t="shared" si="27"/>
        <v>42309</v>
      </c>
      <c r="C520" s="38">
        <f t="shared" si="29"/>
        <v>20235.201731094134</v>
      </c>
      <c r="D520" s="38">
        <f t="shared" si="28"/>
        <v>14866.634023979364</v>
      </c>
      <c r="E520" s="38"/>
      <c r="F520" s="38"/>
      <c r="G520" s="41"/>
      <c r="H520" s="41"/>
    </row>
    <row r="521" spans="1:8" x14ac:dyDescent="0.2">
      <c r="A521" s="42"/>
      <c r="B521" s="37">
        <f t="shared" si="27"/>
        <v>42339</v>
      </c>
      <c r="C521" s="38">
        <f t="shared" si="29"/>
        <v>20277.358401367248</v>
      </c>
      <c r="D521" s="38">
        <f t="shared" si="28"/>
        <v>14897.606178195989</v>
      </c>
      <c r="E521" s="38"/>
      <c r="F521" s="38"/>
      <c r="G521" s="41"/>
      <c r="H521" s="41"/>
    </row>
    <row r="522" spans="1:8" x14ac:dyDescent="0.2">
      <c r="A522" s="42"/>
      <c r="B522" s="37">
        <f t="shared" si="27"/>
        <v>42370</v>
      </c>
      <c r="C522" s="38">
        <f t="shared" si="29"/>
        <v>20319.602898036766</v>
      </c>
      <c r="D522" s="38">
        <f t="shared" si="28"/>
        <v>14928.642857733899</v>
      </c>
      <c r="E522" s="38"/>
      <c r="F522" s="38"/>
      <c r="G522" s="41"/>
      <c r="H522" s="41"/>
    </row>
    <row r="523" spans="1:8" x14ac:dyDescent="0.2">
      <c r="A523" s="42"/>
      <c r="B523" s="37">
        <f t="shared" si="27"/>
        <v>42401</v>
      </c>
      <c r="C523" s="38">
        <f t="shared" si="29"/>
        <v>20361.935404074346</v>
      </c>
      <c r="D523" s="38">
        <f t="shared" si="28"/>
        <v>14959.744197020846</v>
      </c>
      <c r="E523" s="38"/>
      <c r="F523" s="38"/>
      <c r="G523" s="41"/>
      <c r="H523" s="41"/>
    </row>
    <row r="524" spans="1:8" x14ac:dyDescent="0.2">
      <c r="A524" s="42"/>
      <c r="B524" s="37">
        <f t="shared" si="27"/>
        <v>42430</v>
      </c>
      <c r="C524" s="38">
        <f t="shared" si="29"/>
        <v>20404.356102832837</v>
      </c>
      <c r="D524" s="38">
        <f t="shared" si="28"/>
        <v>14990.91033076464</v>
      </c>
      <c r="E524" s="38"/>
      <c r="F524" s="38"/>
      <c r="G524" s="41"/>
      <c r="H524" s="41"/>
    </row>
    <row r="525" spans="1:8" x14ac:dyDescent="0.2">
      <c r="A525" s="42"/>
      <c r="B525" s="37">
        <f t="shared" si="27"/>
        <v>42461</v>
      </c>
      <c r="C525" s="38">
        <f t="shared" si="29"/>
        <v>20446.865178047075</v>
      </c>
      <c r="D525" s="38">
        <f t="shared" si="28"/>
        <v>15022.141393953734</v>
      </c>
      <c r="E525" s="38"/>
      <c r="F525" s="38"/>
      <c r="G525" s="41"/>
      <c r="H525" s="41"/>
    </row>
    <row r="526" spans="1:8" x14ac:dyDescent="0.2">
      <c r="A526" s="42"/>
      <c r="B526" s="37">
        <f t="shared" si="27"/>
        <v>42491</v>
      </c>
      <c r="C526" s="38">
        <f t="shared" si="29"/>
        <v>20489.462813834674</v>
      </c>
      <c r="D526" s="38">
        <f t="shared" si="28"/>
        <v>15053.437521857806</v>
      </c>
      <c r="E526" s="38"/>
      <c r="F526" s="38"/>
      <c r="G526" s="41"/>
      <c r="H526" s="41"/>
    </row>
    <row r="527" spans="1:8" x14ac:dyDescent="0.2">
      <c r="A527" s="42"/>
      <c r="B527" s="37">
        <f t="shared" si="27"/>
        <v>42522</v>
      </c>
      <c r="C527" s="38">
        <f t="shared" si="29"/>
        <v>20532.149194696831</v>
      </c>
      <c r="D527" s="38">
        <f t="shared" si="28"/>
        <v>15084.798850028345</v>
      </c>
      <c r="E527" s="38"/>
      <c r="F527" s="38"/>
      <c r="G527" s="41"/>
      <c r="H527" s="41"/>
    </row>
    <row r="528" spans="1:8" x14ac:dyDescent="0.2">
      <c r="A528" s="42"/>
      <c r="B528" s="37">
        <f t="shared" si="27"/>
        <v>42552</v>
      </c>
      <c r="C528" s="38">
        <f t="shared" si="29"/>
        <v>20574.924505519117</v>
      </c>
      <c r="D528" s="38">
        <f t="shared" si="28"/>
        <v>15116.225514299238</v>
      </c>
      <c r="E528" s="38"/>
      <c r="F528" s="38"/>
      <c r="G528" s="41"/>
      <c r="H528" s="41"/>
    </row>
    <row r="529" spans="1:8" x14ac:dyDescent="0.2">
      <c r="A529" s="42"/>
      <c r="B529" s="37">
        <f t="shared" si="27"/>
        <v>42583</v>
      </c>
      <c r="C529" s="38">
        <f t="shared" si="29"/>
        <v>20617.788931572282</v>
      </c>
      <c r="D529" s="38">
        <f t="shared" si="28"/>
        <v>15147.717650787363</v>
      </c>
      <c r="E529" s="38"/>
      <c r="F529" s="38"/>
      <c r="G529" s="41"/>
      <c r="H529" s="41"/>
    </row>
    <row r="530" spans="1:8" x14ac:dyDescent="0.2">
      <c r="A530" s="42"/>
      <c r="B530" s="37">
        <f t="shared" ref="B530:B593" si="30">+DATE(YEAR(B529),MONTH(B529)+1,1)</f>
        <v>42614</v>
      </c>
      <c r="C530" s="38">
        <f t="shared" si="29"/>
        <v>20660.74265851306</v>
      </c>
      <c r="D530" s="38">
        <f t="shared" si="28"/>
        <v>15179.275395893172</v>
      </c>
      <c r="E530" s="38"/>
      <c r="F530" s="38"/>
      <c r="G530" s="41"/>
      <c r="H530" s="41"/>
    </row>
    <row r="531" spans="1:8" x14ac:dyDescent="0.2">
      <c r="A531" s="42"/>
      <c r="B531" s="37">
        <f t="shared" si="30"/>
        <v>42644</v>
      </c>
      <c r="C531" s="38">
        <f t="shared" si="29"/>
        <v>20703.785872384964</v>
      </c>
      <c r="D531" s="38">
        <f t="shared" si="28"/>
        <v>15210.898886301284</v>
      </c>
      <c r="E531" s="38"/>
      <c r="F531" s="38"/>
      <c r="G531" s="41"/>
      <c r="H531" s="41"/>
    </row>
    <row r="532" spans="1:8" x14ac:dyDescent="0.2">
      <c r="A532" s="42"/>
      <c r="B532" s="37">
        <f t="shared" si="30"/>
        <v>42675</v>
      </c>
      <c r="C532" s="38">
        <f t="shared" si="29"/>
        <v>20746.9187596191</v>
      </c>
      <c r="D532" s="38">
        <f t="shared" si="28"/>
        <v>15242.588258981079</v>
      </c>
      <c r="E532" s="38"/>
      <c r="F532" s="38"/>
      <c r="G532" s="41"/>
      <c r="H532" s="41"/>
    </row>
    <row r="533" spans="1:8" x14ac:dyDescent="0.2">
      <c r="A533" s="42"/>
      <c r="B533" s="37">
        <f t="shared" si="30"/>
        <v>42705</v>
      </c>
      <c r="C533" s="38">
        <f t="shared" si="29"/>
        <v>20790.141507034976</v>
      </c>
      <c r="D533" s="38">
        <f t="shared" si="28"/>
        <v>15274.343651187291</v>
      </c>
      <c r="E533" s="38"/>
      <c r="F533" s="38"/>
      <c r="G533" s="41"/>
      <c r="H533" s="41"/>
    </row>
    <row r="534" spans="1:8" x14ac:dyDescent="0.2">
      <c r="A534" s="42"/>
      <c r="B534" s="37">
        <f t="shared" si="30"/>
        <v>42736</v>
      </c>
      <c r="C534" s="38">
        <f t="shared" si="29"/>
        <v>20833.454301841302</v>
      </c>
      <c r="D534" s="38">
        <f t="shared" si="28"/>
        <v>15306.1652004606</v>
      </c>
      <c r="E534" s="38"/>
      <c r="F534" s="38"/>
      <c r="G534" s="41"/>
      <c r="H534" s="41"/>
    </row>
    <row r="535" spans="1:8" x14ac:dyDescent="0.2">
      <c r="A535" s="42"/>
      <c r="B535" s="37">
        <f t="shared" si="30"/>
        <v>42767</v>
      </c>
      <c r="C535" s="38">
        <f t="shared" si="29"/>
        <v>20876.857331636806</v>
      </c>
      <c r="D535" s="38">
        <f t="shared" si="28"/>
        <v>15338.053044628228</v>
      </c>
      <c r="E535" s="38"/>
      <c r="F535" s="38"/>
      <c r="G535" s="41"/>
      <c r="H535" s="41"/>
    </row>
    <row r="536" spans="1:8" x14ac:dyDescent="0.2">
      <c r="A536" s="42"/>
      <c r="B536" s="37">
        <f t="shared" si="30"/>
        <v>42795</v>
      </c>
      <c r="C536" s="38">
        <f t="shared" si="29"/>
        <v>20920.35078441105</v>
      </c>
      <c r="D536" s="38">
        <f t="shared" si="29"/>
        <v>15370.007321804538</v>
      </c>
      <c r="E536" s="38"/>
      <c r="F536" s="38"/>
      <c r="G536" s="41"/>
      <c r="H536" s="41"/>
    </row>
    <row r="537" spans="1:8" x14ac:dyDescent="0.2">
      <c r="A537" s="42"/>
      <c r="B537" s="37">
        <f t="shared" si="30"/>
        <v>42826</v>
      </c>
      <c r="C537" s="38">
        <f t="shared" ref="C537:D600" si="31">+C536*(1+(C$23/12))</f>
        <v>20963.934848545243</v>
      </c>
      <c r="D537" s="38">
        <f t="shared" si="31"/>
        <v>15402.028170391632</v>
      </c>
      <c r="E537" s="38"/>
      <c r="F537" s="38"/>
      <c r="G537" s="41"/>
      <c r="H537" s="41"/>
    </row>
    <row r="538" spans="1:8" x14ac:dyDescent="0.2">
      <c r="A538" s="42"/>
      <c r="B538" s="37">
        <f t="shared" si="30"/>
        <v>42856</v>
      </c>
      <c r="C538" s="38">
        <f t="shared" si="31"/>
        <v>21007.609712813046</v>
      </c>
      <c r="D538" s="38">
        <f t="shared" si="31"/>
        <v>15434.115729079949</v>
      </c>
      <c r="E538" s="38"/>
      <c r="F538" s="38"/>
      <c r="G538" s="41"/>
      <c r="H538" s="41"/>
    </row>
    <row r="539" spans="1:8" x14ac:dyDescent="0.2">
      <c r="A539" s="42"/>
      <c r="B539" s="37">
        <f t="shared" si="30"/>
        <v>42887</v>
      </c>
      <c r="C539" s="38">
        <f t="shared" si="31"/>
        <v>21051.375566381408</v>
      </c>
      <c r="D539" s="38">
        <f t="shared" si="31"/>
        <v>15466.270136848867</v>
      </c>
      <c r="E539" s="38"/>
      <c r="F539" s="38"/>
      <c r="G539" s="41"/>
      <c r="H539" s="41"/>
    </row>
    <row r="540" spans="1:8" x14ac:dyDescent="0.2">
      <c r="A540" s="42"/>
      <c r="B540" s="37">
        <f t="shared" si="30"/>
        <v>42917</v>
      </c>
      <c r="C540" s="38">
        <f t="shared" si="31"/>
        <v>21095.23259881137</v>
      </c>
      <c r="D540" s="38">
        <f t="shared" si="31"/>
        <v>15498.491532967304</v>
      </c>
      <c r="E540" s="38"/>
      <c r="F540" s="38"/>
      <c r="G540" s="41"/>
      <c r="H540" s="41"/>
    </row>
    <row r="541" spans="1:8" x14ac:dyDescent="0.2">
      <c r="A541" s="42"/>
      <c r="B541" s="37">
        <f t="shared" si="30"/>
        <v>42948</v>
      </c>
      <c r="C541" s="38">
        <f t="shared" si="31"/>
        <v>21139.181000058896</v>
      </c>
      <c r="D541" s="38">
        <f t="shared" si="31"/>
        <v>15530.780056994321</v>
      </c>
      <c r="E541" s="38"/>
      <c r="F541" s="38"/>
      <c r="G541" s="41"/>
      <c r="H541" s="41"/>
    </row>
    <row r="542" spans="1:8" x14ac:dyDescent="0.2">
      <c r="A542" s="42"/>
      <c r="B542" s="37">
        <f t="shared" si="30"/>
        <v>42979</v>
      </c>
      <c r="C542" s="38">
        <f t="shared" si="31"/>
        <v>21183.220960475686</v>
      </c>
      <c r="D542" s="38">
        <f t="shared" si="31"/>
        <v>15563.135848779728</v>
      </c>
      <c r="E542" s="38"/>
      <c r="F542" s="38"/>
      <c r="G542" s="41"/>
      <c r="H542" s="41"/>
    </row>
    <row r="543" spans="1:8" x14ac:dyDescent="0.2">
      <c r="A543" s="42"/>
      <c r="B543" s="37">
        <f t="shared" si="30"/>
        <v>43009</v>
      </c>
      <c r="C543" s="38">
        <f t="shared" si="31"/>
        <v>21227.352670810014</v>
      </c>
      <c r="D543" s="38">
        <f t="shared" si="31"/>
        <v>15595.559048464687</v>
      </c>
      <c r="E543" s="38"/>
      <c r="F543" s="38"/>
      <c r="G543" s="41"/>
      <c r="H543" s="41"/>
    </row>
    <row r="544" spans="1:8" x14ac:dyDescent="0.2">
      <c r="A544" s="42"/>
      <c r="B544" s="37">
        <f t="shared" si="30"/>
        <v>43040</v>
      </c>
      <c r="C544" s="38">
        <f t="shared" si="31"/>
        <v>21271.576322207537</v>
      </c>
      <c r="D544" s="38">
        <f t="shared" si="31"/>
        <v>15628.049796482324</v>
      </c>
      <c r="E544" s="38"/>
      <c r="F544" s="38"/>
      <c r="G544" s="41"/>
      <c r="H544" s="41"/>
    </row>
    <row r="545" spans="1:8" x14ac:dyDescent="0.2">
      <c r="A545" s="42"/>
      <c r="B545" s="37">
        <f t="shared" si="30"/>
        <v>43070</v>
      </c>
      <c r="C545" s="38">
        <f t="shared" si="31"/>
        <v>21315.892106212137</v>
      </c>
      <c r="D545" s="38">
        <f t="shared" si="31"/>
        <v>15660.608233558331</v>
      </c>
      <c r="E545" s="38"/>
      <c r="F545" s="38"/>
      <c r="G545" s="41"/>
      <c r="H545" s="41"/>
    </row>
    <row r="546" spans="1:8" x14ac:dyDescent="0.2">
      <c r="A546" s="42"/>
      <c r="B546" s="37">
        <f t="shared" si="30"/>
        <v>43101</v>
      </c>
      <c r="C546" s="38">
        <v>0</v>
      </c>
      <c r="D546" s="38">
        <f t="shared" si="31"/>
        <v>15693.234500711578</v>
      </c>
      <c r="E546" s="38"/>
      <c r="F546" s="38"/>
      <c r="G546" s="41"/>
      <c r="H546" s="41"/>
    </row>
    <row r="547" spans="1:8" x14ac:dyDescent="0.2">
      <c r="A547" s="42"/>
      <c r="B547" s="37">
        <f t="shared" si="30"/>
        <v>43132</v>
      </c>
      <c r="C547" s="38">
        <f t="shared" si="31"/>
        <v>0</v>
      </c>
      <c r="D547" s="38">
        <f t="shared" si="31"/>
        <v>15725.928739254728</v>
      </c>
      <c r="E547" s="38"/>
      <c r="F547" s="38"/>
      <c r="G547" s="41"/>
      <c r="H547" s="41"/>
    </row>
    <row r="548" spans="1:8" x14ac:dyDescent="0.2">
      <c r="A548" s="42"/>
      <c r="B548" s="37">
        <f t="shared" si="30"/>
        <v>43160</v>
      </c>
      <c r="C548" s="38">
        <f t="shared" si="31"/>
        <v>0</v>
      </c>
      <c r="D548" s="38">
        <f t="shared" si="31"/>
        <v>15758.691090794844</v>
      </c>
      <c r="E548" s="38"/>
      <c r="F548" s="38"/>
      <c r="G548" s="41"/>
      <c r="H548" s="41"/>
    </row>
    <row r="549" spans="1:8" x14ac:dyDescent="0.2">
      <c r="A549" s="42"/>
      <c r="B549" s="37">
        <f t="shared" si="30"/>
        <v>43191</v>
      </c>
      <c r="C549" s="38">
        <f t="shared" si="31"/>
        <v>0</v>
      </c>
      <c r="D549" s="38">
        <f t="shared" si="31"/>
        <v>15791.521697234002</v>
      </c>
      <c r="E549" s="38"/>
      <c r="F549" s="38"/>
      <c r="G549" s="41"/>
      <c r="H549" s="41"/>
    </row>
    <row r="550" spans="1:8" x14ac:dyDescent="0.2">
      <c r="A550" s="42"/>
      <c r="B550" s="37">
        <f t="shared" si="30"/>
        <v>43221</v>
      </c>
      <c r="C550" s="38">
        <f t="shared" si="31"/>
        <v>0</v>
      </c>
      <c r="D550" s="38">
        <f t="shared" si="31"/>
        <v>15824.420700769908</v>
      </c>
      <c r="E550" s="38"/>
      <c r="F550" s="38"/>
      <c r="G550" s="41"/>
      <c r="H550" s="41"/>
    </row>
    <row r="551" spans="1:8" x14ac:dyDescent="0.2">
      <c r="A551" s="42"/>
      <c r="B551" s="37">
        <f t="shared" si="30"/>
        <v>43252</v>
      </c>
      <c r="C551" s="38">
        <f t="shared" si="31"/>
        <v>0</v>
      </c>
      <c r="D551" s="38">
        <f t="shared" si="31"/>
        <v>15857.388243896514</v>
      </c>
      <c r="E551" s="38"/>
      <c r="F551" s="38"/>
      <c r="G551" s="41"/>
      <c r="H551" s="41"/>
    </row>
    <row r="552" spans="1:8" x14ac:dyDescent="0.2">
      <c r="A552" s="42"/>
      <c r="B552" s="37">
        <f t="shared" si="30"/>
        <v>43282</v>
      </c>
      <c r="C552" s="38">
        <f t="shared" si="31"/>
        <v>0</v>
      </c>
      <c r="D552" s="38">
        <f t="shared" si="31"/>
        <v>15890.424469404634</v>
      </c>
      <c r="E552" s="38"/>
      <c r="F552" s="38"/>
      <c r="G552" s="41"/>
      <c r="H552" s="41"/>
    </row>
    <row r="553" spans="1:8" x14ac:dyDescent="0.2">
      <c r="A553" s="42"/>
      <c r="B553" s="37">
        <f t="shared" si="30"/>
        <v>43313</v>
      </c>
      <c r="C553" s="38">
        <f t="shared" si="31"/>
        <v>0</v>
      </c>
      <c r="D553" s="38">
        <f t="shared" si="31"/>
        <v>15923.529520382563</v>
      </c>
      <c r="E553" s="38"/>
      <c r="F553" s="38"/>
      <c r="G553" s="41"/>
      <c r="H553" s="41"/>
    </row>
    <row r="554" spans="1:8" x14ac:dyDescent="0.2">
      <c r="A554" s="42"/>
      <c r="B554" s="37">
        <f t="shared" si="30"/>
        <v>43344</v>
      </c>
      <c r="C554" s="38">
        <f t="shared" si="31"/>
        <v>0</v>
      </c>
      <c r="D554" s="38">
        <f t="shared" si="31"/>
        <v>15956.703540216695</v>
      </c>
      <c r="E554" s="38"/>
      <c r="F554" s="38"/>
      <c r="G554" s="41"/>
      <c r="H554" s="41"/>
    </row>
    <row r="555" spans="1:8" x14ac:dyDescent="0.2">
      <c r="A555" s="42"/>
      <c r="B555" s="37">
        <f t="shared" si="30"/>
        <v>43374</v>
      </c>
      <c r="C555" s="38">
        <f t="shared" si="31"/>
        <v>0</v>
      </c>
      <c r="D555" s="38">
        <f t="shared" si="31"/>
        <v>15989.946672592148</v>
      </c>
      <c r="E555" s="38"/>
      <c r="F555" s="38"/>
      <c r="G555" s="41"/>
      <c r="H555" s="41"/>
    </row>
    <row r="556" spans="1:8" x14ac:dyDescent="0.2">
      <c r="A556" s="42"/>
      <c r="B556" s="37">
        <f t="shared" si="30"/>
        <v>43405</v>
      </c>
      <c r="C556" s="38">
        <f t="shared" si="31"/>
        <v>0</v>
      </c>
      <c r="D556" s="38">
        <f t="shared" si="31"/>
        <v>16023.259061493383</v>
      </c>
      <c r="E556" s="38"/>
      <c r="F556" s="38"/>
      <c r="G556" s="41"/>
      <c r="H556" s="41"/>
    </row>
    <row r="557" spans="1:8" x14ac:dyDescent="0.2">
      <c r="A557" s="42"/>
      <c r="B557" s="37">
        <f t="shared" si="30"/>
        <v>43435</v>
      </c>
      <c r="C557" s="38">
        <f t="shared" si="31"/>
        <v>0</v>
      </c>
      <c r="D557" s="38">
        <f t="shared" si="31"/>
        <v>16056.640851204829</v>
      </c>
      <c r="E557" s="38"/>
      <c r="F557" s="38"/>
      <c r="G557" s="41"/>
      <c r="H557" s="41"/>
    </row>
    <row r="558" spans="1:8" x14ac:dyDescent="0.2">
      <c r="A558" s="42"/>
      <c r="B558" s="37">
        <f t="shared" si="30"/>
        <v>43466</v>
      </c>
      <c r="C558" s="38">
        <f t="shared" si="31"/>
        <v>0</v>
      </c>
      <c r="D558" s="38">
        <f t="shared" si="31"/>
        <v>16090.092186311507</v>
      </c>
      <c r="E558" s="38"/>
      <c r="F558" s="38"/>
      <c r="G558" s="41"/>
      <c r="H558" s="41"/>
    </row>
    <row r="559" spans="1:8" x14ac:dyDescent="0.2">
      <c r="A559" s="42"/>
      <c r="B559" s="37">
        <f t="shared" si="30"/>
        <v>43497</v>
      </c>
      <c r="C559" s="38">
        <f t="shared" si="31"/>
        <v>0</v>
      </c>
      <c r="D559" s="38">
        <f t="shared" si="31"/>
        <v>16123.613211699658</v>
      </c>
      <c r="E559" s="38"/>
      <c r="F559" s="38"/>
      <c r="G559" s="41"/>
      <c r="H559" s="41"/>
    </row>
    <row r="560" spans="1:8" x14ac:dyDescent="0.2">
      <c r="A560" s="42"/>
      <c r="B560" s="37">
        <f t="shared" si="30"/>
        <v>43525</v>
      </c>
      <c r="C560" s="38">
        <f t="shared" si="31"/>
        <v>0</v>
      </c>
      <c r="D560" s="38">
        <f t="shared" si="31"/>
        <v>16157.204072557368</v>
      </c>
      <c r="E560" s="38"/>
      <c r="F560" s="38"/>
      <c r="G560" s="41"/>
      <c r="H560" s="41"/>
    </row>
    <row r="561" spans="1:8" x14ac:dyDescent="0.2">
      <c r="A561" s="42"/>
      <c r="B561" s="37">
        <f t="shared" si="30"/>
        <v>43556</v>
      </c>
      <c r="C561" s="38">
        <f t="shared" si="31"/>
        <v>0</v>
      </c>
      <c r="D561" s="38">
        <f t="shared" si="31"/>
        <v>16190.864914375197</v>
      </c>
      <c r="E561" s="38"/>
      <c r="F561" s="38"/>
      <c r="G561" s="41"/>
      <c r="H561" s="41"/>
    </row>
    <row r="562" spans="1:8" x14ac:dyDescent="0.2">
      <c r="A562" s="42"/>
      <c r="B562" s="37">
        <f t="shared" si="30"/>
        <v>43586</v>
      </c>
      <c r="C562" s="38">
        <f t="shared" si="31"/>
        <v>0</v>
      </c>
      <c r="D562" s="38">
        <f t="shared" si="31"/>
        <v>16224.595882946815</v>
      </c>
      <c r="E562" s="38"/>
      <c r="F562" s="38"/>
      <c r="G562" s="41"/>
      <c r="H562" s="41"/>
    </row>
    <row r="563" spans="1:8" x14ac:dyDescent="0.2">
      <c r="A563" s="42"/>
      <c r="B563" s="37">
        <f t="shared" si="30"/>
        <v>43617</v>
      </c>
      <c r="C563" s="38">
        <f t="shared" si="31"/>
        <v>0</v>
      </c>
      <c r="D563" s="38">
        <f t="shared" si="31"/>
        <v>16258.397124369621</v>
      </c>
      <c r="E563" s="38"/>
      <c r="F563" s="38"/>
      <c r="G563" s="41"/>
      <c r="H563" s="41"/>
    </row>
    <row r="564" spans="1:8" x14ac:dyDescent="0.2">
      <c r="A564" s="42"/>
      <c r="B564" s="37">
        <f t="shared" si="30"/>
        <v>43647</v>
      </c>
      <c r="C564" s="38">
        <f t="shared" si="31"/>
        <v>0</v>
      </c>
      <c r="D564" s="38">
        <f t="shared" si="31"/>
        <v>16292.268785045393</v>
      </c>
      <c r="E564" s="38"/>
      <c r="F564" s="38"/>
      <c r="G564" s="41"/>
      <c r="H564" s="41"/>
    </row>
    <row r="565" spans="1:8" x14ac:dyDescent="0.2">
      <c r="A565" s="42"/>
      <c r="B565" s="37">
        <f t="shared" si="30"/>
        <v>43678</v>
      </c>
      <c r="C565" s="38">
        <f t="shared" si="31"/>
        <v>0</v>
      </c>
      <c r="D565" s="38">
        <f t="shared" si="31"/>
        <v>16326.211011680905</v>
      </c>
      <c r="E565" s="38"/>
      <c r="F565" s="38"/>
      <c r="G565" s="41"/>
      <c r="H565" s="41"/>
    </row>
    <row r="566" spans="1:8" x14ac:dyDescent="0.2">
      <c r="A566" s="42"/>
      <c r="B566" s="37">
        <f t="shared" si="30"/>
        <v>43709</v>
      </c>
      <c r="C566" s="38">
        <f t="shared" si="31"/>
        <v>0</v>
      </c>
      <c r="D566" s="38">
        <f t="shared" si="31"/>
        <v>16360.223951288575</v>
      </c>
      <c r="E566" s="38"/>
      <c r="F566" s="38"/>
      <c r="G566" s="41"/>
      <c r="H566" s="41"/>
    </row>
    <row r="567" spans="1:8" x14ac:dyDescent="0.2">
      <c r="A567" s="42"/>
      <c r="B567" s="37">
        <f t="shared" si="30"/>
        <v>43739</v>
      </c>
      <c r="C567" s="38">
        <f t="shared" si="31"/>
        <v>0</v>
      </c>
      <c r="D567" s="38">
        <f t="shared" si="31"/>
        <v>16394.307751187094</v>
      </c>
      <c r="E567" s="38"/>
      <c r="F567" s="38"/>
      <c r="G567" s="41"/>
      <c r="H567" s="41"/>
    </row>
    <row r="568" spans="1:8" x14ac:dyDescent="0.2">
      <c r="A568" s="42"/>
      <c r="B568" s="37">
        <f t="shared" si="30"/>
        <v>43770</v>
      </c>
      <c r="C568" s="38">
        <f t="shared" si="31"/>
        <v>0</v>
      </c>
      <c r="D568" s="38">
        <f t="shared" si="31"/>
        <v>16428.46255900207</v>
      </c>
      <c r="E568" s="38"/>
      <c r="F568" s="38"/>
      <c r="G568" s="41"/>
      <c r="H568" s="41"/>
    </row>
    <row r="569" spans="1:8" x14ac:dyDescent="0.2">
      <c r="A569" s="42"/>
      <c r="B569" s="37">
        <f t="shared" si="30"/>
        <v>43800</v>
      </c>
      <c r="C569" s="38">
        <f t="shared" si="31"/>
        <v>0</v>
      </c>
      <c r="D569" s="38">
        <f t="shared" si="31"/>
        <v>16462.68852266666</v>
      </c>
      <c r="E569" s="38"/>
      <c r="F569" s="38"/>
      <c r="G569" s="41"/>
      <c r="H569" s="41"/>
    </row>
    <row r="570" spans="1:8" x14ac:dyDescent="0.2">
      <c r="A570" s="42"/>
      <c r="B570" s="37">
        <f t="shared" si="30"/>
        <v>43831</v>
      </c>
      <c r="C570" s="38">
        <f t="shared" si="31"/>
        <v>0</v>
      </c>
      <c r="D570" s="38">
        <f t="shared" si="31"/>
        <v>16496.985790422219</v>
      </c>
      <c r="E570" s="38"/>
      <c r="F570" s="38"/>
      <c r="G570" s="41"/>
      <c r="H570" s="41"/>
    </row>
    <row r="571" spans="1:8" x14ac:dyDescent="0.2">
      <c r="A571" s="42"/>
      <c r="B571" s="37">
        <f t="shared" si="30"/>
        <v>43862</v>
      </c>
      <c r="C571" s="38">
        <f t="shared" si="31"/>
        <v>0</v>
      </c>
      <c r="D571" s="38">
        <f t="shared" si="31"/>
        <v>16531.354510818932</v>
      </c>
      <c r="E571" s="38"/>
      <c r="F571" s="38"/>
      <c r="G571" s="41"/>
      <c r="H571" s="41"/>
    </row>
    <row r="572" spans="1:8" x14ac:dyDescent="0.2">
      <c r="A572" s="42"/>
      <c r="B572" s="37">
        <f t="shared" si="30"/>
        <v>43891</v>
      </c>
      <c r="C572" s="38">
        <f t="shared" si="31"/>
        <v>0</v>
      </c>
      <c r="D572" s="38">
        <f t="shared" si="31"/>
        <v>16565.794832716474</v>
      </c>
      <c r="E572" s="38"/>
      <c r="F572" s="38"/>
      <c r="G572" s="41"/>
      <c r="H572" s="41"/>
    </row>
    <row r="573" spans="1:8" x14ac:dyDescent="0.2">
      <c r="A573" s="42"/>
      <c r="B573" s="37">
        <f t="shared" si="30"/>
        <v>43922</v>
      </c>
      <c r="C573" s="38">
        <f t="shared" si="31"/>
        <v>0</v>
      </c>
      <c r="D573" s="38">
        <f t="shared" si="31"/>
        <v>16600.306905284637</v>
      </c>
      <c r="E573" s="38"/>
      <c r="F573" s="38"/>
      <c r="G573" s="41"/>
      <c r="H573" s="41"/>
    </row>
    <row r="574" spans="1:8" x14ac:dyDescent="0.2">
      <c r="A574" s="42"/>
      <c r="B574" s="37">
        <f t="shared" si="30"/>
        <v>43952</v>
      </c>
      <c r="C574" s="38">
        <f t="shared" si="31"/>
        <v>0</v>
      </c>
      <c r="D574" s="38">
        <f t="shared" si="31"/>
        <v>16634.890878003982</v>
      </c>
      <c r="E574" s="38"/>
      <c r="F574" s="38"/>
      <c r="G574" s="41"/>
      <c r="H574" s="41"/>
    </row>
    <row r="575" spans="1:8" x14ac:dyDescent="0.2">
      <c r="A575" s="42"/>
      <c r="B575" s="37">
        <f t="shared" si="30"/>
        <v>43983</v>
      </c>
      <c r="C575" s="38">
        <f t="shared" si="31"/>
        <v>0</v>
      </c>
      <c r="D575" s="38">
        <f t="shared" si="31"/>
        <v>16669.546900666493</v>
      </c>
      <c r="E575" s="38"/>
      <c r="F575" s="38"/>
      <c r="G575" s="41"/>
      <c r="H575" s="41"/>
    </row>
    <row r="576" spans="1:8" x14ac:dyDescent="0.2">
      <c r="A576" s="42"/>
      <c r="B576" s="37">
        <f t="shared" si="30"/>
        <v>44013</v>
      </c>
      <c r="C576" s="38">
        <f t="shared" si="31"/>
        <v>0</v>
      </c>
      <c r="D576" s="38">
        <f t="shared" si="31"/>
        <v>16704.275123376217</v>
      </c>
      <c r="E576" s="38"/>
      <c r="F576" s="38"/>
      <c r="G576" s="41"/>
      <c r="H576" s="41"/>
    </row>
    <row r="577" spans="1:8" x14ac:dyDescent="0.2">
      <c r="A577" s="42"/>
      <c r="B577" s="37">
        <f t="shared" si="30"/>
        <v>44044</v>
      </c>
      <c r="C577" s="38">
        <f t="shared" si="31"/>
        <v>0</v>
      </c>
      <c r="D577" s="38">
        <f t="shared" si="31"/>
        <v>16739.07569654992</v>
      </c>
      <c r="E577" s="38"/>
      <c r="F577" s="38"/>
      <c r="G577" s="41"/>
      <c r="H577" s="41"/>
    </row>
    <row r="578" spans="1:8" x14ac:dyDescent="0.2">
      <c r="A578" s="42"/>
      <c r="B578" s="37">
        <f t="shared" si="30"/>
        <v>44075</v>
      </c>
      <c r="C578" s="38">
        <f t="shared" si="31"/>
        <v>0</v>
      </c>
      <c r="D578" s="38">
        <f t="shared" si="31"/>
        <v>16773.948770917734</v>
      </c>
      <c r="E578" s="38"/>
      <c r="F578" s="38"/>
      <c r="G578" s="41"/>
      <c r="H578" s="41"/>
    </row>
    <row r="579" spans="1:8" x14ac:dyDescent="0.2">
      <c r="A579" s="42"/>
      <c r="B579" s="37">
        <f t="shared" si="30"/>
        <v>44105</v>
      </c>
      <c r="C579" s="38">
        <f t="shared" si="31"/>
        <v>0</v>
      </c>
      <c r="D579" s="38">
        <f t="shared" si="31"/>
        <v>16808.894497523816</v>
      </c>
      <c r="E579" s="38"/>
      <c r="F579" s="38"/>
      <c r="G579" s="41"/>
      <c r="H579" s="41"/>
    </row>
    <row r="580" spans="1:8" x14ac:dyDescent="0.2">
      <c r="A580" s="42"/>
      <c r="B580" s="37">
        <f t="shared" si="30"/>
        <v>44136</v>
      </c>
      <c r="C580" s="38">
        <f t="shared" si="31"/>
        <v>0</v>
      </c>
      <c r="D580" s="38">
        <f t="shared" si="31"/>
        <v>16843.913027726991</v>
      </c>
      <c r="E580" s="38"/>
      <c r="F580" s="38"/>
      <c r="G580" s="41"/>
      <c r="H580" s="41"/>
    </row>
    <row r="581" spans="1:8" x14ac:dyDescent="0.2">
      <c r="A581" s="42"/>
      <c r="B581" s="37">
        <f t="shared" si="30"/>
        <v>44166</v>
      </c>
      <c r="C581" s="38">
        <f t="shared" si="31"/>
        <v>0</v>
      </c>
      <c r="D581" s="38">
        <f t="shared" si="31"/>
        <v>16879.004513201424</v>
      </c>
      <c r="E581" s="38"/>
      <c r="F581" s="38"/>
      <c r="G581" s="41"/>
      <c r="H581" s="41"/>
    </row>
    <row r="582" spans="1:8" x14ac:dyDescent="0.2">
      <c r="A582" s="42"/>
      <c r="B582" s="37">
        <f t="shared" si="30"/>
        <v>44197</v>
      </c>
      <c r="C582" s="38">
        <f t="shared" si="31"/>
        <v>0</v>
      </c>
      <c r="D582" s="38">
        <f t="shared" si="31"/>
        <v>16914.169105937261</v>
      </c>
      <c r="E582" s="38"/>
      <c r="F582" s="38"/>
      <c r="G582" s="41"/>
      <c r="H582" s="41"/>
    </row>
    <row r="583" spans="1:8" x14ac:dyDescent="0.2">
      <c r="A583" s="42"/>
      <c r="B583" s="37">
        <f t="shared" si="30"/>
        <v>44228</v>
      </c>
      <c r="C583" s="38">
        <f t="shared" si="31"/>
        <v>0</v>
      </c>
      <c r="D583" s="38">
        <f t="shared" si="31"/>
        <v>16949.406958241299</v>
      </c>
      <c r="E583" s="38"/>
      <c r="F583" s="38"/>
      <c r="G583" s="41"/>
      <c r="H583" s="41"/>
    </row>
    <row r="584" spans="1:8" x14ac:dyDescent="0.2">
      <c r="A584" s="42"/>
      <c r="B584" s="37">
        <f t="shared" si="30"/>
        <v>44256</v>
      </c>
      <c r="C584" s="38">
        <f t="shared" si="31"/>
        <v>0</v>
      </c>
      <c r="D584" s="38">
        <f t="shared" si="31"/>
        <v>16984.718222737636</v>
      </c>
      <c r="E584" s="38"/>
      <c r="F584" s="38"/>
      <c r="G584" s="41"/>
      <c r="H584" s="41"/>
    </row>
    <row r="585" spans="1:8" x14ac:dyDescent="0.2">
      <c r="A585" s="42"/>
      <c r="B585" s="37">
        <f t="shared" si="30"/>
        <v>44287</v>
      </c>
      <c r="C585" s="38">
        <f t="shared" si="31"/>
        <v>0</v>
      </c>
      <c r="D585" s="38">
        <f t="shared" si="31"/>
        <v>17020.10305236834</v>
      </c>
      <c r="E585" s="38"/>
      <c r="F585" s="38"/>
      <c r="G585" s="41"/>
      <c r="H585" s="41"/>
    </row>
    <row r="586" spans="1:8" x14ac:dyDescent="0.2">
      <c r="A586" s="42"/>
      <c r="B586" s="37">
        <f t="shared" si="30"/>
        <v>44317</v>
      </c>
      <c r="C586" s="38">
        <f t="shared" si="31"/>
        <v>0</v>
      </c>
      <c r="D586" s="38">
        <f t="shared" si="31"/>
        <v>17055.56160039411</v>
      </c>
      <c r="E586" s="38"/>
      <c r="F586" s="38"/>
      <c r="G586" s="41"/>
      <c r="H586" s="41"/>
    </row>
    <row r="587" spans="1:8" x14ac:dyDescent="0.2">
      <c r="A587" s="42"/>
      <c r="B587" s="37">
        <f t="shared" si="30"/>
        <v>44348</v>
      </c>
      <c r="C587" s="38">
        <f t="shared" si="31"/>
        <v>0</v>
      </c>
      <c r="D587" s="38">
        <f t="shared" si="31"/>
        <v>17091.094020394932</v>
      </c>
      <c r="E587" s="38"/>
      <c r="F587" s="38"/>
      <c r="G587" s="41"/>
      <c r="H587" s="41"/>
    </row>
    <row r="588" spans="1:8" x14ac:dyDescent="0.2">
      <c r="A588" s="42"/>
      <c r="B588" s="37">
        <f t="shared" si="30"/>
        <v>44378</v>
      </c>
      <c r="C588" s="38">
        <f t="shared" si="31"/>
        <v>0</v>
      </c>
      <c r="D588" s="38">
        <f t="shared" si="31"/>
        <v>17126.700466270755</v>
      </c>
      <c r="E588" s="38"/>
      <c r="F588" s="38"/>
      <c r="G588" s="41"/>
      <c r="H588" s="41"/>
    </row>
    <row r="589" spans="1:8" x14ac:dyDescent="0.2">
      <c r="A589" s="42"/>
      <c r="B589" s="37">
        <f t="shared" si="30"/>
        <v>44409</v>
      </c>
      <c r="C589" s="38">
        <f t="shared" si="31"/>
        <v>0</v>
      </c>
      <c r="D589" s="38">
        <f t="shared" si="31"/>
        <v>17162.381092242154</v>
      </c>
      <c r="E589" s="38"/>
      <c r="F589" s="38"/>
      <c r="G589" s="41"/>
      <c r="H589" s="41"/>
    </row>
    <row r="590" spans="1:8" x14ac:dyDescent="0.2">
      <c r="A590" s="42"/>
      <c r="B590" s="37">
        <f t="shared" si="30"/>
        <v>44440</v>
      </c>
      <c r="C590" s="38">
        <f t="shared" si="31"/>
        <v>0</v>
      </c>
      <c r="D590" s="38">
        <f t="shared" si="31"/>
        <v>17198.136052850994</v>
      </c>
      <c r="E590" s="38"/>
      <c r="F590" s="38"/>
      <c r="G590" s="41"/>
      <c r="H590" s="41"/>
    </row>
    <row r="591" spans="1:8" x14ac:dyDescent="0.2">
      <c r="A591" s="42"/>
      <c r="B591" s="37">
        <f t="shared" si="30"/>
        <v>44470</v>
      </c>
      <c r="C591" s="38">
        <f t="shared" si="31"/>
        <v>0</v>
      </c>
      <c r="D591" s="38">
        <f t="shared" si="31"/>
        <v>17233.965502961102</v>
      </c>
      <c r="E591" s="38"/>
      <c r="F591" s="38"/>
      <c r="G591" s="41"/>
      <c r="H591" s="41"/>
    </row>
    <row r="592" spans="1:8" x14ac:dyDescent="0.2">
      <c r="A592" s="42"/>
      <c r="B592" s="37">
        <f t="shared" si="30"/>
        <v>44501</v>
      </c>
      <c r="C592" s="38">
        <f t="shared" si="31"/>
        <v>0</v>
      </c>
      <c r="D592" s="38">
        <f t="shared" si="31"/>
        <v>17269.869597758941</v>
      </c>
      <c r="E592" s="38"/>
      <c r="F592" s="38"/>
      <c r="G592" s="41"/>
      <c r="H592" s="41"/>
    </row>
    <row r="593" spans="1:8" x14ac:dyDescent="0.2">
      <c r="A593" s="42"/>
      <c r="B593" s="37">
        <f t="shared" si="30"/>
        <v>44531</v>
      </c>
      <c r="C593" s="38">
        <f t="shared" si="31"/>
        <v>0</v>
      </c>
      <c r="D593" s="38">
        <f t="shared" si="31"/>
        <v>17305.848492754274</v>
      </c>
      <c r="E593" s="38"/>
      <c r="F593" s="38"/>
      <c r="G593" s="41"/>
      <c r="H593" s="41"/>
    </row>
    <row r="594" spans="1:8" x14ac:dyDescent="0.2">
      <c r="A594" s="42"/>
      <c r="B594" s="37">
        <f t="shared" ref="B594:B642" si="32">+DATE(YEAR(B593),MONTH(B593)+1,1)</f>
        <v>44562</v>
      </c>
      <c r="C594" s="38">
        <f t="shared" si="31"/>
        <v>0</v>
      </c>
      <c r="D594" s="38">
        <f t="shared" si="31"/>
        <v>17341.902343780846</v>
      </c>
      <c r="E594" s="38"/>
      <c r="F594" s="38"/>
      <c r="G594" s="41"/>
      <c r="H594" s="41"/>
    </row>
    <row r="595" spans="1:8" x14ac:dyDescent="0.2">
      <c r="A595" s="42"/>
      <c r="B595" s="37">
        <f t="shared" si="32"/>
        <v>44593</v>
      </c>
      <c r="C595" s="38">
        <f t="shared" si="31"/>
        <v>0</v>
      </c>
      <c r="D595" s="38">
        <f t="shared" si="31"/>
        <v>17378.031306997058</v>
      </c>
      <c r="E595" s="38"/>
      <c r="F595" s="38"/>
      <c r="G595" s="41"/>
      <c r="H595" s="41"/>
    </row>
    <row r="596" spans="1:8" x14ac:dyDescent="0.2">
      <c r="A596" s="42"/>
      <c r="B596" s="37">
        <f t="shared" si="32"/>
        <v>44621</v>
      </c>
      <c r="C596" s="38">
        <f t="shared" si="31"/>
        <v>0</v>
      </c>
      <c r="D596" s="38">
        <f t="shared" si="31"/>
        <v>17414.235538886638</v>
      </c>
      <c r="E596" s="38"/>
      <c r="F596" s="38"/>
      <c r="G596" s="41"/>
      <c r="H596" s="41"/>
    </row>
    <row r="597" spans="1:8" x14ac:dyDescent="0.2">
      <c r="A597" s="42"/>
      <c r="B597" s="37">
        <f t="shared" si="32"/>
        <v>44652</v>
      </c>
      <c r="C597" s="38">
        <f t="shared" si="31"/>
        <v>0</v>
      </c>
      <c r="D597" s="38">
        <f t="shared" si="31"/>
        <v>17450.515196259319</v>
      </c>
      <c r="E597" s="38"/>
      <c r="F597" s="38"/>
      <c r="G597" s="41"/>
      <c r="H597" s="41"/>
    </row>
    <row r="598" spans="1:8" x14ac:dyDescent="0.2">
      <c r="A598" s="42"/>
      <c r="B598" s="37">
        <f t="shared" si="32"/>
        <v>44682</v>
      </c>
      <c r="C598" s="38">
        <f t="shared" si="31"/>
        <v>0</v>
      </c>
      <c r="D598" s="38">
        <f t="shared" si="31"/>
        <v>17486.870436251527</v>
      </c>
      <c r="E598" s="38"/>
      <c r="F598" s="38"/>
      <c r="G598" s="41"/>
      <c r="H598" s="41"/>
    </row>
    <row r="599" spans="1:8" x14ac:dyDescent="0.2">
      <c r="A599" s="42"/>
      <c r="B599" s="37">
        <f t="shared" si="32"/>
        <v>44713</v>
      </c>
      <c r="C599" s="38">
        <f t="shared" si="31"/>
        <v>0</v>
      </c>
      <c r="D599" s="38">
        <f t="shared" si="31"/>
        <v>17523.301416327053</v>
      </c>
      <c r="E599" s="38"/>
      <c r="F599" s="38"/>
      <c r="G599" s="41"/>
      <c r="H599" s="41"/>
    </row>
    <row r="600" spans="1:8" x14ac:dyDescent="0.2">
      <c r="A600" s="42"/>
      <c r="B600" s="37">
        <f t="shared" si="32"/>
        <v>44743</v>
      </c>
      <c r="C600" s="38">
        <f t="shared" si="31"/>
        <v>0</v>
      </c>
      <c r="D600" s="38">
        <f t="shared" si="31"/>
        <v>17559.808294277736</v>
      </c>
      <c r="E600" s="38"/>
      <c r="F600" s="38"/>
      <c r="G600" s="41"/>
      <c r="H600" s="41"/>
    </row>
    <row r="601" spans="1:8" x14ac:dyDescent="0.2">
      <c r="A601" s="42"/>
      <c r="B601" s="37">
        <f t="shared" si="32"/>
        <v>44774</v>
      </c>
      <c r="C601" s="38">
        <f t="shared" ref="C601:C641" si="33">+C600*(1+(C$23/12))</f>
        <v>0</v>
      </c>
      <c r="D601" s="38">
        <f t="shared" ref="D601:D641" si="34">+D600*(1+(D$23/12))</f>
        <v>17596.391228224151</v>
      </c>
      <c r="E601" s="38"/>
      <c r="F601" s="38"/>
      <c r="G601" s="41"/>
      <c r="H601" s="41"/>
    </row>
    <row r="602" spans="1:8" x14ac:dyDescent="0.2">
      <c r="A602" s="42"/>
      <c r="B602" s="37">
        <f t="shared" si="32"/>
        <v>44805</v>
      </c>
      <c r="C602" s="38">
        <f t="shared" si="33"/>
        <v>0</v>
      </c>
      <c r="D602" s="38">
        <f t="shared" si="34"/>
        <v>17633.050376616287</v>
      </c>
      <c r="E602" s="38"/>
      <c r="F602" s="38"/>
      <c r="G602" s="41"/>
      <c r="H602" s="41"/>
    </row>
    <row r="603" spans="1:8" x14ac:dyDescent="0.2">
      <c r="A603" s="42"/>
      <c r="B603" s="37">
        <f t="shared" si="32"/>
        <v>44835</v>
      </c>
      <c r="C603" s="38">
        <f t="shared" si="33"/>
        <v>0</v>
      </c>
      <c r="D603" s="38">
        <f t="shared" si="34"/>
        <v>17669.78589823424</v>
      </c>
      <c r="E603" s="38"/>
      <c r="F603" s="38"/>
      <c r="G603" s="41"/>
      <c r="H603" s="41"/>
    </row>
    <row r="604" spans="1:8" x14ac:dyDescent="0.2">
      <c r="A604" s="42"/>
      <c r="B604" s="37">
        <f t="shared" si="32"/>
        <v>44866</v>
      </c>
      <c r="C604" s="38">
        <f t="shared" si="33"/>
        <v>0</v>
      </c>
      <c r="D604" s="38">
        <f t="shared" si="34"/>
        <v>17706.597952188898</v>
      </c>
      <c r="E604" s="38"/>
      <c r="F604" s="38"/>
      <c r="G604" s="41"/>
      <c r="H604" s="41"/>
    </row>
    <row r="605" spans="1:8" x14ac:dyDescent="0.2">
      <c r="A605" s="42"/>
      <c r="B605" s="37">
        <f t="shared" si="32"/>
        <v>44896</v>
      </c>
      <c r="C605" s="38">
        <f t="shared" si="33"/>
        <v>0</v>
      </c>
      <c r="D605" s="38">
        <f t="shared" si="34"/>
        <v>17743.486697922628</v>
      </c>
      <c r="E605" s="38"/>
      <c r="F605" s="38"/>
      <c r="G605" s="41"/>
      <c r="H605" s="41"/>
    </row>
    <row r="606" spans="1:8" x14ac:dyDescent="0.2">
      <c r="A606" s="42"/>
      <c r="B606" s="37">
        <f t="shared" si="32"/>
        <v>44927</v>
      </c>
      <c r="C606" s="38">
        <f t="shared" si="33"/>
        <v>0</v>
      </c>
      <c r="D606" s="38">
        <f t="shared" si="34"/>
        <v>17780.452295209969</v>
      </c>
      <c r="E606" s="38"/>
      <c r="F606" s="38"/>
      <c r="G606" s="41"/>
      <c r="H606" s="41"/>
    </row>
    <row r="607" spans="1:8" x14ac:dyDescent="0.2">
      <c r="A607" s="42"/>
      <c r="B607" s="37">
        <f t="shared" si="32"/>
        <v>44958</v>
      </c>
      <c r="C607" s="38">
        <f t="shared" si="33"/>
        <v>0</v>
      </c>
      <c r="D607" s="38">
        <f t="shared" si="34"/>
        <v>17817.494904158324</v>
      </c>
      <c r="E607" s="38"/>
      <c r="F607" s="38"/>
      <c r="G607" s="41"/>
      <c r="H607" s="41"/>
    </row>
    <row r="608" spans="1:8" x14ac:dyDescent="0.2">
      <c r="A608" s="42"/>
      <c r="B608" s="37">
        <f t="shared" si="32"/>
        <v>44986</v>
      </c>
      <c r="C608" s="38">
        <f t="shared" si="33"/>
        <v>0</v>
      </c>
      <c r="D608" s="38">
        <f t="shared" si="34"/>
        <v>17854.614685208657</v>
      </c>
      <c r="E608" s="38"/>
      <c r="F608" s="38"/>
      <c r="G608" s="41"/>
      <c r="H608" s="41"/>
    </row>
    <row r="609" spans="1:8" x14ac:dyDescent="0.2">
      <c r="A609" s="42"/>
      <c r="B609" s="37">
        <f t="shared" si="32"/>
        <v>45017</v>
      </c>
      <c r="C609" s="38">
        <f t="shared" si="33"/>
        <v>0</v>
      </c>
      <c r="D609" s="38">
        <f t="shared" si="34"/>
        <v>17891.811799136176</v>
      </c>
      <c r="E609" s="38"/>
      <c r="F609" s="38"/>
      <c r="G609" s="41"/>
      <c r="H609" s="41"/>
    </row>
    <row r="610" spans="1:8" x14ac:dyDescent="0.2">
      <c r="A610" s="42"/>
      <c r="B610" s="37">
        <f t="shared" si="32"/>
        <v>45047</v>
      </c>
      <c r="C610" s="38">
        <f t="shared" si="33"/>
        <v>0</v>
      </c>
      <c r="D610" s="38">
        <f t="shared" si="34"/>
        <v>17929.086407051043</v>
      </c>
      <c r="E610" s="38"/>
      <c r="F610" s="38"/>
      <c r="G610" s="41"/>
      <c r="H610" s="41"/>
    </row>
    <row r="611" spans="1:8" x14ac:dyDescent="0.2">
      <c r="A611" s="42"/>
      <c r="B611" s="37">
        <f t="shared" si="32"/>
        <v>45078</v>
      </c>
      <c r="C611" s="38">
        <f t="shared" si="33"/>
        <v>0</v>
      </c>
      <c r="D611" s="38">
        <f t="shared" si="34"/>
        <v>17966.438670399068</v>
      </c>
      <c r="E611" s="38"/>
      <c r="F611" s="38"/>
      <c r="G611" s="41"/>
      <c r="H611" s="41"/>
    </row>
    <row r="612" spans="1:8" x14ac:dyDescent="0.2">
      <c r="A612" s="42"/>
      <c r="B612" s="37">
        <f t="shared" si="32"/>
        <v>45108</v>
      </c>
      <c r="C612" s="38">
        <f t="shared" si="33"/>
        <v>0</v>
      </c>
      <c r="D612" s="38">
        <f t="shared" si="34"/>
        <v>18003.8687509624</v>
      </c>
      <c r="E612" s="38"/>
      <c r="F612" s="38"/>
      <c r="G612" s="41"/>
      <c r="H612" s="41"/>
    </row>
    <row r="613" spans="1:8" x14ac:dyDescent="0.2">
      <c r="A613" s="42"/>
      <c r="B613" s="37">
        <f t="shared" si="32"/>
        <v>45139</v>
      </c>
      <c r="C613" s="38">
        <f t="shared" si="33"/>
        <v>0</v>
      </c>
      <c r="D613" s="38">
        <f t="shared" si="34"/>
        <v>18041.376810860238</v>
      </c>
      <c r="E613" s="38"/>
      <c r="F613" s="38"/>
      <c r="G613" s="41"/>
      <c r="H613" s="41"/>
    </row>
    <row r="614" spans="1:8" x14ac:dyDescent="0.2">
      <c r="A614" s="42"/>
      <c r="B614" s="37">
        <f t="shared" si="32"/>
        <v>45170</v>
      </c>
      <c r="C614" s="38">
        <f t="shared" si="33"/>
        <v>0</v>
      </c>
      <c r="D614" s="38">
        <f t="shared" si="34"/>
        <v>18078.963012549531</v>
      </c>
      <c r="E614" s="38"/>
      <c r="F614" s="38"/>
      <c r="G614" s="41"/>
      <c r="H614" s="41"/>
    </row>
    <row r="615" spans="1:8" x14ac:dyDescent="0.2">
      <c r="A615" s="42"/>
      <c r="B615" s="37">
        <f t="shared" si="32"/>
        <v>45200</v>
      </c>
      <c r="C615" s="38">
        <f t="shared" si="33"/>
        <v>0</v>
      </c>
      <c r="D615" s="38">
        <f t="shared" si="34"/>
        <v>18116.627518825677</v>
      </c>
      <c r="E615" s="38"/>
      <c r="F615" s="38"/>
      <c r="G615" s="41"/>
      <c r="H615" s="41"/>
    </row>
    <row r="616" spans="1:8" x14ac:dyDescent="0.2">
      <c r="A616" s="42"/>
      <c r="B616" s="37">
        <f t="shared" si="32"/>
        <v>45231</v>
      </c>
      <c r="C616" s="38">
        <f t="shared" si="33"/>
        <v>0</v>
      </c>
      <c r="D616" s="38">
        <f t="shared" si="34"/>
        <v>18154.370492823233</v>
      </c>
      <c r="E616" s="38"/>
      <c r="F616" s="38"/>
      <c r="G616" s="41"/>
      <c r="H616" s="41"/>
    </row>
    <row r="617" spans="1:8" x14ac:dyDescent="0.2">
      <c r="A617" s="42"/>
      <c r="B617" s="37">
        <f t="shared" si="32"/>
        <v>45261</v>
      </c>
      <c r="C617" s="38">
        <f t="shared" si="33"/>
        <v>0</v>
      </c>
      <c r="D617" s="38">
        <f t="shared" si="34"/>
        <v>18192.192098016618</v>
      </c>
      <c r="E617" s="38"/>
      <c r="F617" s="38"/>
      <c r="G617" s="41"/>
      <c r="H617" s="41"/>
    </row>
    <row r="618" spans="1:8" x14ac:dyDescent="0.2">
      <c r="A618" s="42"/>
      <c r="B618" s="37">
        <f t="shared" si="32"/>
        <v>45292</v>
      </c>
      <c r="C618" s="38">
        <f t="shared" si="33"/>
        <v>0</v>
      </c>
      <c r="D618" s="38">
        <f t="shared" si="34"/>
        <v>18230.09249822082</v>
      </c>
      <c r="E618" s="38"/>
      <c r="F618" s="38"/>
      <c r="G618" s="41"/>
      <c r="H618" s="41"/>
    </row>
    <row r="619" spans="1:8" x14ac:dyDescent="0.2">
      <c r="A619" s="42"/>
      <c r="B619" s="37">
        <f t="shared" si="32"/>
        <v>45323</v>
      </c>
      <c r="C619" s="38">
        <f t="shared" si="33"/>
        <v>0</v>
      </c>
      <c r="D619" s="38">
        <f t="shared" si="34"/>
        <v>18268.071857592116</v>
      </c>
      <c r="E619" s="38"/>
      <c r="F619" s="38"/>
      <c r="G619" s="41"/>
      <c r="H619" s="41"/>
    </row>
    <row r="620" spans="1:8" x14ac:dyDescent="0.2">
      <c r="A620" s="42"/>
      <c r="B620" s="37">
        <f t="shared" si="32"/>
        <v>45352</v>
      </c>
      <c r="C620" s="38">
        <f t="shared" si="33"/>
        <v>0</v>
      </c>
      <c r="D620" s="38">
        <f t="shared" si="34"/>
        <v>18306.13034062877</v>
      </c>
      <c r="E620" s="38"/>
      <c r="F620" s="38"/>
      <c r="G620" s="41"/>
      <c r="H620" s="41"/>
    </row>
    <row r="621" spans="1:8" x14ac:dyDescent="0.2">
      <c r="A621" s="42"/>
      <c r="B621" s="37">
        <f t="shared" si="32"/>
        <v>45383</v>
      </c>
      <c r="C621" s="38">
        <f t="shared" si="33"/>
        <v>0</v>
      </c>
      <c r="D621" s="38">
        <f t="shared" si="34"/>
        <v>18344.268112171747</v>
      </c>
      <c r="E621" s="38"/>
      <c r="F621" s="38"/>
      <c r="G621" s="41"/>
      <c r="H621" s="41"/>
    </row>
    <row r="622" spans="1:8" x14ac:dyDescent="0.2">
      <c r="A622" s="42"/>
      <c r="B622" s="37">
        <f t="shared" si="32"/>
        <v>45413</v>
      </c>
      <c r="C622" s="38">
        <f t="shared" si="33"/>
        <v>0</v>
      </c>
      <c r="D622" s="38">
        <f t="shared" si="34"/>
        <v>18382.48533740544</v>
      </c>
      <c r="E622" s="38"/>
      <c r="F622" s="38"/>
      <c r="G622" s="41"/>
      <c r="H622" s="41"/>
    </row>
    <row r="623" spans="1:8" x14ac:dyDescent="0.2">
      <c r="A623" s="42"/>
      <c r="B623" s="37">
        <f t="shared" si="32"/>
        <v>45444</v>
      </c>
      <c r="C623" s="38">
        <f t="shared" si="33"/>
        <v>0</v>
      </c>
      <c r="D623" s="38">
        <f t="shared" si="34"/>
        <v>18420.782181858369</v>
      </c>
      <c r="E623" s="38"/>
      <c r="F623" s="38"/>
      <c r="G623" s="41"/>
      <c r="H623" s="41"/>
    </row>
    <row r="624" spans="1:8" x14ac:dyDescent="0.2">
      <c r="A624" s="42"/>
      <c r="B624" s="37">
        <f t="shared" si="32"/>
        <v>45474</v>
      </c>
      <c r="C624" s="38">
        <f t="shared" si="33"/>
        <v>0</v>
      </c>
      <c r="D624" s="38">
        <f t="shared" si="34"/>
        <v>18459.158811403908</v>
      </c>
      <c r="E624" s="38"/>
      <c r="F624" s="38"/>
      <c r="G624" s="41"/>
      <c r="H624" s="41"/>
    </row>
    <row r="625" spans="1:8" x14ac:dyDescent="0.2">
      <c r="A625" s="42"/>
      <c r="B625" s="37">
        <f t="shared" si="32"/>
        <v>45505</v>
      </c>
      <c r="C625" s="38">
        <f t="shared" si="33"/>
        <v>0</v>
      </c>
      <c r="D625" s="38">
        <f t="shared" si="34"/>
        <v>18497.615392261003</v>
      </c>
      <c r="E625" s="38"/>
      <c r="F625" s="38"/>
      <c r="G625" s="41"/>
      <c r="H625" s="41"/>
    </row>
    <row r="626" spans="1:8" x14ac:dyDescent="0.2">
      <c r="A626" s="42"/>
      <c r="B626" s="37">
        <f t="shared" si="32"/>
        <v>45536</v>
      </c>
      <c r="C626" s="38">
        <f t="shared" si="33"/>
        <v>0</v>
      </c>
      <c r="D626" s="38">
        <f t="shared" si="34"/>
        <v>18536.152090994881</v>
      </c>
      <c r="E626" s="38"/>
      <c r="F626" s="38"/>
      <c r="G626" s="41"/>
      <c r="H626" s="41"/>
    </row>
    <row r="627" spans="1:8" x14ac:dyDescent="0.2">
      <c r="A627" s="42"/>
      <c r="B627" s="37">
        <f t="shared" si="32"/>
        <v>45566</v>
      </c>
      <c r="C627" s="38">
        <f t="shared" si="33"/>
        <v>0</v>
      </c>
      <c r="D627" s="38">
        <f t="shared" si="34"/>
        <v>18574.76907451779</v>
      </c>
      <c r="E627" s="38"/>
      <c r="F627" s="38"/>
      <c r="G627" s="41"/>
      <c r="H627" s="41"/>
    </row>
    <row r="628" spans="1:8" x14ac:dyDescent="0.2">
      <c r="A628" s="42"/>
      <c r="B628" s="37">
        <f t="shared" si="32"/>
        <v>45597</v>
      </c>
      <c r="C628" s="38">
        <f t="shared" si="33"/>
        <v>0</v>
      </c>
      <c r="D628" s="38">
        <f t="shared" si="34"/>
        <v>18613.466510089704</v>
      </c>
      <c r="E628" s="38"/>
      <c r="F628" s="38"/>
      <c r="G628" s="41"/>
      <c r="H628" s="41"/>
    </row>
    <row r="629" spans="1:8" x14ac:dyDescent="0.2">
      <c r="A629" s="42"/>
      <c r="B629" s="37">
        <f t="shared" si="32"/>
        <v>45627</v>
      </c>
      <c r="C629" s="38">
        <f t="shared" si="33"/>
        <v>0</v>
      </c>
      <c r="D629" s="38">
        <f t="shared" si="34"/>
        <v>18652.244565319059</v>
      </c>
      <c r="E629" s="38"/>
      <c r="F629" s="38"/>
      <c r="G629" s="41"/>
      <c r="H629" s="41"/>
    </row>
    <row r="630" spans="1:8" x14ac:dyDescent="0.2">
      <c r="A630" s="42"/>
      <c r="B630" s="37">
        <f t="shared" si="32"/>
        <v>45658</v>
      </c>
      <c r="C630" s="38">
        <f t="shared" si="33"/>
        <v>0</v>
      </c>
      <c r="D630" s="38">
        <f t="shared" si="34"/>
        <v>18691.103408163475</v>
      </c>
      <c r="E630" s="38"/>
      <c r="F630" s="38"/>
      <c r="G630" s="41"/>
      <c r="H630" s="41"/>
    </row>
    <row r="631" spans="1:8" x14ac:dyDescent="0.2">
      <c r="A631" s="42"/>
      <c r="B631" s="37">
        <f t="shared" si="32"/>
        <v>45689</v>
      </c>
      <c r="C631" s="38">
        <f t="shared" si="33"/>
        <v>0</v>
      </c>
      <c r="D631" s="38">
        <f t="shared" si="34"/>
        <v>18730.043206930484</v>
      </c>
      <c r="E631" s="38"/>
      <c r="F631" s="38"/>
      <c r="G631" s="41"/>
      <c r="H631" s="41"/>
    </row>
    <row r="632" spans="1:8" x14ac:dyDescent="0.2">
      <c r="A632" s="42"/>
      <c r="B632" s="37">
        <f t="shared" si="32"/>
        <v>45717</v>
      </c>
      <c r="C632" s="38">
        <f t="shared" si="33"/>
        <v>0</v>
      </c>
      <c r="D632" s="38">
        <f t="shared" si="34"/>
        <v>18769.064130278257</v>
      </c>
      <c r="E632" s="38"/>
      <c r="F632" s="38"/>
      <c r="G632" s="41"/>
      <c r="H632" s="41"/>
    </row>
    <row r="633" spans="1:8" x14ac:dyDescent="0.2">
      <c r="A633" s="42"/>
      <c r="B633" s="37">
        <f t="shared" si="32"/>
        <v>45748</v>
      </c>
      <c r="C633" s="38">
        <f t="shared" si="33"/>
        <v>0</v>
      </c>
      <c r="D633" s="38">
        <f t="shared" si="34"/>
        <v>18808.166347216338</v>
      </c>
      <c r="E633" s="38"/>
      <c r="F633" s="38"/>
      <c r="G633" s="41"/>
      <c r="H633" s="41"/>
    </row>
    <row r="634" spans="1:8" x14ac:dyDescent="0.2">
      <c r="A634" s="42"/>
      <c r="B634" s="37">
        <f t="shared" si="32"/>
        <v>45778</v>
      </c>
      <c r="C634" s="38">
        <f t="shared" si="33"/>
        <v>0</v>
      </c>
      <c r="D634" s="38">
        <f t="shared" si="34"/>
        <v>18847.350027106375</v>
      </c>
      <c r="E634" s="38"/>
      <c r="F634" s="38"/>
      <c r="G634" s="41"/>
      <c r="H634" s="41"/>
    </row>
    <row r="635" spans="1:8" x14ac:dyDescent="0.2">
      <c r="A635" s="42"/>
      <c r="B635" s="37">
        <f t="shared" si="32"/>
        <v>45809</v>
      </c>
      <c r="C635" s="38">
        <f t="shared" si="33"/>
        <v>0</v>
      </c>
      <c r="D635" s="38">
        <f t="shared" si="34"/>
        <v>18886.615339662847</v>
      </c>
      <c r="E635" s="38"/>
      <c r="F635" s="38"/>
      <c r="G635" s="41"/>
      <c r="H635" s="41"/>
    </row>
    <row r="636" spans="1:8" x14ac:dyDescent="0.2">
      <c r="A636" s="42"/>
      <c r="B636" s="37">
        <f t="shared" si="32"/>
        <v>45839</v>
      </c>
      <c r="C636" s="38">
        <f t="shared" si="33"/>
        <v>0</v>
      </c>
      <c r="D636" s="38">
        <f t="shared" si="34"/>
        <v>18925.962454953813</v>
      </c>
      <c r="E636" s="38"/>
      <c r="F636" s="38"/>
      <c r="G636" s="41"/>
      <c r="H636" s="41"/>
    </row>
    <row r="637" spans="1:8" x14ac:dyDescent="0.2">
      <c r="A637" s="42"/>
      <c r="B637" s="37">
        <f t="shared" si="32"/>
        <v>45870</v>
      </c>
      <c r="C637" s="38">
        <f t="shared" si="33"/>
        <v>0</v>
      </c>
      <c r="D637" s="38">
        <f t="shared" si="34"/>
        <v>18965.391543401634</v>
      </c>
      <c r="E637" s="38"/>
      <c r="F637" s="38"/>
      <c r="G637" s="41"/>
      <c r="H637" s="41"/>
    </row>
    <row r="638" spans="1:8" x14ac:dyDescent="0.2">
      <c r="A638" s="42"/>
      <c r="B638" s="37">
        <f t="shared" si="32"/>
        <v>45901</v>
      </c>
      <c r="C638" s="38">
        <f t="shared" si="33"/>
        <v>0</v>
      </c>
      <c r="D638" s="38">
        <f t="shared" si="34"/>
        <v>19004.902775783725</v>
      </c>
      <c r="E638" s="38"/>
      <c r="F638" s="38"/>
      <c r="G638" s="41"/>
      <c r="H638" s="41"/>
    </row>
    <row r="639" spans="1:8" x14ac:dyDescent="0.2">
      <c r="A639" s="42"/>
      <c r="B639" s="37">
        <f t="shared" si="32"/>
        <v>45931</v>
      </c>
      <c r="C639" s="38">
        <f t="shared" si="33"/>
        <v>0</v>
      </c>
      <c r="D639" s="38">
        <f t="shared" si="34"/>
        <v>19044.496323233278</v>
      </c>
      <c r="E639" s="38"/>
      <c r="F639" s="38"/>
      <c r="G639" s="41"/>
      <c r="H639" s="41"/>
    </row>
    <row r="640" spans="1:8" x14ac:dyDescent="0.2">
      <c r="A640" s="42"/>
      <c r="B640" s="37">
        <f t="shared" si="32"/>
        <v>45962</v>
      </c>
      <c r="C640" s="38">
        <f t="shared" si="33"/>
        <v>0</v>
      </c>
      <c r="D640" s="38">
        <f t="shared" si="34"/>
        <v>19084.172357240015</v>
      </c>
      <c r="E640" s="38"/>
      <c r="F640" s="38"/>
      <c r="G640" s="41"/>
      <c r="H640" s="41"/>
    </row>
    <row r="641" spans="1:8" x14ac:dyDescent="0.2">
      <c r="A641" s="42"/>
      <c r="B641" s="37">
        <f t="shared" si="32"/>
        <v>45992</v>
      </c>
      <c r="C641" s="38">
        <f t="shared" si="33"/>
        <v>0</v>
      </c>
      <c r="D641" s="38">
        <f t="shared" si="34"/>
        <v>19123.931049650935</v>
      </c>
      <c r="E641" s="38"/>
      <c r="F641" s="38"/>
      <c r="G641" s="41"/>
      <c r="H641" s="41"/>
    </row>
    <row r="642" spans="1:8" x14ac:dyDescent="0.2">
      <c r="A642" s="79"/>
      <c r="B642" s="80">
        <f t="shared" si="32"/>
        <v>46023</v>
      </c>
      <c r="C642" s="38"/>
      <c r="D642" s="38"/>
      <c r="E642" s="38"/>
      <c r="F642" s="38"/>
      <c r="G642" s="41"/>
      <c r="H642" s="4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K25"/>
  <sheetViews>
    <sheetView showGridLines="0" zoomScale="75" workbookViewId="0">
      <selection activeCell="A52" sqref="A52"/>
    </sheetView>
  </sheetViews>
  <sheetFormatPr defaultRowHeight="12.75" x14ac:dyDescent="0.2"/>
  <cols>
    <col min="1" max="1" width="37.85546875" bestFit="1" customWidth="1"/>
    <col min="2" max="2" width="9.7109375" bestFit="1" customWidth="1"/>
    <col min="3" max="8" width="19.85546875" customWidth="1"/>
  </cols>
  <sheetData>
    <row r="2" spans="1:11" x14ac:dyDescent="0.2">
      <c r="A2" s="11" t="s">
        <v>67</v>
      </c>
      <c r="B2" s="12"/>
      <c r="C2" s="12"/>
      <c r="D2" s="12"/>
      <c r="E2" s="12"/>
      <c r="F2" s="12"/>
      <c r="G2" s="12"/>
      <c r="H2" s="13"/>
    </row>
    <row r="3" spans="1:11" x14ac:dyDescent="0.2">
      <c r="A3" s="14"/>
      <c r="B3" s="14"/>
      <c r="C3" s="14"/>
      <c r="D3" s="14"/>
      <c r="E3" s="14"/>
      <c r="F3" s="14"/>
      <c r="G3" s="14"/>
      <c r="H3" s="14"/>
      <c r="I3" s="3"/>
      <c r="J3" s="3"/>
      <c r="K3" s="3"/>
    </row>
    <row r="4" spans="1:11" x14ac:dyDescent="0.2">
      <c r="A4" s="14"/>
      <c r="B4" s="14"/>
      <c r="C4" s="14">
        <v>1</v>
      </c>
      <c r="D4" s="14">
        <f>+C4+1</f>
        <v>2</v>
      </c>
      <c r="E4" s="14">
        <f>+D4+1</f>
        <v>3</v>
      </c>
      <c r="F4" s="14">
        <f>+E4+1</f>
        <v>4</v>
      </c>
      <c r="G4" s="14">
        <f>+F4+1</f>
        <v>5</v>
      </c>
      <c r="H4" s="14">
        <f>+G4+1</f>
        <v>6</v>
      </c>
      <c r="I4" s="3"/>
      <c r="J4" s="3"/>
      <c r="K4" s="3"/>
    </row>
    <row r="5" spans="1:11" x14ac:dyDescent="0.2">
      <c r="A5" s="15" t="s">
        <v>26</v>
      </c>
      <c r="B5" s="16"/>
      <c r="C5" s="16" t="str">
        <f>+IF(SHIPS!C5="","",SHIPS!C5)</f>
        <v>HG</v>
      </c>
      <c r="D5" s="16" t="str">
        <f>+IF(SHIPS!D5="","",SHIPS!D5)</f>
        <v>EXMAR</v>
      </c>
      <c r="E5" s="16" t="str">
        <f>+IF(SHIPS!E5="","",SHIPS!E5)</f>
        <v/>
      </c>
      <c r="F5" s="16" t="str">
        <f>+IF(SHIPS!F5="","",SHIPS!F5)</f>
        <v/>
      </c>
      <c r="G5" s="16" t="str">
        <f>+IF(SHIPS!G5="","",SHIPS!G5)</f>
        <v/>
      </c>
      <c r="H5" s="17" t="str">
        <f>+IF(SHIPS!H5="","",SHIPS!H5)</f>
        <v/>
      </c>
      <c r="I5" s="3"/>
      <c r="J5" s="3"/>
      <c r="K5" s="3"/>
    </row>
    <row r="6" spans="1:11" x14ac:dyDescent="0.2">
      <c r="A6" s="59" t="s">
        <v>69</v>
      </c>
      <c r="B6" s="18"/>
      <c r="C6" s="20">
        <f t="shared" ref="C6:H6" si="0">+C4</f>
        <v>1</v>
      </c>
      <c r="D6" s="20">
        <f t="shared" si="0"/>
        <v>2</v>
      </c>
      <c r="E6" s="20">
        <f t="shared" si="0"/>
        <v>3</v>
      </c>
      <c r="F6" s="20">
        <f t="shared" si="0"/>
        <v>4</v>
      </c>
      <c r="G6" s="20">
        <f t="shared" si="0"/>
        <v>5</v>
      </c>
      <c r="H6" s="20">
        <f t="shared" si="0"/>
        <v>6</v>
      </c>
      <c r="I6" s="3"/>
      <c r="J6" s="3"/>
      <c r="K6" s="3"/>
    </row>
    <row r="7" spans="1:11" x14ac:dyDescent="0.2">
      <c r="A7" s="22" t="s">
        <v>176</v>
      </c>
      <c r="B7" s="23"/>
      <c r="C7" s="112">
        <v>7.4999999999999997E-3</v>
      </c>
      <c r="D7" s="113">
        <v>7.4999999999999997E-3</v>
      </c>
      <c r="E7" s="113"/>
      <c r="F7" s="113"/>
      <c r="G7" s="113"/>
      <c r="H7" s="114"/>
      <c r="I7" s="3"/>
      <c r="J7" s="3"/>
      <c r="K7" s="3"/>
    </row>
    <row r="8" spans="1:11" x14ac:dyDescent="0.2">
      <c r="A8" s="26"/>
      <c r="B8" s="27"/>
      <c r="C8" s="61"/>
      <c r="D8" s="62"/>
      <c r="E8" s="62"/>
      <c r="F8" s="62"/>
      <c r="G8" s="62"/>
      <c r="H8" s="63"/>
      <c r="I8" s="3"/>
      <c r="J8" s="3"/>
      <c r="K8" s="3"/>
    </row>
    <row r="9" spans="1:11" x14ac:dyDescent="0.2">
      <c r="A9" s="26" t="s">
        <v>76</v>
      </c>
      <c r="B9" s="27"/>
      <c r="C9" s="64"/>
      <c r="D9" s="28"/>
      <c r="E9" s="28"/>
      <c r="F9" s="28"/>
      <c r="G9" s="28"/>
      <c r="H9" s="29"/>
      <c r="I9" s="3"/>
      <c r="J9" s="3"/>
      <c r="K9" s="3"/>
    </row>
    <row r="10" spans="1:11" x14ac:dyDescent="0.2">
      <c r="A10" s="109" t="s">
        <v>77</v>
      </c>
      <c r="B10" s="27"/>
      <c r="C10" s="64"/>
      <c r="D10" s="28"/>
      <c r="E10" s="28"/>
      <c r="F10" s="28"/>
      <c r="G10" s="28"/>
      <c r="H10" s="29"/>
      <c r="I10" s="3"/>
      <c r="J10" s="3"/>
      <c r="K10" s="3"/>
    </row>
    <row r="11" spans="1:11" x14ac:dyDescent="0.2">
      <c r="A11" s="109" t="s">
        <v>78</v>
      </c>
      <c r="B11" s="27"/>
      <c r="C11" s="65"/>
      <c r="D11" s="111"/>
      <c r="E11" s="110"/>
      <c r="F11" s="66"/>
      <c r="G11" s="66"/>
      <c r="H11" s="67"/>
      <c r="I11" s="3"/>
      <c r="J11" s="3"/>
      <c r="K11" s="3"/>
    </row>
    <row r="12" spans="1:11" x14ac:dyDescent="0.2">
      <c r="A12" s="26"/>
      <c r="B12" s="27"/>
      <c r="C12" s="65"/>
      <c r="D12" s="68"/>
      <c r="E12" s="68"/>
      <c r="F12" s="68"/>
      <c r="G12" s="66"/>
      <c r="H12" s="67"/>
      <c r="I12" s="3"/>
      <c r="J12" s="3"/>
      <c r="K12" s="3"/>
    </row>
    <row r="13" spans="1:11" x14ac:dyDescent="0.2">
      <c r="A13" s="26"/>
      <c r="B13" s="27"/>
      <c r="C13" s="69"/>
      <c r="D13" s="30"/>
      <c r="E13" s="30"/>
      <c r="F13" s="30"/>
      <c r="G13" s="30"/>
      <c r="H13" s="31"/>
      <c r="I13" s="3"/>
      <c r="J13" s="3"/>
      <c r="K13" s="3"/>
    </row>
    <row r="14" spans="1:11" x14ac:dyDescent="0.2">
      <c r="A14" s="26"/>
      <c r="B14" s="27"/>
      <c r="C14" s="69"/>
      <c r="D14" s="30"/>
      <c r="E14" s="30"/>
      <c r="F14" s="30"/>
      <c r="G14" s="30"/>
      <c r="H14" s="31"/>
      <c r="I14" s="3"/>
      <c r="J14" s="3"/>
      <c r="K14" s="3"/>
    </row>
    <row r="15" spans="1:11" x14ac:dyDescent="0.2">
      <c r="A15" s="26"/>
      <c r="B15" s="27"/>
      <c r="C15" s="69"/>
      <c r="D15" s="30"/>
      <c r="E15" s="30"/>
      <c r="F15" s="30"/>
      <c r="G15" s="30"/>
      <c r="H15" s="31"/>
      <c r="I15" s="3"/>
      <c r="J15" s="3"/>
      <c r="K15" s="3"/>
    </row>
    <row r="16" spans="1:11" x14ac:dyDescent="0.2">
      <c r="A16" s="26"/>
      <c r="B16" s="27"/>
      <c r="C16" s="69"/>
      <c r="D16" s="30"/>
      <c r="E16" s="30"/>
      <c r="F16" s="30"/>
      <c r="G16" s="30"/>
      <c r="H16" s="31"/>
      <c r="I16" s="3"/>
      <c r="J16" s="3"/>
      <c r="K16" s="3"/>
    </row>
    <row r="17" spans="1:11" x14ac:dyDescent="0.2">
      <c r="A17" s="26"/>
      <c r="B17" s="27"/>
      <c r="C17" s="69"/>
      <c r="D17" s="30"/>
      <c r="E17" s="30"/>
      <c r="F17" s="30"/>
      <c r="G17" s="30"/>
      <c r="H17" s="31"/>
      <c r="I17" s="3"/>
      <c r="J17" s="3"/>
      <c r="K17" s="3"/>
    </row>
    <row r="18" spans="1:11" x14ac:dyDescent="0.2">
      <c r="A18" s="26"/>
      <c r="B18" s="27"/>
      <c r="C18" s="69"/>
      <c r="D18" s="30"/>
      <c r="E18" s="30"/>
      <c r="F18" s="30"/>
      <c r="G18" s="30"/>
      <c r="H18" s="31"/>
      <c r="I18" s="3"/>
      <c r="J18" s="3"/>
      <c r="K18" s="3"/>
    </row>
    <row r="19" spans="1:11" x14ac:dyDescent="0.2">
      <c r="A19" s="26"/>
      <c r="B19" s="27"/>
      <c r="C19" s="70"/>
      <c r="D19" s="71"/>
      <c r="E19" s="71"/>
      <c r="F19" s="71"/>
      <c r="G19" s="71"/>
      <c r="H19" s="72"/>
      <c r="I19" s="3"/>
      <c r="J19" s="3"/>
      <c r="K19" s="3"/>
    </row>
    <row r="20" spans="1:11" x14ac:dyDescent="0.2">
      <c r="A20" s="26"/>
      <c r="B20" s="27"/>
      <c r="C20" s="70"/>
      <c r="D20" s="71"/>
      <c r="E20" s="71"/>
      <c r="F20" s="71"/>
      <c r="G20" s="71"/>
      <c r="H20" s="72"/>
      <c r="I20" s="3"/>
      <c r="J20" s="3"/>
      <c r="K20" s="3"/>
    </row>
    <row r="21" spans="1:11" x14ac:dyDescent="0.2">
      <c r="A21" s="26"/>
      <c r="B21" s="27"/>
      <c r="C21" s="70"/>
      <c r="D21" s="71"/>
      <c r="E21" s="71"/>
      <c r="F21" s="71"/>
      <c r="G21" s="71"/>
      <c r="H21" s="72"/>
      <c r="I21" s="3"/>
      <c r="J21" s="3"/>
      <c r="K21" s="3"/>
    </row>
    <row r="22" spans="1:11" x14ac:dyDescent="0.2">
      <c r="A22" s="26"/>
      <c r="B22" s="27"/>
      <c r="C22" s="69"/>
      <c r="D22" s="30"/>
      <c r="E22" s="30"/>
      <c r="F22" s="30"/>
      <c r="G22" s="30"/>
      <c r="H22" s="31"/>
      <c r="I22" s="3"/>
      <c r="J22" s="3"/>
      <c r="K22" s="3"/>
    </row>
    <row r="23" spans="1:11" x14ac:dyDescent="0.2">
      <c r="A23" s="32"/>
      <c r="B23" s="33"/>
      <c r="C23" s="73"/>
      <c r="D23" s="74"/>
      <c r="E23" s="74"/>
      <c r="F23" s="74"/>
      <c r="G23" s="74"/>
      <c r="H23" s="75"/>
      <c r="I23" s="3"/>
      <c r="J23" s="3"/>
      <c r="K23" s="3"/>
    </row>
    <row r="24" spans="1:11" x14ac:dyDescent="0.2">
      <c r="A24" s="11"/>
      <c r="B24" s="34"/>
      <c r="C24" s="35" t="str">
        <f t="shared" ref="C24:H24" si="1">+IF(C$5="","",C$5)</f>
        <v>HG</v>
      </c>
      <c r="D24" s="35" t="str">
        <f t="shared" si="1"/>
        <v>EXMAR</v>
      </c>
      <c r="E24" s="35" t="str">
        <f t="shared" si="1"/>
        <v/>
      </c>
      <c r="F24" s="35" t="str">
        <f t="shared" si="1"/>
        <v/>
      </c>
      <c r="G24" s="35" t="str">
        <f t="shared" si="1"/>
        <v/>
      </c>
      <c r="H24" s="36" t="str">
        <f t="shared" si="1"/>
        <v/>
      </c>
    </row>
    <row r="25" spans="1:11" x14ac:dyDescent="0.2">
      <c r="A25" s="11"/>
      <c r="B25" s="34"/>
      <c r="C25" s="35">
        <f t="shared" ref="C25:H25" si="2">+C6</f>
        <v>1</v>
      </c>
      <c r="D25" s="35">
        <f t="shared" si="2"/>
        <v>2</v>
      </c>
      <c r="E25" s="35">
        <f t="shared" si="2"/>
        <v>3</v>
      </c>
      <c r="F25" s="35">
        <f t="shared" si="2"/>
        <v>4</v>
      </c>
      <c r="G25" s="35">
        <f t="shared" si="2"/>
        <v>5</v>
      </c>
      <c r="H25" s="36">
        <f t="shared" si="2"/>
        <v>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D360"/>
  <sheetViews>
    <sheetView showGridLines="0" zoomScale="7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18" sqref="D18"/>
    </sheetView>
  </sheetViews>
  <sheetFormatPr defaultRowHeight="12.75" x14ac:dyDescent="0.2"/>
  <cols>
    <col min="1" max="1" width="15.42578125" customWidth="1"/>
    <col min="2" max="3" width="19.28515625" customWidth="1"/>
    <col min="4" max="4" width="24.7109375" customWidth="1"/>
    <col min="5" max="5" width="14.42578125" customWidth="1"/>
    <col min="6" max="6" width="17.140625" bestFit="1" customWidth="1"/>
    <col min="7" max="9" width="13.85546875" customWidth="1"/>
    <col min="10" max="10" width="15.42578125" customWidth="1"/>
    <col min="11" max="11" width="2.42578125" customWidth="1"/>
    <col min="12" max="12" width="13.85546875" customWidth="1"/>
    <col min="13" max="13" width="18.7109375" bestFit="1" customWidth="1"/>
    <col min="14" max="14" width="17.5703125" customWidth="1"/>
    <col min="15" max="15" width="16.28515625" customWidth="1"/>
    <col min="16" max="17" width="17.5703125" customWidth="1"/>
    <col min="18" max="18" width="25.85546875" bestFit="1" customWidth="1"/>
    <col min="19" max="20" width="17.5703125" customWidth="1"/>
    <col min="21" max="21" width="18.28515625" customWidth="1"/>
    <col min="22" max="22" width="14.42578125" customWidth="1"/>
    <col min="23" max="23" width="17.140625" customWidth="1"/>
    <col min="24" max="24" width="13.85546875" customWidth="1"/>
    <col min="25" max="25" width="14.85546875" bestFit="1" customWidth="1"/>
    <col min="26" max="26" width="13.85546875" customWidth="1"/>
    <col min="27" max="27" width="15.42578125" customWidth="1"/>
    <col min="28" max="28" width="2.42578125" customWidth="1"/>
    <col min="29" max="29" width="13.85546875" customWidth="1"/>
    <col min="30" max="30" width="17.28515625" customWidth="1"/>
    <col min="31" max="31" width="17.5703125" customWidth="1"/>
    <col min="32" max="32" width="16.28515625" customWidth="1"/>
    <col min="33" max="37" width="17.5703125" customWidth="1"/>
    <col min="38" max="38" width="37.28515625" customWidth="1"/>
    <col min="39" max="39" width="14.42578125" customWidth="1"/>
    <col min="40" max="40" width="17.140625" customWidth="1"/>
    <col min="41" max="41" width="13.85546875" customWidth="1"/>
    <col min="42" max="42" width="14.85546875" customWidth="1"/>
    <col min="43" max="43" width="13.85546875" customWidth="1"/>
    <col min="44" max="44" width="15.42578125" customWidth="1"/>
    <col min="45" max="45" width="2.42578125" customWidth="1"/>
    <col min="46" max="46" width="13.85546875" customWidth="1"/>
    <col min="47" max="47" width="22.28515625" customWidth="1"/>
    <col min="48" max="48" width="17.5703125" customWidth="1"/>
    <col min="49" max="49" width="16.28515625" customWidth="1"/>
    <col min="50" max="52" width="18.85546875" bestFit="1" customWidth="1"/>
    <col min="53" max="53" width="20.140625" bestFit="1" customWidth="1"/>
    <col min="54" max="54" width="17.5703125" customWidth="1"/>
    <col min="55" max="55" width="15" bestFit="1" customWidth="1"/>
    <col min="56" max="56" width="10.7109375" bestFit="1" customWidth="1"/>
  </cols>
  <sheetData>
    <row r="3" spans="1:55" ht="27" customHeight="1" x14ac:dyDescent="0.35">
      <c r="E3" s="325" t="s">
        <v>153</v>
      </c>
      <c r="F3" s="274"/>
      <c r="G3" s="274"/>
      <c r="H3" s="274"/>
      <c r="I3" s="274"/>
      <c r="J3" s="274"/>
      <c r="K3" s="274"/>
      <c r="L3" s="333"/>
      <c r="M3" s="274"/>
      <c r="N3" s="274"/>
      <c r="O3" s="274"/>
      <c r="P3" s="274"/>
      <c r="Q3" s="274"/>
      <c r="R3" s="274"/>
      <c r="S3" s="274"/>
      <c r="T3" s="275"/>
      <c r="V3" s="325" t="s">
        <v>121</v>
      </c>
      <c r="W3" s="274"/>
      <c r="X3" s="274"/>
      <c r="Y3" s="274"/>
      <c r="Z3" s="274"/>
      <c r="AA3" s="274"/>
      <c r="AB3" s="274"/>
      <c r="AC3" s="333"/>
      <c r="AD3" s="274"/>
      <c r="AE3" s="274"/>
      <c r="AF3" s="274"/>
      <c r="AG3" s="274"/>
      <c r="AH3" s="274"/>
      <c r="AI3" s="274"/>
      <c r="AJ3" s="274"/>
      <c r="AK3" s="275"/>
      <c r="AM3" s="325" t="s">
        <v>124</v>
      </c>
      <c r="AN3" s="274"/>
      <c r="AO3" s="274"/>
      <c r="AP3" s="274"/>
      <c r="AQ3" s="274"/>
      <c r="AR3" s="274"/>
      <c r="AS3" s="274"/>
      <c r="AT3" s="333"/>
      <c r="AU3" s="274"/>
      <c r="AV3" s="274"/>
      <c r="AW3" s="274"/>
      <c r="AX3" s="274"/>
      <c r="AY3" s="274"/>
      <c r="AZ3" s="274"/>
      <c r="BA3" s="274"/>
      <c r="BB3" s="275"/>
    </row>
    <row r="4" spans="1:55" x14ac:dyDescent="0.2">
      <c r="A4" s="326"/>
      <c r="E4" s="326"/>
      <c r="F4" s="249" t="s">
        <v>90</v>
      </c>
      <c r="G4" s="194" t="s">
        <v>40</v>
      </c>
      <c r="H4" s="212"/>
      <c r="I4" s="155"/>
      <c r="J4" s="156"/>
      <c r="K4" s="245"/>
      <c r="L4" s="326"/>
      <c r="M4" s="249" t="s">
        <v>96</v>
      </c>
      <c r="N4" s="194" t="s">
        <v>34</v>
      </c>
      <c r="O4" s="155" t="s">
        <v>90</v>
      </c>
      <c r="P4" s="479" t="str">
        <f>+G4</f>
        <v>ALGERIA</v>
      </c>
      <c r="Q4" s="155"/>
      <c r="R4" s="155"/>
      <c r="S4" s="155"/>
      <c r="T4" s="156"/>
      <c r="V4" s="326"/>
      <c r="W4" s="249" t="s">
        <v>90</v>
      </c>
      <c r="X4" s="194" t="s">
        <v>40</v>
      </c>
      <c r="Y4" s="212"/>
      <c r="Z4" s="155"/>
      <c r="AA4" s="156"/>
      <c r="AB4" s="245"/>
      <c r="AC4" s="326"/>
      <c r="AD4" s="249" t="s">
        <v>96</v>
      </c>
      <c r="AE4" s="194" t="s">
        <v>34</v>
      </c>
      <c r="AF4" s="155" t="s">
        <v>90</v>
      </c>
      <c r="AG4" s="479" t="str">
        <f>+X4</f>
        <v>ALGERIA</v>
      </c>
      <c r="AH4" s="155"/>
      <c r="AI4" s="155"/>
      <c r="AJ4" s="155"/>
      <c r="AK4" s="156"/>
      <c r="AM4" s="326"/>
      <c r="AN4" s="249" t="s">
        <v>90</v>
      </c>
      <c r="AO4" s="194" t="s">
        <v>41</v>
      </c>
      <c r="AP4" s="212"/>
      <c r="AQ4" s="155"/>
      <c r="AR4" s="156"/>
      <c r="AS4" s="245"/>
      <c r="AT4" s="326"/>
      <c r="AU4" s="249" t="s">
        <v>96</v>
      </c>
      <c r="AV4" s="194" t="s">
        <v>34</v>
      </c>
      <c r="AW4" s="479" t="str">
        <f>+AN4</f>
        <v>Source</v>
      </c>
      <c r="AX4" s="479" t="str">
        <f>+AO4</f>
        <v>VENEZUELA</v>
      </c>
      <c r="AY4" s="155"/>
      <c r="AZ4" s="155"/>
      <c r="BA4" s="155"/>
      <c r="BB4" s="156"/>
    </row>
    <row r="5" spans="1:55" x14ac:dyDescent="0.2">
      <c r="A5" s="327"/>
      <c r="E5" s="327"/>
      <c r="F5" s="250" t="s">
        <v>91</v>
      </c>
      <c r="G5" s="195" t="s">
        <v>19</v>
      </c>
      <c r="H5" s="213"/>
      <c r="I5" s="157"/>
      <c r="J5" s="158"/>
      <c r="K5" s="246"/>
      <c r="L5" s="327"/>
      <c r="M5" s="250" t="s">
        <v>97</v>
      </c>
      <c r="N5" s="195">
        <v>0.02</v>
      </c>
      <c r="O5" s="157" t="s">
        <v>91</v>
      </c>
      <c r="P5" s="480" t="str">
        <f>+G5</f>
        <v>ELBA</v>
      </c>
      <c r="Q5" s="157"/>
      <c r="R5" s="157"/>
      <c r="S5" s="157"/>
      <c r="T5" s="158"/>
      <c r="V5" s="327"/>
      <c r="W5" s="250" t="s">
        <v>91</v>
      </c>
      <c r="X5" s="195" t="s">
        <v>19</v>
      </c>
      <c r="Y5" s="213"/>
      <c r="Z5" s="157"/>
      <c r="AA5" s="158"/>
      <c r="AB5" s="246"/>
      <c r="AC5" s="327"/>
      <c r="AD5" s="250" t="s">
        <v>97</v>
      </c>
      <c r="AE5" s="195">
        <v>0.02</v>
      </c>
      <c r="AF5" s="157" t="s">
        <v>91</v>
      </c>
      <c r="AG5" s="480" t="str">
        <f>+X5</f>
        <v>ELBA</v>
      </c>
      <c r="AH5" s="157"/>
      <c r="AI5" s="157"/>
      <c r="AJ5" s="157"/>
      <c r="AK5" s="158"/>
      <c r="AM5" s="327"/>
      <c r="AN5" s="250" t="s">
        <v>91</v>
      </c>
      <c r="AO5" s="195" t="s">
        <v>19</v>
      </c>
      <c r="AP5" s="213"/>
      <c r="AQ5" s="157"/>
      <c r="AR5" s="158"/>
      <c r="AS5" s="246"/>
      <c r="AT5" s="327"/>
      <c r="AU5" s="250" t="s">
        <v>97</v>
      </c>
      <c r="AV5" s="195">
        <v>0.02</v>
      </c>
      <c r="AW5" s="480" t="str">
        <f>+AN5</f>
        <v>Destination</v>
      </c>
      <c r="AX5" s="480" t="str">
        <f>+AO5</f>
        <v>ELBA</v>
      </c>
      <c r="AY5" s="157"/>
      <c r="AZ5" s="157"/>
      <c r="BA5" s="157"/>
      <c r="BB5" s="158"/>
    </row>
    <row r="6" spans="1:55" x14ac:dyDescent="0.2">
      <c r="A6" s="327"/>
      <c r="E6" s="327"/>
      <c r="F6" s="250" t="s">
        <v>92</v>
      </c>
      <c r="G6" s="196" t="s">
        <v>22</v>
      </c>
      <c r="H6" s="214"/>
      <c r="I6" s="157"/>
      <c r="J6" s="158"/>
      <c r="K6" s="246"/>
      <c r="L6" s="327"/>
      <c r="M6" s="250" t="s">
        <v>98</v>
      </c>
      <c r="N6" s="196" t="s">
        <v>99</v>
      </c>
      <c r="O6" s="157" t="s">
        <v>93</v>
      </c>
      <c r="P6" s="157" t="str">
        <f>+IF(G7="","",G7)</f>
        <v/>
      </c>
      <c r="Q6" s="157"/>
      <c r="R6" s="157"/>
      <c r="S6" s="157"/>
      <c r="T6" s="158"/>
      <c r="V6" s="327"/>
      <c r="W6" s="250" t="s">
        <v>92</v>
      </c>
      <c r="X6" s="196" t="s">
        <v>23</v>
      </c>
      <c r="Y6" s="214"/>
      <c r="Z6" s="157"/>
      <c r="AA6" s="158"/>
      <c r="AB6" s="246"/>
      <c r="AC6" s="327"/>
      <c r="AD6" s="250" t="s">
        <v>98</v>
      </c>
      <c r="AE6" s="196" t="s">
        <v>99</v>
      </c>
      <c r="AF6" s="157" t="s">
        <v>93</v>
      </c>
      <c r="AG6" s="157" t="str">
        <f>+IF(X7="","",X7)</f>
        <v/>
      </c>
      <c r="AH6" s="157"/>
      <c r="AI6" s="157"/>
      <c r="AJ6" s="157"/>
      <c r="AK6" s="158"/>
      <c r="AM6" s="327"/>
      <c r="AN6" s="250" t="s">
        <v>92</v>
      </c>
      <c r="AO6" s="196" t="s">
        <v>23</v>
      </c>
      <c r="AP6" s="214"/>
      <c r="AQ6" s="157"/>
      <c r="AR6" s="158"/>
      <c r="AS6" s="246"/>
      <c r="AT6" s="327"/>
      <c r="AU6" s="250" t="s">
        <v>98</v>
      </c>
      <c r="AV6" s="196" t="s">
        <v>99</v>
      </c>
      <c r="AW6" s="157" t="str">
        <f>+IF(AN7="","",AN7)</f>
        <v>Route</v>
      </c>
      <c r="AX6" s="157" t="str">
        <f>+IF(AO7="","",AO7)</f>
        <v/>
      </c>
      <c r="AY6" s="157"/>
      <c r="AZ6" s="157"/>
      <c r="BA6" s="157"/>
      <c r="BB6" s="158"/>
    </row>
    <row r="7" spans="1:55" x14ac:dyDescent="0.2">
      <c r="A7" s="327"/>
      <c r="E7" s="327"/>
      <c r="F7" s="250" t="s">
        <v>93</v>
      </c>
      <c r="G7" s="195"/>
      <c r="H7" s="213"/>
      <c r="I7" s="157"/>
      <c r="J7" s="158"/>
      <c r="K7" s="246"/>
      <c r="L7" s="327"/>
      <c r="M7" s="250" t="s">
        <v>105</v>
      </c>
      <c r="N7" s="195">
        <v>0.09</v>
      </c>
      <c r="O7" s="157" t="s">
        <v>92</v>
      </c>
      <c r="P7" s="480" t="str">
        <f>+G6</f>
        <v>HG</v>
      </c>
      <c r="Q7" s="157"/>
      <c r="R7" s="157"/>
      <c r="S7" s="157"/>
      <c r="T7" s="158"/>
      <c r="V7" s="327"/>
      <c r="W7" s="250" t="s">
        <v>93</v>
      </c>
      <c r="X7" s="195"/>
      <c r="Y7" s="213"/>
      <c r="Z7" s="157"/>
      <c r="AA7" s="158"/>
      <c r="AB7" s="246"/>
      <c r="AC7" s="327"/>
      <c r="AD7" s="250" t="s">
        <v>105</v>
      </c>
      <c r="AE7" s="195">
        <v>0.09</v>
      </c>
      <c r="AF7" s="157" t="s">
        <v>92</v>
      </c>
      <c r="AG7" s="480" t="str">
        <f>+X6</f>
        <v>EXMAR</v>
      </c>
      <c r="AH7" s="157"/>
      <c r="AI7" s="157"/>
      <c r="AJ7" s="157"/>
      <c r="AK7" s="158"/>
      <c r="AM7" s="327"/>
      <c r="AN7" s="250" t="s">
        <v>93</v>
      </c>
      <c r="AO7" s="195"/>
      <c r="AP7" s="213"/>
      <c r="AQ7" s="157"/>
      <c r="AR7" s="158"/>
      <c r="AS7" s="246"/>
      <c r="AT7" s="327"/>
      <c r="AU7" s="250" t="s">
        <v>105</v>
      </c>
      <c r="AV7" s="195">
        <v>0.09</v>
      </c>
      <c r="AW7" s="480" t="str">
        <f>+AN6</f>
        <v>Ship</v>
      </c>
      <c r="AX7" s="480" t="str">
        <f>+AO6</f>
        <v>EXMAR</v>
      </c>
      <c r="AY7" s="157"/>
      <c r="AZ7" s="157"/>
      <c r="BA7" s="157"/>
      <c r="BB7" s="158"/>
    </row>
    <row r="8" spans="1:55" x14ac:dyDescent="0.2">
      <c r="A8" s="327"/>
      <c r="B8" s="432" t="s">
        <v>88</v>
      </c>
      <c r="C8" s="434">
        <v>37347</v>
      </c>
      <c r="E8" s="327"/>
      <c r="F8" s="250" t="s">
        <v>88</v>
      </c>
      <c r="G8" s="196">
        <v>37347</v>
      </c>
      <c r="H8" s="214"/>
      <c r="I8" s="157"/>
      <c r="J8" s="158"/>
      <c r="K8" s="246"/>
      <c r="L8" s="327"/>
      <c r="M8" s="250" t="s">
        <v>125</v>
      </c>
      <c r="N8" s="353">
        <v>0</v>
      </c>
      <c r="O8" s="157"/>
      <c r="P8" s="157"/>
      <c r="Q8" s="157"/>
      <c r="R8" s="157"/>
      <c r="S8" s="157"/>
      <c r="T8" s="158"/>
      <c r="V8" s="327"/>
      <c r="W8" s="250" t="s">
        <v>88</v>
      </c>
      <c r="X8" s="196">
        <v>37622</v>
      </c>
      <c r="Y8" s="214"/>
      <c r="Z8" s="157"/>
      <c r="AA8" s="158"/>
      <c r="AB8" s="246"/>
      <c r="AC8" s="327"/>
      <c r="AD8" s="250" t="s">
        <v>125</v>
      </c>
      <c r="AE8" s="353">
        <f>+N8</f>
        <v>0</v>
      </c>
      <c r="AF8" s="157"/>
      <c r="AG8" s="157"/>
      <c r="AH8" s="157"/>
      <c r="AI8" s="157"/>
      <c r="AJ8" s="157"/>
      <c r="AK8" s="158"/>
      <c r="AM8" s="327"/>
      <c r="AN8" s="250" t="s">
        <v>88</v>
      </c>
      <c r="AO8" s="196">
        <v>37987</v>
      </c>
      <c r="AP8" s="214"/>
      <c r="AQ8" s="157"/>
      <c r="AR8" s="158"/>
      <c r="AS8" s="246"/>
      <c r="AT8" s="327"/>
      <c r="AU8" s="250" t="s">
        <v>125</v>
      </c>
      <c r="AV8" s="353">
        <f>+N8</f>
        <v>0</v>
      </c>
      <c r="AW8" s="157"/>
      <c r="AX8" s="157"/>
      <c r="AY8" s="157"/>
      <c r="AZ8" s="157"/>
      <c r="BA8" s="157"/>
      <c r="BB8" s="158"/>
    </row>
    <row r="9" spans="1:55" x14ac:dyDescent="0.2">
      <c r="A9" s="327"/>
      <c r="B9" s="433" t="s">
        <v>89</v>
      </c>
      <c r="C9" s="435">
        <v>43525</v>
      </c>
      <c r="E9" s="327"/>
      <c r="F9" s="250" t="s">
        <v>89</v>
      </c>
      <c r="G9" s="196">
        <v>37956</v>
      </c>
      <c r="H9" s="214"/>
      <c r="I9" s="157"/>
      <c r="J9" s="158"/>
      <c r="K9" s="246"/>
      <c r="L9" s="327"/>
      <c r="M9" s="250"/>
      <c r="N9" s="196"/>
      <c r="O9" s="157"/>
      <c r="P9" s="157"/>
      <c r="Q9" s="157"/>
      <c r="R9" s="157"/>
      <c r="S9" s="157"/>
      <c r="T9" s="158"/>
      <c r="V9" s="327"/>
      <c r="W9" s="250" t="s">
        <v>89</v>
      </c>
      <c r="X9" s="196">
        <v>37956</v>
      </c>
      <c r="Y9" s="214"/>
      <c r="Z9" s="157"/>
      <c r="AA9" s="158"/>
      <c r="AB9" s="246"/>
      <c r="AC9" s="327"/>
      <c r="AD9" s="250"/>
      <c r="AE9" s="196"/>
      <c r="AF9" s="157"/>
      <c r="AG9" s="157"/>
      <c r="AH9" s="157"/>
      <c r="AI9" s="157"/>
      <c r="AJ9" s="157"/>
      <c r="AK9" s="158"/>
      <c r="AM9" s="327"/>
      <c r="AN9" s="250" t="s">
        <v>89</v>
      </c>
      <c r="AO9" s="196">
        <v>43525</v>
      </c>
      <c r="AP9" s="214"/>
      <c r="AQ9" s="157"/>
      <c r="AR9" s="158"/>
      <c r="AS9" s="246"/>
      <c r="AT9" s="327"/>
      <c r="AU9" s="250"/>
      <c r="AV9" s="196"/>
      <c r="AW9" s="157"/>
      <c r="AX9" s="157"/>
      <c r="AY9" s="157"/>
      <c r="AZ9" s="157"/>
      <c r="BA9" s="157"/>
      <c r="BB9" s="158"/>
    </row>
    <row r="10" spans="1:55" x14ac:dyDescent="0.2">
      <c r="A10" s="327"/>
      <c r="E10" s="327"/>
      <c r="F10" s="159"/>
      <c r="G10" s="160"/>
      <c r="H10" s="159"/>
      <c r="I10" s="159"/>
      <c r="J10" s="160"/>
      <c r="K10" s="246"/>
      <c r="L10" s="327"/>
      <c r="M10" s="159"/>
      <c r="N10" s="160"/>
      <c r="O10" s="159"/>
      <c r="P10" s="389"/>
      <c r="Q10" s="159"/>
      <c r="R10" s="159"/>
      <c r="S10" s="159"/>
      <c r="T10" s="160"/>
      <c r="V10" s="327"/>
      <c r="W10" s="159"/>
      <c r="X10" s="160"/>
      <c r="Y10" s="159"/>
      <c r="Z10" s="159"/>
      <c r="AA10" s="160"/>
      <c r="AB10" s="246"/>
      <c r="AC10" s="327"/>
      <c r="AD10" s="159"/>
      <c r="AE10" s="160"/>
      <c r="AF10" s="159"/>
      <c r="AG10" s="159"/>
      <c r="AH10" s="159"/>
      <c r="AI10" s="159"/>
      <c r="AJ10" s="159"/>
      <c r="AK10" s="160"/>
      <c r="AM10" s="327"/>
      <c r="AN10" s="159"/>
      <c r="AO10" s="160"/>
      <c r="AP10" s="159"/>
      <c r="AQ10" s="159"/>
      <c r="AR10" s="160"/>
      <c r="AS10" s="246"/>
      <c r="AT10" s="327"/>
      <c r="AU10" s="159"/>
      <c r="AV10" s="160"/>
      <c r="AW10" s="159"/>
      <c r="AX10" s="159"/>
      <c r="AY10" s="159"/>
      <c r="AZ10" s="159"/>
      <c r="BA10" s="159"/>
      <c r="BB10" s="160"/>
    </row>
    <row r="11" spans="1:55" ht="18" x14ac:dyDescent="0.25">
      <c r="A11" s="327"/>
      <c r="E11" s="327"/>
      <c r="F11" s="321" t="s">
        <v>83</v>
      </c>
      <c r="G11" s="200"/>
      <c r="H11" s="200"/>
      <c r="I11" s="200"/>
      <c r="J11" s="201"/>
      <c r="K11" s="247"/>
      <c r="L11" s="327"/>
      <c r="M11" s="251" t="s">
        <v>94</v>
      </c>
      <c r="N11" s="393"/>
      <c r="O11" s="204"/>
      <c r="P11" s="204"/>
      <c r="Q11" s="204"/>
      <c r="R11" s="204"/>
      <c r="S11" s="204"/>
      <c r="T11" s="205"/>
      <c r="V11" s="327"/>
      <c r="W11" s="321" t="s">
        <v>83</v>
      </c>
      <c r="X11" s="200"/>
      <c r="Y11" s="200"/>
      <c r="Z11" s="200"/>
      <c r="AA11" s="201"/>
      <c r="AB11" s="247"/>
      <c r="AC11" s="327"/>
      <c r="AD11" s="251" t="s">
        <v>94</v>
      </c>
      <c r="AE11" s="204"/>
      <c r="AF11" s="204"/>
      <c r="AG11" s="204"/>
      <c r="AH11" s="204"/>
      <c r="AI11" s="204"/>
      <c r="AJ11" s="204"/>
      <c r="AK11" s="205"/>
      <c r="AM11" s="327"/>
      <c r="AN11" s="321" t="s">
        <v>83</v>
      </c>
      <c r="AO11" s="200"/>
      <c r="AP11" s="200"/>
      <c r="AQ11" s="200"/>
      <c r="AR11" s="201"/>
      <c r="AS11" s="247"/>
      <c r="AT11" s="327"/>
      <c r="AU11" s="251" t="s">
        <v>94</v>
      </c>
      <c r="AV11" s="486"/>
      <c r="AW11" s="486"/>
      <c r="AX11" s="486"/>
      <c r="AY11" s="486"/>
      <c r="AZ11" s="486"/>
      <c r="BA11" s="486"/>
      <c r="BB11" s="486"/>
    </row>
    <row r="12" spans="1:55" ht="15.75" x14ac:dyDescent="0.25">
      <c r="A12" s="328"/>
      <c r="B12" s="346">
        <f>SUM(B18:B323)</f>
        <v>1069371259.3965153</v>
      </c>
      <c r="C12" s="347">
        <f>SUM(C18:C323)</f>
        <v>22689229.325745139</v>
      </c>
      <c r="E12" s="328"/>
      <c r="F12" s="322">
        <f>SUM(F18:F323)</f>
        <v>59382295.272727288</v>
      </c>
      <c r="G12" s="229">
        <f>SUM(G18:G323)</f>
        <v>-1959615.7439999997</v>
      </c>
      <c r="H12" s="227">
        <f>SUM(H18:H323)</f>
        <v>57422679.528727256</v>
      </c>
      <c r="I12" s="229">
        <f>SUM(I18:I323)</f>
        <v>-1435566.9882181818</v>
      </c>
      <c r="J12" s="225">
        <f>+H12+I12</f>
        <v>55987112.540509075</v>
      </c>
      <c r="K12" s="245"/>
      <c r="L12" s="328"/>
      <c r="M12" s="252">
        <f>SUM(M18:M323)</f>
        <v>180241148.47879115</v>
      </c>
      <c r="N12" s="243">
        <f>SUM(N18:N323)</f>
        <v>-33657147.655990094</v>
      </c>
      <c r="O12" s="243">
        <f>SUM(O18:O323)</f>
        <v>-1571030.9558143017</v>
      </c>
      <c r="P12" s="243">
        <f>SUM(P18:P323)</f>
        <v>-133437124.23545225</v>
      </c>
      <c r="Q12" s="340">
        <f>SUM(N12:P12)</f>
        <v>-168665302.84725666</v>
      </c>
      <c r="R12" s="474">
        <f>SUM(R18:R323)</f>
        <v>-10456103.38072432</v>
      </c>
      <c r="S12" s="231"/>
      <c r="T12" s="236">
        <f>SUM(T18:T323)</f>
        <v>1119742.2508101836</v>
      </c>
      <c r="V12" s="328"/>
      <c r="W12" s="322">
        <f>SUM(W18:W323)</f>
        <v>30666797.644499075</v>
      </c>
      <c r="X12" s="229">
        <f>SUM(X18:X323)</f>
        <v>-552002.3576009837</v>
      </c>
      <c r="Y12" s="227">
        <f>SUM(Y18:Y323)</f>
        <v>30114795.286898095</v>
      </c>
      <c r="Z12" s="229">
        <f>SUM(Z18:Z323)</f>
        <v>-752869.8821724524</v>
      </c>
      <c r="AA12" s="225">
        <f>+Y12+Z12</f>
        <v>29361925.404725641</v>
      </c>
      <c r="AB12" s="245"/>
      <c r="AC12" s="328"/>
      <c r="AD12" s="252">
        <f t="shared" ref="AD12:AI12" si="0">SUM(AD18:AD323)</f>
        <v>93508803.170982853</v>
      </c>
      <c r="AE12" s="243">
        <f t="shared" si="0"/>
        <v>-18295975.644369945</v>
      </c>
      <c r="AF12" s="243">
        <f t="shared" si="0"/>
        <v>-827787.73845833156</v>
      </c>
      <c r="AG12" s="243">
        <f t="shared" si="0"/>
        <v>-68290795.758503586</v>
      </c>
      <c r="AH12" s="340">
        <f t="shared" si="0"/>
        <v>-87414559.141331851</v>
      </c>
      <c r="AI12" s="334">
        <f t="shared" si="0"/>
        <v>-5507005.5215564966</v>
      </c>
      <c r="AJ12" s="231"/>
      <c r="AK12" s="236">
        <f>SUM(AK18:AK323)</f>
        <v>587238.50809451006</v>
      </c>
      <c r="AM12" s="328"/>
      <c r="AN12" s="322">
        <f>SUM(AN18:AN323)</f>
        <v>969322440.88442922</v>
      </c>
      <c r="AO12" s="229">
        <f>SUM(AO18:AO323)</f>
        <v>-10177885.629286442</v>
      </c>
      <c r="AP12" s="227">
        <f>SUM(AP18:AP323)</f>
        <v>959144555.25514472</v>
      </c>
      <c r="AQ12" s="229">
        <f>SUM(AQ18:AQ323)</f>
        <v>-23978613.881378658</v>
      </c>
      <c r="AR12" s="225">
        <f>+AP12+AQ12</f>
        <v>935165941.37376606</v>
      </c>
      <c r="AS12" s="245"/>
      <c r="AT12" s="328"/>
      <c r="AU12" s="252">
        <f t="shared" ref="AU12:BB12" si="1">SUM(AU18:AU323)</f>
        <v>3355838866.4941401</v>
      </c>
      <c r="AV12" s="243">
        <f t="shared" si="1"/>
        <v>-324219670.42622334</v>
      </c>
      <c r="AW12" s="243">
        <f t="shared" si="1"/>
        <v>-29224470.909215827</v>
      </c>
      <c r="AX12" s="243">
        <f t="shared" si="1"/>
        <v>-2798993868.3099151</v>
      </c>
      <c r="AY12" s="340">
        <f t="shared" si="1"/>
        <v>-3152438009.6453547</v>
      </c>
      <c r="AZ12" s="334">
        <f>SUM(AZ18:AZ323)</f>
        <v>-184697538.02130997</v>
      </c>
      <c r="BA12" s="231">
        <f t="shared" si="1"/>
        <v>-3337135547.6666646</v>
      </c>
      <c r="BB12" s="236">
        <f t="shared" si="1"/>
        <v>18703318.827475399</v>
      </c>
      <c r="BC12" s="409"/>
    </row>
    <row r="13" spans="1:55" ht="15.75" x14ac:dyDescent="0.25">
      <c r="A13" s="330"/>
      <c r="B13" s="345"/>
      <c r="C13" s="348"/>
      <c r="E13" s="328"/>
      <c r="F13" s="323"/>
      <c r="G13" s="230">
        <f>-G12/F12</f>
        <v>3.2999999999999988E-2</v>
      </c>
      <c r="H13" s="228">
        <f>+H12/F12</f>
        <v>0.96699999999999942</v>
      </c>
      <c r="I13" s="230">
        <f>-I12/H12</f>
        <v>2.5000000000000005E-2</v>
      </c>
      <c r="J13" s="226">
        <f>+J12/F12</f>
        <v>0.94282499999999947</v>
      </c>
      <c r="K13" s="248"/>
      <c r="L13" s="328"/>
      <c r="M13" s="253">
        <f>+M12/J12</f>
        <v>3.2193328125000007</v>
      </c>
      <c r="N13" s="244">
        <f>+N12/J12</f>
        <v>-0.60115884046775414</v>
      </c>
      <c r="O13" s="276">
        <f>+O12/J12</f>
        <v>-2.8060581882617959E-2</v>
      </c>
      <c r="P13" s="244">
        <f>+P12/J12</f>
        <v>-2.3833542788781039</v>
      </c>
      <c r="Q13" s="341">
        <f>+Q12/J12</f>
        <v>-3.0125737012284763</v>
      </c>
      <c r="R13" s="475">
        <f>+R12/J12</f>
        <v>-0.18675911127152486</v>
      </c>
      <c r="S13" s="234"/>
      <c r="T13" s="237">
        <f>+T12/J12</f>
        <v>2.0000000000000039E-2</v>
      </c>
      <c r="V13" s="328"/>
      <c r="W13" s="323"/>
      <c r="X13" s="230">
        <f>-X12/W12</f>
        <v>1.8000000000000013E-2</v>
      </c>
      <c r="Y13" s="228">
        <f>+Y12/W12</f>
        <v>0.9820000000000001</v>
      </c>
      <c r="Z13" s="230">
        <f>-Z12/Y12</f>
        <v>2.5000000000000001E-2</v>
      </c>
      <c r="AA13" s="226">
        <f>+AA12/W12</f>
        <v>0.95745000000000002</v>
      </c>
      <c r="AB13" s="248"/>
      <c r="AC13" s="328"/>
      <c r="AD13" s="253">
        <f>+AD12/AA12</f>
        <v>3.1846958904109579</v>
      </c>
      <c r="AE13" s="244">
        <f>+AE12/AA12</f>
        <v>-0.62311906975369225</v>
      </c>
      <c r="AF13" s="276">
        <f>+AF12/AA12</f>
        <v>-2.8192556416109675E-2</v>
      </c>
      <c r="AG13" s="244">
        <f>+AG12/AA12</f>
        <v>-2.3258282560554613</v>
      </c>
      <c r="AH13" s="341">
        <f>+AH12/AA12</f>
        <v>-2.9771398822252628</v>
      </c>
      <c r="AI13" s="335">
        <f>+AI12/AA12</f>
        <v>-0.18755600818569529</v>
      </c>
      <c r="AJ13" s="234"/>
      <c r="AK13" s="478">
        <f>+AK12/AA12</f>
        <v>1.9999999999999907E-2</v>
      </c>
      <c r="AM13" s="328"/>
      <c r="AN13" s="323"/>
      <c r="AO13" s="230">
        <f>-AO12/AN12</f>
        <v>1.0499999999999933E-2</v>
      </c>
      <c r="AP13" s="228">
        <f>+AP12/AN12</f>
        <v>0.98950000000000204</v>
      </c>
      <c r="AQ13" s="230">
        <f>-AQ12/AP12</f>
        <v>2.5000000000000043E-2</v>
      </c>
      <c r="AR13" s="226">
        <f>+AR12/AN12</f>
        <v>0.96476250000000197</v>
      </c>
      <c r="AS13" s="248"/>
      <c r="AT13" s="328"/>
      <c r="AU13" s="253">
        <f>+AU12/AR12</f>
        <v>3.5884956006464335</v>
      </c>
      <c r="AV13" s="244">
        <f>+AV12/AR12</f>
        <v>-0.34669747483525981</v>
      </c>
      <c r="AW13" s="276">
        <f>+AW12/AR12</f>
        <v>-3.1250572348993859E-2</v>
      </c>
      <c r="AX13" s="244">
        <f>+AX12/AR12</f>
        <v>-2.993045131859883</v>
      </c>
      <c r="AY13" s="341">
        <f>+AY12/AR12</f>
        <v>-3.3709931790441372</v>
      </c>
      <c r="AZ13" s="335">
        <f>+AZ12/AR12</f>
        <v>-0.19750242160229642</v>
      </c>
      <c r="BA13" s="234">
        <f>+BA12/AR12</f>
        <v>-3.5684956006464335</v>
      </c>
      <c r="BB13" s="237">
        <f>+BB12/AR12</f>
        <v>2.0000000000000084E-2</v>
      </c>
      <c r="BC13" s="410"/>
    </row>
    <row r="14" spans="1:55" x14ac:dyDescent="0.2">
      <c r="A14" s="330"/>
      <c r="B14" s="136"/>
      <c r="C14" s="349"/>
      <c r="E14" s="328"/>
      <c r="F14" s="324"/>
      <c r="G14" s="183"/>
      <c r="H14" s="222"/>
      <c r="I14" s="183"/>
      <c r="J14" s="136"/>
      <c r="K14" s="248"/>
      <c r="L14" s="328"/>
      <c r="M14" s="324"/>
      <c r="N14" s="183"/>
      <c r="O14" s="392"/>
      <c r="P14" s="391"/>
      <c r="Q14" s="223"/>
      <c r="R14" s="188" t="s">
        <v>117</v>
      </c>
      <c r="S14" s="136"/>
      <c r="T14" s="238"/>
      <c r="V14" s="328"/>
      <c r="W14" s="324"/>
      <c r="X14" s="183"/>
      <c r="Y14" s="222"/>
      <c r="Z14" s="183"/>
      <c r="AA14" s="136"/>
      <c r="AB14" s="248"/>
      <c r="AC14" s="328"/>
      <c r="AD14" s="324"/>
      <c r="AE14" s="183"/>
      <c r="AF14" s="183"/>
      <c r="AG14" s="183"/>
      <c r="AH14" s="223"/>
      <c r="AI14" s="188" t="s">
        <v>117</v>
      </c>
      <c r="AJ14" s="136"/>
      <c r="AK14" s="238"/>
      <c r="AM14" s="328"/>
      <c r="AN14" s="324"/>
      <c r="AO14" s="183"/>
      <c r="AP14" s="222"/>
      <c r="AQ14" s="183"/>
      <c r="AR14" s="136"/>
      <c r="AS14" s="248"/>
      <c r="AT14" s="328"/>
      <c r="AU14" s="324"/>
      <c r="AV14" s="183"/>
      <c r="AW14" s="183"/>
      <c r="AX14" s="183"/>
      <c r="AY14" s="223"/>
      <c r="AZ14" s="188" t="s">
        <v>117</v>
      </c>
      <c r="BA14" s="136"/>
      <c r="BB14" s="238"/>
    </row>
    <row r="15" spans="1:55" x14ac:dyDescent="0.2">
      <c r="A15" s="331"/>
      <c r="B15" s="136" t="s">
        <v>108</v>
      </c>
      <c r="C15" s="349"/>
      <c r="E15" s="327"/>
      <c r="F15" s="324"/>
      <c r="G15" s="183"/>
      <c r="H15" s="223"/>
      <c r="I15" s="183"/>
      <c r="J15" s="136" t="s">
        <v>86</v>
      </c>
      <c r="K15" s="248"/>
      <c r="L15" s="327"/>
      <c r="M15" s="324"/>
      <c r="N15" s="183"/>
      <c r="O15" s="183"/>
      <c r="P15" s="183" t="s">
        <v>103</v>
      </c>
      <c r="Q15" s="223" t="s">
        <v>108</v>
      </c>
      <c r="R15" s="188" t="s">
        <v>118</v>
      </c>
      <c r="S15" s="136"/>
      <c r="T15" s="238"/>
      <c r="V15" s="327"/>
      <c r="W15" s="324"/>
      <c r="X15" s="183"/>
      <c r="Y15" s="223"/>
      <c r="Z15" s="183"/>
      <c r="AA15" s="136" t="s">
        <v>86</v>
      </c>
      <c r="AB15" s="248"/>
      <c r="AC15" s="327"/>
      <c r="AD15" s="324"/>
      <c r="AE15" s="183"/>
      <c r="AF15" s="183"/>
      <c r="AG15" s="183" t="s">
        <v>103</v>
      </c>
      <c r="AH15" s="223" t="s">
        <v>108</v>
      </c>
      <c r="AI15" s="188" t="s">
        <v>118</v>
      </c>
      <c r="AJ15" s="136"/>
      <c r="AK15" s="238"/>
      <c r="AM15" s="327"/>
      <c r="AN15" s="324"/>
      <c r="AO15" s="183"/>
      <c r="AP15" s="223"/>
      <c r="AQ15" s="183"/>
      <c r="AR15" s="136" t="s">
        <v>86</v>
      </c>
      <c r="AS15" s="248"/>
      <c r="AT15" s="327"/>
      <c r="AU15" s="324"/>
      <c r="AV15" s="183"/>
      <c r="AW15" s="183"/>
      <c r="AX15" s="183" t="s">
        <v>103</v>
      </c>
      <c r="AY15" s="223" t="s">
        <v>108</v>
      </c>
      <c r="AZ15" s="188" t="s">
        <v>118</v>
      </c>
      <c r="BA15" s="136"/>
      <c r="BB15" s="238"/>
    </row>
    <row r="16" spans="1:55" x14ac:dyDescent="0.2">
      <c r="A16" s="331"/>
      <c r="B16" s="136" t="s">
        <v>19</v>
      </c>
      <c r="C16" s="349" t="s">
        <v>122</v>
      </c>
      <c r="E16" s="327"/>
      <c r="F16" s="324" t="s">
        <v>80</v>
      </c>
      <c r="G16" s="183"/>
      <c r="H16" s="224"/>
      <c r="I16" s="183" t="s">
        <v>84</v>
      </c>
      <c r="J16" s="136" t="s">
        <v>87</v>
      </c>
      <c r="K16" s="248"/>
      <c r="L16" s="327"/>
      <c r="M16" s="324"/>
      <c r="N16" s="183"/>
      <c r="O16" s="183" t="s">
        <v>101</v>
      </c>
      <c r="P16" s="183" t="s">
        <v>16</v>
      </c>
      <c r="Q16" s="223" t="s">
        <v>120</v>
      </c>
      <c r="R16" s="188" t="s">
        <v>119</v>
      </c>
      <c r="S16" s="136" t="s">
        <v>108</v>
      </c>
      <c r="T16" s="238"/>
      <c r="V16" s="327"/>
      <c r="W16" s="324" t="s">
        <v>80</v>
      </c>
      <c r="X16" s="183"/>
      <c r="Y16" s="224"/>
      <c r="Z16" s="183" t="s">
        <v>84</v>
      </c>
      <c r="AA16" s="136" t="s">
        <v>87</v>
      </c>
      <c r="AB16" s="248"/>
      <c r="AC16" s="327"/>
      <c r="AD16" s="324"/>
      <c r="AE16" s="183"/>
      <c r="AF16" s="183" t="s">
        <v>101</v>
      </c>
      <c r="AG16" s="183" t="s">
        <v>16</v>
      </c>
      <c r="AH16" s="223" t="s">
        <v>120</v>
      </c>
      <c r="AI16" s="188" t="s">
        <v>119</v>
      </c>
      <c r="AJ16" s="136" t="s">
        <v>108</v>
      </c>
      <c r="AK16" s="238"/>
      <c r="AM16" s="327"/>
      <c r="AN16" s="324" t="s">
        <v>80</v>
      </c>
      <c r="AO16" s="183"/>
      <c r="AP16" s="224"/>
      <c r="AQ16" s="183" t="s">
        <v>84</v>
      </c>
      <c r="AR16" s="136" t="s">
        <v>87</v>
      </c>
      <c r="AS16" s="248"/>
      <c r="AT16" s="327"/>
      <c r="AU16" s="324"/>
      <c r="AV16" s="183"/>
      <c r="AW16" s="183" t="s">
        <v>101</v>
      </c>
      <c r="AX16" s="183" t="s">
        <v>16</v>
      </c>
      <c r="AY16" s="223" t="s">
        <v>120</v>
      </c>
      <c r="AZ16" s="188" t="s">
        <v>119</v>
      </c>
      <c r="BA16" s="136" t="s">
        <v>108</v>
      </c>
      <c r="BB16" s="238"/>
    </row>
    <row r="17" spans="1:56" x14ac:dyDescent="0.2">
      <c r="A17" s="332"/>
      <c r="B17" s="221" t="s">
        <v>119</v>
      </c>
      <c r="C17" s="350" t="s">
        <v>119</v>
      </c>
      <c r="E17" s="329"/>
      <c r="F17" s="323" t="s">
        <v>83</v>
      </c>
      <c r="G17" s="184" t="s">
        <v>81</v>
      </c>
      <c r="H17" s="77" t="s">
        <v>107</v>
      </c>
      <c r="I17" s="184" t="s">
        <v>85</v>
      </c>
      <c r="J17" s="221" t="s">
        <v>82</v>
      </c>
      <c r="K17" s="248"/>
      <c r="L17" s="329"/>
      <c r="M17" s="323" t="s">
        <v>95</v>
      </c>
      <c r="N17" s="183" t="s">
        <v>100</v>
      </c>
      <c r="O17" s="183" t="s">
        <v>102</v>
      </c>
      <c r="P17" s="183" t="s">
        <v>104</v>
      </c>
      <c r="Q17" s="77" t="s">
        <v>104</v>
      </c>
      <c r="R17" s="189" t="s">
        <v>102</v>
      </c>
      <c r="S17" s="221" t="s">
        <v>104</v>
      </c>
      <c r="T17" s="239" t="s">
        <v>106</v>
      </c>
      <c r="V17" s="329"/>
      <c r="W17" s="323" t="s">
        <v>83</v>
      </c>
      <c r="X17" s="184" t="s">
        <v>81</v>
      </c>
      <c r="Y17" s="77" t="s">
        <v>107</v>
      </c>
      <c r="Z17" s="184" t="s">
        <v>85</v>
      </c>
      <c r="AA17" s="221" t="s">
        <v>82</v>
      </c>
      <c r="AB17" s="248"/>
      <c r="AC17" s="329"/>
      <c r="AD17" s="323" t="s">
        <v>95</v>
      </c>
      <c r="AE17" s="184" t="s">
        <v>100</v>
      </c>
      <c r="AF17" s="184" t="s">
        <v>102</v>
      </c>
      <c r="AG17" s="184" t="s">
        <v>104</v>
      </c>
      <c r="AH17" s="77" t="s">
        <v>104</v>
      </c>
      <c r="AI17" s="189" t="s">
        <v>102</v>
      </c>
      <c r="AJ17" s="221" t="s">
        <v>104</v>
      </c>
      <c r="AK17" s="239" t="s">
        <v>106</v>
      </c>
      <c r="AM17" s="329"/>
      <c r="AN17" s="323" t="s">
        <v>83</v>
      </c>
      <c r="AO17" s="184" t="s">
        <v>81</v>
      </c>
      <c r="AP17" s="77" t="s">
        <v>107</v>
      </c>
      <c r="AQ17" s="184" t="s">
        <v>85</v>
      </c>
      <c r="AR17" s="221" t="s">
        <v>82</v>
      </c>
      <c r="AS17" s="248"/>
      <c r="AT17" s="329"/>
      <c r="AU17" s="323" t="s">
        <v>95</v>
      </c>
      <c r="AV17" s="184" t="s">
        <v>100</v>
      </c>
      <c r="AW17" s="184" t="s">
        <v>102</v>
      </c>
      <c r="AX17" s="184" t="s">
        <v>104</v>
      </c>
      <c r="AY17" s="77" t="s">
        <v>104</v>
      </c>
      <c r="AZ17" s="189" t="s">
        <v>102</v>
      </c>
      <c r="BA17" s="221" t="s">
        <v>104</v>
      </c>
      <c r="BB17" s="239" t="s">
        <v>106</v>
      </c>
    </row>
    <row r="18" spans="1:56" x14ac:dyDescent="0.2">
      <c r="A18" s="185">
        <v>36708</v>
      </c>
      <c r="B18" s="215">
        <f>+IF(AND($A18&gt;=$C$8,$A18&lt;=$C$9),1,0)*PORTS!$I$5/(365.25)*(A19-A18)</f>
        <v>0</v>
      </c>
      <c r="C18" s="351">
        <f>+B18-(SUMIF($F$17:$IV$17,$H$17,$F18:$IV18))</f>
        <v>0</v>
      </c>
      <c r="D18">
        <f>+YEAR(E18)</f>
        <v>2000</v>
      </c>
      <c r="E18" s="185">
        <v>36708</v>
      </c>
      <c r="F18" s="215">
        <f>+IF(AND(G$8&lt;=E18,G$9&gt;=E18),INDEX(ROUTE_PER_DAY_BY_SHIP,MATCH(CONCATENATE(G$4,G$5,G$7),ROUTE_PER_DAY_ROUTES,0),MATCH(G$6,ROUTE_PER_DAY_SHIPS,0))*(E19-E18),0)</f>
        <v>0</v>
      </c>
      <c r="G18" s="190">
        <f>-F18*HLOOKUP(G$6,SHIPS,7,0)*INDEX(LADEN_VOYAGE_DAYS,MATCH(CONCATENATE(G$4,G$5,G$7),LADEN_VOYAGE_ROUTES,0),MATCH(G$6,LADEN_VOYAGE_SHIPS,0))</f>
        <v>0</v>
      </c>
      <c r="H18" s="217">
        <f>SUM(F18:G18)</f>
        <v>0</v>
      </c>
      <c r="I18" s="117">
        <f>-(H18)*HLOOKUP(G$5,TERMINAL_CHARGES,3,0)</f>
        <v>0</v>
      </c>
      <c r="J18" s="220">
        <f t="shared" ref="J18:J82" si="2">+H18+I18</f>
        <v>0</v>
      </c>
      <c r="K18" s="202"/>
      <c r="L18" s="185">
        <v>36708</v>
      </c>
      <c r="M18" s="400">
        <f>+J18*(VLOOKUP(L18,CURVECALC!$C$6:$J$312,4,0)+N$5)</f>
        <v>0</v>
      </c>
      <c r="N18" s="206">
        <f>-F18*INDEX(ship_curves,MATCH(L18,'SHIP CURVES'!$A$9:$A$316,0),MATCH(CONCATENATE(P$4,P$5,P$6,P$7),'SHIP CURVES'!$A$9:$AZ$9,0))</f>
        <v>0</v>
      </c>
      <c r="O18" s="207">
        <f>-H18*INDEX(port_processing_fee,MATCH(L18,PORTS!$H$626:$H$933,0),MATCH(P$5,PORTS!$H$626:$Z$626,0))</f>
        <v>0</v>
      </c>
      <c r="P18" s="407">
        <f>(((VLOOKUP(L18,curvecalc,4,0))*IF(F18=0,0,J18/F18)-INDEX(ship_curves,MATCH(L18,'SHIP CURVES'!$A$9:$A$316,0),MATCH(CONCATENATE(P$4,P$5,P$6,P$7),'SHIP CURVES'!$A$9:$Z$9,0))-INDEX(terminal_curves,MATCH(L18,'TERMINAL CURVES'!$A$4:$A$313,0),MATCH(P$5,'TERMINAL CURVES'!$A$4:$N$4,0))*IF(F18=0,0,H18/F18))-(N$8)*((N$7-$N$5)-(INDEX(ship_curves,MATCH(L18,'SHIP CURVES'!$A$9:$A$316,0),MATCH(CONCATENATE(P$4,P$5,P$6,P$7),'SHIP CURVES'!$A$9:$Z$9,0))-INDEX(ship_curves,MATCH(L18,'SHIP CURVES'!$A$9:$A$316,0),MATCH(CONCATENATE(P$4,N$6,P$6,P$7),'SHIP CURVES'!$A$9:$Z$9,0)))-(INDEX(terminal_curves,MATCH(L18,'TERMINAL CURVES'!$A$4:$A$313,0),MATCH(P$5,'TERMINAL CURVES'!$A$4:$N$4,0))-INDEX(terminal_curves,MATCH(L18,'TERMINAL CURVES'!$A$4:$A$313,0),MATCH(N$6,'TERMINAL CURVES'!$A$4:$N$4,0)))*IF(F18=0,0,H18/F18)))*-F18</f>
        <v>0</v>
      </c>
      <c r="Q18" s="402">
        <f>SUM(N18:P18)</f>
        <v>0</v>
      </c>
      <c r="R18" s="476">
        <f>(-H18/((HLOOKUP(P$5,port_specs,2,0)/(365.25))*(L19-L18)))*(INDEX(fixed_capacity_charge,MATCH(L18,PORTS!$H$11:$H$317,0),MATCH(P$5,PORTS!$H$11:$N$11,0))+INDEX(variable_om_charge,MATCH(L18,PORTS!$H$318:$H$625,0),MATCH(P$5,PORTS!$H$318:$N$318,0)))</f>
        <v>0</v>
      </c>
      <c r="S18" s="235">
        <f>+R18+Q18</f>
        <v>0</v>
      </c>
      <c r="T18" s="240">
        <f>+S18+M18</f>
        <v>0</v>
      </c>
      <c r="U18" s="431"/>
      <c r="V18" s="185">
        <v>36708</v>
      </c>
      <c r="W18" s="215">
        <f>+Y18/(1-HLOOKUP(X$6,SHIPS,7,0)*INDEX(LADEN_VOYAGE_DAYS,MATCH(CONCATENATE(X$4,X$5),LADEN_VOYAGE_ROUTES,0),MATCH(X$6,LADEN_VOYAGE_SHIPS,0)))</f>
        <v>0</v>
      </c>
      <c r="X18" s="190">
        <f>+Y18-W18</f>
        <v>0</v>
      </c>
      <c r="Y18" s="217">
        <f>+IF(AND(X$8&lt;=V18,X$9&gt;=V18),+MIN($B18-SUMIF($H$17:X$17,Y$17,$H18:X18),((INDEX(ROUTE_PER_DAY_BY_SHIP,MATCH(CONCATENATE(X$4,X$5,X$7),ROUTE_PER_DAY_ROUTES,0),MATCH(X$6,ROUTE_PER_DAY_SHIPS,0))*(V19-V18))-(INDEX(ROUTE_PER_DAY_BY_SHIP,MATCH(CONCATENATE(X$4,X$5,X$7),ROUTE_PER_DAY_ROUTES,0),MATCH(X$6,ROUTE_PER_DAY_SHIPS,0))*(V19-V18))*HLOOKUP(X$6,SHIPS,7,0)*INDEX(LADEN_VOYAGE_DAYS,MATCH(CONCATENATE(X$4,X$5,X$7),LADEN_VOYAGE_ROUTES,0),MATCH(X$6,LADEN_VOYAGE_SHIPS,0)))),0)</f>
        <v>0</v>
      </c>
      <c r="Z18" s="117">
        <f>-(Y18)*HLOOKUP(X$5,TERMINAL_CHARGES,3,0)</f>
        <v>0</v>
      </c>
      <c r="AA18" s="220">
        <f t="shared" ref="AA18:AA81" si="3">+Y18+Z18</f>
        <v>0</v>
      </c>
      <c r="AB18" s="202"/>
      <c r="AC18" s="185">
        <v>36708</v>
      </c>
      <c r="AD18" s="232">
        <f>+AA18*(VLOOKUP(AC18,CURVECALC!$C$6:$J$312,4,0)+AE$5)</f>
        <v>0</v>
      </c>
      <c r="AE18" s="206">
        <f>-W18*INDEX(ship_curves,MATCH(AC18,'SHIP CURVES'!$A$9:$A$316,0),MATCH(CONCATENATE(AG$4,AG$5,AG$6,AG$7),'SHIP CURVES'!$A$9:$AZ$9,0))</f>
        <v>0</v>
      </c>
      <c r="AF18" s="207">
        <f>-Y18*INDEX(port_processing_fee,MATCH(AC18,PORTS!$H$626:$H$933,0),MATCH(AG$5,PORTS!$H$626:$Z$626,0))</f>
        <v>0</v>
      </c>
      <c r="AG18" s="407">
        <f>(((VLOOKUP(AC18,curvecalc,4,0))*IF(W18=0,0,AA18/W18)-INDEX(ship_curves,MATCH(AC18,'SHIP CURVES'!$A$9:$A$316,0),MATCH(CONCATENATE(AG$4,AG$5,AG$6,AG$7),'SHIP CURVES'!$A$9:$Z$9,0))-INDEX(terminal_curves,MATCH(AC18,'TERMINAL CURVES'!$A$4:$A$313,0),MATCH(AG$5,'TERMINAL CURVES'!$A$4:$N$4,0))*IF(W18=0,0,Y18/W18))-(AE$8)*((AE$7-$N$5)-(INDEX(ship_curves,MATCH(AC18,'SHIP CURVES'!$A$9:$A$316,0),MATCH(CONCATENATE(AG$4,AG$5,AG$6,AG$7),'SHIP CURVES'!$A$9:$Z$9,0))-INDEX(ship_curves,MATCH(AC18,'SHIP CURVES'!$A$9:$A$316,0),MATCH(CONCATENATE(AG$4,AE$6,AG$6,AG$7),'SHIP CURVES'!$A$9:$Z$9,0)))-(INDEX(terminal_curves,MATCH(AC18,'TERMINAL CURVES'!$A$4:$A$313,0),MATCH(AG$5,'TERMINAL CURVES'!$A$4:$N$4,0))-INDEX(terminal_curves,MATCH(AC18,'TERMINAL CURVES'!$A$4:$A$313,0),MATCH(AE$6,'TERMINAL CURVES'!$A$4:$N$4,0)))*IF(W18=0,0,Y18/W18)))*-W18</f>
        <v>0</v>
      </c>
      <c r="AH18" s="342">
        <f>SUM(AE18:AG18)</f>
        <v>0</v>
      </c>
      <c r="AI18" s="337">
        <f>(-Y18/((HLOOKUP(AG$5,port_specs,2,0)/(365.25))*(AC19-AC18)))*(INDEX(fixed_capacity_charge,MATCH(AC18,PORTS!$H$11:$H$317,0),MATCH(AG$5,PORTS!$H$11:$N$11,0))+INDEX(variable_om_charge,MATCH(AC18,PORTS!$H$318:$H$625,0),MATCH(AG$5,PORTS!$H$318:$N$318,0)))</f>
        <v>0</v>
      </c>
      <c r="AJ18" s="235">
        <f>+AI18+AH18</f>
        <v>0</v>
      </c>
      <c r="AK18" s="240">
        <f>+AJ18+AD18</f>
        <v>0</v>
      </c>
      <c r="AM18" s="185">
        <v>36708</v>
      </c>
      <c r="AN18" s="215">
        <f>+AP18/(1-HLOOKUP(AO$6,SHIPS,7,0)*INDEX(LADEN_VOYAGE_DAYS,MATCH(CONCATENATE(AO$4,AO$5),LADEN_VOYAGE_ROUTES,0),MATCH(AO$6,LADEN_VOYAGE_SHIPS,0)))</f>
        <v>0</v>
      </c>
      <c r="AO18" s="190">
        <f>+AP18-AN18</f>
        <v>0</v>
      </c>
      <c r="AP18" s="217">
        <f>+IF(AND(AO$8&lt;=AM18,AO$9&gt;=AM18),+MIN($B18-SUMIF($H$17:AO$17,AP$17,$H18:AO18),((INDEX(ROUTE_PER_DAY_BY_SHIP,MATCH(CONCATENATE(AO$4,AO$5,AO$7),ROUTE_PER_DAY_ROUTES,0),MATCH(AO$6,ROUTE_PER_DAY_SHIPS,0))*(AM19-AM18))-(INDEX(ROUTE_PER_DAY_BY_SHIP,MATCH(CONCATENATE(AO$4,AO$5,AO$7),ROUTE_PER_DAY_ROUTES,0),MATCH(AO$6,ROUTE_PER_DAY_SHIPS,0))*(AM19-AM18))*HLOOKUP(AO$6,SHIPS,7,0)*INDEX(LADEN_VOYAGE_DAYS,MATCH(CONCATENATE(AO$4,AO$5,AO$7),LADEN_VOYAGE_ROUTES,0),MATCH(AO$6,LADEN_VOYAGE_SHIPS,0)))),0)</f>
        <v>0</v>
      </c>
      <c r="AQ18" s="117">
        <f>-(AP18)*PORTS!$I$6</f>
        <v>0</v>
      </c>
      <c r="AR18" s="220">
        <f t="shared" ref="AR18:AR81" si="4">+AP18+AQ18</f>
        <v>0</v>
      </c>
      <c r="AS18" s="202"/>
      <c r="AT18" s="185">
        <v>36708</v>
      </c>
      <c r="AU18" s="232">
        <f>+AR18*(VLOOKUP(AT18,CURVECALC!$C$6:$J$312,4,0)+AV$5)</f>
        <v>0</v>
      </c>
      <c r="AV18" s="206">
        <f>-AN18*INDEX(ship_curves,MATCH(AT18,'SHIP CURVES'!$A$9:$A$316,0),MATCH(CONCATENATE(AX$4,AX$5,AX$6,AX$7),'SHIP CURVES'!$A$9:$AZ$9,0))</f>
        <v>0</v>
      </c>
      <c r="AW18" s="207">
        <f>-AP18*INDEX(port_processing_fee,MATCH(AT18,PORTS!$H$626:$H$933,0),MATCH(AX$5,PORTS!$H$626:$Z$626,0))</f>
        <v>0</v>
      </c>
      <c r="AX18" s="407">
        <f>(((VLOOKUP(AT18,curvecalc,4,0))*IF(AN18=0,0,AR18/AN18)-INDEX(ship_curves,MATCH(AT18,'SHIP CURVES'!$A$9:$A$316,0),MATCH(CONCATENATE(AX$4,AX$5,AX$6,AX$7),'SHIP CURVES'!$A$9:$Z$9,0))-INDEX(terminal_curves,MATCH(AT18,'TERMINAL CURVES'!$A$4:$A$313,0),MATCH(AX$5,'TERMINAL CURVES'!$A$4:$N$4,0))*IF(AN18=0,0,AP18/AN18))-(AV$8)*((AV$7-$N$5)-(INDEX(ship_curves,MATCH(AT18,'SHIP CURVES'!$A$9:$A$316,0),MATCH(CONCATENATE(AX$4,AX$5,AX$6,AX$7),'SHIP CURVES'!$A$9:$Z$9,0))-INDEX(ship_curves,MATCH(AT18,'SHIP CURVES'!$A$9:$A$316,0),MATCH(CONCATENATE(AX$4,AV$6,AX$6,AX$7),'SHIP CURVES'!$A$9:$Z$9,0)))-(INDEX(terminal_curves,MATCH(AT18,'TERMINAL CURVES'!$A$4:$A$313,0),MATCH(AX$5,'TERMINAL CURVES'!$A$4:$N$4,0))-INDEX(terminal_curves,MATCH(AT18,'TERMINAL CURVES'!$A$4:$A$313,0),MATCH(AV$6,'TERMINAL CURVES'!$A$4:$N$4,0)))*IF(AN18=0,0,AP18/AN18)))*-AN18</f>
        <v>0</v>
      </c>
      <c r="AY18" s="342">
        <f>SUM(AV18:AX18)</f>
        <v>0</v>
      </c>
      <c r="AZ18" s="337">
        <f>(-AP18/((HLOOKUP(AX$5,port_specs,2,0)/(365.25))*(AT19-AT18)))*(INDEX(fixed_capacity_charge,MATCH(AT18,PORTS!$H$11:$H$317,0),MATCH(AX$5,PORTS!$H$11:$N$11,0))+INDEX(variable_om_charge,MATCH(AT18,PORTS!$H$318:$H$625,0),MATCH(AX$5,PORTS!$H$318:$N$318,0)))</f>
        <v>0</v>
      </c>
      <c r="BA18" s="235">
        <f>+AZ18+AY18</f>
        <v>0</v>
      </c>
      <c r="BB18" s="240">
        <f>+BA18+AU18</f>
        <v>0</v>
      </c>
      <c r="BC18" s="408"/>
      <c r="BD18" s="337">
        <f>+PORTS!I12+PORTS!I320</f>
        <v>0</v>
      </c>
    </row>
    <row r="19" spans="1:56" x14ac:dyDescent="0.2">
      <c r="A19" s="186">
        <f>+DATE(YEAR(A18),MONTH(A18)+1,1)</f>
        <v>36739</v>
      </c>
      <c r="B19" s="215">
        <f>+IF(AND($A19&gt;=$C$8,$A19&lt;=$C$9),1,0)*PORTS!$I$5/(365.25)*(A20-A19)</f>
        <v>0</v>
      </c>
      <c r="C19" s="351">
        <f t="shared" ref="C19:C82" si="5">+B19-(SUMIF($F$17:$IV$17,$H$17,$F19:$IV19))</f>
        <v>0</v>
      </c>
      <c r="D19">
        <f t="shared" ref="D19:D82" si="6">+YEAR(E19)</f>
        <v>2000</v>
      </c>
      <c r="E19" s="186">
        <f>+DATE(YEAR(E18),MONTH(E18)+1,1)</f>
        <v>36739</v>
      </c>
      <c r="F19" s="215">
        <f t="shared" ref="F19:F82" si="7">+IF(AND(G$8&lt;=E19,G$9&gt;=E19),INDEX(ROUTE_PER_DAY_BY_SHIP,MATCH(CONCATENATE(G$4,G$5,G$7),ROUTE_PER_DAY_ROUTES,0),MATCH(G$6,ROUTE_PER_DAY_SHIPS,0))*(E20-E19),0)</f>
        <v>0</v>
      </c>
      <c r="G19" s="191">
        <f t="shared" ref="G19:G82" si="8">-F19*HLOOKUP(G$6,SHIPS,7,0)*INDEX(LADEN_VOYAGE_DAYS,MATCH(CONCATENATE(G$4,G$5,G$7),LADEN_VOYAGE_ROUTES,0),MATCH(G$6,LADEN_VOYAGE_SHIPS,0))</f>
        <v>0</v>
      </c>
      <c r="H19" s="218">
        <f t="shared" ref="H19:H82" si="9">SUM(F19:G19)</f>
        <v>0</v>
      </c>
      <c r="I19" s="118">
        <f t="shared" ref="I19:I82" si="10">-(H19)*HLOOKUP(G$5,TERMINAL_CHARGES,3,0)</f>
        <v>0</v>
      </c>
      <c r="J19" s="215">
        <f t="shared" si="2"/>
        <v>0</v>
      </c>
      <c r="K19" s="202"/>
      <c r="L19" s="186">
        <f>+DATE(YEAR(L18),MONTH(L18)+1,1)</f>
        <v>36739</v>
      </c>
      <c r="M19" s="400">
        <f>+J19*(VLOOKUP(L19,CURVECALC!$C$6:$J$312,4,0)+N$5)</f>
        <v>0</v>
      </c>
      <c r="N19" s="208">
        <f>-F19*INDEX(ship_curves,MATCH(L19,'SHIP CURVES'!$A$9:$A$316,0),MATCH(CONCATENATE(P$4,P$5,P$6,P$7),'SHIP CURVES'!$A$9:$AZ$9,0))</f>
        <v>0</v>
      </c>
      <c r="O19" s="209">
        <f>-H19*INDEX(port_processing_fee,MATCH(L19,PORTS!$H$626:$H$933,0),MATCH(P$5,PORTS!$H$626:$Z$626,0))</f>
        <v>0</v>
      </c>
      <c r="P19" s="405">
        <f>(((VLOOKUP(L19,curvecalc,4,0))*IF(F19=0,0,J19/F19)-INDEX(ship_curves,MATCH(L19,'SHIP CURVES'!$A$9:$A$316,0),MATCH(CONCATENATE(P$4,P$5,P$6,P$7),'SHIP CURVES'!$A$9:$Z$9,0))-INDEX(terminal_curves,MATCH(L19,'TERMINAL CURVES'!$A$4:$A$313,0),MATCH(P$5,'TERMINAL CURVES'!$A$4:$N$4,0))*IF(F19=0,0,H19/F19))-(N$8)*((N$7-$N$5)-(INDEX(ship_curves,MATCH(L19,'SHIP CURVES'!$A$9:$A$316,0),MATCH(CONCATENATE(P$4,P$5,P$6,P$7),'SHIP CURVES'!$A$9:$Z$9,0))-INDEX(ship_curves,MATCH(L19,'SHIP CURVES'!$A$9:$A$316,0),MATCH(CONCATENATE(P$4,N$6,P$6,P$7),'SHIP CURVES'!$A$9:$Z$9,0)))-(INDEX(terminal_curves,MATCH(L19,'TERMINAL CURVES'!$A$4:$A$313,0),MATCH(P$5,'TERMINAL CURVES'!$A$4:$N$4,0))-INDEX(terminal_curves,MATCH(L19,'TERMINAL CURVES'!$A$4:$A$313,0),MATCH(N$6,'TERMINAL CURVES'!$A$4:$N$4,0)))*IF(F19=0,0,H19/F19)))*-F19</f>
        <v>0</v>
      </c>
      <c r="Q19" s="403">
        <f t="shared" ref="Q19:Q82" si="11">SUM(N19:P19)</f>
        <v>0</v>
      </c>
      <c r="R19" s="477">
        <f>(-H19/((HLOOKUP(P$5,port_specs,2,0)/(365.25))*(L20-L19)))*(INDEX(fixed_capacity_charge,MATCH(L19,PORTS!$H$11:$H$317,0),MATCH(P$5,PORTS!$H$11:$N$11,0))+INDEX(variable_om_charge,MATCH(L19,PORTS!$H$318:$H$625,0),MATCH(P$5,PORTS!$H$318:$N$318,0)))</f>
        <v>0</v>
      </c>
      <c r="S19" s="232">
        <f t="shared" ref="S19:S82" si="12">+R19+Q19</f>
        <v>0</v>
      </c>
      <c r="T19" s="241">
        <f t="shared" ref="T19:T82" si="13">+S19+M19</f>
        <v>0</v>
      </c>
      <c r="U19" s="431"/>
      <c r="V19" s="186">
        <f>+DATE(YEAR(V18),MONTH(V18)+1,1)</f>
        <v>36739</v>
      </c>
      <c r="W19" s="215">
        <f t="shared" ref="W19:W82" si="14">+Y19/(1-HLOOKUP(X$6,SHIPS,7,0)*INDEX(LADEN_VOYAGE_DAYS,MATCH(CONCATENATE(X$4,X$5),LADEN_VOYAGE_ROUTES,0),MATCH(X$6,LADEN_VOYAGE_SHIPS,0)))</f>
        <v>0</v>
      </c>
      <c r="X19" s="191">
        <f t="shared" ref="X19:X82" si="15">+Y19-W19</f>
        <v>0</v>
      </c>
      <c r="Y19" s="218">
        <f>+IF(AND(X$8&lt;=V19,X$9&gt;=V19),+MIN($B19-SUMIF($H$17:X$17,Y$17,$H19:X19),((INDEX(ROUTE_PER_DAY_BY_SHIP,MATCH(CONCATENATE(X$4,X$5,X$7),ROUTE_PER_DAY_ROUTES,0),MATCH(X$6,ROUTE_PER_DAY_SHIPS,0))*(V20-V19))-(INDEX(ROUTE_PER_DAY_BY_SHIP,MATCH(CONCATENATE(X$4,X$5,X$7),ROUTE_PER_DAY_ROUTES,0),MATCH(X$6,ROUTE_PER_DAY_SHIPS,0))*(V20-V19))*HLOOKUP(X$6,SHIPS,7,0)*INDEX(LADEN_VOYAGE_DAYS,MATCH(CONCATENATE(X$4,X$5,X$7),LADEN_VOYAGE_ROUTES,0),MATCH(X$6,LADEN_VOYAGE_SHIPS,0)))),0)</f>
        <v>0</v>
      </c>
      <c r="Z19" s="118">
        <f t="shared" ref="Z19:Z82" si="16">-(Y19)*HLOOKUP(X$5,TERMINAL_CHARGES,3,0)</f>
        <v>0</v>
      </c>
      <c r="AA19" s="215">
        <f t="shared" si="3"/>
        <v>0</v>
      </c>
      <c r="AB19" s="202"/>
      <c r="AC19" s="186">
        <f>+DATE(YEAR(AC18),MONTH(AC18)+1,1)</f>
        <v>36739</v>
      </c>
      <c r="AD19" s="232">
        <f>+AA19*(VLOOKUP(AC19,CURVECALC!$C$6:$J$312,4,0)+AE$5)</f>
        <v>0</v>
      </c>
      <c r="AE19" s="208">
        <f>-W19*INDEX(ship_curves,MATCH(AC19,'SHIP CURVES'!$A$9:$A$316,0),MATCH(CONCATENATE(AG$4,AG$5,AG$6,AG$7),'SHIP CURVES'!$A$9:$AZ$9,0))</f>
        <v>0</v>
      </c>
      <c r="AF19" s="209">
        <f>-Y19*INDEX(port_processing_fee,MATCH(AC19,PORTS!$H$626:$H$933,0),MATCH(AG$5,PORTS!$H$626:$Z$626,0))</f>
        <v>0</v>
      </c>
      <c r="AG19" s="405">
        <f>(((VLOOKUP(AC19,curvecalc,4,0))*IF(W19=0,0,AA19/W19)-INDEX(ship_curves,MATCH(AC19,'SHIP CURVES'!$A$9:$A$316,0),MATCH(CONCATENATE(AG$4,AG$5,AG$6,AG$7),'SHIP CURVES'!$A$9:$Z$9,0))-INDEX(terminal_curves,MATCH(AC19,'TERMINAL CURVES'!$A$4:$A$313,0),MATCH(AG$5,'TERMINAL CURVES'!$A$4:$N$4,0))*IF(W19=0,0,Y19/W19))-(AE$8)*((AE$7-$N$5)-(INDEX(ship_curves,MATCH(AC19,'SHIP CURVES'!$A$9:$A$316,0),MATCH(CONCATENATE(AG$4,AG$5,AG$6,AG$7),'SHIP CURVES'!$A$9:$Z$9,0))-INDEX(ship_curves,MATCH(AC19,'SHIP CURVES'!$A$9:$A$316,0),MATCH(CONCATENATE(AG$4,AE$6,AG$6,AG$7),'SHIP CURVES'!$A$9:$Z$9,0)))-(INDEX(terminal_curves,MATCH(AC19,'TERMINAL CURVES'!$A$4:$A$313,0),MATCH(AG$5,'TERMINAL CURVES'!$A$4:$N$4,0))-INDEX(terminal_curves,MATCH(AC19,'TERMINAL CURVES'!$A$4:$A$313,0),MATCH(AE$6,'TERMINAL CURVES'!$A$4:$N$4,0)))*IF(W19=0,0,Y19/W19)))*-W19</f>
        <v>0</v>
      </c>
      <c r="AH19" s="343">
        <f t="shared" ref="AH19:AH82" si="17">SUM(AE19:AG19)</f>
        <v>0</v>
      </c>
      <c r="AI19" s="338">
        <f>(-Y19/((HLOOKUP(AG$5,port_specs,2,0)/(365.25))*(AC20-AC19)))*(INDEX(fixed_capacity_charge,MATCH(AC19,PORTS!$H$11:$H$317,0),MATCH(AG$5,PORTS!$H$11:$N$11,0))+INDEX(variable_om_charge,MATCH(AC19,PORTS!$H$318:$H$625,0),MATCH(AG$5,PORTS!$H$318:$N$318,0)))</f>
        <v>0</v>
      </c>
      <c r="AJ19" s="232">
        <f t="shared" ref="AJ19:AJ82" si="18">+AI19+AH19</f>
        <v>0</v>
      </c>
      <c r="AK19" s="241">
        <f t="shared" ref="AK19:AK82" si="19">+AJ19+AD19</f>
        <v>0</v>
      </c>
      <c r="AM19" s="186">
        <f>+DATE(YEAR(AM18),MONTH(AM18)+1,1)</f>
        <v>36739</v>
      </c>
      <c r="AN19" s="215">
        <f t="shared" ref="AN19:AN82" si="20">+AP19/(1-HLOOKUP(AO$6,SHIPS,7,0)*INDEX(LADEN_VOYAGE_DAYS,MATCH(CONCATENATE(AO$4,AO$5),LADEN_VOYAGE_ROUTES,0),MATCH(AO$6,LADEN_VOYAGE_SHIPS,0)))</f>
        <v>0</v>
      </c>
      <c r="AO19" s="191">
        <f t="shared" ref="AO19:AO82" si="21">+AP19-AN19</f>
        <v>0</v>
      </c>
      <c r="AP19" s="218">
        <f>+IF(AND(AO$8&lt;=AM19,AO$9&gt;=AM19),+MIN($B19-SUMIF($H$17:AO$17,AP$17,$H19:AO19),((INDEX(ROUTE_PER_DAY_BY_SHIP,MATCH(CONCATENATE(AO$4,AO$5,AO$7),ROUTE_PER_DAY_ROUTES,0),MATCH(AO$6,ROUTE_PER_DAY_SHIPS,0))*(AM20-AM19))-(INDEX(ROUTE_PER_DAY_BY_SHIP,MATCH(CONCATENATE(AO$4,AO$5,AO$7),ROUTE_PER_DAY_ROUTES,0),MATCH(AO$6,ROUTE_PER_DAY_SHIPS,0))*(AM20-AM19))*HLOOKUP(AO$6,SHIPS,7,0)*INDEX(LADEN_VOYAGE_DAYS,MATCH(CONCATENATE(AO$4,AO$5,AO$7),LADEN_VOYAGE_ROUTES,0),MATCH(AO$6,LADEN_VOYAGE_SHIPS,0)))),0)</f>
        <v>0</v>
      </c>
      <c r="AQ19" s="118">
        <f>-(AP19)*PORTS!$I$6</f>
        <v>0</v>
      </c>
      <c r="AR19" s="215">
        <f t="shared" si="4"/>
        <v>0</v>
      </c>
      <c r="AS19" s="202"/>
      <c r="AT19" s="186">
        <f>+DATE(YEAR(AT18),MONTH(AT18)+1,1)</f>
        <v>36739</v>
      </c>
      <c r="AU19" s="232">
        <f>+AR19*(VLOOKUP(AT19,CURVECALC!$C$6:$J$312,4,0)+AV$5)</f>
        <v>0</v>
      </c>
      <c r="AV19" s="208">
        <f>-AN19*INDEX(ship_curves,MATCH(AT19,'SHIP CURVES'!$A$9:$A$316,0),MATCH(CONCATENATE(AX$4,AX$5,AX$6,AX$7),'SHIP CURVES'!$A$9:$AZ$9,0))</f>
        <v>0</v>
      </c>
      <c r="AW19" s="209">
        <f>-AP19*INDEX(port_processing_fee,MATCH(AT19,PORTS!$H$626:$H$933,0),MATCH(AX$5,PORTS!$H$626:$Z$626,0))</f>
        <v>0</v>
      </c>
      <c r="AX19" s="405">
        <f>(((VLOOKUP(AT19,curvecalc,4,0))*IF(AN19=0,0,AR19/AN19)-INDEX(ship_curves,MATCH(AT19,'SHIP CURVES'!$A$9:$A$316,0),MATCH(CONCATENATE(AX$4,AX$5,AX$6,AX$7),'SHIP CURVES'!$A$9:$Z$9,0))-INDEX(terminal_curves,MATCH(AT19,'TERMINAL CURVES'!$A$4:$A$313,0),MATCH(AX$5,'TERMINAL CURVES'!$A$4:$N$4,0))*IF(AN19=0,0,AP19/AN19))-(AV$8)*((AV$7-$N$5)-(INDEX(ship_curves,MATCH(AT19,'SHIP CURVES'!$A$9:$A$316,0),MATCH(CONCATENATE(AX$4,AX$5,AX$6,AX$7),'SHIP CURVES'!$A$9:$Z$9,0))-INDEX(ship_curves,MATCH(AT19,'SHIP CURVES'!$A$9:$A$316,0),MATCH(CONCATENATE(AX$4,AV$6,AX$6,AX$7),'SHIP CURVES'!$A$9:$Z$9,0)))-(INDEX(terminal_curves,MATCH(AT19,'TERMINAL CURVES'!$A$4:$A$313,0),MATCH(AX$5,'TERMINAL CURVES'!$A$4:$N$4,0))-INDEX(terminal_curves,MATCH(AT19,'TERMINAL CURVES'!$A$4:$A$313,0),MATCH(AV$6,'TERMINAL CURVES'!$A$4:$N$4,0)))*IF(AN19=0,0,AP19/AN19)))*-AN19</f>
        <v>0</v>
      </c>
      <c r="AY19" s="343">
        <f t="shared" ref="AY19:AY82" si="22">SUM(AV19:AX19)</f>
        <v>0</v>
      </c>
      <c r="AZ19" s="338">
        <f>(-AP19/((HLOOKUP(AX$5,port_specs,2,0)/(365.25))*(AT20-AT19)))*(INDEX(fixed_capacity_charge,MATCH(AT19,PORTS!$H$11:$H$317,0),MATCH(AX$5,PORTS!$H$11:$N$11,0))+INDEX(variable_om_charge,MATCH(AT19,PORTS!$H$318:$H$625,0),MATCH(AX$5,PORTS!$H$318:$N$318,0)))</f>
        <v>0</v>
      </c>
      <c r="BA19" s="232">
        <f t="shared" ref="BA19:BA82" si="23">+AZ19+AY19</f>
        <v>0</v>
      </c>
      <c r="BB19" s="241">
        <f t="shared" ref="BB19:BB82" si="24">+BA19+AU19</f>
        <v>0</v>
      </c>
      <c r="BC19" s="408"/>
      <c r="BD19" s="338">
        <f>+PORTS!I13+PORTS!I321</f>
        <v>0</v>
      </c>
    </row>
    <row r="20" spans="1:56" x14ac:dyDescent="0.2">
      <c r="A20" s="186">
        <f t="shared" ref="A20:A83" si="25">+DATE(YEAR(A19),MONTH(A19)+1,1)</f>
        <v>36770</v>
      </c>
      <c r="B20" s="215">
        <f>+IF(AND($A20&gt;=$C$8,$A20&lt;=$C$9),1,0)*PORTS!$I$5/(365.25)*(A21-A20)</f>
        <v>0</v>
      </c>
      <c r="C20" s="351">
        <f t="shared" si="5"/>
        <v>0</v>
      </c>
      <c r="D20">
        <f t="shared" si="6"/>
        <v>2000</v>
      </c>
      <c r="E20" s="186">
        <f t="shared" ref="E20:E83" si="26">+DATE(YEAR(E19),MONTH(E19)+1,1)</f>
        <v>36770</v>
      </c>
      <c r="F20" s="215">
        <f t="shared" si="7"/>
        <v>0</v>
      </c>
      <c r="G20" s="191">
        <f t="shared" si="8"/>
        <v>0</v>
      </c>
      <c r="H20" s="218">
        <f t="shared" si="9"/>
        <v>0</v>
      </c>
      <c r="I20" s="118">
        <f t="shared" si="10"/>
        <v>0</v>
      </c>
      <c r="J20" s="215">
        <f t="shared" si="2"/>
        <v>0</v>
      </c>
      <c r="K20" s="202"/>
      <c r="L20" s="186">
        <f t="shared" ref="L20:L83" si="27">+DATE(YEAR(L19),MONTH(L19)+1,1)</f>
        <v>36770</v>
      </c>
      <c r="M20" s="400">
        <f>+J20*(VLOOKUP(L20,CURVECALC!$C$6:$J$312,4,0)+N$5)</f>
        <v>0</v>
      </c>
      <c r="N20" s="208">
        <f>-F20*INDEX(ship_curves,MATCH(L20,'SHIP CURVES'!$A$9:$A$316,0),MATCH(CONCATENATE(P$4,P$5,P$6,P$7),'SHIP CURVES'!$A$9:$AZ$9,0))</f>
        <v>0</v>
      </c>
      <c r="O20" s="209">
        <f>-H20*INDEX(port_processing_fee,MATCH(L20,PORTS!$H$626:$H$933,0),MATCH(P$5,PORTS!$H$626:$Z$626,0))</f>
        <v>0</v>
      </c>
      <c r="P20" s="405">
        <f>(((VLOOKUP(L20,curvecalc,4,0))*IF(F20=0,0,J20/F20)-INDEX(ship_curves,MATCH(L20,'SHIP CURVES'!$A$9:$A$316,0),MATCH(CONCATENATE(P$4,P$5,P$6,P$7),'SHIP CURVES'!$A$9:$Z$9,0))-INDEX(terminal_curves,MATCH(L20,'TERMINAL CURVES'!$A$4:$A$313,0),MATCH(P$5,'TERMINAL CURVES'!$A$4:$N$4,0))*IF(F20=0,0,H20/F20))-(N$8)*((N$7-$N$5)-(INDEX(ship_curves,MATCH(L20,'SHIP CURVES'!$A$9:$A$316,0),MATCH(CONCATENATE(P$4,P$5,P$6,P$7),'SHIP CURVES'!$A$9:$Z$9,0))-INDEX(ship_curves,MATCH(L20,'SHIP CURVES'!$A$9:$A$316,0),MATCH(CONCATENATE(P$4,N$6,P$6,P$7),'SHIP CURVES'!$A$9:$Z$9,0)))-(INDEX(terminal_curves,MATCH(L20,'TERMINAL CURVES'!$A$4:$A$313,0),MATCH(P$5,'TERMINAL CURVES'!$A$4:$N$4,0))-INDEX(terminal_curves,MATCH(L20,'TERMINAL CURVES'!$A$4:$A$313,0),MATCH(N$6,'TERMINAL CURVES'!$A$4:$N$4,0)))*IF(F20=0,0,H20/F20)))*-F20</f>
        <v>0</v>
      </c>
      <c r="Q20" s="403">
        <f t="shared" si="11"/>
        <v>0</v>
      </c>
      <c r="R20" s="477">
        <f>(-H20/((HLOOKUP(P$5,port_specs,2,0)/(365.25))*(L21-L20)))*(INDEX(fixed_capacity_charge,MATCH(L20,PORTS!$H$11:$H$317,0),MATCH(P$5,PORTS!$H$11:$N$11,0))+INDEX(variable_om_charge,MATCH(L20,PORTS!$H$318:$H$625,0),MATCH(P$5,PORTS!$H$318:$N$318,0)))</f>
        <v>0</v>
      </c>
      <c r="S20" s="232">
        <f t="shared" si="12"/>
        <v>0</v>
      </c>
      <c r="T20" s="241">
        <f t="shared" si="13"/>
        <v>0</v>
      </c>
      <c r="U20" s="431"/>
      <c r="V20" s="186">
        <f t="shared" ref="V20:V83" si="28">+DATE(YEAR(V19),MONTH(V19)+1,1)</f>
        <v>36770</v>
      </c>
      <c r="W20" s="215">
        <f t="shared" si="14"/>
        <v>0</v>
      </c>
      <c r="X20" s="191">
        <f t="shared" si="15"/>
        <v>0</v>
      </c>
      <c r="Y20" s="218">
        <f>+IF(AND(X$8&lt;=V20,X$9&gt;=V20),+MIN($B20-SUMIF($H$17:X$17,Y$17,$H20:X20),((INDEX(ROUTE_PER_DAY_BY_SHIP,MATCH(CONCATENATE(X$4,X$5,X$7),ROUTE_PER_DAY_ROUTES,0),MATCH(X$6,ROUTE_PER_DAY_SHIPS,0))*(V21-V20))-(INDEX(ROUTE_PER_DAY_BY_SHIP,MATCH(CONCATENATE(X$4,X$5,X$7),ROUTE_PER_DAY_ROUTES,0),MATCH(X$6,ROUTE_PER_DAY_SHIPS,0))*(V21-V20))*HLOOKUP(X$6,SHIPS,7,0)*INDEX(LADEN_VOYAGE_DAYS,MATCH(CONCATENATE(X$4,X$5,X$7),LADEN_VOYAGE_ROUTES,0),MATCH(X$6,LADEN_VOYAGE_SHIPS,0)))),0)</f>
        <v>0</v>
      </c>
      <c r="Z20" s="118">
        <f t="shared" si="16"/>
        <v>0</v>
      </c>
      <c r="AA20" s="215">
        <f t="shared" si="3"/>
        <v>0</v>
      </c>
      <c r="AB20" s="202"/>
      <c r="AC20" s="186">
        <f t="shared" ref="AC20:AC83" si="29">+DATE(YEAR(AC19),MONTH(AC19)+1,1)</f>
        <v>36770</v>
      </c>
      <c r="AD20" s="232">
        <f>+AA20*(VLOOKUP(AC20,CURVECALC!$C$6:$J$312,4,0)+AE$5)</f>
        <v>0</v>
      </c>
      <c r="AE20" s="208">
        <f>-W20*INDEX(ship_curves,MATCH(AC20,'SHIP CURVES'!$A$9:$A$316,0),MATCH(CONCATENATE(AG$4,AG$5,AG$6,AG$7),'SHIP CURVES'!$A$9:$AZ$9,0))</f>
        <v>0</v>
      </c>
      <c r="AF20" s="209">
        <f>-Y20*INDEX(port_processing_fee,MATCH(AC20,PORTS!$H$626:$H$933,0),MATCH(AG$5,PORTS!$H$626:$Z$626,0))</f>
        <v>0</v>
      </c>
      <c r="AG20" s="405">
        <f>(((VLOOKUP(AC20,curvecalc,4,0))*IF(W20=0,0,AA20/W20)-INDEX(ship_curves,MATCH(AC20,'SHIP CURVES'!$A$9:$A$316,0),MATCH(CONCATENATE(AG$4,AG$5,AG$6,AG$7),'SHIP CURVES'!$A$9:$Z$9,0))-INDEX(terminal_curves,MATCH(AC20,'TERMINAL CURVES'!$A$4:$A$313,0),MATCH(AG$5,'TERMINAL CURVES'!$A$4:$N$4,0))*IF(W20=0,0,Y20/W20))-(AE$8)*((AE$7-$N$5)-(INDEX(ship_curves,MATCH(AC20,'SHIP CURVES'!$A$9:$A$316,0),MATCH(CONCATENATE(AG$4,AG$5,AG$6,AG$7),'SHIP CURVES'!$A$9:$Z$9,0))-INDEX(ship_curves,MATCH(AC20,'SHIP CURVES'!$A$9:$A$316,0),MATCH(CONCATENATE(AG$4,AE$6,AG$6,AG$7),'SHIP CURVES'!$A$9:$Z$9,0)))-(INDEX(terminal_curves,MATCH(AC20,'TERMINAL CURVES'!$A$4:$A$313,0),MATCH(AG$5,'TERMINAL CURVES'!$A$4:$N$4,0))-INDEX(terminal_curves,MATCH(AC20,'TERMINAL CURVES'!$A$4:$A$313,0),MATCH(AE$6,'TERMINAL CURVES'!$A$4:$N$4,0)))*IF(W20=0,0,Y20/W20)))*-W20</f>
        <v>0</v>
      </c>
      <c r="AH20" s="343">
        <f t="shared" si="17"/>
        <v>0</v>
      </c>
      <c r="AI20" s="338">
        <f>(-Y20/((HLOOKUP(AG$5,port_specs,2,0)/(365.25))*(AC21-AC20)))*(INDEX(fixed_capacity_charge,MATCH(AC20,PORTS!$H$11:$H$317,0),MATCH(AG$5,PORTS!$H$11:$N$11,0))+INDEX(variable_om_charge,MATCH(AC20,PORTS!$H$318:$H$625,0),MATCH(AG$5,PORTS!$H$318:$N$318,0)))</f>
        <v>0</v>
      </c>
      <c r="AJ20" s="232">
        <f t="shared" si="18"/>
        <v>0</v>
      </c>
      <c r="AK20" s="241">
        <f t="shared" si="19"/>
        <v>0</v>
      </c>
      <c r="AM20" s="186">
        <f t="shared" ref="AM20:AM83" si="30">+DATE(YEAR(AM19),MONTH(AM19)+1,1)</f>
        <v>36770</v>
      </c>
      <c r="AN20" s="215">
        <f t="shared" si="20"/>
        <v>0</v>
      </c>
      <c r="AO20" s="191">
        <f t="shared" si="21"/>
        <v>0</v>
      </c>
      <c r="AP20" s="218">
        <f>+IF(AND(AO$8&lt;=AM20,AO$9&gt;=AM20),+MIN($B20-SUMIF($H$17:AO$17,AP$17,$H20:AO20),((INDEX(ROUTE_PER_DAY_BY_SHIP,MATCH(CONCATENATE(AO$4,AO$5,AO$7),ROUTE_PER_DAY_ROUTES,0),MATCH(AO$6,ROUTE_PER_DAY_SHIPS,0))*(AM21-AM20))-(INDEX(ROUTE_PER_DAY_BY_SHIP,MATCH(CONCATENATE(AO$4,AO$5,AO$7),ROUTE_PER_DAY_ROUTES,0),MATCH(AO$6,ROUTE_PER_DAY_SHIPS,0))*(AM21-AM20))*HLOOKUP(AO$6,SHIPS,7,0)*INDEX(LADEN_VOYAGE_DAYS,MATCH(CONCATENATE(AO$4,AO$5,AO$7),LADEN_VOYAGE_ROUTES,0),MATCH(AO$6,LADEN_VOYAGE_SHIPS,0)))),0)</f>
        <v>0</v>
      </c>
      <c r="AQ20" s="118">
        <f>-(AP20)*PORTS!$I$6</f>
        <v>0</v>
      </c>
      <c r="AR20" s="215">
        <f t="shared" si="4"/>
        <v>0</v>
      </c>
      <c r="AS20" s="202"/>
      <c r="AT20" s="186">
        <f t="shared" ref="AT20:AT83" si="31">+DATE(YEAR(AT19),MONTH(AT19)+1,1)</f>
        <v>36770</v>
      </c>
      <c r="AU20" s="232">
        <f>+AR20*(VLOOKUP(AT20,CURVECALC!$C$6:$J$312,4,0)+AV$5)</f>
        <v>0</v>
      </c>
      <c r="AV20" s="208">
        <f>-AN20*INDEX(ship_curves,MATCH(AT20,'SHIP CURVES'!$A$9:$A$316,0),MATCH(CONCATENATE(AX$4,AX$5,AX$6,AX$7),'SHIP CURVES'!$A$9:$AZ$9,0))</f>
        <v>0</v>
      </c>
      <c r="AW20" s="209">
        <f>-AP20*INDEX(port_processing_fee,MATCH(AT20,PORTS!$H$626:$H$933,0),MATCH(AX$5,PORTS!$H$626:$Z$626,0))</f>
        <v>0</v>
      </c>
      <c r="AX20" s="405">
        <f>(((VLOOKUP(AT20,curvecalc,4,0))*IF(AN20=0,0,AR20/AN20)-INDEX(ship_curves,MATCH(AT20,'SHIP CURVES'!$A$9:$A$316,0),MATCH(CONCATENATE(AX$4,AX$5,AX$6,AX$7),'SHIP CURVES'!$A$9:$Z$9,0))-INDEX(terminal_curves,MATCH(AT20,'TERMINAL CURVES'!$A$4:$A$313,0),MATCH(AX$5,'TERMINAL CURVES'!$A$4:$N$4,0))*IF(AN20=0,0,AP20/AN20))-(AV$8)*((AV$7-$N$5)-(INDEX(ship_curves,MATCH(AT20,'SHIP CURVES'!$A$9:$A$316,0),MATCH(CONCATENATE(AX$4,AX$5,AX$6,AX$7),'SHIP CURVES'!$A$9:$Z$9,0))-INDEX(ship_curves,MATCH(AT20,'SHIP CURVES'!$A$9:$A$316,0),MATCH(CONCATENATE(AX$4,AV$6,AX$6,AX$7),'SHIP CURVES'!$A$9:$Z$9,0)))-(INDEX(terminal_curves,MATCH(AT20,'TERMINAL CURVES'!$A$4:$A$313,0),MATCH(AX$5,'TERMINAL CURVES'!$A$4:$N$4,0))-INDEX(terminal_curves,MATCH(AT20,'TERMINAL CURVES'!$A$4:$A$313,0),MATCH(AV$6,'TERMINAL CURVES'!$A$4:$N$4,0)))*IF(AN20=0,0,AP20/AN20)))*-AN20</f>
        <v>0</v>
      </c>
      <c r="AY20" s="343">
        <f t="shared" si="22"/>
        <v>0</v>
      </c>
      <c r="AZ20" s="338">
        <f>(-AP20/((HLOOKUP(AX$5,port_specs,2,0)/(365.25))*(AT21-AT20)))*(INDEX(fixed_capacity_charge,MATCH(AT20,PORTS!$H$11:$H$317,0),MATCH(AX$5,PORTS!$H$11:$N$11,0))+INDEX(variable_om_charge,MATCH(AT20,PORTS!$H$318:$H$625,0),MATCH(AX$5,PORTS!$H$318:$N$318,0)))</f>
        <v>0</v>
      </c>
      <c r="BA20" s="232">
        <f t="shared" si="23"/>
        <v>0</v>
      </c>
      <c r="BB20" s="241">
        <f t="shared" si="24"/>
        <v>0</v>
      </c>
      <c r="BC20" s="408"/>
      <c r="BD20" s="338">
        <f>+PORTS!I14+PORTS!I322</f>
        <v>0</v>
      </c>
    </row>
    <row r="21" spans="1:56" x14ac:dyDescent="0.2">
      <c r="A21" s="186">
        <f t="shared" si="25"/>
        <v>36800</v>
      </c>
      <c r="B21" s="215">
        <f>+IF(AND($A21&gt;=$C$8,$A21&lt;=$C$9),1,0)*PORTS!$I$5/(365.25)*(A22-A21)</f>
        <v>0</v>
      </c>
      <c r="C21" s="351">
        <f t="shared" si="5"/>
        <v>0</v>
      </c>
      <c r="D21">
        <f t="shared" si="6"/>
        <v>2000</v>
      </c>
      <c r="E21" s="186">
        <f t="shared" si="26"/>
        <v>36800</v>
      </c>
      <c r="F21" s="215">
        <f t="shared" si="7"/>
        <v>0</v>
      </c>
      <c r="G21" s="191">
        <f t="shared" si="8"/>
        <v>0</v>
      </c>
      <c r="H21" s="218">
        <f t="shared" si="9"/>
        <v>0</v>
      </c>
      <c r="I21" s="118">
        <f t="shared" si="10"/>
        <v>0</v>
      </c>
      <c r="J21" s="215">
        <f t="shared" si="2"/>
        <v>0</v>
      </c>
      <c r="K21" s="202"/>
      <c r="L21" s="186">
        <f t="shared" si="27"/>
        <v>36800</v>
      </c>
      <c r="M21" s="400">
        <f>+J21*(VLOOKUP(L21,CURVECALC!$C$6:$J$312,4,0)+N$5)</f>
        <v>0</v>
      </c>
      <c r="N21" s="208">
        <f>-F21*INDEX(ship_curves,MATCH(L21,'SHIP CURVES'!$A$9:$A$316,0),MATCH(CONCATENATE(P$4,P$5,P$6,P$7),'SHIP CURVES'!$A$9:$AZ$9,0))</f>
        <v>0</v>
      </c>
      <c r="O21" s="209">
        <f>-H21*INDEX(port_processing_fee,MATCH(L21,PORTS!$H$626:$H$933,0),MATCH(P$5,PORTS!$H$626:$Z$626,0))</f>
        <v>0</v>
      </c>
      <c r="P21" s="405">
        <f>(((VLOOKUP(L21,curvecalc,4,0))*IF(F21=0,0,J21/F21)-INDEX(ship_curves,MATCH(L21,'SHIP CURVES'!$A$9:$A$316,0),MATCH(CONCATENATE(P$4,P$5,P$6,P$7),'SHIP CURVES'!$A$9:$Z$9,0))-INDEX(terminal_curves,MATCH(L21,'TERMINAL CURVES'!$A$4:$A$313,0),MATCH(P$5,'TERMINAL CURVES'!$A$4:$N$4,0))*IF(F21=0,0,H21/F21))-(N$8)*((N$7-$N$5)-(INDEX(ship_curves,MATCH(L21,'SHIP CURVES'!$A$9:$A$316,0),MATCH(CONCATENATE(P$4,P$5,P$6,P$7),'SHIP CURVES'!$A$9:$Z$9,0))-INDEX(ship_curves,MATCH(L21,'SHIP CURVES'!$A$9:$A$316,0),MATCH(CONCATENATE(P$4,N$6,P$6,P$7),'SHIP CURVES'!$A$9:$Z$9,0)))-(INDEX(terminal_curves,MATCH(L21,'TERMINAL CURVES'!$A$4:$A$313,0),MATCH(P$5,'TERMINAL CURVES'!$A$4:$N$4,0))-INDEX(terminal_curves,MATCH(L21,'TERMINAL CURVES'!$A$4:$A$313,0),MATCH(N$6,'TERMINAL CURVES'!$A$4:$N$4,0)))*IF(F21=0,0,H21/F21)))*-F21</f>
        <v>0</v>
      </c>
      <c r="Q21" s="403">
        <f t="shared" si="11"/>
        <v>0</v>
      </c>
      <c r="R21" s="477">
        <f>(-H21/((HLOOKUP(P$5,port_specs,2,0)/(365.25))*(L22-L21)))*(INDEX(fixed_capacity_charge,MATCH(L21,PORTS!$H$11:$H$317,0),MATCH(P$5,PORTS!$H$11:$N$11,0))+INDEX(variable_om_charge,MATCH(L21,PORTS!$H$318:$H$625,0),MATCH(P$5,PORTS!$H$318:$N$318,0)))</f>
        <v>0</v>
      </c>
      <c r="S21" s="232">
        <f t="shared" si="12"/>
        <v>0</v>
      </c>
      <c r="T21" s="241">
        <f t="shared" si="13"/>
        <v>0</v>
      </c>
      <c r="U21" s="431"/>
      <c r="V21" s="186">
        <f t="shared" si="28"/>
        <v>36800</v>
      </c>
      <c r="W21" s="215">
        <f t="shared" si="14"/>
        <v>0</v>
      </c>
      <c r="X21" s="191">
        <f t="shared" si="15"/>
        <v>0</v>
      </c>
      <c r="Y21" s="218">
        <f>+IF(AND(X$8&lt;=V21,X$9&gt;=V21),+MIN($B21-SUMIF($H$17:X$17,Y$17,$H21:X21),((INDEX(ROUTE_PER_DAY_BY_SHIP,MATCH(CONCATENATE(X$4,X$5,X$7),ROUTE_PER_DAY_ROUTES,0),MATCH(X$6,ROUTE_PER_DAY_SHIPS,0))*(V22-V21))-(INDEX(ROUTE_PER_DAY_BY_SHIP,MATCH(CONCATENATE(X$4,X$5,X$7),ROUTE_PER_DAY_ROUTES,0),MATCH(X$6,ROUTE_PER_DAY_SHIPS,0))*(V22-V21))*HLOOKUP(X$6,SHIPS,7,0)*INDEX(LADEN_VOYAGE_DAYS,MATCH(CONCATENATE(X$4,X$5,X$7),LADEN_VOYAGE_ROUTES,0),MATCH(X$6,LADEN_VOYAGE_SHIPS,0)))),0)</f>
        <v>0</v>
      </c>
      <c r="Z21" s="118">
        <f t="shared" si="16"/>
        <v>0</v>
      </c>
      <c r="AA21" s="215">
        <f t="shared" si="3"/>
        <v>0</v>
      </c>
      <c r="AB21" s="202"/>
      <c r="AC21" s="186">
        <f t="shared" si="29"/>
        <v>36800</v>
      </c>
      <c r="AD21" s="232">
        <f>+AA21*(VLOOKUP(AC21,CURVECALC!$C$6:$J$312,4,0)+AE$5)</f>
        <v>0</v>
      </c>
      <c r="AE21" s="208">
        <f>-W21*INDEX(ship_curves,MATCH(AC21,'SHIP CURVES'!$A$9:$A$316,0),MATCH(CONCATENATE(AG$4,AG$5,AG$6,AG$7),'SHIP CURVES'!$A$9:$AZ$9,0))</f>
        <v>0</v>
      </c>
      <c r="AF21" s="209">
        <f>-Y21*INDEX(port_processing_fee,MATCH(AC21,PORTS!$H$626:$H$933,0),MATCH(AG$5,PORTS!$H$626:$Z$626,0))</f>
        <v>0</v>
      </c>
      <c r="AG21" s="405">
        <f>(((VLOOKUP(AC21,curvecalc,4,0))*IF(W21=0,0,AA21/W21)-INDEX(ship_curves,MATCH(AC21,'SHIP CURVES'!$A$9:$A$316,0),MATCH(CONCATENATE(AG$4,AG$5,AG$6,AG$7),'SHIP CURVES'!$A$9:$Z$9,0))-INDEX(terminal_curves,MATCH(AC21,'TERMINAL CURVES'!$A$4:$A$313,0),MATCH(AG$5,'TERMINAL CURVES'!$A$4:$N$4,0))*IF(W21=0,0,Y21/W21))-(AE$8)*((AE$7-$N$5)-(INDEX(ship_curves,MATCH(AC21,'SHIP CURVES'!$A$9:$A$316,0),MATCH(CONCATENATE(AG$4,AG$5,AG$6,AG$7),'SHIP CURVES'!$A$9:$Z$9,0))-INDEX(ship_curves,MATCH(AC21,'SHIP CURVES'!$A$9:$A$316,0),MATCH(CONCATENATE(AG$4,AE$6,AG$6,AG$7),'SHIP CURVES'!$A$9:$Z$9,0)))-(INDEX(terminal_curves,MATCH(AC21,'TERMINAL CURVES'!$A$4:$A$313,0),MATCH(AG$5,'TERMINAL CURVES'!$A$4:$N$4,0))-INDEX(terminal_curves,MATCH(AC21,'TERMINAL CURVES'!$A$4:$A$313,0),MATCH(AE$6,'TERMINAL CURVES'!$A$4:$N$4,0)))*IF(W21=0,0,Y21/W21)))*-W21</f>
        <v>0</v>
      </c>
      <c r="AH21" s="343">
        <f t="shared" si="17"/>
        <v>0</v>
      </c>
      <c r="AI21" s="338">
        <f>(-Y21/((HLOOKUP(AG$5,port_specs,2,0)/(365.25))*(AC22-AC21)))*(INDEX(fixed_capacity_charge,MATCH(AC21,PORTS!$H$11:$H$317,0),MATCH(AG$5,PORTS!$H$11:$N$11,0))+INDEX(variable_om_charge,MATCH(AC21,PORTS!$H$318:$H$625,0),MATCH(AG$5,PORTS!$H$318:$N$318,0)))</f>
        <v>0</v>
      </c>
      <c r="AJ21" s="232">
        <f t="shared" si="18"/>
        <v>0</v>
      </c>
      <c r="AK21" s="241">
        <f t="shared" si="19"/>
        <v>0</v>
      </c>
      <c r="AM21" s="186">
        <f t="shared" si="30"/>
        <v>36800</v>
      </c>
      <c r="AN21" s="215">
        <f t="shared" si="20"/>
        <v>0</v>
      </c>
      <c r="AO21" s="191">
        <f t="shared" si="21"/>
        <v>0</v>
      </c>
      <c r="AP21" s="218">
        <f>+IF(AND(AO$8&lt;=AM21,AO$9&gt;=AM21),+MIN($B21-SUMIF($H$17:AO$17,AP$17,$H21:AO21),((INDEX(ROUTE_PER_DAY_BY_SHIP,MATCH(CONCATENATE(AO$4,AO$5,AO$7),ROUTE_PER_DAY_ROUTES,0),MATCH(AO$6,ROUTE_PER_DAY_SHIPS,0))*(AM22-AM21))-(INDEX(ROUTE_PER_DAY_BY_SHIP,MATCH(CONCATENATE(AO$4,AO$5,AO$7),ROUTE_PER_DAY_ROUTES,0),MATCH(AO$6,ROUTE_PER_DAY_SHIPS,0))*(AM22-AM21))*HLOOKUP(AO$6,SHIPS,7,0)*INDEX(LADEN_VOYAGE_DAYS,MATCH(CONCATENATE(AO$4,AO$5,AO$7),LADEN_VOYAGE_ROUTES,0),MATCH(AO$6,LADEN_VOYAGE_SHIPS,0)))),0)</f>
        <v>0</v>
      </c>
      <c r="AQ21" s="118">
        <f>-(AP21)*PORTS!$I$6</f>
        <v>0</v>
      </c>
      <c r="AR21" s="215">
        <f t="shared" si="4"/>
        <v>0</v>
      </c>
      <c r="AS21" s="202"/>
      <c r="AT21" s="186">
        <f t="shared" si="31"/>
        <v>36800</v>
      </c>
      <c r="AU21" s="232">
        <f>+AR21*(VLOOKUP(AT21,CURVECALC!$C$6:$J$312,4,0)+AV$5)</f>
        <v>0</v>
      </c>
      <c r="AV21" s="208">
        <f>-AN21*INDEX(ship_curves,MATCH(AT21,'SHIP CURVES'!$A$9:$A$316,0),MATCH(CONCATENATE(AX$4,AX$5,AX$6,AX$7),'SHIP CURVES'!$A$9:$AZ$9,0))</f>
        <v>0</v>
      </c>
      <c r="AW21" s="209">
        <f>-AP21*INDEX(port_processing_fee,MATCH(AT21,PORTS!$H$626:$H$933,0),MATCH(AX$5,PORTS!$H$626:$Z$626,0))</f>
        <v>0</v>
      </c>
      <c r="AX21" s="405">
        <f>(((VLOOKUP(AT21,curvecalc,4,0))*IF(AN21=0,0,AR21/AN21)-INDEX(ship_curves,MATCH(AT21,'SHIP CURVES'!$A$9:$A$316,0),MATCH(CONCATENATE(AX$4,AX$5,AX$6,AX$7),'SHIP CURVES'!$A$9:$Z$9,0))-INDEX(terminal_curves,MATCH(AT21,'TERMINAL CURVES'!$A$4:$A$313,0),MATCH(AX$5,'TERMINAL CURVES'!$A$4:$N$4,0))*IF(AN21=0,0,AP21/AN21))-(AV$8)*((AV$7-$N$5)-(INDEX(ship_curves,MATCH(AT21,'SHIP CURVES'!$A$9:$A$316,0),MATCH(CONCATENATE(AX$4,AX$5,AX$6,AX$7),'SHIP CURVES'!$A$9:$Z$9,0))-INDEX(ship_curves,MATCH(AT21,'SHIP CURVES'!$A$9:$A$316,0),MATCH(CONCATENATE(AX$4,AV$6,AX$6,AX$7),'SHIP CURVES'!$A$9:$Z$9,0)))-(INDEX(terminal_curves,MATCH(AT21,'TERMINAL CURVES'!$A$4:$A$313,0),MATCH(AX$5,'TERMINAL CURVES'!$A$4:$N$4,0))-INDEX(terminal_curves,MATCH(AT21,'TERMINAL CURVES'!$A$4:$A$313,0),MATCH(AV$6,'TERMINAL CURVES'!$A$4:$N$4,0)))*IF(AN21=0,0,AP21/AN21)))*-AN21</f>
        <v>0</v>
      </c>
      <c r="AY21" s="343">
        <f t="shared" si="22"/>
        <v>0</v>
      </c>
      <c r="AZ21" s="338">
        <f>(-AP21/((HLOOKUP(AX$5,port_specs,2,0)/(365.25))*(AT22-AT21)))*(INDEX(fixed_capacity_charge,MATCH(AT21,PORTS!$H$11:$H$317,0),MATCH(AX$5,PORTS!$H$11:$N$11,0))+INDEX(variable_om_charge,MATCH(AT21,PORTS!$H$318:$H$625,0),MATCH(AX$5,PORTS!$H$318:$N$318,0)))</f>
        <v>0</v>
      </c>
      <c r="BA21" s="232">
        <f t="shared" si="23"/>
        <v>0</v>
      </c>
      <c r="BB21" s="241">
        <f t="shared" si="24"/>
        <v>0</v>
      </c>
      <c r="BC21" s="408"/>
      <c r="BD21" s="338">
        <f>+PORTS!I15+PORTS!I323</f>
        <v>0</v>
      </c>
    </row>
    <row r="22" spans="1:56" x14ac:dyDescent="0.2">
      <c r="A22" s="186">
        <f t="shared" si="25"/>
        <v>36831</v>
      </c>
      <c r="B22" s="215">
        <f>+IF(AND($A22&gt;=$C$8,$A22&lt;=$C$9),1,0)*PORTS!$I$5/(365.25)*(A23-A22)</f>
        <v>0</v>
      </c>
      <c r="C22" s="351">
        <f t="shared" si="5"/>
        <v>0</v>
      </c>
      <c r="D22">
        <f t="shared" si="6"/>
        <v>2000</v>
      </c>
      <c r="E22" s="186">
        <f t="shared" si="26"/>
        <v>36831</v>
      </c>
      <c r="F22" s="215">
        <f t="shared" si="7"/>
        <v>0</v>
      </c>
      <c r="G22" s="191">
        <f t="shared" si="8"/>
        <v>0</v>
      </c>
      <c r="H22" s="218">
        <f t="shared" si="9"/>
        <v>0</v>
      </c>
      <c r="I22" s="118">
        <f t="shared" si="10"/>
        <v>0</v>
      </c>
      <c r="J22" s="215">
        <f t="shared" si="2"/>
        <v>0</v>
      </c>
      <c r="K22" s="202"/>
      <c r="L22" s="186">
        <f t="shared" si="27"/>
        <v>36831</v>
      </c>
      <c r="M22" s="400">
        <f>+J22*(VLOOKUP(L22,CURVECALC!$C$6:$J$312,4,0)+N$5)</f>
        <v>0</v>
      </c>
      <c r="N22" s="208">
        <f>-F22*INDEX(ship_curves,MATCH(L22,'SHIP CURVES'!$A$9:$A$316,0),MATCH(CONCATENATE(P$4,P$5,P$6,P$7),'SHIP CURVES'!$A$9:$AZ$9,0))</f>
        <v>0</v>
      </c>
      <c r="O22" s="209">
        <f>-H22*INDEX(port_processing_fee,MATCH(L22,PORTS!$H$626:$H$933,0),MATCH(P$5,PORTS!$H$626:$Z$626,0))</f>
        <v>0</v>
      </c>
      <c r="P22" s="405">
        <f>(((VLOOKUP(L22,curvecalc,4,0))*IF(F22=0,0,J22/F22)-INDEX(ship_curves,MATCH(L22,'SHIP CURVES'!$A$9:$A$316,0),MATCH(CONCATENATE(P$4,P$5,P$6,P$7),'SHIP CURVES'!$A$9:$Z$9,0))-INDEX(terminal_curves,MATCH(L22,'TERMINAL CURVES'!$A$4:$A$313,0),MATCH(P$5,'TERMINAL CURVES'!$A$4:$N$4,0))*IF(F22=0,0,H22/F22))-(N$8)*((N$7-$N$5)-(INDEX(ship_curves,MATCH(L22,'SHIP CURVES'!$A$9:$A$316,0),MATCH(CONCATENATE(P$4,P$5,P$6,P$7),'SHIP CURVES'!$A$9:$Z$9,0))-INDEX(ship_curves,MATCH(L22,'SHIP CURVES'!$A$9:$A$316,0),MATCH(CONCATENATE(P$4,N$6,P$6,P$7),'SHIP CURVES'!$A$9:$Z$9,0)))-(INDEX(terminal_curves,MATCH(L22,'TERMINAL CURVES'!$A$4:$A$313,0),MATCH(P$5,'TERMINAL CURVES'!$A$4:$N$4,0))-INDEX(terminal_curves,MATCH(L22,'TERMINAL CURVES'!$A$4:$A$313,0),MATCH(N$6,'TERMINAL CURVES'!$A$4:$N$4,0)))*IF(F22=0,0,H22/F22)))*-F22</f>
        <v>0</v>
      </c>
      <c r="Q22" s="403">
        <f t="shared" si="11"/>
        <v>0</v>
      </c>
      <c r="R22" s="477">
        <f>(-H22/((HLOOKUP(P$5,port_specs,2,0)/(365.25))*(L23-L22)))*(INDEX(fixed_capacity_charge,MATCH(L22,PORTS!$H$11:$H$317,0),MATCH(P$5,PORTS!$H$11:$N$11,0))+INDEX(variable_om_charge,MATCH(L22,PORTS!$H$318:$H$625,0),MATCH(P$5,PORTS!$H$318:$N$318,0)))</f>
        <v>0</v>
      </c>
      <c r="S22" s="232">
        <f t="shared" si="12"/>
        <v>0</v>
      </c>
      <c r="T22" s="241">
        <f t="shared" si="13"/>
        <v>0</v>
      </c>
      <c r="U22" s="431"/>
      <c r="V22" s="186">
        <f t="shared" si="28"/>
        <v>36831</v>
      </c>
      <c r="W22" s="215">
        <f t="shared" si="14"/>
        <v>0</v>
      </c>
      <c r="X22" s="191">
        <f t="shared" si="15"/>
        <v>0</v>
      </c>
      <c r="Y22" s="218">
        <f>+IF(AND(X$8&lt;=V22,X$9&gt;=V22),+MIN($B22-SUMIF($H$17:X$17,Y$17,$H22:X22),((INDEX(ROUTE_PER_DAY_BY_SHIP,MATCH(CONCATENATE(X$4,X$5,X$7),ROUTE_PER_DAY_ROUTES,0),MATCH(X$6,ROUTE_PER_DAY_SHIPS,0))*(V23-V22))-(INDEX(ROUTE_PER_DAY_BY_SHIP,MATCH(CONCATENATE(X$4,X$5,X$7),ROUTE_PER_DAY_ROUTES,0),MATCH(X$6,ROUTE_PER_DAY_SHIPS,0))*(V23-V22))*HLOOKUP(X$6,SHIPS,7,0)*INDEX(LADEN_VOYAGE_DAYS,MATCH(CONCATENATE(X$4,X$5,X$7),LADEN_VOYAGE_ROUTES,0),MATCH(X$6,LADEN_VOYAGE_SHIPS,0)))),0)</f>
        <v>0</v>
      </c>
      <c r="Z22" s="118">
        <f t="shared" si="16"/>
        <v>0</v>
      </c>
      <c r="AA22" s="215">
        <f t="shared" si="3"/>
        <v>0</v>
      </c>
      <c r="AB22" s="202"/>
      <c r="AC22" s="186">
        <f t="shared" si="29"/>
        <v>36831</v>
      </c>
      <c r="AD22" s="232">
        <f>+AA22*(VLOOKUP(AC22,CURVECALC!$C$6:$J$312,4,0)+AE$5)</f>
        <v>0</v>
      </c>
      <c r="AE22" s="208">
        <f>-W22*INDEX(ship_curves,MATCH(AC22,'SHIP CURVES'!$A$9:$A$316,0),MATCH(CONCATENATE(AG$4,AG$5,AG$6,AG$7),'SHIP CURVES'!$A$9:$AZ$9,0))</f>
        <v>0</v>
      </c>
      <c r="AF22" s="209">
        <f>-Y22*INDEX(port_processing_fee,MATCH(AC22,PORTS!$H$626:$H$933,0),MATCH(AG$5,PORTS!$H$626:$Z$626,0))</f>
        <v>0</v>
      </c>
      <c r="AG22" s="405">
        <f>(((VLOOKUP(AC22,curvecalc,4,0))*IF(W22=0,0,AA22/W22)-INDEX(ship_curves,MATCH(AC22,'SHIP CURVES'!$A$9:$A$316,0),MATCH(CONCATENATE(AG$4,AG$5,AG$6,AG$7),'SHIP CURVES'!$A$9:$Z$9,0))-INDEX(terminal_curves,MATCH(AC22,'TERMINAL CURVES'!$A$4:$A$313,0),MATCH(AG$5,'TERMINAL CURVES'!$A$4:$N$4,0))*IF(W22=0,0,Y22/W22))-(AE$8)*((AE$7-$N$5)-(INDEX(ship_curves,MATCH(AC22,'SHIP CURVES'!$A$9:$A$316,0),MATCH(CONCATENATE(AG$4,AG$5,AG$6,AG$7),'SHIP CURVES'!$A$9:$Z$9,0))-INDEX(ship_curves,MATCH(AC22,'SHIP CURVES'!$A$9:$A$316,0),MATCH(CONCATENATE(AG$4,AE$6,AG$6,AG$7),'SHIP CURVES'!$A$9:$Z$9,0)))-(INDEX(terminal_curves,MATCH(AC22,'TERMINAL CURVES'!$A$4:$A$313,0),MATCH(AG$5,'TERMINAL CURVES'!$A$4:$N$4,0))-INDEX(terminal_curves,MATCH(AC22,'TERMINAL CURVES'!$A$4:$A$313,0),MATCH(AE$6,'TERMINAL CURVES'!$A$4:$N$4,0)))*IF(W22=0,0,Y22/W22)))*-W22</f>
        <v>0</v>
      </c>
      <c r="AH22" s="343">
        <f t="shared" si="17"/>
        <v>0</v>
      </c>
      <c r="AI22" s="338">
        <f>(-Y22/((HLOOKUP(AG$5,port_specs,2,0)/(365.25))*(AC23-AC22)))*(INDEX(fixed_capacity_charge,MATCH(AC22,PORTS!$H$11:$H$317,0),MATCH(AG$5,PORTS!$H$11:$N$11,0))+INDEX(variable_om_charge,MATCH(AC22,PORTS!$H$318:$H$625,0),MATCH(AG$5,PORTS!$H$318:$N$318,0)))</f>
        <v>0</v>
      </c>
      <c r="AJ22" s="232">
        <f t="shared" si="18"/>
        <v>0</v>
      </c>
      <c r="AK22" s="241">
        <f t="shared" si="19"/>
        <v>0</v>
      </c>
      <c r="AM22" s="186">
        <f t="shared" si="30"/>
        <v>36831</v>
      </c>
      <c r="AN22" s="215">
        <f t="shared" si="20"/>
        <v>0</v>
      </c>
      <c r="AO22" s="191">
        <f t="shared" si="21"/>
        <v>0</v>
      </c>
      <c r="AP22" s="218">
        <f>+IF(AND(AO$8&lt;=AM22,AO$9&gt;=AM22),+MIN($B22-SUMIF($H$17:AO$17,AP$17,$H22:AO22),((INDEX(ROUTE_PER_DAY_BY_SHIP,MATCH(CONCATENATE(AO$4,AO$5,AO$7),ROUTE_PER_DAY_ROUTES,0),MATCH(AO$6,ROUTE_PER_DAY_SHIPS,0))*(AM23-AM22))-(INDEX(ROUTE_PER_DAY_BY_SHIP,MATCH(CONCATENATE(AO$4,AO$5,AO$7),ROUTE_PER_DAY_ROUTES,0),MATCH(AO$6,ROUTE_PER_DAY_SHIPS,0))*(AM23-AM22))*HLOOKUP(AO$6,SHIPS,7,0)*INDEX(LADEN_VOYAGE_DAYS,MATCH(CONCATENATE(AO$4,AO$5,AO$7),LADEN_VOYAGE_ROUTES,0),MATCH(AO$6,LADEN_VOYAGE_SHIPS,0)))),0)</f>
        <v>0</v>
      </c>
      <c r="AQ22" s="118">
        <f>-(AP22)*PORTS!$I$6</f>
        <v>0</v>
      </c>
      <c r="AR22" s="215">
        <f t="shared" si="4"/>
        <v>0</v>
      </c>
      <c r="AS22" s="202"/>
      <c r="AT22" s="186">
        <f t="shared" si="31"/>
        <v>36831</v>
      </c>
      <c r="AU22" s="232">
        <f>+AR22*(VLOOKUP(AT22,CURVECALC!$C$6:$J$312,4,0)+AV$5)</f>
        <v>0</v>
      </c>
      <c r="AV22" s="208">
        <f>-AN22*INDEX(ship_curves,MATCH(AT22,'SHIP CURVES'!$A$9:$A$316,0),MATCH(CONCATENATE(AX$4,AX$5,AX$6,AX$7),'SHIP CURVES'!$A$9:$AZ$9,0))</f>
        <v>0</v>
      </c>
      <c r="AW22" s="209">
        <f>-AP22*INDEX(port_processing_fee,MATCH(AT22,PORTS!$H$626:$H$933,0),MATCH(AX$5,PORTS!$H$626:$Z$626,0))</f>
        <v>0</v>
      </c>
      <c r="AX22" s="405">
        <f>(((VLOOKUP(AT22,curvecalc,4,0))*IF(AN22=0,0,AR22/AN22)-INDEX(ship_curves,MATCH(AT22,'SHIP CURVES'!$A$9:$A$316,0),MATCH(CONCATENATE(AX$4,AX$5,AX$6,AX$7),'SHIP CURVES'!$A$9:$Z$9,0))-INDEX(terminal_curves,MATCH(AT22,'TERMINAL CURVES'!$A$4:$A$313,0),MATCH(AX$5,'TERMINAL CURVES'!$A$4:$N$4,0))*IF(AN22=0,0,AP22/AN22))-(AV$8)*((AV$7-$N$5)-(INDEX(ship_curves,MATCH(AT22,'SHIP CURVES'!$A$9:$A$316,0),MATCH(CONCATENATE(AX$4,AX$5,AX$6,AX$7),'SHIP CURVES'!$A$9:$Z$9,0))-INDEX(ship_curves,MATCH(AT22,'SHIP CURVES'!$A$9:$A$316,0),MATCH(CONCATENATE(AX$4,AV$6,AX$6,AX$7),'SHIP CURVES'!$A$9:$Z$9,0)))-(INDEX(terminal_curves,MATCH(AT22,'TERMINAL CURVES'!$A$4:$A$313,0),MATCH(AX$5,'TERMINAL CURVES'!$A$4:$N$4,0))-INDEX(terminal_curves,MATCH(AT22,'TERMINAL CURVES'!$A$4:$A$313,0),MATCH(AV$6,'TERMINAL CURVES'!$A$4:$N$4,0)))*IF(AN22=0,0,AP22/AN22)))*-AN22</f>
        <v>0</v>
      </c>
      <c r="AY22" s="343">
        <f t="shared" si="22"/>
        <v>0</v>
      </c>
      <c r="AZ22" s="338">
        <f>(-AP22/((HLOOKUP(AX$5,port_specs,2,0)/(365.25))*(AT23-AT22)))*(INDEX(fixed_capacity_charge,MATCH(AT22,PORTS!$H$11:$H$317,0),MATCH(AX$5,PORTS!$H$11:$N$11,0))+INDEX(variable_om_charge,MATCH(AT22,PORTS!$H$318:$H$625,0),MATCH(AX$5,PORTS!$H$318:$N$318,0)))</f>
        <v>0</v>
      </c>
      <c r="BA22" s="232">
        <f t="shared" si="23"/>
        <v>0</v>
      </c>
      <c r="BB22" s="241">
        <f t="shared" si="24"/>
        <v>0</v>
      </c>
      <c r="BC22" s="408"/>
      <c r="BD22" s="338">
        <f>+PORTS!I16+PORTS!I324</f>
        <v>0</v>
      </c>
    </row>
    <row r="23" spans="1:56" x14ac:dyDescent="0.2">
      <c r="A23" s="186">
        <f t="shared" si="25"/>
        <v>36861</v>
      </c>
      <c r="B23" s="215">
        <f>+IF(AND($A23&gt;=$C$8,$A23&lt;=$C$9),1,0)*PORTS!$I$5/(365.25)*(A24-A23)</f>
        <v>0</v>
      </c>
      <c r="C23" s="351">
        <f t="shared" si="5"/>
        <v>0</v>
      </c>
      <c r="D23">
        <f t="shared" si="6"/>
        <v>2000</v>
      </c>
      <c r="E23" s="186">
        <f t="shared" si="26"/>
        <v>36861</v>
      </c>
      <c r="F23" s="215">
        <f t="shared" si="7"/>
        <v>0</v>
      </c>
      <c r="G23" s="191">
        <f t="shared" si="8"/>
        <v>0</v>
      </c>
      <c r="H23" s="218">
        <f t="shared" si="9"/>
        <v>0</v>
      </c>
      <c r="I23" s="118">
        <f t="shared" si="10"/>
        <v>0</v>
      </c>
      <c r="J23" s="215">
        <f t="shared" si="2"/>
        <v>0</v>
      </c>
      <c r="K23" s="202"/>
      <c r="L23" s="186">
        <f t="shared" si="27"/>
        <v>36861</v>
      </c>
      <c r="M23" s="400">
        <f>+J23*(VLOOKUP(L23,CURVECALC!$C$6:$J$312,4,0)+N$5)</f>
        <v>0</v>
      </c>
      <c r="N23" s="208">
        <f>-F23*INDEX(ship_curves,MATCH(L23,'SHIP CURVES'!$A$9:$A$316,0),MATCH(CONCATENATE(P$4,P$5,P$6,P$7),'SHIP CURVES'!$A$9:$AZ$9,0))</f>
        <v>0</v>
      </c>
      <c r="O23" s="209">
        <f>-H23*INDEX(port_processing_fee,MATCH(L23,PORTS!$H$626:$H$933,0),MATCH(P$5,PORTS!$H$626:$Z$626,0))</f>
        <v>0</v>
      </c>
      <c r="P23" s="405">
        <f>(((VLOOKUP(L23,curvecalc,4,0))*IF(F23=0,0,J23/F23)-INDEX(ship_curves,MATCH(L23,'SHIP CURVES'!$A$9:$A$316,0),MATCH(CONCATENATE(P$4,P$5,P$6,P$7),'SHIP CURVES'!$A$9:$Z$9,0))-INDEX(terminal_curves,MATCH(L23,'TERMINAL CURVES'!$A$4:$A$313,0),MATCH(P$5,'TERMINAL CURVES'!$A$4:$N$4,0))*IF(F23=0,0,H23/F23))-(N$8)*((N$7-$N$5)-(INDEX(ship_curves,MATCH(L23,'SHIP CURVES'!$A$9:$A$316,0),MATCH(CONCATENATE(P$4,P$5,P$6,P$7),'SHIP CURVES'!$A$9:$Z$9,0))-INDEX(ship_curves,MATCH(L23,'SHIP CURVES'!$A$9:$A$316,0),MATCH(CONCATENATE(P$4,N$6,P$6,P$7),'SHIP CURVES'!$A$9:$Z$9,0)))-(INDEX(terminal_curves,MATCH(L23,'TERMINAL CURVES'!$A$4:$A$313,0),MATCH(P$5,'TERMINAL CURVES'!$A$4:$N$4,0))-INDEX(terminal_curves,MATCH(L23,'TERMINAL CURVES'!$A$4:$A$313,0),MATCH(N$6,'TERMINAL CURVES'!$A$4:$N$4,0)))*IF(F23=0,0,H23/F23)))*-F23</f>
        <v>0</v>
      </c>
      <c r="Q23" s="403">
        <f t="shared" si="11"/>
        <v>0</v>
      </c>
      <c r="R23" s="338">
        <f>(-H23/((HLOOKUP(P$5,port_specs,2,0)/(365.25))*(L24-L23)))*(INDEX(fixed_capacity_charge,MATCH(L23,PORTS!$H$11:$H$317,0),MATCH(P$5,PORTS!$H$11:$N$11,0))+INDEX(variable_om_charge,MATCH(L23,PORTS!$H$318:$H$625,0),MATCH(P$5,PORTS!$H$318:$N$318,0)))</f>
        <v>0</v>
      </c>
      <c r="S23" s="232">
        <f t="shared" si="12"/>
        <v>0</v>
      </c>
      <c r="T23" s="241">
        <f t="shared" si="13"/>
        <v>0</v>
      </c>
      <c r="U23" s="431"/>
      <c r="V23" s="186">
        <f t="shared" si="28"/>
        <v>36861</v>
      </c>
      <c r="W23" s="215">
        <f t="shared" si="14"/>
        <v>0</v>
      </c>
      <c r="X23" s="191">
        <f t="shared" si="15"/>
        <v>0</v>
      </c>
      <c r="Y23" s="218">
        <f>+IF(AND(X$8&lt;=V23,X$9&gt;=V23),+MIN($B23-SUMIF($H$17:X$17,Y$17,$H23:X23),((INDEX(ROUTE_PER_DAY_BY_SHIP,MATCH(CONCATENATE(X$4,X$5,X$7),ROUTE_PER_DAY_ROUTES,0),MATCH(X$6,ROUTE_PER_DAY_SHIPS,0))*(V24-V23))-(INDEX(ROUTE_PER_DAY_BY_SHIP,MATCH(CONCATENATE(X$4,X$5,X$7),ROUTE_PER_DAY_ROUTES,0),MATCH(X$6,ROUTE_PER_DAY_SHIPS,0))*(V24-V23))*HLOOKUP(X$6,SHIPS,7,0)*INDEX(LADEN_VOYAGE_DAYS,MATCH(CONCATENATE(X$4,X$5,X$7),LADEN_VOYAGE_ROUTES,0),MATCH(X$6,LADEN_VOYAGE_SHIPS,0)))),0)</f>
        <v>0</v>
      </c>
      <c r="Z23" s="118">
        <f t="shared" si="16"/>
        <v>0</v>
      </c>
      <c r="AA23" s="215">
        <f t="shared" si="3"/>
        <v>0</v>
      </c>
      <c r="AB23" s="202"/>
      <c r="AC23" s="186">
        <f t="shared" si="29"/>
        <v>36861</v>
      </c>
      <c r="AD23" s="232">
        <f>+AA23*(VLOOKUP(AC23,CURVECALC!$C$6:$J$312,4,0)+AE$5)</f>
        <v>0</v>
      </c>
      <c r="AE23" s="208">
        <f>-W23*INDEX(ship_curves,MATCH(AC23,'SHIP CURVES'!$A$9:$A$316,0),MATCH(CONCATENATE(AG$4,AG$5,AG$6,AG$7),'SHIP CURVES'!$A$9:$AZ$9,0))</f>
        <v>0</v>
      </c>
      <c r="AF23" s="209">
        <f>-Y23*INDEX(port_processing_fee,MATCH(AC23,PORTS!$H$626:$H$933,0),MATCH(AG$5,PORTS!$H$626:$Z$626,0))</f>
        <v>0</v>
      </c>
      <c r="AG23" s="405">
        <f>(((VLOOKUP(AC23,curvecalc,4,0))*IF(W23=0,0,AA23/W23)-INDEX(ship_curves,MATCH(AC23,'SHIP CURVES'!$A$9:$A$316,0),MATCH(CONCATENATE(AG$4,AG$5,AG$6,AG$7),'SHIP CURVES'!$A$9:$Z$9,0))-INDEX(terminal_curves,MATCH(AC23,'TERMINAL CURVES'!$A$4:$A$313,0),MATCH(AG$5,'TERMINAL CURVES'!$A$4:$N$4,0))*IF(W23=0,0,Y23/W23))-(AE$8)*((AE$7-$N$5)-(INDEX(ship_curves,MATCH(AC23,'SHIP CURVES'!$A$9:$A$316,0),MATCH(CONCATENATE(AG$4,AG$5,AG$6,AG$7),'SHIP CURVES'!$A$9:$Z$9,0))-INDEX(ship_curves,MATCH(AC23,'SHIP CURVES'!$A$9:$A$316,0),MATCH(CONCATENATE(AG$4,AE$6,AG$6,AG$7),'SHIP CURVES'!$A$9:$Z$9,0)))-(INDEX(terminal_curves,MATCH(AC23,'TERMINAL CURVES'!$A$4:$A$313,0),MATCH(AG$5,'TERMINAL CURVES'!$A$4:$N$4,0))-INDEX(terminal_curves,MATCH(AC23,'TERMINAL CURVES'!$A$4:$A$313,0),MATCH(AE$6,'TERMINAL CURVES'!$A$4:$N$4,0)))*IF(W23=0,0,Y23/W23)))*-W23</f>
        <v>0</v>
      </c>
      <c r="AH23" s="343">
        <f t="shared" si="17"/>
        <v>0</v>
      </c>
      <c r="AI23" s="338">
        <f>(-Y23/((HLOOKUP(AG$5,port_specs,2,0)/(365.25))*(AC24-AC23)))*(INDEX(fixed_capacity_charge,MATCH(AC23,PORTS!$H$11:$H$317,0),MATCH(AG$5,PORTS!$H$11:$N$11,0))+INDEX(variable_om_charge,MATCH(AC23,PORTS!$H$318:$H$625,0),MATCH(AG$5,PORTS!$H$318:$N$318,0)))</f>
        <v>0</v>
      </c>
      <c r="AJ23" s="232">
        <f t="shared" si="18"/>
        <v>0</v>
      </c>
      <c r="AK23" s="241">
        <f t="shared" si="19"/>
        <v>0</v>
      </c>
      <c r="AM23" s="186">
        <f t="shared" si="30"/>
        <v>36861</v>
      </c>
      <c r="AN23" s="215">
        <f t="shared" si="20"/>
        <v>0</v>
      </c>
      <c r="AO23" s="191">
        <f t="shared" si="21"/>
        <v>0</v>
      </c>
      <c r="AP23" s="218">
        <f>+IF(AND(AO$8&lt;=AM23,AO$9&gt;=AM23),+MIN($B23-SUMIF($H$17:AO$17,AP$17,$H23:AO23),((INDEX(ROUTE_PER_DAY_BY_SHIP,MATCH(CONCATENATE(AO$4,AO$5,AO$7),ROUTE_PER_DAY_ROUTES,0),MATCH(AO$6,ROUTE_PER_DAY_SHIPS,0))*(AM24-AM23))-(INDEX(ROUTE_PER_DAY_BY_SHIP,MATCH(CONCATENATE(AO$4,AO$5,AO$7),ROUTE_PER_DAY_ROUTES,0),MATCH(AO$6,ROUTE_PER_DAY_SHIPS,0))*(AM24-AM23))*HLOOKUP(AO$6,SHIPS,7,0)*INDEX(LADEN_VOYAGE_DAYS,MATCH(CONCATENATE(AO$4,AO$5,AO$7),LADEN_VOYAGE_ROUTES,0),MATCH(AO$6,LADEN_VOYAGE_SHIPS,0)))),0)</f>
        <v>0</v>
      </c>
      <c r="AQ23" s="118">
        <f>-(AP23)*PORTS!$I$6</f>
        <v>0</v>
      </c>
      <c r="AR23" s="215">
        <f t="shared" si="4"/>
        <v>0</v>
      </c>
      <c r="AS23" s="202"/>
      <c r="AT23" s="186">
        <f t="shared" si="31"/>
        <v>36861</v>
      </c>
      <c r="AU23" s="232">
        <f>+AR23*(VLOOKUP(AT23,CURVECALC!$C$6:$J$312,4,0)+AV$5)</f>
        <v>0</v>
      </c>
      <c r="AV23" s="208">
        <f>-AN23*INDEX(ship_curves,MATCH(AT23,'SHIP CURVES'!$A$9:$A$316,0),MATCH(CONCATENATE(AX$4,AX$5,AX$6,AX$7),'SHIP CURVES'!$A$9:$AZ$9,0))</f>
        <v>0</v>
      </c>
      <c r="AW23" s="209">
        <f>-AP23*INDEX(port_processing_fee,MATCH(AT23,PORTS!$H$626:$H$933,0),MATCH(AX$5,PORTS!$H$626:$Z$626,0))</f>
        <v>0</v>
      </c>
      <c r="AX23" s="405">
        <f>(((VLOOKUP(AT23,curvecalc,4,0))*IF(AN23=0,0,AR23/AN23)-INDEX(ship_curves,MATCH(AT23,'SHIP CURVES'!$A$9:$A$316,0),MATCH(CONCATENATE(AX$4,AX$5,AX$6,AX$7),'SHIP CURVES'!$A$9:$Z$9,0))-INDEX(terminal_curves,MATCH(AT23,'TERMINAL CURVES'!$A$4:$A$313,0),MATCH(AX$5,'TERMINAL CURVES'!$A$4:$N$4,0))*IF(AN23=0,0,AP23/AN23))-(AV$8)*((AV$7-$N$5)-(INDEX(ship_curves,MATCH(AT23,'SHIP CURVES'!$A$9:$A$316,0),MATCH(CONCATENATE(AX$4,AX$5,AX$6,AX$7),'SHIP CURVES'!$A$9:$Z$9,0))-INDEX(ship_curves,MATCH(AT23,'SHIP CURVES'!$A$9:$A$316,0),MATCH(CONCATENATE(AX$4,AV$6,AX$6,AX$7),'SHIP CURVES'!$A$9:$Z$9,0)))-(INDEX(terminal_curves,MATCH(AT23,'TERMINAL CURVES'!$A$4:$A$313,0),MATCH(AX$5,'TERMINAL CURVES'!$A$4:$N$4,0))-INDEX(terminal_curves,MATCH(AT23,'TERMINAL CURVES'!$A$4:$A$313,0),MATCH(AV$6,'TERMINAL CURVES'!$A$4:$N$4,0)))*IF(AN23=0,0,AP23/AN23)))*-AN23</f>
        <v>0</v>
      </c>
      <c r="AY23" s="343">
        <f t="shared" si="22"/>
        <v>0</v>
      </c>
      <c r="AZ23" s="338">
        <f>(-AP23/((HLOOKUP(AX$5,port_specs,2,0)/(365.25))*(AT24-AT23)))*(INDEX(fixed_capacity_charge,MATCH(AT23,PORTS!$H$11:$H$317,0),MATCH(AX$5,PORTS!$H$11:$N$11,0))+INDEX(variable_om_charge,MATCH(AT23,PORTS!$H$318:$H$625,0),MATCH(AX$5,PORTS!$H$318:$N$318,0)))</f>
        <v>0</v>
      </c>
      <c r="BA23" s="232">
        <f t="shared" si="23"/>
        <v>0</v>
      </c>
      <c r="BB23" s="241">
        <f t="shared" si="24"/>
        <v>0</v>
      </c>
      <c r="BC23" s="408"/>
      <c r="BD23" s="338">
        <f>+PORTS!I17+PORTS!I325</f>
        <v>0</v>
      </c>
    </row>
    <row r="24" spans="1:56" x14ac:dyDescent="0.2">
      <c r="A24" s="186">
        <f t="shared" si="25"/>
        <v>36892</v>
      </c>
      <c r="B24" s="215">
        <f>+IF(AND($A24&gt;=$C$8,$A24&lt;=$C$9),1,0)*PORTS!$I$5/(365.25)*(A25-A24)</f>
        <v>0</v>
      </c>
      <c r="C24" s="351">
        <f t="shared" si="5"/>
        <v>0</v>
      </c>
      <c r="D24">
        <f t="shared" si="6"/>
        <v>2001</v>
      </c>
      <c r="E24" s="186">
        <f t="shared" si="26"/>
        <v>36892</v>
      </c>
      <c r="F24" s="215">
        <f t="shared" si="7"/>
        <v>0</v>
      </c>
      <c r="G24" s="191">
        <f t="shared" si="8"/>
        <v>0</v>
      </c>
      <c r="H24" s="218">
        <f t="shared" si="9"/>
        <v>0</v>
      </c>
      <c r="I24" s="118">
        <f t="shared" si="10"/>
        <v>0</v>
      </c>
      <c r="J24" s="215">
        <f t="shared" si="2"/>
        <v>0</v>
      </c>
      <c r="K24" s="202"/>
      <c r="L24" s="186">
        <f t="shared" si="27"/>
        <v>36892</v>
      </c>
      <c r="M24" s="400">
        <f>+J24*(VLOOKUP(L24,CURVECALC!$C$6:$J$312,4,0)+N$5)</f>
        <v>0</v>
      </c>
      <c r="N24" s="208">
        <f>-F24*INDEX(ship_curves,MATCH(L24,'SHIP CURVES'!$A$9:$A$316,0),MATCH(CONCATENATE(P$4,P$5,P$6,P$7),'SHIP CURVES'!$A$9:$AZ$9,0))</f>
        <v>0</v>
      </c>
      <c r="O24" s="209">
        <f>-H24*INDEX(port_processing_fee,MATCH(L24,PORTS!$H$626:$H$933,0),MATCH(P$5,PORTS!$H$626:$Z$626,0))</f>
        <v>0</v>
      </c>
      <c r="P24" s="405">
        <f>(((VLOOKUP(L24,curvecalc,4,0))*IF(F24=0,0,J24/F24)-INDEX(ship_curves,MATCH(L24,'SHIP CURVES'!$A$9:$A$316,0),MATCH(CONCATENATE(P$4,P$5,P$6,P$7),'SHIP CURVES'!$A$9:$Z$9,0))-INDEX(terminal_curves,MATCH(L24,'TERMINAL CURVES'!$A$4:$A$313,0),MATCH(P$5,'TERMINAL CURVES'!$A$4:$N$4,0))*IF(F24=0,0,H24/F24))-(N$8)*((N$7-$N$5)-(INDEX(ship_curves,MATCH(L24,'SHIP CURVES'!$A$9:$A$316,0),MATCH(CONCATENATE(P$4,P$5,P$6,P$7),'SHIP CURVES'!$A$9:$Z$9,0))-INDEX(ship_curves,MATCH(L24,'SHIP CURVES'!$A$9:$A$316,0),MATCH(CONCATENATE(P$4,N$6,P$6,P$7),'SHIP CURVES'!$A$9:$Z$9,0)))-(INDEX(terminal_curves,MATCH(L24,'TERMINAL CURVES'!$A$4:$A$313,0),MATCH(P$5,'TERMINAL CURVES'!$A$4:$N$4,0))-INDEX(terminal_curves,MATCH(L24,'TERMINAL CURVES'!$A$4:$A$313,0),MATCH(N$6,'TERMINAL CURVES'!$A$4:$N$4,0)))*IF(F24=0,0,H24/F24)))*-F24</f>
        <v>0</v>
      </c>
      <c r="Q24" s="403">
        <f t="shared" si="11"/>
        <v>0</v>
      </c>
      <c r="R24" s="338">
        <f>(-H24/((HLOOKUP(P$5,port_specs,2,0)/(365.25))*(L25-L24)))*(INDEX(fixed_capacity_charge,MATCH(L24,PORTS!$H$11:$H$317,0),MATCH(P$5,PORTS!$H$11:$N$11,0))+INDEX(variable_om_charge,MATCH(L24,PORTS!$H$318:$H$625,0),MATCH(P$5,PORTS!$H$318:$N$318,0)))</f>
        <v>0</v>
      </c>
      <c r="S24" s="232">
        <f t="shared" si="12"/>
        <v>0</v>
      </c>
      <c r="T24" s="241">
        <f t="shared" si="13"/>
        <v>0</v>
      </c>
      <c r="U24" s="431"/>
      <c r="V24" s="186">
        <f t="shared" si="28"/>
        <v>36892</v>
      </c>
      <c r="W24" s="215">
        <f t="shared" si="14"/>
        <v>0</v>
      </c>
      <c r="X24" s="191">
        <f t="shared" si="15"/>
        <v>0</v>
      </c>
      <c r="Y24" s="218">
        <f>+IF(AND(X$8&lt;=V24,X$9&gt;=V24),+MIN($B24-SUMIF($H$17:X$17,Y$17,$H24:X24),((INDEX(ROUTE_PER_DAY_BY_SHIP,MATCH(CONCATENATE(X$4,X$5,X$7),ROUTE_PER_DAY_ROUTES,0),MATCH(X$6,ROUTE_PER_DAY_SHIPS,0))*(V25-V24))-(INDEX(ROUTE_PER_DAY_BY_SHIP,MATCH(CONCATENATE(X$4,X$5,X$7),ROUTE_PER_DAY_ROUTES,0),MATCH(X$6,ROUTE_PER_DAY_SHIPS,0))*(V25-V24))*HLOOKUP(X$6,SHIPS,7,0)*INDEX(LADEN_VOYAGE_DAYS,MATCH(CONCATENATE(X$4,X$5,X$7),LADEN_VOYAGE_ROUTES,0),MATCH(X$6,LADEN_VOYAGE_SHIPS,0)))),0)</f>
        <v>0</v>
      </c>
      <c r="Z24" s="118">
        <f t="shared" si="16"/>
        <v>0</v>
      </c>
      <c r="AA24" s="215">
        <f t="shared" si="3"/>
        <v>0</v>
      </c>
      <c r="AB24" s="202"/>
      <c r="AC24" s="186">
        <f t="shared" si="29"/>
        <v>36892</v>
      </c>
      <c r="AD24" s="232">
        <f>+AA24*(VLOOKUP(AC24,CURVECALC!$C$6:$J$312,4,0)+AE$5)</f>
        <v>0</v>
      </c>
      <c r="AE24" s="208">
        <f>-W24*INDEX(ship_curves,MATCH(AC24,'SHIP CURVES'!$A$9:$A$316,0),MATCH(CONCATENATE(AG$4,AG$5,AG$6,AG$7),'SHIP CURVES'!$A$9:$AZ$9,0))</f>
        <v>0</v>
      </c>
      <c r="AF24" s="209">
        <f>-Y24*INDEX(port_processing_fee,MATCH(AC24,PORTS!$H$626:$H$933,0),MATCH(AG$5,PORTS!$H$626:$Z$626,0))</f>
        <v>0</v>
      </c>
      <c r="AG24" s="405">
        <f>(((VLOOKUP(AC24,curvecalc,4,0))*IF(W24=0,0,AA24/W24)-INDEX(ship_curves,MATCH(AC24,'SHIP CURVES'!$A$9:$A$316,0),MATCH(CONCATENATE(AG$4,AG$5,AG$6,AG$7),'SHIP CURVES'!$A$9:$Z$9,0))-INDEX(terminal_curves,MATCH(AC24,'TERMINAL CURVES'!$A$4:$A$313,0),MATCH(AG$5,'TERMINAL CURVES'!$A$4:$N$4,0))*IF(W24=0,0,Y24/W24))-(AE$8)*((AE$7-$N$5)-(INDEX(ship_curves,MATCH(AC24,'SHIP CURVES'!$A$9:$A$316,0),MATCH(CONCATENATE(AG$4,AG$5,AG$6,AG$7),'SHIP CURVES'!$A$9:$Z$9,0))-INDEX(ship_curves,MATCH(AC24,'SHIP CURVES'!$A$9:$A$316,0),MATCH(CONCATENATE(AG$4,AE$6,AG$6,AG$7),'SHIP CURVES'!$A$9:$Z$9,0)))-(INDEX(terminal_curves,MATCH(AC24,'TERMINAL CURVES'!$A$4:$A$313,0),MATCH(AG$5,'TERMINAL CURVES'!$A$4:$N$4,0))-INDEX(terminal_curves,MATCH(AC24,'TERMINAL CURVES'!$A$4:$A$313,0),MATCH(AE$6,'TERMINAL CURVES'!$A$4:$N$4,0)))*IF(W24=0,0,Y24/W24)))*-W24</f>
        <v>0</v>
      </c>
      <c r="AH24" s="343">
        <f t="shared" si="17"/>
        <v>0</v>
      </c>
      <c r="AI24" s="338">
        <f>(-Y24/((HLOOKUP(AG$5,port_specs,2,0)/(365.25))*(AC25-AC24)))*(INDEX(fixed_capacity_charge,MATCH(AC24,PORTS!$H$11:$H$317,0),MATCH(AG$5,PORTS!$H$11:$N$11,0))+INDEX(variable_om_charge,MATCH(AC24,PORTS!$H$318:$H$625,0),MATCH(AG$5,PORTS!$H$318:$N$318,0)))</f>
        <v>0</v>
      </c>
      <c r="AJ24" s="232">
        <f t="shared" si="18"/>
        <v>0</v>
      </c>
      <c r="AK24" s="241">
        <f t="shared" si="19"/>
        <v>0</v>
      </c>
      <c r="AM24" s="186">
        <f t="shared" si="30"/>
        <v>36892</v>
      </c>
      <c r="AN24" s="215">
        <f t="shared" si="20"/>
        <v>0</v>
      </c>
      <c r="AO24" s="191">
        <f t="shared" si="21"/>
        <v>0</v>
      </c>
      <c r="AP24" s="218">
        <f>+IF(AND(AO$8&lt;=AM24,AO$9&gt;=AM24),+MIN($B24-SUMIF($H$17:AO$17,AP$17,$H24:AO24),((INDEX(ROUTE_PER_DAY_BY_SHIP,MATCH(CONCATENATE(AO$4,AO$5,AO$7),ROUTE_PER_DAY_ROUTES,0),MATCH(AO$6,ROUTE_PER_DAY_SHIPS,0))*(AM25-AM24))-(INDEX(ROUTE_PER_DAY_BY_SHIP,MATCH(CONCATENATE(AO$4,AO$5,AO$7),ROUTE_PER_DAY_ROUTES,0),MATCH(AO$6,ROUTE_PER_DAY_SHIPS,0))*(AM25-AM24))*HLOOKUP(AO$6,SHIPS,7,0)*INDEX(LADEN_VOYAGE_DAYS,MATCH(CONCATENATE(AO$4,AO$5,AO$7),LADEN_VOYAGE_ROUTES,0),MATCH(AO$6,LADEN_VOYAGE_SHIPS,0)))),0)</f>
        <v>0</v>
      </c>
      <c r="AQ24" s="118">
        <f>-(AP24)*PORTS!$I$6</f>
        <v>0</v>
      </c>
      <c r="AR24" s="215">
        <f t="shared" si="4"/>
        <v>0</v>
      </c>
      <c r="AS24" s="202"/>
      <c r="AT24" s="186">
        <f t="shared" si="31"/>
        <v>36892</v>
      </c>
      <c r="AU24" s="232">
        <f>+AR24*(VLOOKUP(AT24,CURVECALC!$C$6:$J$312,4,0)+AV$5)</f>
        <v>0</v>
      </c>
      <c r="AV24" s="208">
        <f>-AN24*INDEX(ship_curves,MATCH(AT24,'SHIP CURVES'!$A$9:$A$316,0),MATCH(CONCATENATE(AX$4,AX$5,AX$6,AX$7),'SHIP CURVES'!$A$9:$AZ$9,0))</f>
        <v>0</v>
      </c>
      <c r="AW24" s="209">
        <f>-AP24*INDEX(port_processing_fee,MATCH(AT24,PORTS!$H$626:$H$933,0),MATCH(AX$5,PORTS!$H$626:$Z$626,0))</f>
        <v>0</v>
      </c>
      <c r="AX24" s="405">
        <f>(((VLOOKUP(AT24,curvecalc,4,0))*IF(AN24=0,0,AR24/AN24)-INDEX(ship_curves,MATCH(AT24,'SHIP CURVES'!$A$9:$A$316,0),MATCH(CONCATENATE(AX$4,AX$5,AX$6,AX$7),'SHIP CURVES'!$A$9:$Z$9,0))-INDEX(terminal_curves,MATCH(AT24,'TERMINAL CURVES'!$A$4:$A$313,0),MATCH(AX$5,'TERMINAL CURVES'!$A$4:$N$4,0))*IF(AN24=0,0,AP24/AN24))-(AV$8)*((AV$7-$N$5)-(INDEX(ship_curves,MATCH(AT24,'SHIP CURVES'!$A$9:$A$316,0),MATCH(CONCATENATE(AX$4,AX$5,AX$6,AX$7),'SHIP CURVES'!$A$9:$Z$9,0))-INDEX(ship_curves,MATCH(AT24,'SHIP CURVES'!$A$9:$A$316,0),MATCH(CONCATENATE(AX$4,AV$6,AX$6,AX$7),'SHIP CURVES'!$A$9:$Z$9,0)))-(INDEX(terminal_curves,MATCH(AT24,'TERMINAL CURVES'!$A$4:$A$313,0),MATCH(AX$5,'TERMINAL CURVES'!$A$4:$N$4,0))-INDEX(terminal_curves,MATCH(AT24,'TERMINAL CURVES'!$A$4:$A$313,0),MATCH(AV$6,'TERMINAL CURVES'!$A$4:$N$4,0)))*IF(AN24=0,0,AP24/AN24)))*-AN24</f>
        <v>0</v>
      </c>
      <c r="AY24" s="343">
        <f t="shared" si="22"/>
        <v>0</v>
      </c>
      <c r="AZ24" s="338">
        <f>(-AP24/((HLOOKUP(AX$5,port_specs,2,0)/(365.25))*(AT25-AT24)))*(INDEX(fixed_capacity_charge,MATCH(AT24,PORTS!$H$11:$H$317,0),MATCH(AX$5,PORTS!$H$11:$N$11,0))+INDEX(variable_om_charge,MATCH(AT24,PORTS!$H$318:$H$625,0),MATCH(AX$5,PORTS!$H$318:$N$318,0)))</f>
        <v>0</v>
      </c>
      <c r="BA24" s="232">
        <f t="shared" si="23"/>
        <v>0</v>
      </c>
      <c r="BB24" s="241">
        <f t="shared" si="24"/>
        <v>0</v>
      </c>
      <c r="BC24" s="408"/>
      <c r="BD24" s="338">
        <f>+PORTS!I18+PORTS!I326</f>
        <v>0</v>
      </c>
    </row>
    <row r="25" spans="1:56" x14ac:dyDescent="0.2">
      <c r="A25" s="186">
        <f t="shared" si="25"/>
        <v>36923</v>
      </c>
      <c r="B25" s="215">
        <f>+IF(AND($A25&gt;=$C$8,$A25&lt;=$C$9),1,0)*PORTS!$I$5/(365.25)*(A26-A25)</f>
        <v>0</v>
      </c>
      <c r="C25" s="351">
        <f t="shared" si="5"/>
        <v>0</v>
      </c>
      <c r="D25">
        <f t="shared" si="6"/>
        <v>2001</v>
      </c>
      <c r="E25" s="186">
        <f t="shared" si="26"/>
        <v>36923</v>
      </c>
      <c r="F25" s="215">
        <f t="shared" si="7"/>
        <v>0</v>
      </c>
      <c r="G25" s="191">
        <f t="shared" si="8"/>
        <v>0</v>
      </c>
      <c r="H25" s="218">
        <f t="shared" si="9"/>
        <v>0</v>
      </c>
      <c r="I25" s="118">
        <f t="shared" si="10"/>
        <v>0</v>
      </c>
      <c r="J25" s="215">
        <f t="shared" si="2"/>
        <v>0</v>
      </c>
      <c r="K25" s="202"/>
      <c r="L25" s="186">
        <f t="shared" si="27"/>
        <v>36923</v>
      </c>
      <c r="M25" s="400">
        <f>+J25*(VLOOKUP(L25,CURVECALC!$C$6:$J$312,4,0)+N$5)</f>
        <v>0</v>
      </c>
      <c r="N25" s="208">
        <f>-F25*INDEX(ship_curves,MATCH(L25,'SHIP CURVES'!$A$9:$A$316,0),MATCH(CONCATENATE(P$4,P$5,P$6,P$7),'SHIP CURVES'!$A$9:$AZ$9,0))</f>
        <v>0</v>
      </c>
      <c r="O25" s="209">
        <f>-H25*INDEX(port_processing_fee,MATCH(L25,PORTS!$H$626:$H$933,0),MATCH(P$5,PORTS!$H$626:$Z$626,0))</f>
        <v>0</v>
      </c>
      <c r="P25" s="405">
        <f>(((VLOOKUP(L25,curvecalc,4,0))*IF(F25=0,0,J25/F25)-INDEX(ship_curves,MATCH(L25,'SHIP CURVES'!$A$9:$A$316,0),MATCH(CONCATENATE(P$4,P$5,P$6,P$7),'SHIP CURVES'!$A$9:$Z$9,0))-INDEX(terminal_curves,MATCH(L25,'TERMINAL CURVES'!$A$4:$A$313,0),MATCH(P$5,'TERMINAL CURVES'!$A$4:$N$4,0))*IF(F25=0,0,H25/F25))-(N$8)*((N$7-$N$5)-(INDEX(ship_curves,MATCH(L25,'SHIP CURVES'!$A$9:$A$316,0),MATCH(CONCATENATE(P$4,P$5,P$6,P$7),'SHIP CURVES'!$A$9:$Z$9,0))-INDEX(ship_curves,MATCH(L25,'SHIP CURVES'!$A$9:$A$316,0),MATCH(CONCATENATE(P$4,N$6,P$6,P$7),'SHIP CURVES'!$A$9:$Z$9,0)))-(INDEX(terminal_curves,MATCH(L25,'TERMINAL CURVES'!$A$4:$A$313,0),MATCH(P$5,'TERMINAL CURVES'!$A$4:$N$4,0))-INDEX(terminal_curves,MATCH(L25,'TERMINAL CURVES'!$A$4:$A$313,0),MATCH(N$6,'TERMINAL CURVES'!$A$4:$N$4,0)))*IF(F25=0,0,H25/F25)))*-F25</f>
        <v>0</v>
      </c>
      <c r="Q25" s="403">
        <f t="shared" si="11"/>
        <v>0</v>
      </c>
      <c r="R25" s="338">
        <f>(-H25/((HLOOKUP(P$5,port_specs,2,0)/(365.25))*(L26-L25)))*(INDEX(fixed_capacity_charge,MATCH(L25,PORTS!$H$11:$H$317,0),MATCH(P$5,PORTS!$H$11:$N$11,0))+INDEX(variable_om_charge,MATCH(L25,PORTS!$H$318:$H$625,0),MATCH(P$5,PORTS!$H$318:$N$318,0)))</f>
        <v>0</v>
      </c>
      <c r="S25" s="232">
        <f t="shared" si="12"/>
        <v>0</v>
      </c>
      <c r="T25" s="241">
        <f t="shared" si="13"/>
        <v>0</v>
      </c>
      <c r="U25" s="431"/>
      <c r="V25" s="186">
        <f t="shared" si="28"/>
        <v>36923</v>
      </c>
      <c r="W25" s="215">
        <f t="shared" si="14"/>
        <v>0</v>
      </c>
      <c r="X25" s="191">
        <f t="shared" si="15"/>
        <v>0</v>
      </c>
      <c r="Y25" s="218">
        <f>+IF(AND(X$8&lt;=V25,X$9&gt;=V25),+MIN($B25-SUMIF($H$17:X$17,Y$17,$H25:X25),((INDEX(ROUTE_PER_DAY_BY_SHIP,MATCH(CONCATENATE(X$4,X$5,X$7),ROUTE_PER_DAY_ROUTES,0),MATCH(X$6,ROUTE_PER_DAY_SHIPS,0))*(V26-V25))-(INDEX(ROUTE_PER_DAY_BY_SHIP,MATCH(CONCATENATE(X$4,X$5,X$7),ROUTE_PER_DAY_ROUTES,0),MATCH(X$6,ROUTE_PER_DAY_SHIPS,0))*(V26-V25))*HLOOKUP(X$6,SHIPS,7,0)*INDEX(LADEN_VOYAGE_DAYS,MATCH(CONCATENATE(X$4,X$5,X$7),LADEN_VOYAGE_ROUTES,0),MATCH(X$6,LADEN_VOYAGE_SHIPS,0)))),0)</f>
        <v>0</v>
      </c>
      <c r="Z25" s="118">
        <f t="shared" si="16"/>
        <v>0</v>
      </c>
      <c r="AA25" s="215">
        <f t="shared" si="3"/>
        <v>0</v>
      </c>
      <c r="AB25" s="202"/>
      <c r="AC25" s="186">
        <f t="shared" si="29"/>
        <v>36923</v>
      </c>
      <c r="AD25" s="232">
        <f>+AA25*(VLOOKUP(AC25,CURVECALC!$C$6:$J$312,4,0)+AE$5)</f>
        <v>0</v>
      </c>
      <c r="AE25" s="208">
        <f>-W25*INDEX(ship_curves,MATCH(AC25,'SHIP CURVES'!$A$9:$A$316,0),MATCH(CONCATENATE(AG$4,AG$5,AG$6,AG$7),'SHIP CURVES'!$A$9:$AZ$9,0))</f>
        <v>0</v>
      </c>
      <c r="AF25" s="209">
        <f>-Y25*INDEX(port_processing_fee,MATCH(AC25,PORTS!$H$626:$H$933,0),MATCH(AG$5,PORTS!$H$626:$Z$626,0))</f>
        <v>0</v>
      </c>
      <c r="AG25" s="405">
        <f>(((VLOOKUP(AC25,curvecalc,4,0))*IF(W25=0,0,AA25/W25)-INDEX(ship_curves,MATCH(AC25,'SHIP CURVES'!$A$9:$A$316,0),MATCH(CONCATENATE(AG$4,AG$5,AG$6,AG$7),'SHIP CURVES'!$A$9:$Z$9,0))-INDEX(terminal_curves,MATCH(AC25,'TERMINAL CURVES'!$A$4:$A$313,0),MATCH(AG$5,'TERMINAL CURVES'!$A$4:$N$4,0))*IF(W25=0,0,Y25/W25))-(AE$8)*((AE$7-$N$5)-(INDEX(ship_curves,MATCH(AC25,'SHIP CURVES'!$A$9:$A$316,0),MATCH(CONCATENATE(AG$4,AG$5,AG$6,AG$7),'SHIP CURVES'!$A$9:$Z$9,0))-INDEX(ship_curves,MATCH(AC25,'SHIP CURVES'!$A$9:$A$316,0),MATCH(CONCATENATE(AG$4,AE$6,AG$6,AG$7),'SHIP CURVES'!$A$9:$Z$9,0)))-(INDEX(terminal_curves,MATCH(AC25,'TERMINAL CURVES'!$A$4:$A$313,0),MATCH(AG$5,'TERMINAL CURVES'!$A$4:$N$4,0))-INDEX(terminal_curves,MATCH(AC25,'TERMINAL CURVES'!$A$4:$A$313,0),MATCH(AE$6,'TERMINAL CURVES'!$A$4:$N$4,0)))*IF(W25=0,0,Y25/W25)))*-W25</f>
        <v>0</v>
      </c>
      <c r="AH25" s="343">
        <f t="shared" si="17"/>
        <v>0</v>
      </c>
      <c r="AI25" s="338">
        <f>(-Y25/((HLOOKUP(AG$5,port_specs,2,0)/(365.25))*(AC26-AC25)))*(INDEX(fixed_capacity_charge,MATCH(AC25,PORTS!$H$11:$H$317,0),MATCH(AG$5,PORTS!$H$11:$N$11,0))+INDEX(variable_om_charge,MATCH(AC25,PORTS!$H$318:$H$625,0),MATCH(AG$5,PORTS!$H$318:$N$318,0)))</f>
        <v>0</v>
      </c>
      <c r="AJ25" s="232">
        <f t="shared" si="18"/>
        <v>0</v>
      </c>
      <c r="AK25" s="241">
        <f t="shared" si="19"/>
        <v>0</v>
      </c>
      <c r="AM25" s="186">
        <f t="shared" si="30"/>
        <v>36923</v>
      </c>
      <c r="AN25" s="215">
        <f t="shared" si="20"/>
        <v>0</v>
      </c>
      <c r="AO25" s="191">
        <f t="shared" si="21"/>
        <v>0</v>
      </c>
      <c r="AP25" s="218">
        <f>+IF(AND(AO$8&lt;=AM25,AO$9&gt;=AM25),+MIN($B25-SUMIF($H$17:AO$17,AP$17,$H25:AO25),((INDEX(ROUTE_PER_DAY_BY_SHIP,MATCH(CONCATENATE(AO$4,AO$5,AO$7),ROUTE_PER_DAY_ROUTES,0),MATCH(AO$6,ROUTE_PER_DAY_SHIPS,0))*(AM26-AM25))-(INDEX(ROUTE_PER_DAY_BY_SHIP,MATCH(CONCATENATE(AO$4,AO$5,AO$7),ROUTE_PER_DAY_ROUTES,0),MATCH(AO$6,ROUTE_PER_DAY_SHIPS,0))*(AM26-AM25))*HLOOKUP(AO$6,SHIPS,7,0)*INDEX(LADEN_VOYAGE_DAYS,MATCH(CONCATENATE(AO$4,AO$5,AO$7),LADEN_VOYAGE_ROUTES,0),MATCH(AO$6,LADEN_VOYAGE_SHIPS,0)))),0)</f>
        <v>0</v>
      </c>
      <c r="AQ25" s="118">
        <f>-(AP25)*PORTS!$I$6</f>
        <v>0</v>
      </c>
      <c r="AR25" s="215">
        <f t="shared" si="4"/>
        <v>0</v>
      </c>
      <c r="AS25" s="202"/>
      <c r="AT25" s="186">
        <f t="shared" si="31"/>
        <v>36923</v>
      </c>
      <c r="AU25" s="232">
        <f>+AR25*(VLOOKUP(AT25,CURVECALC!$C$6:$J$312,4,0)+AV$5)</f>
        <v>0</v>
      </c>
      <c r="AV25" s="208">
        <f>-AN25*INDEX(ship_curves,MATCH(AT25,'SHIP CURVES'!$A$9:$A$316,0),MATCH(CONCATENATE(AX$4,AX$5,AX$6,AX$7),'SHIP CURVES'!$A$9:$AZ$9,0))</f>
        <v>0</v>
      </c>
      <c r="AW25" s="209">
        <f>-AP25*INDEX(port_processing_fee,MATCH(AT25,PORTS!$H$626:$H$933,0),MATCH(AX$5,PORTS!$H$626:$Z$626,0))</f>
        <v>0</v>
      </c>
      <c r="AX25" s="405">
        <f>(((VLOOKUP(AT25,curvecalc,4,0))*IF(AN25=0,0,AR25/AN25)-INDEX(ship_curves,MATCH(AT25,'SHIP CURVES'!$A$9:$A$316,0),MATCH(CONCATENATE(AX$4,AX$5,AX$6,AX$7),'SHIP CURVES'!$A$9:$Z$9,0))-INDEX(terminal_curves,MATCH(AT25,'TERMINAL CURVES'!$A$4:$A$313,0),MATCH(AX$5,'TERMINAL CURVES'!$A$4:$N$4,0))*IF(AN25=0,0,AP25/AN25))-(AV$8)*((AV$7-$N$5)-(INDEX(ship_curves,MATCH(AT25,'SHIP CURVES'!$A$9:$A$316,0),MATCH(CONCATENATE(AX$4,AX$5,AX$6,AX$7),'SHIP CURVES'!$A$9:$Z$9,0))-INDEX(ship_curves,MATCH(AT25,'SHIP CURVES'!$A$9:$A$316,0),MATCH(CONCATENATE(AX$4,AV$6,AX$6,AX$7),'SHIP CURVES'!$A$9:$Z$9,0)))-(INDEX(terminal_curves,MATCH(AT25,'TERMINAL CURVES'!$A$4:$A$313,0),MATCH(AX$5,'TERMINAL CURVES'!$A$4:$N$4,0))-INDEX(terminal_curves,MATCH(AT25,'TERMINAL CURVES'!$A$4:$A$313,0),MATCH(AV$6,'TERMINAL CURVES'!$A$4:$N$4,0)))*IF(AN25=0,0,AP25/AN25)))*-AN25</f>
        <v>0</v>
      </c>
      <c r="AY25" s="343">
        <f t="shared" si="22"/>
        <v>0</v>
      </c>
      <c r="AZ25" s="338">
        <f>(-AP25/((HLOOKUP(AX$5,port_specs,2,0)/(365.25))*(AT26-AT25)))*(INDEX(fixed_capacity_charge,MATCH(AT25,PORTS!$H$11:$H$317,0),MATCH(AX$5,PORTS!$H$11:$N$11,0))+INDEX(variable_om_charge,MATCH(AT25,PORTS!$H$318:$H$625,0),MATCH(AX$5,PORTS!$H$318:$N$318,0)))</f>
        <v>0</v>
      </c>
      <c r="BA25" s="232">
        <f t="shared" si="23"/>
        <v>0</v>
      </c>
      <c r="BB25" s="241">
        <f t="shared" si="24"/>
        <v>0</v>
      </c>
      <c r="BC25" s="408"/>
      <c r="BD25" s="338">
        <f>+PORTS!I19+PORTS!I327</f>
        <v>0</v>
      </c>
    </row>
    <row r="26" spans="1:56" x14ac:dyDescent="0.2">
      <c r="A26" s="186">
        <f t="shared" si="25"/>
        <v>36951</v>
      </c>
      <c r="B26" s="215">
        <f>+IF(AND($A26&gt;=$C$8,$A26&lt;=$C$9),1,0)*PORTS!$I$5/(365.25)*(A27-A26)</f>
        <v>0</v>
      </c>
      <c r="C26" s="351">
        <f t="shared" si="5"/>
        <v>0</v>
      </c>
      <c r="D26">
        <f t="shared" si="6"/>
        <v>2001</v>
      </c>
      <c r="E26" s="186">
        <f t="shared" si="26"/>
        <v>36951</v>
      </c>
      <c r="F26" s="215">
        <f t="shared" si="7"/>
        <v>0</v>
      </c>
      <c r="G26" s="191">
        <f t="shared" si="8"/>
        <v>0</v>
      </c>
      <c r="H26" s="218">
        <f t="shared" si="9"/>
        <v>0</v>
      </c>
      <c r="I26" s="118">
        <f t="shared" si="10"/>
        <v>0</v>
      </c>
      <c r="J26" s="215">
        <f t="shared" si="2"/>
        <v>0</v>
      </c>
      <c r="K26" s="202"/>
      <c r="L26" s="186">
        <f t="shared" si="27"/>
        <v>36951</v>
      </c>
      <c r="M26" s="400">
        <f>+J26*(VLOOKUP(L26,CURVECALC!$C$6:$J$312,4,0)+N$5)</f>
        <v>0</v>
      </c>
      <c r="N26" s="208">
        <f>-F26*INDEX(ship_curves,MATCH(L26,'SHIP CURVES'!$A$9:$A$316,0),MATCH(CONCATENATE(P$4,P$5,P$6,P$7),'SHIP CURVES'!$A$9:$AZ$9,0))</f>
        <v>0</v>
      </c>
      <c r="O26" s="209">
        <f>-H26*INDEX(port_processing_fee,MATCH(L26,PORTS!$H$626:$H$933,0),MATCH(P$5,PORTS!$H$626:$Z$626,0))</f>
        <v>0</v>
      </c>
      <c r="P26" s="405">
        <f>(((VLOOKUP(L26,curvecalc,4,0))*IF(F26=0,0,J26/F26)-INDEX(ship_curves,MATCH(L26,'SHIP CURVES'!$A$9:$A$316,0),MATCH(CONCATENATE(P$4,P$5,P$6,P$7),'SHIP CURVES'!$A$9:$Z$9,0))-INDEX(terminal_curves,MATCH(L26,'TERMINAL CURVES'!$A$4:$A$313,0),MATCH(P$5,'TERMINAL CURVES'!$A$4:$N$4,0))*IF(F26=0,0,H26/F26))-(N$8)*((N$7-$N$5)-(INDEX(ship_curves,MATCH(L26,'SHIP CURVES'!$A$9:$A$316,0),MATCH(CONCATENATE(P$4,P$5,P$6,P$7),'SHIP CURVES'!$A$9:$Z$9,0))-INDEX(ship_curves,MATCH(L26,'SHIP CURVES'!$A$9:$A$316,0),MATCH(CONCATENATE(P$4,N$6,P$6,P$7),'SHIP CURVES'!$A$9:$Z$9,0)))-(INDEX(terminal_curves,MATCH(L26,'TERMINAL CURVES'!$A$4:$A$313,0),MATCH(P$5,'TERMINAL CURVES'!$A$4:$N$4,0))-INDEX(terminal_curves,MATCH(L26,'TERMINAL CURVES'!$A$4:$A$313,0),MATCH(N$6,'TERMINAL CURVES'!$A$4:$N$4,0)))*IF(F26=0,0,H26/F26)))*-F26</f>
        <v>0</v>
      </c>
      <c r="Q26" s="403">
        <f t="shared" si="11"/>
        <v>0</v>
      </c>
      <c r="R26" s="338">
        <f>(-H26/((HLOOKUP(P$5,port_specs,2,0)/(365.25))*(L27-L26)))*(INDEX(fixed_capacity_charge,MATCH(L26,PORTS!$H$11:$H$317,0),MATCH(P$5,PORTS!$H$11:$N$11,0))+INDEX(variable_om_charge,MATCH(L26,PORTS!$H$318:$H$625,0),MATCH(P$5,PORTS!$H$318:$N$318,0)))</f>
        <v>0</v>
      </c>
      <c r="S26" s="232">
        <f t="shared" si="12"/>
        <v>0</v>
      </c>
      <c r="T26" s="241">
        <f t="shared" si="13"/>
        <v>0</v>
      </c>
      <c r="U26" s="431"/>
      <c r="V26" s="186">
        <f t="shared" si="28"/>
        <v>36951</v>
      </c>
      <c r="W26" s="215">
        <f t="shared" si="14"/>
        <v>0</v>
      </c>
      <c r="X26" s="191">
        <f t="shared" si="15"/>
        <v>0</v>
      </c>
      <c r="Y26" s="218">
        <f>+IF(AND(X$8&lt;=V26,X$9&gt;=V26),+MIN($B26-SUMIF($H$17:X$17,Y$17,$H26:X26),((INDEX(ROUTE_PER_DAY_BY_SHIP,MATCH(CONCATENATE(X$4,X$5,X$7),ROUTE_PER_DAY_ROUTES,0),MATCH(X$6,ROUTE_PER_DAY_SHIPS,0))*(V27-V26))-(INDEX(ROUTE_PER_DAY_BY_SHIP,MATCH(CONCATENATE(X$4,X$5,X$7),ROUTE_PER_DAY_ROUTES,0),MATCH(X$6,ROUTE_PER_DAY_SHIPS,0))*(V27-V26))*HLOOKUP(X$6,SHIPS,7,0)*INDEX(LADEN_VOYAGE_DAYS,MATCH(CONCATENATE(X$4,X$5,X$7),LADEN_VOYAGE_ROUTES,0),MATCH(X$6,LADEN_VOYAGE_SHIPS,0)))),0)</f>
        <v>0</v>
      </c>
      <c r="Z26" s="118">
        <f t="shared" si="16"/>
        <v>0</v>
      </c>
      <c r="AA26" s="215">
        <f t="shared" si="3"/>
        <v>0</v>
      </c>
      <c r="AB26" s="202"/>
      <c r="AC26" s="186">
        <f t="shared" si="29"/>
        <v>36951</v>
      </c>
      <c r="AD26" s="232">
        <f>+AA26*(VLOOKUP(AC26,CURVECALC!$C$6:$J$312,4,0)+AE$5)</f>
        <v>0</v>
      </c>
      <c r="AE26" s="208">
        <f>-W26*INDEX(ship_curves,MATCH(AC26,'SHIP CURVES'!$A$9:$A$316,0),MATCH(CONCATENATE(AG$4,AG$5,AG$6,AG$7),'SHIP CURVES'!$A$9:$AZ$9,0))</f>
        <v>0</v>
      </c>
      <c r="AF26" s="209">
        <f>-Y26*INDEX(port_processing_fee,MATCH(AC26,PORTS!$H$626:$H$933,0),MATCH(AG$5,PORTS!$H$626:$Z$626,0))</f>
        <v>0</v>
      </c>
      <c r="AG26" s="405">
        <f>(((VLOOKUP(AC26,curvecalc,4,0))*IF(W26=0,0,AA26/W26)-INDEX(ship_curves,MATCH(AC26,'SHIP CURVES'!$A$9:$A$316,0),MATCH(CONCATENATE(AG$4,AG$5,AG$6,AG$7),'SHIP CURVES'!$A$9:$Z$9,0))-INDEX(terminal_curves,MATCH(AC26,'TERMINAL CURVES'!$A$4:$A$313,0),MATCH(AG$5,'TERMINAL CURVES'!$A$4:$N$4,0))*IF(W26=0,0,Y26/W26))-(AE$8)*((AE$7-$N$5)-(INDEX(ship_curves,MATCH(AC26,'SHIP CURVES'!$A$9:$A$316,0),MATCH(CONCATENATE(AG$4,AG$5,AG$6,AG$7),'SHIP CURVES'!$A$9:$Z$9,0))-INDEX(ship_curves,MATCH(AC26,'SHIP CURVES'!$A$9:$A$316,0),MATCH(CONCATENATE(AG$4,AE$6,AG$6,AG$7),'SHIP CURVES'!$A$9:$Z$9,0)))-(INDEX(terminal_curves,MATCH(AC26,'TERMINAL CURVES'!$A$4:$A$313,0),MATCH(AG$5,'TERMINAL CURVES'!$A$4:$N$4,0))-INDEX(terminal_curves,MATCH(AC26,'TERMINAL CURVES'!$A$4:$A$313,0),MATCH(AE$6,'TERMINAL CURVES'!$A$4:$N$4,0)))*IF(W26=0,0,Y26/W26)))*-W26</f>
        <v>0</v>
      </c>
      <c r="AH26" s="343">
        <f t="shared" si="17"/>
        <v>0</v>
      </c>
      <c r="AI26" s="338">
        <f>(-Y26/((HLOOKUP(AG$5,port_specs,2,0)/(365.25))*(AC27-AC26)))*(INDEX(fixed_capacity_charge,MATCH(AC26,PORTS!$H$11:$H$317,0),MATCH(AG$5,PORTS!$H$11:$N$11,0))+INDEX(variable_om_charge,MATCH(AC26,PORTS!$H$318:$H$625,0),MATCH(AG$5,PORTS!$H$318:$N$318,0)))</f>
        <v>0</v>
      </c>
      <c r="AJ26" s="232">
        <f t="shared" si="18"/>
        <v>0</v>
      </c>
      <c r="AK26" s="241">
        <f t="shared" si="19"/>
        <v>0</v>
      </c>
      <c r="AM26" s="186">
        <f t="shared" si="30"/>
        <v>36951</v>
      </c>
      <c r="AN26" s="215">
        <f t="shared" si="20"/>
        <v>0</v>
      </c>
      <c r="AO26" s="191">
        <f t="shared" si="21"/>
        <v>0</v>
      </c>
      <c r="AP26" s="218">
        <f>+IF(AND(AO$8&lt;=AM26,AO$9&gt;=AM26),+MIN($B26-SUMIF($H$17:AO$17,AP$17,$H26:AO26),((INDEX(ROUTE_PER_DAY_BY_SHIP,MATCH(CONCATENATE(AO$4,AO$5,AO$7),ROUTE_PER_DAY_ROUTES,0),MATCH(AO$6,ROUTE_PER_DAY_SHIPS,0))*(AM27-AM26))-(INDEX(ROUTE_PER_DAY_BY_SHIP,MATCH(CONCATENATE(AO$4,AO$5,AO$7),ROUTE_PER_DAY_ROUTES,0),MATCH(AO$6,ROUTE_PER_DAY_SHIPS,0))*(AM27-AM26))*HLOOKUP(AO$6,SHIPS,7,0)*INDEX(LADEN_VOYAGE_DAYS,MATCH(CONCATENATE(AO$4,AO$5,AO$7),LADEN_VOYAGE_ROUTES,0),MATCH(AO$6,LADEN_VOYAGE_SHIPS,0)))),0)</f>
        <v>0</v>
      </c>
      <c r="AQ26" s="118">
        <f>-(AP26)*PORTS!$I$6</f>
        <v>0</v>
      </c>
      <c r="AR26" s="215">
        <f t="shared" si="4"/>
        <v>0</v>
      </c>
      <c r="AS26" s="202"/>
      <c r="AT26" s="186">
        <f t="shared" si="31"/>
        <v>36951</v>
      </c>
      <c r="AU26" s="232">
        <f>+AR26*(VLOOKUP(AT26,CURVECALC!$C$6:$J$312,4,0)+AV$5)</f>
        <v>0</v>
      </c>
      <c r="AV26" s="208">
        <f>-AN26*INDEX(ship_curves,MATCH(AT26,'SHIP CURVES'!$A$9:$A$316,0),MATCH(CONCATENATE(AX$4,AX$5,AX$6,AX$7),'SHIP CURVES'!$A$9:$AZ$9,0))</f>
        <v>0</v>
      </c>
      <c r="AW26" s="209">
        <f>-AP26*INDEX(port_processing_fee,MATCH(AT26,PORTS!$H$626:$H$933,0),MATCH(AX$5,PORTS!$H$626:$Z$626,0))</f>
        <v>0</v>
      </c>
      <c r="AX26" s="405">
        <f>(((VLOOKUP(AT26,curvecalc,4,0))*IF(AN26=0,0,AR26/AN26)-INDEX(ship_curves,MATCH(AT26,'SHIP CURVES'!$A$9:$A$316,0),MATCH(CONCATENATE(AX$4,AX$5,AX$6,AX$7),'SHIP CURVES'!$A$9:$Z$9,0))-INDEX(terminal_curves,MATCH(AT26,'TERMINAL CURVES'!$A$4:$A$313,0),MATCH(AX$5,'TERMINAL CURVES'!$A$4:$N$4,0))*IF(AN26=0,0,AP26/AN26))-(AV$8)*((AV$7-$N$5)-(INDEX(ship_curves,MATCH(AT26,'SHIP CURVES'!$A$9:$A$316,0),MATCH(CONCATENATE(AX$4,AX$5,AX$6,AX$7),'SHIP CURVES'!$A$9:$Z$9,0))-INDEX(ship_curves,MATCH(AT26,'SHIP CURVES'!$A$9:$A$316,0),MATCH(CONCATENATE(AX$4,AV$6,AX$6,AX$7),'SHIP CURVES'!$A$9:$Z$9,0)))-(INDEX(terminal_curves,MATCH(AT26,'TERMINAL CURVES'!$A$4:$A$313,0),MATCH(AX$5,'TERMINAL CURVES'!$A$4:$N$4,0))-INDEX(terminal_curves,MATCH(AT26,'TERMINAL CURVES'!$A$4:$A$313,0),MATCH(AV$6,'TERMINAL CURVES'!$A$4:$N$4,0)))*IF(AN26=0,0,AP26/AN26)))*-AN26</f>
        <v>0</v>
      </c>
      <c r="AY26" s="343">
        <f t="shared" si="22"/>
        <v>0</v>
      </c>
      <c r="AZ26" s="338">
        <f>(-AP26/((HLOOKUP(AX$5,port_specs,2,0)/(365.25))*(AT27-AT26)))*(INDEX(fixed_capacity_charge,MATCH(AT26,PORTS!$H$11:$H$317,0),MATCH(AX$5,PORTS!$H$11:$N$11,0))+INDEX(variable_om_charge,MATCH(AT26,PORTS!$H$318:$H$625,0),MATCH(AX$5,PORTS!$H$318:$N$318,0)))</f>
        <v>0</v>
      </c>
      <c r="BA26" s="232">
        <f t="shared" si="23"/>
        <v>0</v>
      </c>
      <c r="BB26" s="241">
        <f t="shared" si="24"/>
        <v>0</v>
      </c>
      <c r="BC26" s="408"/>
      <c r="BD26" s="338">
        <f>+PORTS!I20+PORTS!I328</f>
        <v>0</v>
      </c>
    </row>
    <row r="27" spans="1:56" x14ac:dyDescent="0.2">
      <c r="A27" s="186">
        <f t="shared" si="25"/>
        <v>36982</v>
      </c>
      <c r="B27" s="215">
        <f>+IF(AND($A27&gt;=$C$8,$A27&lt;=$C$9),1,0)*PORTS!$I$5/(365.25)*(A28-A27)</f>
        <v>0</v>
      </c>
      <c r="C27" s="351">
        <f t="shared" si="5"/>
        <v>0</v>
      </c>
      <c r="D27">
        <f t="shared" si="6"/>
        <v>2001</v>
      </c>
      <c r="E27" s="186">
        <f t="shared" si="26"/>
        <v>36982</v>
      </c>
      <c r="F27" s="215">
        <f t="shared" si="7"/>
        <v>0</v>
      </c>
      <c r="G27" s="191">
        <f t="shared" si="8"/>
        <v>0</v>
      </c>
      <c r="H27" s="218">
        <f t="shared" si="9"/>
        <v>0</v>
      </c>
      <c r="I27" s="118">
        <f t="shared" si="10"/>
        <v>0</v>
      </c>
      <c r="J27" s="215">
        <f t="shared" si="2"/>
        <v>0</v>
      </c>
      <c r="K27" s="202"/>
      <c r="L27" s="186">
        <f t="shared" si="27"/>
        <v>36982</v>
      </c>
      <c r="M27" s="400">
        <f>+J27*(VLOOKUP(L27,CURVECALC!$C$6:$J$312,4,0)+N$5)</f>
        <v>0</v>
      </c>
      <c r="N27" s="208">
        <f>-F27*INDEX(ship_curves,MATCH(L27,'SHIP CURVES'!$A$9:$A$316,0),MATCH(CONCATENATE(P$4,P$5,P$6,P$7),'SHIP CURVES'!$A$9:$AZ$9,0))</f>
        <v>0</v>
      </c>
      <c r="O27" s="209">
        <f>-H27*INDEX(port_processing_fee,MATCH(L27,PORTS!$H$626:$H$933,0),MATCH(P$5,PORTS!$H$626:$Z$626,0))</f>
        <v>0</v>
      </c>
      <c r="P27" s="405">
        <f>(((VLOOKUP(L27,curvecalc,4,0))*IF(F27=0,0,J27/F27)-INDEX(ship_curves,MATCH(L27,'SHIP CURVES'!$A$9:$A$316,0),MATCH(CONCATENATE(P$4,P$5,P$6,P$7),'SHIP CURVES'!$A$9:$Z$9,0))-INDEX(terminal_curves,MATCH(L27,'TERMINAL CURVES'!$A$4:$A$313,0),MATCH(P$5,'TERMINAL CURVES'!$A$4:$N$4,0))*IF(F27=0,0,H27/F27))-(N$8)*((N$7-$N$5)-(INDEX(ship_curves,MATCH(L27,'SHIP CURVES'!$A$9:$A$316,0),MATCH(CONCATENATE(P$4,P$5,P$6,P$7),'SHIP CURVES'!$A$9:$Z$9,0))-INDEX(ship_curves,MATCH(L27,'SHIP CURVES'!$A$9:$A$316,0),MATCH(CONCATENATE(P$4,N$6,P$6,P$7),'SHIP CURVES'!$A$9:$Z$9,0)))-(INDEX(terminal_curves,MATCH(L27,'TERMINAL CURVES'!$A$4:$A$313,0),MATCH(P$5,'TERMINAL CURVES'!$A$4:$N$4,0))-INDEX(terminal_curves,MATCH(L27,'TERMINAL CURVES'!$A$4:$A$313,0),MATCH(N$6,'TERMINAL CURVES'!$A$4:$N$4,0)))*IF(F27=0,0,H27/F27)))*-F27</f>
        <v>0</v>
      </c>
      <c r="Q27" s="403">
        <f t="shared" si="11"/>
        <v>0</v>
      </c>
      <c r="R27" s="338">
        <f>(-H27/((HLOOKUP(P$5,port_specs,2,0)/(365.25))*(L28-L27)))*(INDEX(fixed_capacity_charge,MATCH(L27,PORTS!$H$11:$H$317,0),MATCH(P$5,PORTS!$H$11:$N$11,0))+INDEX(variable_om_charge,MATCH(L27,PORTS!$H$318:$H$625,0),MATCH(P$5,PORTS!$H$318:$N$318,0)))</f>
        <v>0</v>
      </c>
      <c r="S27" s="232">
        <f t="shared" si="12"/>
        <v>0</v>
      </c>
      <c r="T27" s="241">
        <f t="shared" si="13"/>
        <v>0</v>
      </c>
      <c r="U27" s="431"/>
      <c r="V27" s="186">
        <f t="shared" si="28"/>
        <v>36982</v>
      </c>
      <c r="W27" s="215">
        <f t="shared" si="14"/>
        <v>0</v>
      </c>
      <c r="X27" s="191">
        <f t="shared" si="15"/>
        <v>0</v>
      </c>
      <c r="Y27" s="218">
        <f>+IF(AND(X$8&lt;=V27,X$9&gt;=V27),+MIN($B27-SUMIF($H$17:X$17,Y$17,$H27:X27),((INDEX(ROUTE_PER_DAY_BY_SHIP,MATCH(CONCATENATE(X$4,X$5,X$7),ROUTE_PER_DAY_ROUTES,0),MATCH(X$6,ROUTE_PER_DAY_SHIPS,0))*(V28-V27))-(INDEX(ROUTE_PER_DAY_BY_SHIP,MATCH(CONCATENATE(X$4,X$5,X$7),ROUTE_PER_DAY_ROUTES,0),MATCH(X$6,ROUTE_PER_DAY_SHIPS,0))*(V28-V27))*HLOOKUP(X$6,SHIPS,7,0)*INDEX(LADEN_VOYAGE_DAYS,MATCH(CONCATENATE(X$4,X$5,X$7),LADEN_VOYAGE_ROUTES,0),MATCH(X$6,LADEN_VOYAGE_SHIPS,0)))),0)</f>
        <v>0</v>
      </c>
      <c r="Z27" s="118">
        <f t="shared" si="16"/>
        <v>0</v>
      </c>
      <c r="AA27" s="215">
        <f t="shared" si="3"/>
        <v>0</v>
      </c>
      <c r="AB27" s="202"/>
      <c r="AC27" s="186">
        <f t="shared" si="29"/>
        <v>36982</v>
      </c>
      <c r="AD27" s="232">
        <f>+AA27*(VLOOKUP(AC27,CURVECALC!$C$6:$J$312,4,0)+AE$5)</f>
        <v>0</v>
      </c>
      <c r="AE27" s="208">
        <f>-W27*INDEX(ship_curves,MATCH(AC27,'SHIP CURVES'!$A$9:$A$316,0),MATCH(CONCATENATE(AG$4,AG$5,AG$6,AG$7),'SHIP CURVES'!$A$9:$AZ$9,0))</f>
        <v>0</v>
      </c>
      <c r="AF27" s="209">
        <f>-Y27*INDEX(port_processing_fee,MATCH(AC27,PORTS!$H$626:$H$933,0),MATCH(AG$5,PORTS!$H$626:$Z$626,0))</f>
        <v>0</v>
      </c>
      <c r="AG27" s="405">
        <f>(((VLOOKUP(AC27,curvecalc,4,0))*IF(W27=0,0,AA27/W27)-INDEX(ship_curves,MATCH(AC27,'SHIP CURVES'!$A$9:$A$316,0),MATCH(CONCATENATE(AG$4,AG$5,AG$6,AG$7),'SHIP CURVES'!$A$9:$Z$9,0))-INDEX(terminal_curves,MATCH(AC27,'TERMINAL CURVES'!$A$4:$A$313,0),MATCH(AG$5,'TERMINAL CURVES'!$A$4:$N$4,0))*IF(W27=0,0,Y27/W27))-(AE$8)*((AE$7-$N$5)-(INDEX(ship_curves,MATCH(AC27,'SHIP CURVES'!$A$9:$A$316,0),MATCH(CONCATENATE(AG$4,AG$5,AG$6,AG$7),'SHIP CURVES'!$A$9:$Z$9,0))-INDEX(ship_curves,MATCH(AC27,'SHIP CURVES'!$A$9:$A$316,0),MATCH(CONCATENATE(AG$4,AE$6,AG$6,AG$7),'SHIP CURVES'!$A$9:$Z$9,0)))-(INDEX(terminal_curves,MATCH(AC27,'TERMINAL CURVES'!$A$4:$A$313,0),MATCH(AG$5,'TERMINAL CURVES'!$A$4:$N$4,0))-INDEX(terminal_curves,MATCH(AC27,'TERMINAL CURVES'!$A$4:$A$313,0),MATCH(AE$6,'TERMINAL CURVES'!$A$4:$N$4,0)))*IF(W27=0,0,Y27/W27)))*-W27</f>
        <v>0</v>
      </c>
      <c r="AH27" s="343">
        <f t="shared" si="17"/>
        <v>0</v>
      </c>
      <c r="AI27" s="338">
        <f>(-Y27/((HLOOKUP(AG$5,port_specs,2,0)/(365.25))*(AC28-AC27)))*(INDEX(fixed_capacity_charge,MATCH(AC27,PORTS!$H$11:$H$317,0),MATCH(AG$5,PORTS!$H$11:$N$11,0))+INDEX(variable_om_charge,MATCH(AC27,PORTS!$H$318:$H$625,0),MATCH(AG$5,PORTS!$H$318:$N$318,0)))</f>
        <v>0</v>
      </c>
      <c r="AJ27" s="232">
        <f t="shared" si="18"/>
        <v>0</v>
      </c>
      <c r="AK27" s="241">
        <f t="shared" si="19"/>
        <v>0</v>
      </c>
      <c r="AM27" s="186">
        <f t="shared" si="30"/>
        <v>36982</v>
      </c>
      <c r="AN27" s="215">
        <f t="shared" si="20"/>
        <v>0</v>
      </c>
      <c r="AO27" s="191">
        <f t="shared" si="21"/>
        <v>0</v>
      </c>
      <c r="AP27" s="218">
        <f>+IF(AND(AO$8&lt;=AM27,AO$9&gt;=AM27),+MIN($B27-SUMIF($H$17:AO$17,AP$17,$H27:AO27),((INDEX(ROUTE_PER_DAY_BY_SHIP,MATCH(CONCATENATE(AO$4,AO$5,AO$7),ROUTE_PER_DAY_ROUTES,0),MATCH(AO$6,ROUTE_PER_DAY_SHIPS,0))*(AM28-AM27))-(INDEX(ROUTE_PER_DAY_BY_SHIP,MATCH(CONCATENATE(AO$4,AO$5,AO$7),ROUTE_PER_DAY_ROUTES,0),MATCH(AO$6,ROUTE_PER_DAY_SHIPS,0))*(AM28-AM27))*HLOOKUP(AO$6,SHIPS,7,0)*INDEX(LADEN_VOYAGE_DAYS,MATCH(CONCATENATE(AO$4,AO$5,AO$7),LADEN_VOYAGE_ROUTES,0),MATCH(AO$6,LADEN_VOYAGE_SHIPS,0)))),0)</f>
        <v>0</v>
      </c>
      <c r="AQ27" s="118">
        <f>-(AP27)*PORTS!$I$6</f>
        <v>0</v>
      </c>
      <c r="AR27" s="215">
        <f t="shared" si="4"/>
        <v>0</v>
      </c>
      <c r="AS27" s="202"/>
      <c r="AT27" s="186">
        <f t="shared" si="31"/>
        <v>36982</v>
      </c>
      <c r="AU27" s="232">
        <f>+AR27*(VLOOKUP(AT27,CURVECALC!$C$6:$J$312,4,0)+AV$5)</f>
        <v>0</v>
      </c>
      <c r="AV27" s="208">
        <f>-AN27*INDEX(ship_curves,MATCH(AT27,'SHIP CURVES'!$A$9:$A$316,0),MATCH(CONCATENATE(AX$4,AX$5,AX$6,AX$7),'SHIP CURVES'!$A$9:$AZ$9,0))</f>
        <v>0</v>
      </c>
      <c r="AW27" s="209">
        <f>-AP27*INDEX(port_processing_fee,MATCH(AT27,PORTS!$H$626:$H$933,0),MATCH(AX$5,PORTS!$H$626:$Z$626,0))</f>
        <v>0</v>
      </c>
      <c r="AX27" s="405">
        <f>(((VLOOKUP(AT27,curvecalc,4,0))*IF(AN27=0,0,AR27/AN27)-INDEX(ship_curves,MATCH(AT27,'SHIP CURVES'!$A$9:$A$316,0),MATCH(CONCATENATE(AX$4,AX$5,AX$6,AX$7),'SHIP CURVES'!$A$9:$Z$9,0))-INDEX(terminal_curves,MATCH(AT27,'TERMINAL CURVES'!$A$4:$A$313,0),MATCH(AX$5,'TERMINAL CURVES'!$A$4:$N$4,0))*IF(AN27=0,0,AP27/AN27))-(AV$8)*((AV$7-$N$5)-(INDEX(ship_curves,MATCH(AT27,'SHIP CURVES'!$A$9:$A$316,0),MATCH(CONCATENATE(AX$4,AX$5,AX$6,AX$7),'SHIP CURVES'!$A$9:$Z$9,0))-INDEX(ship_curves,MATCH(AT27,'SHIP CURVES'!$A$9:$A$316,0),MATCH(CONCATENATE(AX$4,AV$6,AX$6,AX$7),'SHIP CURVES'!$A$9:$Z$9,0)))-(INDEX(terminal_curves,MATCH(AT27,'TERMINAL CURVES'!$A$4:$A$313,0),MATCH(AX$5,'TERMINAL CURVES'!$A$4:$N$4,0))-INDEX(terminal_curves,MATCH(AT27,'TERMINAL CURVES'!$A$4:$A$313,0),MATCH(AV$6,'TERMINAL CURVES'!$A$4:$N$4,0)))*IF(AN27=0,0,AP27/AN27)))*-AN27</f>
        <v>0</v>
      </c>
      <c r="AY27" s="343">
        <f t="shared" si="22"/>
        <v>0</v>
      </c>
      <c r="AZ27" s="338">
        <f>(-AP27/((HLOOKUP(AX$5,port_specs,2,0)/(365.25))*(AT28-AT27)))*(INDEX(fixed_capacity_charge,MATCH(AT27,PORTS!$H$11:$H$317,0),MATCH(AX$5,PORTS!$H$11:$N$11,0))+INDEX(variable_om_charge,MATCH(AT27,PORTS!$H$318:$H$625,0),MATCH(AX$5,PORTS!$H$318:$N$318,0)))</f>
        <v>0</v>
      </c>
      <c r="BA27" s="232">
        <f t="shared" si="23"/>
        <v>0</v>
      </c>
      <c r="BB27" s="241">
        <f t="shared" si="24"/>
        <v>0</v>
      </c>
      <c r="BC27" s="408"/>
      <c r="BD27" s="338">
        <f>+PORTS!I21+PORTS!I329</f>
        <v>0</v>
      </c>
    </row>
    <row r="28" spans="1:56" x14ac:dyDescent="0.2">
      <c r="A28" s="186">
        <f t="shared" si="25"/>
        <v>37012</v>
      </c>
      <c r="B28" s="215">
        <f>+IF(AND($A28&gt;=$C$8,$A28&lt;=$C$9),1,0)*PORTS!$I$5/(365.25)*(A29-A28)</f>
        <v>0</v>
      </c>
      <c r="C28" s="351">
        <f t="shared" si="5"/>
        <v>0</v>
      </c>
      <c r="D28">
        <f t="shared" si="6"/>
        <v>2001</v>
      </c>
      <c r="E28" s="186">
        <f t="shared" si="26"/>
        <v>37012</v>
      </c>
      <c r="F28" s="215">
        <f t="shared" si="7"/>
        <v>0</v>
      </c>
      <c r="G28" s="191">
        <f t="shared" si="8"/>
        <v>0</v>
      </c>
      <c r="H28" s="218">
        <f t="shared" si="9"/>
        <v>0</v>
      </c>
      <c r="I28" s="118">
        <f t="shared" si="10"/>
        <v>0</v>
      </c>
      <c r="J28" s="215">
        <f t="shared" si="2"/>
        <v>0</v>
      </c>
      <c r="K28" s="202"/>
      <c r="L28" s="186">
        <f t="shared" si="27"/>
        <v>37012</v>
      </c>
      <c r="M28" s="400">
        <f>+J28*(VLOOKUP(L28,CURVECALC!$C$6:$J$312,4,0)+N$5)</f>
        <v>0</v>
      </c>
      <c r="N28" s="208">
        <f>-F28*INDEX(ship_curves,MATCH(L28,'SHIP CURVES'!$A$9:$A$316,0),MATCH(CONCATENATE(P$4,P$5,P$6,P$7),'SHIP CURVES'!$A$9:$AZ$9,0))</f>
        <v>0</v>
      </c>
      <c r="O28" s="209">
        <f>-H28*INDEX(port_processing_fee,MATCH(L28,PORTS!$H$626:$H$933,0),MATCH(P$5,PORTS!$H$626:$Z$626,0))</f>
        <v>0</v>
      </c>
      <c r="P28" s="405">
        <f>(((VLOOKUP(L28,curvecalc,4,0))*IF(F28=0,0,J28/F28)-INDEX(ship_curves,MATCH(L28,'SHIP CURVES'!$A$9:$A$316,0),MATCH(CONCATENATE(P$4,P$5,P$6,P$7),'SHIP CURVES'!$A$9:$Z$9,0))-INDEX(terminal_curves,MATCH(L28,'TERMINAL CURVES'!$A$4:$A$313,0),MATCH(P$5,'TERMINAL CURVES'!$A$4:$N$4,0))*IF(F28=0,0,H28/F28))-(N$8)*((N$7-$N$5)-(INDEX(ship_curves,MATCH(L28,'SHIP CURVES'!$A$9:$A$316,0),MATCH(CONCATENATE(P$4,P$5,P$6,P$7),'SHIP CURVES'!$A$9:$Z$9,0))-INDEX(ship_curves,MATCH(L28,'SHIP CURVES'!$A$9:$A$316,0),MATCH(CONCATENATE(P$4,N$6,P$6,P$7),'SHIP CURVES'!$A$9:$Z$9,0)))-(INDEX(terminal_curves,MATCH(L28,'TERMINAL CURVES'!$A$4:$A$313,0),MATCH(P$5,'TERMINAL CURVES'!$A$4:$N$4,0))-INDEX(terminal_curves,MATCH(L28,'TERMINAL CURVES'!$A$4:$A$313,0),MATCH(N$6,'TERMINAL CURVES'!$A$4:$N$4,0)))*IF(F28=0,0,H28/F28)))*-F28</f>
        <v>0</v>
      </c>
      <c r="Q28" s="403">
        <f t="shared" si="11"/>
        <v>0</v>
      </c>
      <c r="R28" s="338">
        <f>(-H28/((HLOOKUP(P$5,port_specs,2,0)/(365.25))*(L29-L28)))*(INDEX(fixed_capacity_charge,MATCH(L28,PORTS!$H$11:$H$317,0),MATCH(P$5,PORTS!$H$11:$N$11,0))+INDEX(variable_om_charge,MATCH(L28,PORTS!$H$318:$H$625,0),MATCH(P$5,PORTS!$H$318:$N$318,0)))</f>
        <v>0</v>
      </c>
      <c r="S28" s="232">
        <f t="shared" si="12"/>
        <v>0</v>
      </c>
      <c r="T28" s="241">
        <f t="shared" si="13"/>
        <v>0</v>
      </c>
      <c r="U28" s="431"/>
      <c r="V28" s="186">
        <f t="shared" si="28"/>
        <v>37012</v>
      </c>
      <c r="W28" s="215">
        <f t="shared" si="14"/>
        <v>0</v>
      </c>
      <c r="X28" s="191">
        <f t="shared" si="15"/>
        <v>0</v>
      </c>
      <c r="Y28" s="218">
        <f>+IF(AND(X$8&lt;=V28,X$9&gt;=V28),+MIN($B28-SUMIF($H$17:X$17,Y$17,$H28:X28),((INDEX(ROUTE_PER_DAY_BY_SHIP,MATCH(CONCATENATE(X$4,X$5,X$7),ROUTE_PER_DAY_ROUTES,0),MATCH(X$6,ROUTE_PER_DAY_SHIPS,0))*(V29-V28))-(INDEX(ROUTE_PER_DAY_BY_SHIP,MATCH(CONCATENATE(X$4,X$5,X$7),ROUTE_PER_DAY_ROUTES,0),MATCH(X$6,ROUTE_PER_DAY_SHIPS,0))*(V29-V28))*HLOOKUP(X$6,SHIPS,7,0)*INDEX(LADEN_VOYAGE_DAYS,MATCH(CONCATENATE(X$4,X$5,X$7),LADEN_VOYAGE_ROUTES,0),MATCH(X$6,LADEN_VOYAGE_SHIPS,0)))),0)</f>
        <v>0</v>
      </c>
      <c r="Z28" s="118">
        <f t="shared" si="16"/>
        <v>0</v>
      </c>
      <c r="AA28" s="215">
        <f t="shared" si="3"/>
        <v>0</v>
      </c>
      <c r="AB28" s="202"/>
      <c r="AC28" s="186">
        <f t="shared" si="29"/>
        <v>37012</v>
      </c>
      <c r="AD28" s="232">
        <f>+AA28*(VLOOKUP(AC28,CURVECALC!$C$6:$J$312,4,0)+AE$5)</f>
        <v>0</v>
      </c>
      <c r="AE28" s="208">
        <f>-W28*INDEX(ship_curves,MATCH(AC28,'SHIP CURVES'!$A$9:$A$316,0),MATCH(CONCATENATE(AG$4,AG$5,AG$6,AG$7),'SHIP CURVES'!$A$9:$AZ$9,0))</f>
        <v>0</v>
      </c>
      <c r="AF28" s="209">
        <f>-Y28*INDEX(port_processing_fee,MATCH(AC28,PORTS!$H$626:$H$933,0),MATCH(AG$5,PORTS!$H$626:$Z$626,0))</f>
        <v>0</v>
      </c>
      <c r="AG28" s="405">
        <f>(((VLOOKUP(AC28,curvecalc,4,0))*IF(W28=0,0,AA28/W28)-INDEX(ship_curves,MATCH(AC28,'SHIP CURVES'!$A$9:$A$316,0),MATCH(CONCATENATE(AG$4,AG$5,AG$6,AG$7),'SHIP CURVES'!$A$9:$Z$9,0))-INDEX(terminal_curves,MATCH(AC28,'TERMINAL CURVES'!$A$4:$A$313,0),MATCH(AG$5,'TERMINAL CURVES'!$A$4:$N$4,0))*IF(W28=0,0,Y28/W28))-(AE$8)*((AE$7-$N$5)-(INDEX(ship_curves,MATCH(AC28,'SHIP CURVES'!$A$9:$A$316,0),MATCH(CONCATENATE(AG$4,AG$5,AG$6,AG$7),'SHIP CURVES'!$A$9:$Z$9,0))-INDEX(ship_curves,MATCH(AC28,'SHIP CURVES'!$A$9:$A$316,0),MATCH(CONCATENATE(AG$4,AE$6,AG$6,AG$7),'SHIP CURVES'!$A$9:$Z$9,0)))-(INDEX(terminal_curves,MATCH(AC28,'TERMINAL CURVES'!$A$4:$A$313,0),MATCH(AG$5,'TERMINAL CURVES'!$A$4:$N$4,0))-INDEX(terminal_curves,MATCH(AC28,'TERMINAL CURVES'!$A$4:$A$313,0),MATCH(AE$6,'TERMINAL CURVES'!$A$4:$N$4,0)))*IF(W28=0,0,Y28/W28)))*-W28</f>
        <v>0</v>
      </c>
      <c r="AH28" s="343">
        <f t="shared" si="17"/>
        <v>0</v>
      </c>
      <c r="AI28" s="338">
        <f>(-Y28/((HLOOKUP(AG$5,port_specs,2,0)/(365.25))*(AC29-AC28)))*(INDEX(fixed_capacity_charge,MATCH(AC28,PORTS!$H$11:$H$317,0),MATCH(AG$5,PORTS!$H$11:$N$11,0))+INDEX(variable_om_charge,MATCH(AC28,PORTS!$H$318:$H$625,0),MATCH(AG$5,PORTS!$H$318:$N$318,0)))</f>
        <v>0</v>
      </c>
      <c r="AJ28" s="232">
        <f t="shared" si="18"/>
        <v>0</v>
      </c>
      <c r="AK28" s="241">
        <f t="shared" si="19"/>
        <v>0</v>
      </c>
      <c r="AM28" s="186">
        <f t="shared" si="30"/>
        <v>37012</v>
      </c>
      <c r="AN28" s="215">
        <f t="shared" si="20"/>
        <v>0</v>
      </c>
      <c r="AO28" s="191">
        <f t="shared" si="21"/>
        <v>0</v>
      </c>
      <c r="AP28" s="218">
        <f>+IF(AND(AO$8&lt;=AM28,AO$9&gt;=AM28),+MIN($B28-SUMIF($H$17:AO$17,AP$17,$H28:AO28),((INDEX(ROUTE_PER_DAY_BY_SHIP,MATCH(CONCATENATE(AO$4,AO$5,AO$7),ROUTE_PER_DAY_ROUTES,0),MATCH(AO$6,ROUTE_PER_DAY_SHIPS,0))*(AM29-AM28))-(INDEX(ROUTE_PER_DAY_BY_SHIP,MATCH(CONCATENATE(AO$4,AO$5,AO$7),ROUTE_PER_DAY_ROUTES,0),MATCH(AO$6,ROUTE_PER_DAY_SHIPS,0))*(AM29-AM28))*HLOOKUP(AO$6,SHIPS,7,0)*INDEX(LADEN_VOYAGE_DAYS,MATCH(CONCATENATE(AO$4,AO$5,AO$7),LADEN_VOYAGE_ROUTES,0),MATCH(AO$6,LADEN_VOYAGE_SHIPS,0)))),0)</f>
        <v>0</v>
      </c>
      <c r="AQ28" s="118">
        <f>-(AP28)*PORTS!$I$6</f>
        <v>0</v>
      </c>
      <c r="AR28" s="215">
        <f t="shared" si="4"/>
        <v>0</v>
      </c>
      <c r="AS28" s="202"/>
      <c r="AT28" s="186">
        <f t="shared" si="31"/>
        <v>37012</v>
      </c>
      <c r="AU28" s="232">
        <f>+AR28*(VLOOKUP(AT28,CURVECALC!$C$6:$J$312,4,0)+AV$5)</f>
        <v>0</v>
      </c>
      <c r="AV28" s="208">
        <f>-AN28*INDEX(ship_curves,MATCH(AT28,'SHIP CURVES'!$A$9:$A$316,0),MATCH(CONCATENATE(AX$4,AX$5,AX$6,AX$7),'SHIP CURVES'!$A$9:$AZ$9,0))</f>
        <v>0</v>
      </c>
      <c r="AW28" s="209">
        <f>-AP28*INDEX(port_processing_fee,MATCH(AT28,PORTS!$H$626:$H$933,0),MATCH(AX$5,PORTS!$H$626:$Z$626,0))</f>
        <v>0</v>
      </c>
      <c r="AX28" s="405">
        <f>(((VLOOKUP(AT28,curvecalc,4,0))*IF(AN28=0,0,AR28/AN28)-INDEX(ship_curves,MATCH(AT28,'SHIP CURVES'!$A$9:$A$316,0),MATCH(CONCATENATE(AX$4,AX$5,AX$6,AX$7),'SHIP CURVES'!$A$9:$Z$9,0))-INDEX(terminal_curves,MATCH(AT28,'TERMINAL CURVES'!$A$4:$A$313,0),MATCH(AX$5,'TERMINAL CURVES'!$A$4:$N$4,0))*IF(AN28=0,0,AP28/AN28))-(AV$8)*((AV$7-$N$5)-(INDEX(ship_curves,MATCH(AT28,'SHIP CURVES'!$A$9:$A$316,0),MATCH(CONCATENATE(AX$4,AX$5,AX$6,AX$7),'SHIP CURVES'!$A$9:$Z$9,0))-INDEX(ship_curves,MATCH(AT28,'SHIP CURVES'!$A$9:$A$316,0),MATCH(CONCATENATE(AX$4,AV$6,AX$6,AX$7),'SHIP CURVES'!$A$9:$Z$9,0)))-(INDEX(terminal_curves,MATCH(AT28,'TERMINAL CURVES'!$A$4:$A$313,0),MATCH(AX$5,'TERMINAL CURVES'!$A$4:$N$4,0))-INDEX(terminal_curves,MATCH(AT28,'TERMINAL CURVES'!$A$4:$A$313,0),MATCH(AV$6,'TERMINAL CURVES'!$A$4:$N$4,0)))*IF(AN28=0,0,AP28/AN28)))*-AN28</f>
        <v>0</v>
      </c>
      <c r="AY28" s="343">
        <f t="shared" si="22"/>
        <v>0</v>
      </c>
      <c r="AZ28" s="338">
        <f>(-AP28/((HLOOKUP(AX$5,port_specs,2,0)/(365.25))*(AT29-AT28)))*(INDEX(fixed_capacity_charge,MATCH(AT28,PORTS!$H$11:$H$317,0),MATCH(AX$5,PORTS!$H$11:$N$11,0))+INDEX(variable_om_charge,MATCH(AT28,PORTS!$H$318:$H$625,0),MATCH(AX$5,PORTS!$H$318:$N$318,0)))</f>
        <v>0</v>
      </c>
      <c r="BA28" s="232">
        <f t="shared" si="23"/>
        <v>0</v>
      </c>
      <c r="BB28" s="241">
        <f t="shared" si="24"/>
        <v>0</v>
      </c>
      <c r="BC28" s="408"/>
      <c r="BD28" s="338">
        <f>+PORTS!I22+PORTS!I330</f>
        <v>0</v>
      </c>
    </row>
    <row r="29" spans="1:56" x14ac:dyDescent="0.2">
      <c r="A29" s="186">
        <f t="shared" si="25"/>
        <v>37043</v>
      </c>
      <c r="B29" s="215">
        <f>+IF(AND($A29&gt;=$C$8,$A29&lt;=$C$9),1,0)*PORTS!$I$5/(365.25)*(A30-A29)</f>
        <v>0</v>
      </c>
      <c r="C29" s="351">
        <f t="shared" si="5"/>
        <v>0</v>
      </c>
      <c r="D29">
        <f t="shared" si="6"/>
        <v>2001</v>
      </c>
      <c r="E29" s="186">
        <f t="shared" si="26"/>
        <v>37043</v>
      </c>
      <c r="F29" s="215">
        <f t="shared" si="7"/>
        <v>0</v>
      </c>
      <c r="G29" s="191">
        <f t="shared" si="8"/>
        <v>0</v>
      </c>
      <c r="H29" s="218">
        <f t="shared" si="9"/>
        <v>0</v>
      </c>
      <c r="I29" s="118">
        <f t="shared" si="10"/>
        <v>0</v>
      </c>
      <c r="J29" s="215">
        <f t="shared" si="2"/>
        <v>0</v>
      </c>
      <c r="K29" s="202"/>
      <c r="L29" s="186">
        <f t="shared" si="27"/>
        <v>37043</v>
      </c>
      <c r="M29" s="400">
        <f>+J29*(VLOOKUP(L29,CURVECALC!$C$6:$J$312,4,0)+N$5)</f>
        <v>0</v>
      </c>
      <c r="N29" s="208">
        <f>-F29*INDEX(ship_curves,MATCH(L29,'SHIP CURVES'!$A$9:$A$316,0),MATCH(CONCATENATE(P$4,P$5,P$6,P$7),'SHIP CURVES'!$A$9:$AZ$9,0))</f>
        <v>0</v>
      </c>
      <c r="O29" s="209">
        <f>-H29*INDEX(port_processing_fee,MATCH(L29,PORTS!$H$626:$H$933,0),MATCH(P$5,PORTS!$H$626:$Z$626,0))</f>
        <v>0</v>
      </c>
      <c r="P29" s="405">
        <f>(((VLOOKUP(L29,curvecalc,4,0))*IF(F29=0,0,J29/F29)-INDEX(ship_curves,MATCH(L29,'SHIP CURVES'!$A$9:$A$316,0),MATCH(CONCATENATE(P$4,P$5,P$6,P$7),'SHIP CURVES'!$A$9:$Z$9,0))-INDEX(terminal_curves,MATCH(L29,'TERMINAL CURVES'!$A$4:$A$313,0),MATCH(P$5,'TERMINAL CURVES'!$A$4:$N$4,0))*IF(F29=0,0,H29/F29))-(N$8)*((N$7-$N$5)-(INDEX(ship_curves,MATCH(L29,'SHIP CURVES'!$A$9:$A$316,0),MATCH(CONCATENATE(P$4,P$5,P$6,P$7),'SHIP CURVES'!$A$9:$Z$9,0))-INDEX(ship_curves,MATCH(L29,'SHIP CURVES'!$A$9:$A$316,0),MATCH(CONCATENATE(P$4,N$6,P$6,P$7),'SHIP CURVES'!$A$9:$Z$9,0)))-(INDEX(terminal_curves,MATCH(L29,'TERMINAL CURVES'!$A$4:$A$313,0),MATCH(P$5,'TERMINAL CURVES'!$A$4:$N$4,0))-INDEX(terminal_curves,MATCH(L29,'TERMINAL CURVES'!$A$4:$A$313,0),MATCH(N$6,'TERMINAL CURVES'!$A$4:$N$4,0)))*IF(F29=0,0,H29/F29)))*-F29</f>
        <v>0</v>
      </c>
      <c r="Q29" s="403">
        <f t="shared" si="11"/>
        <v>0</v>
      </c>
      <c r="R29" s="338">
        <f>(-H29/((HLOOKUP(P$5,port_specs,2,0)/(365.25))*(L30-L29)))*(INDEX(fixed_capacity_charge,MATCH(L29,PORTS!$H$11:$H$317,0),MATCH(P$5,PORTS!$H$11:$N$11,0))+INDEX(variable_om_charge,MATCH(L29,PORTS!$H$318:$H$625,0),MATCH(P$5,PORTS!$H$318:$N$318,0)))</f>
        <v>0</v>
      </c>
      <c r="S29" s="232">
        <f t="shared" si="12"/>
        <v>0</v>
      </c>
      <c r="T29" s="241">
        <f t="shared" si="13"/>
        <v>0</v>
      </c>
      <c r="U29" s="431"/>
      <c r="V29" s="186">
        <f t="shared" si="28"/>
        <v>37043</v>
      </c>
      <c r="W29" s="215">
        <f t="shared" si="14"/>
        <v>0</v>
      </c>
      <c r="X29" s="191">
        <f t="shared" si="15"/>
        <v>0</v>
      </c>
      <c r="Y29" s="218">
        <f>+IF(AND(X$8&lt;=V29,X$9&gt;=V29),+MIN($B29-SUMIF($H$17:X$17,Y$17,$H29:X29),((INDEX(ROUTE_PER_DAY_BY_SHIP,MATCH(CONCATENATE(X$4,X$5,X$7),ROUTE_PER_DAY_ROUTES,0),MATCH(X$6,ROUTE_PER_DAY_SHIPS,0))*(V30-V29))-(INDEX(ROUTE_PER_DAY_BY_SHIP,MATCH(CONCATENATE(X$4,X$5,X$7),ROUTE_PER_DAY_ROUTES,0),MATCH(X$6,ROUTE_PER_DAY_SHIPS,0))*(V30-V29))*HLOOKUP(X$6,SHIPS,7,0)*INDEX(LADEN_VOYAGE_DAYS,MATCH(CONCATENATE(X$4,X$5,X$7),LADEN_VOYAGE_ROUTES,0),MATCH(X$6,LADEN_VOYAGE_SHIPS,0)))),0)</f>
        <v>0</v>
      </c>
      <c r="Z29" s="118">
        <f t="shared" si="16"/>
        <v>0</v>
      </c>
      <c r="AA29" s="215">
        <f t="shared" si="3"/>
        <v>0</v>
      </c>
      <c r="AB29" s="202"/>
      <c r="AC29" s="186">
        <f t="shared" si="29"/>
        <v>37043</v>
      </c>
      <c r="AD29" s="232">
        <f>+AA29*(VLOOKUP(AC29,CURVECALC!$C$6:$J$312,4,0)+AE$5)</f>
        <v>0</v>
      </c>
      <c r="AE29" s="208">
        <f>-W29*INDEX(ship_curves,MATCH(AC29,'SHIP CURVES'!$A$9:$A$316,0),MATCH(CONCATENATE(AG$4,AG$5,AG$6,AG$7),'SHIP CURVES'!$A$9:$AZ$9,0))</f>
        <v>0</v>
      </c>
      <c r="AF29" s="209">
        <f>-Y29*INDEX(port_processing_fee,MATCH(AC29,PORTS!$H$626:$H$933,0),MATCH(AG$5,PORTS!$H$626:$Z$626,0))</f>
        <v>0</v>
      </c>
      <c r="AG29" s="405">
        <f>(((VLOOKUP(AC29,curvecalc,4,0))*IF(W29=0,0,AA29/W29)-INDEX(ship_curves,MATCH(AC29,'SHIP CURVES'!$A$9:$A$316,0),MATCH(CONCATENATE(AG$4,AG$5,AG$6,AG$7),'SHIP CURVES'!$A$9:$Z$9,0))-INDEX(terminal_curves,MATCH(AC29,'TERMINAL CURVES'!$A$4:$A$313,0),MATCH(AG$5,'TERMINAL CURVES'!$A$4:$N$4,0))*IF(W29=0,0,Y29/W29))-(AE$8)*((AE$7-$N$5)-(INDEX(ship_curves,MATCH(AC29,'SHIP CURVES'!$A$9:$A$316,0),MATCH(CONCATENATE(AG$4,AG$5,AG$6,AG$7),'SHIP CURVES'!$A$9:$Z$9,0))-INDEX(ship_curves,MATCH(AC29,'SHIP CURVES'!$A$9:$A$316,0),MATCH(CONCATENATE(AG$4,AE$6,AG$6,AG$7),'SHIP CURVES'!$A$9:$Z$9,0)))-(INDEX(terminal_curves,MATCH(AC29,'TERMINAL CURVES'!$A$4:$A$313,0),MATCH(AG$5,'TERMINAL CURVES'!$A$4:$N$4,0))-INDEX(terminal_curves,MATCH(AC29,'TERMINAL CURVES'!$A$4:$A$313,0),MATCH(AE$6,'TERMINAL CURVES'!$A$4:$N$4,0)))*IF(W29=0,0,Y29/W29)))*-W29</f>
        <v>0</v>
      </c>
      <c r="AH29" s="343">
        <f t="shared" si="17"/>
        <v>0</v>
      </c>
      <c r="AI29" s="338">
        <f>(-Y29/((HLOOKUP(AG$5,port_specs,2,0)/(365.25))*(AC30-AC29)))*(INDEX(fixed_capacity_charge,MATCH(AC29,PORTS!$H$11:$H$317,0),MATCH(AG$5,PORTS!$H$11:$N$11,0))+INDEX(variable_om_charge,MATCH(AC29,PORTS!$H$318:$H$625,0),MATCH(AG$5,PORTS!$H$318:$N$318,0)))</f>
        <v>0</v>
      </c>
      <c r="AJ29" s="232">
        <f t="shared" si="18"/>
        <v>0</v>
      </c>
      <c r="AK29" s="241">
        <f t="shared" si="19"/>
        <v>0</v>
      </c>
      <c r="AM29" s="186">
        <f t="shared" si="30"/>
        <v>37043</v>
      </c>
      <c r="AN29" s="215">
        <f t="shared" si="20"/>
        <v>0</v>
      </c>
      <c r="AO29" s="191">
        <f t="shared" si="21"/>
        <v>0</v>
      </c>
      <c r="AP29" s="218">
        <f>+IF(AND(AO$8&lt;=AM29,AO$9&gt;=AM29),+MIN($B29-SUMIF($H$17:AO$17,AP$17,$H29:AO29),((INDEX(ROUTE_PER_DAY_BY_SHIP,MATCH(CONCATENATE(AO$4,AO$5,AO$7),ROUTE_PER_DAY_ROUTES,0),MATCH(AO$6,ROUTE_PER_DAY_SHIPS,0))*(AM30-AM29))-(INDEX(ROUTE_PER_DAY_BY_SHIP,MATCH(CONCATENATE(AO$4,AO$5,AO$7),ROUTE_PER_DAY_ROUTES,0),MATCH(AO$6,ROUTE_PER_DAY_SHIPS,0))*(AM30-AM29))*HLOOKUP(AO$6,SHIPS,7,0)*INDEX(LADEN_VOYAGE_DAYS,MATCH(CONCATENATE(AO$4,AO$5,AO$7),LADEN_VOYAGE_ROUTES,0),MATCH(AO$6,LADEN_VOYAGE_SHIPS,0)))),0)</f>
        <v>0</v>
      </c>
      <c r="AQ29" s="118">
        <f>-(AP29)*PORTS!$I$6</f>
        <v>0</v>
      </c>
      <c r="AR29" s="215">
        <f t="shared" si="4"/>
        <v>0</v>
      </c>
      <c r="AS29" s="202"/>
      <c r="AT29" s="186">
        <f t="shared" si="31"/>
        <v>37043</v>
      </c>
      <c r="AU29" s="232">
        <f>+AR29*(VLOOKUP(AT29,CURVECALC!$C$6:$J$312,4,0)+AV$5)</f>
        <v>0</v>
      </c>
      <c r="AV29" s="208">
        <f>-AN29*INDEX(ship_curves,MATCH(AT29,'SHIP CURVES'!$A$9:$A$316,0),MATCH(CONCATENATE(AX$4,AX$5,AX$6,AX$7),'SHIP CURVES'!$A$9:$AZ$9,0))</f>
        <v>0</v>
      </c>
      <c r="AW29" s="209">
        <f>-AP29*INDEX(port_processing_fee,MATCH(AT29,PORTS!$H$626:$H$933,0),MATCH(AX$5,PORTS!$H$626:$Z$626,0))</f>
        <v>0</v>
      </c>
      <c r="AX29" s="405">
        <f>(((VLOOKUP(AT29,curvecalc,4,0))*IF(AN29=0,0,AR29/AN29)-INDEX(ship_curves,MATCH(AT29,'SHIP CURVES'!$A$9:$A$316,0),MATCH(CONCATENATE(AX$4,AX$5,AX$6,AX$7),'SHIP CURVES'!$A$9:$Z$9,0))-INDEX(terminal_curves,MATCH(AT29,'TERMINAL CURVES'!$A$4:$A$313,0),MATCH(AX$5,'TERMINAL CURVES'!$A$4:$N$4,0))*IF(AN29=0,0,AP29/AN29))-(AV$8)*((AV$7-$N$5)-(INDEX(ship_curves,MATCH(AT29,'SHIP CURVES'!$A$9:$A$316,0),MATCH(CONCATENATE(AX$4,AX$5,AX$6,AX$7),'SHIP CURVES'!$A$9:$Z$9,0))-INDEX(ship_curves,MATCH(AT29,'SHIP CURVES'!$A$9:$A$316,0),MATCH(CONCATENATE(AX$4,AV$6,AX$6,AX$7),'SHIP CURVES'!$A$9:$Z$9,0)))-(INDEX(terminal_curves,MATCH(AT29,'TERMINAL CURVES'!$A$4:$A$313,0),MATCH(AX$5,'TERMINAL CURVES'!$A$4:$N$4,0))-INDEX(terminal_curves,MATCH(AT29,'TERMINAL CURVES'!$A$4:$A$313,0),MATCH(AV$6,'TERMINAL CURVES'!$A$4:$N$4,0)))*IF(AN29=0,0,AP29/AN29)))*-AN29</f>
        <v>0</v>
      </c>
      <c r="AY29" s="343">
        <f t="shared" si="22"/>
        <v>0</v>
      </c>
      <c r="AZ29" s="338">
        <f>(-AP29/((HLOOKUP(AX$5,port_specs,2,0)/(365.25))*(AT30-AT29)))*(INDEX(fixed_capacity_charge,MATCH(AT29,PORTS!$H$11:$H$317,0),MATCH(AX$5,PORTS!$H$11:$N$11,0))+INDEX(variable_om_charge,MATCH(AT29,PORTS!$H$318:$H$625,0),MATCH(AX$5,PORTS!$H$318:$N$318,0)))</f>
        <v>0</v>
      </c>
      <c r="BA29" s="232">
        <f t="shared" si="23"/>
        <v>0</v>
      </c>
      <c r="BB29" s="241">
        <f t="shared" si="24"/>
        <v>0</v>
      </c>
      <c r="BC29" s="408"/>
      <c r="BD29" s="338">
        <f>+PORTS!I23+PORTS!I331</f>
        <v>0</v>
      </c>
    </row>
    <row r="30" spans="1:56" x14ac:dyDescent="0.2">
      <c r="A30" s="186">
        <f t="shared" si="25"/>
        <v>37073</v>
      </c>
      <c r="B30" s="215">
        <f>+IF(AND($A30&gt;=$C$8,$A30&lt;=$C$9),1,0)*PORTS!$I$5/(365.25)*(A31-A30)</f>
        <v>0</v>
      </c>
      <c r="C30" s="351">
        <f t="shared" si="5"/>
        <v>0</v>
      </c>
      <c r="D30">
        <f t="shared" si="6"/>
        <v>2001</v>
      </c>
      <c r="E30" s="186">
        <f t="shared" si="26"/>
        <v>37073</v>
      </c>
      <c r="F30" s="215">
        <f t="shared" si="7"/>
        <v>0</v>
      </c>
      <c r="G30" s="191">
        <f t="shared" si="8"/>
        <v>0</v>
      </c>
      <c r="H30" s="218">
        <f t="shared" si="9"/>
        <v>0</v>
      </c>
      <c r="I30" s="118">
        <f t="shared" si="10"/>
        <v>0</v>
      </c>
      <c r="J30" s="215">
        <f t="shared" si="2"/>
        <v>0</v>
      </c>
      <c r="K30" s="202"/>
      <c r="L30" s="186">
        <f t="shared" si="27"/>
        <v>37073</v>
      </c>
      <c r="M30" s="400">
        <f>+J30*(VLOOKUP(L30,CURVECALC!$C$6:$J$312,4,0)+N$5)</f>
        <v>0</v>
      </c>
      <c r="N30" s="208">
        <f>-F30*INDEX(ship_curves,MATCH(L30,'SHIP CURVES'!$A$9:$A$316,0),MATCH(CONCATENATE(P$4,P$5,P$6,P$7),'SHIP CURVES'!$A$9:$AZ$9,0))</f>
        <v>0</v>
      </c>
      <c r="O30" s="209">
        <f>-H30*INDEX(port_processing_fee,MATCH(L30,PORTS!$H$626:$H$933,0),MATCH(P$5,PORTS!$H$626:$Z$626,0))</f>
        <v>0</v>
      </c>
      <c r="P30" s="405">
        <f>(((VLOOKUP(L30,curvecalc,4,0))*IF(F30=0,0,J30/F30)-INDEX(ship_curves,MATCH(L30,'SHIP CURVES'!$A$9:$A$316,0),MATCH(CONCATENATE(P$4,P$5,P$6,P$7),'SHIP CURVES'!$A$9:$Z$9,0))-INDEX(terminal_curves,MATCH(L30,'TERMINAL CURVES'!$A$4:$A$313,0),MATCH(P$5,'TERMINAL CURVES'!$A$4:$N$4,0))*IF(F30=0,0,H30/F30))-(N$8)*((N$7-$N$5)-(INDEX(ship_curves,MATCH(L30,'SHIP CURVES'!$A$9:$A$316,0),MATCH(CONCATENATE(P$4,P$5,P$6,P$7),'SHIP CURVES'!$A$9:$Z$9,0))-INDEX(ship_curves,MATCH(L30,'SHIP CURVES'!$A$9:$A$316,0),MATCH(CONCATENATE(P$4,N$6,P$6,P$7),'SHIP CURVES'!$A$9:$Z$9,0)))-(INDEX(terminal_curves,MATCH(L30,'TERMINAL CURVES'!$A$4:$A$313,0),MATCH(P$5,'TERMINAL CURVES'!$A$4:$N$4,0))-INDEX(terminal_curves,MATCH(L30,'TERMINAL CURVES'!$A$4:$A$313,0),MATCH(N$6,'TERMINAL CURVES'!$A$4:$N$4,0)))*IF(F30=0,0,H30/F30)))*-F30</f>
        <v>0</v>
      </c>
      <c r="Q30" s="403">
        <f t="shared" si="11"/>
        <v>0</v>
      </c>
      <c r="R30" s="338">
        <f>(-H30/((HLOOKUP(P$5,port_specs,2,0)/(365.25))*(L31-L30)))*(INDEX(fixed_capacity_charge,MATCH(L30,PORTS!$H$11:$H$317,0),MATCH(P$5,PORTS!$H$11:$N$11,0))+INDEX(variable_om_charge,MATCH(L30,PORTS!$H$318:$H$625,0),MATCH(P$5,PORTS!$H$318:$N$318,0)))</f>
        <v>0</v>
      </c>
      <c r="S30" s="232">
        <f t="shared" si="12"/>
        <v>0</v>
      </c>
      <c r="T30" s="241">
        <f t="shared" si="13"/>
        <v>0</v>
      </c>
      <c r="U30" s="431"/>
      <c r="V30" s="186">
        <f t="shared" si="28"/>
        <v>37073</v>
      </c>
      <c r="W30" s="215">
        <f t="shared" si="14"/>
        <v>0</v>
      </c>
      <c r="X30" s="191">
        <f t="shared" si="15"/>
        <v>0</v>
      </c>
      <c r="Y30" s="218">
        <f>+IF(AND(X$8&lt;=V30,X$9&gt;=V30),+MIN($B30-SUMIF($H$17:X$17,Y$17,$H30:X30),((INDEX(ROUTE_PER_DAY_BY_SHIP,MATCH(CONCATENATE(X$4,X$5,X$7),ROUTE_PER_DAY_ROUTES,0),MATCH(X$6,ROUTE_PER_DAY_SHIPS,0))*(V31-V30))-(INDEX(ROUTE_PER_DAY_BY_SHIP,MATCH(CONCATENATE(X$4,X$5,X$7),ROUTE_PER_DAY_ROUTES,0),MATCH(X$6,ROUTE_PER_DAY_SHIPS,0))*(V31-V30))*HLOOKUP(X$6,SHIPS,7,0)*INDEX(LADEN_VOYAGE_DAYS,MATCH(CONCATENATE(X$4,X$5,X$7),LADEN_VOYAGE_ROUTES,0),MATCH(X$6,LADEN_VOYAGE_SHIPS,0)))),0)</f>
        <v>0</v>
      </c>
      <c r="Z30" s="118">
        <f t="shared" si="16"/>
        <v>0</v>
      </c>
      <c r="AA30" s="215">
        <f t="shared" si="3"/>
        <v>0</v>
      </c>
      <c r="AB30" s="202"/>
      <c r="AC30" s="186">
        <f t="shared" si="29"/>
        <v>37073</v>
      </c>
      <c r="AD30" s="232">
        <f>+AA30*(VLOOKUP(AC30,CURVECALC!$C$6:$J$312,4,0)+AE$5)</f>
        <v>0</v>
      </c>
      <c r="AE30" s="208">
        <f>-W30*INDEX(ship_curves,MATCH(AC30,'SHIP CURVES'!$A$9:$A$316,0),MATCH(CONCATENATE(AG$4,AG$5,AG$6,AG$7),'SHIP CURVES'!$A$9:$AZ$9,0))</f>
        <v>0</v>
      </c>
      <c r="AF30" s="209">
        <f>-Y30*INDEX(port_processing_fee,MATCH(AC30,PORTS!$H$626:$H$933,0),MATCH(AG$5,PORTS!$H$626:$Z$626,0))</f>
        <v>0</v>
      </c>
      <c r="AG30" s="405">
        <f>(((VLOOKUP(AC30,curvecalc,4,0))*IF(W30=0,0,AA30/W30)-INDEX(ship_curves,MATCH(AC30,'SHIP CURVES'!$A$9:$A$316,0),MATCH(CONCATENATE(AG$4,AG$5,AG$6,AG$7),'SHIP CURVES'!$A$9:$Z$9,0))-INDEX(terminal_curves,MATCH(AC30,'TERMINAL CURVES'!$A$4:$A$313,0),MATCH(AG$5,'TERMINAL CURVES'!$A$4:$N$4,0))*IF(W30=0,0,Y30/W30))-(AE$8)*((AE$7-$N$5)-(INDEX(ship_curves,MATCH(AC30,'SHIP CURVES'!$A$9:$A$316,0),MATCH(CONCATENATE(AG$4,AG$5,AG$6,AG$7),'SHIP CURVES'!$A$9:$Z$9,0))-INDEX(ship_curves,MATCH(AC30,'SHIP CURVES'!$A$9:$A$316,0),MATCH(CONCATENATE(AG$4,AE$6,AG$6,AG$7),'SHIP CURVES'!$A$9:$Z$9,0)))-(INDEX(terminal_curves,MATCH(AC30,'TERMINAL CURVES'!$A$4:$A$313,0),MATCH(AG$5,'TERMINAL CURVES'!$A$4:$N$4,0))-INDEX(terminal_curves,MATCH(AC30,'TERMINAL CURVES'!$A$4:$A$313,0),MATCH(AE$6,'TERMINAL CURVES'!$A$4:$N$4,0)))*IF(W30=0,0,Y30/W30)))*-W30</f>
        <v>0</v>
      </c>
      <c r="AH30" s="343">
        <f t="shared" si="17"/>
        <v>0</v>
      </c>
      <c r="AI30" s="338">
        <f>(-Y30/((HLOOKUP(AG$5,port_specs,2,0)/(365.25))*(AC31-AC30)))*(INDEX(fixed_capacity_charge,MATCH(AC30,PORTS!$H$11:$H$317,0),MATCH(AG$5,PORTS!$H$11:$N$11,0))+INDEX(variable_om_charge,MATCH(AC30,PORTS!$H$318:$H$625,0),MATCH(AG$5,PORTS!$H$318:$N$318,0)))</f>
        <v>0</v>
      </c>
      <c r="AJ30" s="232">
        <f t="shared" si="18"/>
        <v>0</v>
      </c>
      <c r="AK30" s="241">
        <f t="shared" si="19"/>
        <v>0</v>
      </c>
      <c r="AM30" s="186">
        <f t="shared" si="30"/>
        <v>37073</v>
      </c>
      <c r="AN30" s="215">
        <f t="shared" si="20"/>
        <v>0</v>
      </c>
      <c r="AO30" s="191">
        <f t="shared" si="21"/>
        <v>0</v>
      </c>
      <c r="AP30" s="218">
        <f>+IF(AND(AO$8&lt;=AM30,AO$9&gt;=AM30),+MIN($B30-SUMIF($H$17:AO$17,AP$17,$H30:AO30),((INDEX(ROUTE_PER_DAY_BY_SHIP,MATCH(CONCATENATE(AO$4,AO$5,AO$7),ROUTE_PER_DAY_ROUTES,0),MATCH(AO$6,ROUTE_PER_DAY_SHIPS,0))*(AM31-AM30))-(INDEX(ROUTE_PER_DAY_BY_SHIP,MATCH(CONCATENATE(AO$4,AO$5,AO$7),ROUTE_PER_DAY_ROUTES,0),MATCH(AO$6,ROUTE_PER_DAY_SHIPS,0))*(AM31-AM30))*HLOOKUP(AO$6,SHIPS,7,0)*INDEX(LADEN_VOYAGE_DAYS,MATCH(CONCATENATE(AO$4,AO$5,AO$7),LADEN_VOYAGE_ROUTES,0),MATCH(AO$6,LADEN_VOYAGE_SHIPS,0)))),0)</f>
        <v>0</v>
      </c>
      <c r="AQ30" s="118">
        <f>-(AP30)*PORTS!$I$6</f>
        <v>0</v>
      </c>
      <c r="AR30" s="215">
        <f t="shared" si="4"/>
        <v>0</v>
      </c>
      <c r="AS30" s="202"/>
      <c r="AT30" s="186">
        <f t="shared" si="31"/>
        <v>37073</v>
      </c>
      <c r="AU30" s="232">
        <f>+AR30*(VLOOKUP(AT30,CURVECALC!$C$6:$J$312,4,0)+AV$5)</f>
        <v>0</v>
      </c>
      <c r="AV30" s="208">
        <f>-AN30*INDEX(ship_curves,MATCH(AT30,'SHIP CURVES'!$A$9:$A$316,0),MATCH(CONCATENATE(AX$4,AX$5,AX$6,AX$7),'SHIP CURVES'!$A$9:$AZ$9,0))</f>
        <v>0</v>
      </c>
      <c r="AW30" s="209">
        <f>-AP30*INDEX(port_processing_fee,MATCH(AT30,PORTS!$H$626:$H$933,0),MATCH(AX$5,PORTS!$H$626:$Z$626,0))</f>
        <v>0</v>
      </c>
      <c r="AX30" s="405">
        <f>(((VLOOKUP(AT30,curvecalc,4,0))*IF(AN30=0,0,AR30/AN30)-INDEX(ship_curves,MATCH(AT30,'SHIP CURVES'!$A$9:$A$316,0),MATCH(CONCATENATE(AX$4,AX$5,AX$6,AX$7),'SHIP CURVES'!$A$9:$Z$9,0))-INDEX(terminal_curves,MATCH(AT30,'TERMINAL CURVES'!$A$4:$A$313,0),MATCH(AX$5,'TERMINAL CURVES'!$A$4:$N$4,0))*IF(AN30=0,0,AP30/AN30))-(AV$8)*((AV$7-$N$5)-(INDEX(ship_curves,MATCH(AT30,'SHIP CURVES'!$A$9:$A$316,0),MATCH(CONCATENATE(AX$4,AX$5,AX$6,AX$7),'SHIP CURVES'!$A$9:$Z$9,0))-INDEX(ship_curves,MATCH(AT30,'SHIP CURVES'!$A$9:$A$316,0),MATCH(CONCATENATE(AX$4,AV$6,AX$6,AX$7),'SHIP CURVES'!$A$9:$Z$9,0)))-(INDEX(terminal_curves,MATCH(AT30,'TERMINAL CURVES'!$A$4:$A$313,0),MATCH(AX$5,'TERMINAL CURVES'!$A$4:$N$4,0))-INDEX(terminal_curves,MATCH(AT30,'TERMINAL CURVES'!$A$4:$A$313,0),MATCH(AV$6,'TERMINAL CURVES'!$A$4:$N$4,0)))*IF(AN30=0,0,AP30/AN30)))*-AN30</f>
        <v>0</v>
      </c>
      <c r="AY30" s="343">
        <f t="shared" si="22"/>
        <v>0</v>
      </c>
      <c r="AZ30" s="338">
        <f>(-AP30/((HLOOKUP(AX$5,port_specs,2,0)/(365.25))*(AT31-AT30)))*(INDEX(fixed_capacity_charge,MATCH(AT30,PORTS!$H$11:$H$317,0),MATCH(AX$5,PORTS!$H$11:$N$11,0))+INDEX(variable_om_charge,MATCH(AT30,PORTS!$H$318:$H$625,0),MATCH(AX$5,PORTS!$H$318:$N$318,0)))</f>
        <v>0</v>
      </c>
      <c r="BA30" s="232">
        <f t="shared" si="23"/>
        <v>0</v>
      </c>
      <c r="BB30" s="241">
        <f t="shared" si="24"/>
        <v>0</v>
      </c>
      <c r="BC30" s="408"/>
      <c r="BD30" s="338">
        <f>+PORTS!I24+PORTS!I332</f>
        <v>0</v>
      </c>
    </row>
    <row r="31" spans="1:56" x14ac:dyDescent="0.2">
      <c r="A31" s="186">
        <f t="shared" si="25"/>
        <v>37104</v>
      </c>
      <c r="B31" s="215">
        <f>+IF(AND($A31&gt;=$C$8,$A31&lt;=$C$9),1,0)*PORTS!$I$5/(365.25)*(A32-A31)</f>
        <v>0</v>
      </c>
      <c r="C31" s="351">
        <f t="shared" si="5"/>
        <v>0</v>
      </c>
      <c r="D31">
        <f t="shared" si="6"/>
        <v>2001</v>
      </c>
      <c r="E31" s="186">
        <f t="shared" si="26"/>
        <v>37104</v>
      </c>
      <c r="F31" s="215">
        <f t="shared" si="7"/>
        <v>0</v>
      </c>
      <c r="G31" s="191">
        <f t="shared" si="8"/>
        <v>0</v>
      </c>
      <c r="H31" s="218">
        <f t="shared" si="9"/>
        <v>0</v>
      </c>
      <c r="I31" s="118">
        <f t="shared" si="10"/>
        <v>0</v>
      </c>
      <c r="J31" s="215">
        <f t="shared" si="2"/>
        <v>0</v>
      </c>
      <c r="K31" s="202"/>
      <c r="L31" s="186">
        <f t="shared" si="27"/>
        <v>37104</v>
      </c>
      <c r="M31" s="400">
        <f>+J31*(VLOOKUP(L31,CURVECALC!$C$6:$J$312,4,0)+N$5)</f>
        <v>0</v>
      </c>
      <c r="N31" s="208">
        <f>-F31*INDEX(ship_curves,MATCH(L31,'SHIP CURVES'!$A$9:$A$316,0),MATCH(CONCATENATE(P$4,P$5,P$6,P$7),'SHIP CURVES'!$A$9:$AZ$9,0))</f>
        <v>0</v>
      </c>
      <c r="O31" s="209">
        <f>-H31*INDEX(port_processing_fee,MATCH(L31,PORTS!$H$626:$H$933,0),MATCH(P$5,PORTS!$H$626:$Z$626,0))</f>
        <v>0</v>
      </c>
      <c r="P31" s="405">
        <f>(((VLOOKUP(L31,curvecalc,4,0))*IF(F31=0,0,J31/F31)-INDEX(ship_curves,MATCH(L31,'SHIP CURVES'!$A$9:$A$316,0),MATCH(CONCATENATE(P$4,P$5,P$6,P$7),'SHIP CURVES'!$A$9:$Z$9,0))-INDEX(terminal_curves,MATCH(L31,'TERMINAL CURVES'!$A$4:$A$313,0),MATCH(P$5,'TERMINAL CURVES'!$A$4:$N$4,0))*IF(F31=0,0,H31/F31))-(N$8)*((N$7-$N$5)-(INDEX(ship_curves,MATCH(L31,'SHIP CURVES'!$A$9:$A$316,0),MATCH(CONCATENATE(P$4,P$5,P$6,P$7),'SHIP CURVES'!$A$9:$Z$9,0))-INDEX(ship_curves,MATCH(L31,'SHIP CURVES'!$A$9:$A$316,0),MATCH(CONCATENATE(P$4,N$6,P$6,P$7),'SHIP CURVES'!$A$9:$Z$9,0)))-(INDEX(terminal_curves,MATCH(L31,'TERMINAL CURVES'!$A$4:$A$313,0),MATCH(P$5,'TERMINAL CURVES'!$A$4:$N$4,0))-INDEX(terminal_curves,MATCH(L31,'TERMINAL CURVES'!$A$4:$A$313,0),MATCH(N$6,'TERMINAL CURVES'!$A$4:$N$4,0)))*IF(F31=0,0,H31/F31)))*-F31</f>
        <v>0</v>
      </c>
      <c r="Q31" s="403">
        <f t="shared" si="11"/>
        <v>0</v>
      </c>
      <c r="R31" s="338">
        <f>(-H31/((HLOOKUP(P$5,port_specs,2,0)/(365.25))*(L32-L31)))*(INDEX(fixed_capacity_charge,MATCH(L31,PORTS!$H$11:$H$317,0),MATCH(P$5,PORTS!$H$11:$N$11,0))+INDEX(variable_om_charge,MATCH(L31,PORTS!$H$318:$H$625,0),MATCH(P$5,PORTS!$H$318:$N$318,0)))</f>
        <v>0</v>
      </c>
      <c r="S31" s="232">
        <f t="shared" si="12"/>
        <v>0</v>
      </c>
      <c r="T31" s="241">
        <f t="shared" si="13"/>
        <v>0</v>
      </c>
      <c r="U31" s="431"/>
      <c r="V31" s="186">
        <f t="shared" si="28"/>
        <v>37104</v>
      </c>
      <c r="W31" s="215">
        <f t="shared" si="14"/>
        <v>0</v>
      </c>
      <c r="X31" s="191">
        <f t="shared" si="15"/>
        <v>0</v>
      </c>
      <c r="Y31" s="218">
        <f>+IF(AND(X$8&lt;=V31,X$9&gt;=V31),+MIN($B31-SUMIF($H$17:X$17,Y$17,$H31:X31),((INDEX(ROUTE_PER_DAY_BY_SHIP,MATCH(CONCATENATE(X$4,X$5,X$7),ROUTE_PER_DAY_ROUTES,0),MATCH(X$6,ROUTE_PER_DAY_SHIPS,0))*(V32-V31))-(INDEX(ROUTE_PER_DAY_BY_SHIP,MATCH(CONCATENATE(X$4,X$5,X$7),ROUTE_PER_DAY_ROUTES,0),MATCH(X$6,ROUTE_PER_DAY_SHIPS,0))*(V32-V31))*HLOOKUP(X$6,SHIPS,7,0)*INDEX(LADEN_VOYAGE_DAYS,MATCH(CONCATENATE(X$4,X$5,X$7),LADEN_VOYAGE_ROUTES,0),MATCH(X$6,LADEN_VOYAGE_SHIPS,0)))),0)</f>
        <v>0</v>
      </c>
      <c r="Z31" s="118">
        <f t="shared" si="16"/>
        <v>0</v>
      </c>
      <c r="AA31" s="215">
        <f t="shared" si="3"/>
        <v>0</v>
      </c>
      <c r="AB31" s="202"/>
      <c r="AC31" s="186">
        <f t="shared" si="29"/>
        <v>37104</v>
      </c>
      <c r="AD31" s="232">
        <f>+AA31*(VLOOKUP(AC31,CURVECALC!$C$6:$J$312,4,0)+AE$5)</f>
        <v>0</v>
      </c>
      <c r="AE31" s="208">
        <f>-W31*INDEX(ship_curves,MATCH(AC31,'SHIP CURVES'!$A$9:$A$316,0),MATCH(CONCATENATE(AG$4,AG$5,AG$6,AG$7),'SHIP CURVES'!$A$9:$AZ$9,0))</f>
        <v>0</v>
      </c>
      <c r="AF31" s="209">
        <f>-Y31*INDEX(port_processing_fee,MATCH(AC31,PORTS!$H$626:$H$933,0),MATCH(AG$5,PORTS!$H$626:$Z$626,0))</f>
        <v>0</v>
      </c>
      <c r="AG31" s="405">
        <f>(((VLOOKUP(AC31,curvecalc,4,0))*IF(W31=0,0,AA31/W31)-INDEX(ship_curves,MATCH(AC31,'SHIP CURVES'!$A$9:$A$316,0),MATCH(CONCATENATE(AG$4,AG$5,AG$6,AG$7),'SHIP CURVES'!$A$9:$Z$9,0))-INDEX(terminal_curves,MATCH(AC31,'TERMINAL CURVES'!$A$4:$A$313,0),MATCH(AG$5,'TERMINAL CURVES'!$A$4:$N$4,0))*IF(W31=0,0,Y31/W31))-(AE$8)*((AE$7-$N$5)-(INDEX(ship_curves,MATCH(AC31,'SHIP CURVES'!$A$9:$A$316,0),MATCH(CONCATENATE(AG$4,AG$5,AG$6,AG$7),'SHIP CURVES'!$A$9:$Z$9,0))-INDEX(ship_curves,MATCH(AC31,'SHIP CURVES'!$A$9:$A$316,0),MATCH(CONCATENATE(AG$4,AE$6,AG$6,AG$7),'SHIP CURVES'!$A$9:$Z$9,0)))-(INDEX(terminal_curves,MATCH(AC31,'TERMINAL CURVES'!$A$4:$A$313,0),MATCH(AG$5,'TERMINAL CURVES'!$A$4:$N$4,0))-INDEX(terminal_curves,MATCH(AC31,'TERMINAL CURVES'!$A$4:$A$313,0),MATCH(AE$6,'TERMINAL CURVES'!$A$4:$N$4,0)))*IF(W31=0,0,Y31/W31)))*-W31</f>
        <v>0</v>
      </c>
      <c r="AH31" s="343">
        <f t="shared" si="17"/>
        <v>0</v>
      </c>
      <c r="AI31" s="338">
        <f>(-Y31/((HLOOKUP(AG$5,port_specs,2,0)/(365.25))*(AC32-AC31)))*(INDEX(fixed_capacity_charge,MATCH(AC31,PORTS!$H$11:$H$317,0),MATCH(AG$5,PORTS!$H$11:$N$11,0))+INDEX(variable_om_charge,MATCH(AC31,PORTS!$H$318:$H$625,0),MATCH(AG$5,PORTS!$H$318:$N$318,0)))</f>
        <v>0</v>
      </c>
      <c r="AJ31" s="232">
        <f t="shared" si="18"/>
        <v>0</v>
      </c>
      <c r="AK31" s="241">
        <f t="shared" si="19"/>
        <v>0</v>
      </c>
      <c r="AM31" s="186">
        <f t="shared" si="30"/>
        <v>37104</v>
      </c>
      <c r="AN31" s="215">
        <f t="shared" si="20"/>
        <v>0</v>
      </c>
      <c r="AO31" s="191">
        <f t="shared" si="21"/>
        <v>0</v>
      </c>
      <c r="AP31" s="218">
        <f>+IF(AND(AO$8&lt;=AM31,AO$9&gt;=AM31),+MIN($B31-SUMIF($H$17:AO$17,AP$17,$H31:AO31),((INDEX(ROUTE_PER_DAY_BY_SHIP,MATCH(CONCATENATE(AO$4,AO$5,AO$7),ROUTE_PER_DAY_ROUTES,0),MATCH(AO$6,ROUTE_PER_DAY_SHIPS,0))*(AM32-AM31))-(INDEX(ROUTE_PER_DAY_BY_SHIP,MATCH(CONCATENATE(AO$4,AO$5,AO$7),ROUTE_PER_DAY_ROUTES,0),MATCH(AO$6,ROUTE_PER_DAY_SHIPS,0))*(AM32-AM31))*HLOOKUP(AO$6,SHIPS,7,0)*INDEX(LADEN_VOYAGE_DAYS,MATCH(CONCATENATE(AO$4,AO$5,AO$7),LADEN_VOYAGE_ROUTES,0),MATCH(AO$6,LADEN_VOYAGE_SHIPS,0)))),0)</f>
        <v>0</v>
      </c>
      <c r="AQ31" s="118">
        <f>-(AP31)*PORTS!$I$6</f>
        <v>0</v>
      </c>
      <c r="AR31" s="215">
        <f t="shared" si="4"/>
        <v>0</v>
      </c>
      <c r="AS31" s="202"/>
      <c r="AT31" s="186">
        <f t="shared" si="31"/>
        <v>37104</v>
      </c>
      <c r="AU31" s="232">
        <f>+AR31*(VLOOKUP(AT31,CURVECALC!$C$6:$J$312,4,0)+AV$5)</f>
        <v>0</v>
      </c>
      <c r="AV31" s="208">
        <f>-AN31*INDEX(ship_curves,MATCH(AT31,'SHIP CURVES'!$A$9:$A$316,0),MATCH(CONCATENATE(AX$4,AX$5,AX$6,AX$7),'SHIP CURVES'!$A$9:$AZ$9,0))</f>
        <v>0</v>
      </c>
      <c r="AW31" s="209">
        <f>-AP31*INDEX(port_processing_fee,MATCH(AT31,PORTS!$H$626:$H$933,0),MATCH(AX$5,PORTS!$H$626:$Z$626,0))</f>
        <v>0</v>
      </c>
      <c r="AX31" s="405">
        <f>(((VLOOKUP(AT31,curvecalc,4,0))*IF(AN31=0,0,AR31/AN31)-INDEX(ship_curves,MATCH(AT31,'SHIP CURVES'!$A$9:$A$316,0),MATCH(CONCATENATE(AX$4,AX$5,AX$6,AX$7),'SHIP CURVES'!$A$9:$Z$9,0))-INDEX(terminal_curves,MATCH(AT31,'TERMINAL CURVES'!$A$4:$A$313,0),MATCH(AX$5,'TERMINAL CURVES'!$A$4:$N$4,0))*IF(AN31=0,0,AP31/AN31))-(AV$8)*((AV$7-$N$5)-(INDEX(ship_curves,MATCH(AT31,'SHIP CURVES'!$A$9:$A$316,0),MATCH(CONCATENATE(AX$4,AX$5,AX$6,AX$7),'SHIP CURVES'!$A$9:$Z$9,0))-INDEX(ship_curves,MATCH(AT31,'SHIP CURVES'!$A$9:$A$316,0),MATCH(CONCATENATE(AX$4,AV$6,AX$6,AX$7),'SHIP CURVES'!$A$9:$Z$9,0)))-(INDEX(terminal_curves,MATCH(AT31,'TERMINAL CURVES'!$A$4:$A$313,0),MATCH(AX$5,'TERMINAL CURVES'!$A$4:$N$4,0))-INDEX(terminal_curves,MATCH(AT31,'TERMINAL CURVES'!$A$4:$A$313,0),MATCH(AV$6,'TERMINAL CURVES'!$A$4:$N$4,0)))*IF(AN31=0,0,AP31/AN31)))*-AN31</f>
        <v>0</v>
      </c>
      <c r="AY31" s="343">
        <f t="shared" si="22"/>
        <v>0</v>
      </c>
      <c r="AZ31" s="338">
        <f>(-AP31/((HLOOKUP(AX$5,port_specs,2,0)/(365.25))*(AT32-AT31)))*(INDEX(fixed_capacity_charge,MATCH(AT31,PORTS!$H$11:$H$317,0),MATCH(AX$5,PORTS!$H$11:$N$11,0))+INDEX(variable_om_charge,MATCH(AT31,PORTS!$H$318:$H$625,0),MATCH(AX$5,PORTS!$H$318:$N$318,0)))</f>
        <v>0</v>
      </c>
      <c r="BA31" s="232">
        <f t="shared" si="23"/>
        <v>0</v>
      </c>
      <c r="BB31" s="241">
        <f t="shared" si="24"/>
        <v>0</v>
      </c>
      <c r="BC31" s="408"/>
      <c r="BD31" s="338">
        <f>+PORTS!I25+PORTS!I333</f>
        <v>0</v>
      </c>
    </row>
    <row r="32" spans="1:56" x14ac:dyDescent="0.2">
      <c r="A32" s="186">
        <f t="shared" si="25"/>
        <v>37135</v>
      </c>
      <c r="B32" s="215">
        <f>+IF(AND($A32&gt;=$C$8,$A32&lt;=$C$9),1,0)*PORTS!$I$5/(365.25)*(A33-A32)</f>
        <v>0</v>
      </c>
      <c r="C32" s="351">
        <f t="shared" si="5"/>
        <v>0</v>
      </c>
      <c r="D32">
        <f t="shared" si="6"/>
        <v>2001</v>
      </c>
      <c r="E32" s="186">
        <f t="shared" si="26"/>
        <v>37135</v>
      </c>
      <c r="F32" s="215">
        <f t="shared" si="7"/>
        <v>0</v>
      </c>
      <c r="G32" s="191">
        <f t="shared" si="8"/>
        <v>0</v>
      </c>
      <c r="H32" s="218">
        <f t="shared" si="9"/>
        <v>0</v>
      </c>
      <c r="I32" s="118">
        <f t="shared" si="10"/>
        <v>0</v>
      </c>
      <c r="J32" s="215">
        <f t="shared" si="2"/>
        <v>0</v>
      </c>
      <c r="K32" s="202"/>
      <c r="L32" s="186">
        <f t="shared" si="27"/>
        <v>37135</v>
      </c>
      <c r="M32" s="400">
        <f>+J32*(VLOOKUP(L32,CURVECALC!$C$6:$J$312,4,0)+N$5)</f>
        <v>0</v>
      </c>
      <c r="N32" s="208">
        <f>-F32*INDEX(ship_curves,MATCH(L32,'SHIP CURVES'!$A$9:$A$316,0),MATCH(CONCATENATE(P$4,P$5,P$6,P$7),'SHIP CURVES'!$A$9:$AZ$9,0))</f>
        <v>0</v>
      </c>
      <c r="O32" s="209">
        <f>-H32*INDEX(port_processing_fee,MATCH(L32,PORTS!$H$626:$H$933,0),MATCH(P$5,PORTS!$H$626:$Z$626,0))</f>
        <v>0</v>
      </c>
      <c r="P32" s="405">
        <f>(((VLOOKUP(L32,curvecalc,4,0))*IF(F32=0,0,J32/F32)-INDEX(ship_curves,MATCH(L32,'SHIP CURVES'!$A$9:$A$316,0),MATCH(CONCATENATE(P$4,P$5,P$6,P$7),'SHIP CURVES'!$A$9:$Z$9,0))-INDEX(terminal_curves,MATCH(L32,'TERMINAL CURVES'!$A$4:$A$313,0),MATCH(P$5,'TERMINAL CURVES'!$A$4:$N$4,0))*IF(F32=0,0,H32/F32))-(N$8)*((N$7-$N$5)-(INDEX(ship_curves,MATCH(L32,'SHIP CURVES'!$A$9:$A$316,0),MATCH(CONCATENATE(P$4,P$5,P$6,P$7),'SHIP CURVES'!$A$9:$Z$9,0))-INDEX(ship_curves,MATCH(L32,'SHIP CURVES'!$A$9:$A$316,0),MATCH(CONCATENATE(P$4,N$6,P$6,P$7),'SHIP CURVES'!$A$9:$Z$9,0)))-(INDEX(terminal_curves,MATCH(L32,'TERMINAL CURVES'!$A$4:$A$313,0),MATCH(P$5,'TERMINAL CURVES'!$A$4:$N$4,0))-INDEX(terminal_curves,MATCH(L32,'TERMINAL CURVES'!$A$4:$A$313,0),MATCH(N$6,'TERMINAL CURVES'!$A$4:$N$4,0)))*IF(F32=0,0,H32/F32)))*-F32</f>
        <v>0</v>
      </c>
      <c r="Q32" s="403">
        <f t="shared" si="11"/>
        <v>0</v>
      </c>
      <c r="R32" s="338">
        <f>(-H32/((HLOOKUP(P$5,port_specs,2,0)/(365.25))*(L33-L32)))*(INDEX(fixed_capacity_charge,MATCH(L32,PORTS!$H$11:$H$317,0),MATCH(P$5,PORTS!$H$11:$N$11,0))+INDEX(variable_om_charge,MATCH(L32,PORTS!$H$318:$H$625,0),MATCH(P$5,PORTS!$H$318:$N$318,0)))</f>
        <v>0</v>
      </c>
      <c r="S32" s="232">
        <f t="shared" si="12"/>
        <v>0</v>
      </c>
      <c r="T32" s="241">
        <f t="shared" si="13"/>
        <v>0</v>
      </c>
      <c r="U32" s="431"/>
      <c r="V32" s="186">
        <f t="shared" si="28"/>
        <v>37135</v>
      </c>
      <c r="W32" s="215">
        <f t="shared" si="14"/>
        <v>0</v>
      </c>
      <c r="X32" s="191">
        <f t="shared" si="15"/>
        <v>0</v>
      </c>
      <c r="Y32" s="218">
        <f>+IF(AND(X$8&lt;=V32,X$9&gt;=V32),+MIN($B32-SUMIF($H$17:X$17,Y$17,$H32:X32),((INDEX(ROUTE_PER_DAY_BY_SHIP,MATCH(CONCATENATE(X$4,X$5,X$7),ROUTE_PER_DAY_ROUTES,0),MATCH(X$6,ROUTE_PER_DAY_SHIPS,0))*(V33-V32))-(INDEX(ROUTE_PER_DAY_BY_SHIP,MATCH(CONCATENATE(X$4,X$5,X$7),ROUTE_PER_DAY_ROUTES,0),MATCH(X$6,ROUTE_PER_DAY_SHIPS,0))*(V33-V32))*HLOOKUP(X$6,SHIPS,7,0)*INDEX(LADEN_VOYAGE_DAYS,MATCH(CONCATENATE(X$4,X$5,X$7),LADEN_VOYAGE_ROUTES,0),MATCH(X$6,LADEN_VOYAGE_SHIPS,0)))),0)</f>
        <v>0</v>
      </c>
      <c r="Z32" s="118">
        <f t="shared" si="16"/>
        <v>0</v>
      </c>
      <c r="AA32" s="215">
        <f t="shared" si="3"/>
        <v>0</v>
      </c>
      <c r="AB32" s="202"/>
      <c r="AC32" s="186">
        <f t="shared" si="29"/>
        <v>37135</v>
      </c>
      <c r="AD32" s="232">
        <f>+AA32*(VLOOKUP(AC32,CURVECALC!$C$6:$J$312,4,0)+AE$5)</f>
        <v>0</v>
      </c>
      <c r="AE32" s="208">
        <f>-W32*INDEX(ship_curves,MATCH(AC32,'SHIP CURVES'!$A$9:$A$316,0),MATCH(CONCATENATE(AG$4,AG$5,AG$6,AG$7),'SHIP CURVES'!$A$9:$AZ$9,0))</f>
        <v>0</v>
      </c>
      <c r="AF32" s="209">
        <f>-Y32*INDEX(port_processing_fee,MATCH(AC32,PORTS!$H$626:$H$933,0),MATCH(AG$5,PORTS!$H$626:$Z$626,0))</f>
        <v>0</v>
      </c>
      <c r="AG32" s="405">
        <f>(((VLOOKUP(AC32,curvecalc,4,0))*IF(W32=0,0,AA32/W32)-INDEX(ship_curves,MATCH(AC32,'SHIP CURVES'!$A$9:$A$316,0),MATCH(CONCATENATE(AG$4,AG$5,AG$6,AG$7),'SHIP CURVES'!$A$9:$Z$9,0))-INDEX(terminal_curves,MATCH(AC32,'TERMINAL CURVES'!$A$4:$A$313,0),MATCH(AG$5,'TERMINAL CURVES'!$A$4:$N$4,0))*IF(W32=0,0,Y32/W32))-(AE$8)*((AE$7-$N$5)-(INDEX(ship_curves,MATCH(AC32,'SHIP CURVES'!$A$9:$A$316,0),MATCH(CONCATENATE(AG$4,AG$5,AG$6,AG$7),'SHIP CURVES'!$A$9:$Z$9,0))-INDEX(ship_curves,MATCH(AC32,'SHIP CURVES'!$A$9:$A$316,0),MATCH(CONCATENATE(AG$4,AE$6,AG$6,AG$7),'SHIP CURVES'!$A$9:$Z$9,0)))-(INDEX(terminal_curves,MATCH(AC32,'TERMINAL CURVES'!$A$4:$A$313,0),MATCH(AG$5,'TERMINAL CURVES'!$A$4:$N$4,0))-INDEX(terminal_curves,MATCH(AC32,'TERMINAL CURVES'!$A$4:$A$313,0),MATCH(AE$6,'TERMINAL CURVES'!$A$4:$N$4,0)))*IF(W32=0,0,Y32/W32)))*-W32</f>
        <v>0</v>
      </c>
      <c r="AH32" s="343">
        <f t="shared" si="17"/>
        <v>0</v>
      </c>
      <c r="AI32" s="338">
        <f>(-Y32/((HLOOKUP(AG$5,port_specs,2,0)/(365.25))*(AC33-AC32)))*(INDEX(fixed_capacity_charge,MATCH(AC32,PORTS!$H$11:$H$317,0),MATCH(AG$5,PORTS!$H$11:$N$11,0))+INDEX(variable_om_charge,MATCH(AC32,PORTS!$H$318:$H$625,0),MATCH(AG$5,PORTS!$H$318:$N$318,0)))</f>
        <v>0</v>
      </c>
      <c r="AJ32" s="232">
        <f t="shared" si="18"/>
        <v>0</v>
      </c>
      <c r="AK32" s="241">
        <f t="shared" si="19"/>
        <v>0</v>
      </c>
      <c r="AM32" s="186">
        <f t="shared" si="30"/>
        <v>37135</v>
      </c>
      <c r="AN32" s="215">
        <f t="shared" si="20"/>
        <v>0</v>
      </c>
      <c r="AO32" s="191">
        <f t="shared" si="21"/>
        <v>0</v>
      </c>
      <c r="AP32" s="218">
        <f>+IF(AND(AO$8&lt;=AM32,AO$9&gt;=AM32),+MIN($B32-SUMIF($H$17:AO$17,AP$17,$H32:AO32),((INDEX(ROUTE_PER_DAY_BY_SHIP,MATCH(CONCATENATE(AO$4,AO$5,AO$7),ROUTE_PER_DAY_ROUTES,0),MATCH(AO$6,ROUTE_PER_DAY_SHIPS,0))*(AM33-AM32))-(INDEX(ROUTE_PER_DAY_BY_SHIP,MATCH(CONCATENATE(AO$4,AO$5,AO$7),ROUTE_PER_DAY_ROUTES,0),MATCH(AO$6,ROUTE_PER_DAY_SHIPS,0))*(AM33-AM32))*HLOOKUP(AO$6,SHIPS,7,0)*INDEX(LADEN_VOYAGE_DAYS,MATCH(CONCATENATE(AO$4,AO$5,AO$7),LADEN_VOYAGE_ROUTES,0),MATCH(AO$6,LADEN_VOYAGE_SHIPS,0)))),0)</f>
        <v>0</v>
      </c>
      <c r="AQ32" s="118">
        <f>-(AP32)*PORTS!$I$6</f>
        <v>0</v>
      </c>
      <c r="AR32" s="215">
        <f t="shared" si="4"/>
        <v>0</v>
      </c>
      <c r="AS32" s="202"/>
      <c r="AT32" s="186">
        <f t="shared" si="31"/>
        <v>37135</v>
      </c>
      <c r="AU32" s="232">
        <f>+AR32*(VLOOKUP(AT32,CURVECALC!$C$6:$J$312,4,0)+AV$5)</f>
        <v>0</v>
      </c>
      <c r="AV32" s="208">
        <f>-AN32*INDEX(ship_curves,MATCH(AT32,'SHIP CURVES'!$A$9:$A$316,0),MATCH(CONCATENATE(AX$4,AX$5,AX$6,AX$7),'SHIP CURVES'!$A$9:$AZ$9,0))</f>
        <v>0</v>
      </c>
      <c r="AW32" s="209">
        <f>-AP32*INDEX(port_processing_fee,MATCH(AT32,PORTS!$H$626:$H$933,0),MATCH(AX$5,PORTS!$H$626:$Z$626,0))</f>
        <v>0</v>
      </c>
      <c r="AX32" s="405">
        <f>(((VLOOKUP(AT32,curvecalc,4,0))*IF(AN32=0,0,AR32/AN32)-INDEX(ship_curves,MATCH(AT32,'SHIP CURVES'!$A$9:$A$316,0),MATCH(CONCATENATE(AX$4,AX$5,AX$6,AX$7),'SHIP CURVES'!$A$9:$Z$9,0))-INDEX(terminal_curves,MATCH(AT32,'TERMINAL CURVES'!$A$4:$A$313,0),MATCH(AX$5,'TERMINAL CURVES'!$A$4:$N$4,0))*IF(AN32=0,0,AP32/AN32))-(AV$8)*((AV$7-$N$5)-(INDEX(ship_curves,MATCH(AT32,'SHIP CURVES'!$A$9:$A$316,0),MATCH(CONCATENATE(AX$4,AX$5,AX$6,AX$7),'SHIP CURVES'!$A$9:$Z$9,0))-INDEX(ship_curves,MATCH(AT32,'SHIP CURVES'!$A$9:$A$316,0),MATCH(CONCATENATE(AX$4,AV$6,AX$6,AX$7),'SHIP CURVES'!$A$9:$Z$9,0)))-(INDEX(terminal_curves,MATCH(AT32,'TERMINAL CURVES'!$A$4:$A$313,0),MATCH(AX$5,'TERMINAL CURVES'!$A$4:$N$4,0))-INDEX(terminal_curves,MATCH(AT32,'TERMINAL CURVES'!$A$4:$A$313,0),MATCH(AV$6,'TERMINAL CURVES'!$A$4:$N$4,0)))*IF(AN32=0,0,AP32/AN32)))*-AN32</f>
        <v>0</v>
      </c>
      <c r="AY32" s="343">
        <f t="shared" si="22"/>
        <v>0</v>
      </c>
      <c r="AZ32" s="338">
        <f>(-AP32/((HLOOKUP(AX$5,port_specs,2,0)/(365.25))*(AT33-AT32)))*(INDEX(fixed_capacity_charge,MATCH(AT32,PORTS!$H$11:$H$317,0),MATCH(AX$5,PORTS!$H$11:$N$11,0))+INDEX(variable_om_charge,MATCH(AT32,PORTS!$H$318:$H$625,0),MATCH(AX$5,PORTS!$H$318:$N$318,0)))</f>
        <v>0</v>
      </c>
      <c r="BA32" s="232">
        <f t="shared" si="23"/>
        <v>0</v>
      </c>
      <c r="BB32" s="241">
        <f t="shared" si="24"/>
        <v>0</v>
      </c>
      <c r="BC32" s="408"/>
      <c r="BD32" s="338">
        <f>+PORTS!I26+PORTS!I334</f>
        <v>0</v>
      </c>
    </row>
    <row r="33" spans="1:56" x14ac:dyDescent="0.2">
      <c r="A33" s="186">
        <f t="shared" si="25"/>
        <v>37165</v>
      </c>
      <c r="B33" s="215">
        <f>+IF(AND($A33&gt;=$C$8,$A33&lt;=$C$9),1,0)*PORTS!$I$5/(365.25)*(A34-A33)</f>
        <v>0</v>
      </c>
      <c r="C33" s="351">
        <f t="shared" si="5"/>
        <v>0</v>
      </c>
      <c r="D33">
        <f t="shared" si="6"/>
        <v>2001</v>
      </c>
      <c r="E33" s="186">
        <f t="shared" si="26"/>
        <v>37165</v>
      </c>
      <c r="F33" s="215">
        <f t="shared" si="7"/>
        <v>0</v>
      </c>
      <c r="G33" s="191">
        <f t="shared" si="8"/>
        <v>0</v>
      </c>
      <c r="H33" s="218">
        <f t="shared" si="9"/>
        <v>0</v>
      </c>
      <c r="I33" s="118">
        <f t="shared" si="10"/>
        <v>0</v>
      </c>
      <c r="J33" s="215">
        <f t="shared" si="2"/>
        <v>0</v>
      </c>
      <c r="K33" s="202"/>
      <c r="L33" s="186">
        <f t="shared" si="27"/>
        <v>37165</v>
      </c>
      <c r="M33" s="400">
        <f>+J33*(VLOOKUP(L33,CURVECALC!$C$6:$J$312,4,0)+N$5)</f>
        <v>0</v>
      </c>
      <c r="N33" s="208">
        <f>-F33*INDEX(ship_curves,MATCH(L33,'SHIP CURVES'!$A$9:$A$316,0),MATCH(CONCATENATE(P$4,P$5,P$6,P$7),'SHIP CURVES'!$A$9:$AZ$9,0))</f>
        <v>0</v>
      </c>
      <c r="O33" s="209">
        <f>-H33*INDEX(port_processing_fee,MATCH(L33,PORTS!$H$626:$H$933,0),MATCH(P$5,PORTS!$H$626:$Z$626,0))</f>
        <v>0</v>
      </c>
      <c r="P33" s="405">
        <f>(((VLOOKUP(L33,curvecalc,4,0))*IF(F33=0,0,J33/F33)-INDEX(ship_curves,MATCH(L33,'SHIP CURVES'!$A$9:$A$316,0),MATCH(CONCATENATE(P$4,P$5,P$6,P$7),'SHIP CURVES'!$A$9:$Z$9,0))-INDEX(terminal_curves,MATCH(L33,'TERMINAL CURVES'!$A$4:$A$313,0),MATCH(P$5,'TERMINAL CURVES'!$A$4:$N$4,0))*IF(F33=0,0,H33/F33))-(N$8)*((N$7-$N$5)-(INDEX(ship_curves,MATCH(L33,'SHIP CURVES'!$A$9:$A$316,0),MATCH(CONCATENATE(P$4,P$5,P$6,P$7),'SHIP CURVES'!$A$9:$Z$9,0))-INDEX(ship_curves,MATCH(L33,'SHIP CURVES'!$A$9:$A$316,0),MATCH(CONCATENATE(P$4,N$6,P$6,P$7),'SHIP CURVES'!$A$9:$Z$9,0)))-(INDEX(terminal_curves,MATCH(L33,'TERMINAL CURVES'!$A$4:$A$313,0),MATCH(P$5,'TERMINAL CURVES'!$A$4:$N$4,0))-INDEX(terminal_curves,MATCH(L33,'TERMINAL CURVES'!$A$4:$A$313,0),MATCH(N$6,'TERMINAL CURVES'!$A$4:$N$4,0)))*IF(F33=0,0,H33/F33)))*-F33</f>
        <v>0</v>
      </c>
      <c r="Q33" s="403">
        <f t="shared" si="11"/>
        <v>0</v>
      </c>
      <c r="R33" s="338">
        <f>(-H33/((HLOOKUP(P$5,port_specs,2,0)/(365.25))*(L34-L33)))*(INDEX(fixed_capacity_charge,MATCH(L33,PORTS!$H$11:$H$317,0),MATCH(P$5,PORTS!$H$11:$N$11,0))+INDEX(variable_om_charge,MATCH(L33,PORTS!$H$318:$H$625,0),MATCH(P$5,PORTS!$H$318:$N$318,0)))</f>
        <v>0</v>
      </c>
      <c r="S33" s="232">
        <f t="shared" si="12"/>
        <v>0</v>
      </c>
      <c r="T33" s="241">
        <f t="shared" si="13"/>
        <v>0</v>
      </c>
      <c r="U33" s="431"/>
      <c r="V33" s="186">
        <f t="shared" si="28"/>
        <v>37165</v>
      </c>
      <c r="W33" s="215">
        <f t="shared" si="14"/>
        <v>0</v>
      </c>
      <c r="X33" s="191">
        <f t="shared" si="15"/>
        <v>0</v>
      </c>
      <c r="Y33" s="218">
        <f>+IF(AND(X$8&lt;=V33,X$9&gt;=V33),+MIN($B33-SUMIF($H$17:X$17,Y$17,$H33:X33),((INDEX(ROUTE_PER_DAY_BY_SHIP,MATCH(CONCATENATE(X$4,X$5,X$7),ROUTE_PER_DAY_ROUTES,0),MATCH(X$6,ROUTE_PER_DAY_SHIPS,0))*(V34-V33))-(INDEX(ROUTE_PER_DAY_BY_SHIP,MATCH(CONCATENATE(X$4,X$5,X$7),ROUTE_PER_DAY_ROUTES,0),MATCH(X$6,ROUTE_PER_DAY_SHIPS,0))*(V34-V33))*HLOOKUP(X$6,SHIPS,7,0)*INDEX(LADEN_VOYAGE_DAYS,MATCH(CONCATENATE(X$4,X$5,X$7),LADEN_VOYAGE_ROUTES,0),MATCH(X$6,LADEN_VOYAGE_SHIPS,0)))),0)</f>
        <v>0</v>
      </c>
      <c r="Z33" s="118">
        <f t="shared" si="16"/>
        <v>0</v>
      </c>
      <c r="AA33" s="215">
        <f t="shared" si="3"/>
        <v>0</v>
      </c>
      <c r="AB33" s="202"/>
      <c r="AC33" s="186">
        <f t="shared" si="29"/>
        <v>37165</v>
      </c>
      <c r="AD33" s="232">
        <f>+AA33*(VLOOKUP(AC33,CURVECALC!$C$6:$J$312,4,0)+AE$5)</f>
        <v>0</v>
      </c>
      <c r="AE33" s="208">
        <f>-W33*INDEX(ship_curves,MATCH(AC33,'SHIP CURVES'!$A$9:$A$316,0),MATCH(CONCATENATE(AG$4,AG$5,AG$6,AG$7),'SHIP CURVES'!$A$9:$AZ$9,0))</f>
        <v>0</v>
      </c>
      <c r="AF33" s="209">
        <f>-Y33*INDEX(port_processing_fee,MATCH(AC33,PORTS!$H$626:$H$933,0),MATCH(AG$5,PORTS!$H$626:$Z$626,0))</f>
        <v>0</v>
      </c>
      <c r="AG33" s="405">
        <f>(((VLOOKUP(AC33,curvecalc,4,0))*IF(W33=0,0,AA33/W33)-INDEX(ship_curves,MATCH(AC33,'SHIP CURVES'!$A$9:$A$316,0),MATCH(CONCATENATE(AG$4,AG$5,AG$6,AG$7),'SHIP CURVES'!$A$9:$Z$9,0))-INDEX(terminal_curves,MATCH(AC33,'TERMINAL CURVES'!$A$4:$A$313,0),MATCH(AG$5,'TERMINAL CURVES'!$A$4:$N$4,0))*IF(W33=0,0,Y33/W33))-(AE$8)*((AE$7-$N$5)-(INDEX(ship_curves,MATCH(AC33,'SHIP CURVES'!$A$9:$A$316,0),MATCH(CONCATENATE(AG$4,AG$5,AG$6,AG$7),'SHIP CURVES'!$A$9:$Z$9,0))-INDEX(ship_curves,MATCH(AC33,'SHIP CURVES'!$A$9:$A$316,0),MATCH(CONCATENATE(AG$4,AE$6,AG$6,AG$7),'SHIP CURVES'!$A$9:$Z$9,0)))-(INDEX(terminal_curves,MATCH(AC33,'TERMINAL CURVES'!$A$4:$A$313,0),MATCH(AG$5,'TERMINAL CURVES'!$A$4:$N$4,0))-INDEX(terminal_curves,MATCH(AC33,'TERMINAL CURVES'!$A$4:$A$313,0),MATCH(AE$6,'TERMINAL CURVES'!$A$4:$N$4,0)))*IF(W33=0,0,Y33/W33)))*-W33</f>
        <v>0</v>
      </c>
      <c r="AH33" s="343">
        <f t="shared" si="17"/>
        <v>0</v>
      </c>
      <c r="AI33" s="338">
        <f>(-Y33/((HLOOKUP(AG$5,port_specs,2,0)/(365.25))*(AC34-AC33)))*(INDEX(fixed_capacity_charge,MATCH(AC33,PORTS!$H$11:$H$317,0),MATCH(AG$5,PORTS!$H$11:$N$11,0))+INDEX(variable_om_charge,MATCH(AC33,PORTS!$H$318:$H$625,0),MATCH(AG$5,PORTS!$H$318:$N$318,0)))</f>
        <v>0</v>
      </c>
      <c r="AJ33" s="232">
        <f t="shared" si="18"/>
        <v>0</v>
      </c>
      <c r="AK33" s="241">
        <f t="shared" si="19"/>
        <v>0</v>
      </c>
      <c r="AM33" s="186">
        <f t="shared" si="30"/>
        <v>37165</v>
      </c>
      <c r="AN33" s="215">
        <f t="shared" si="20"/>
        <v>0</v>
      </c>
      <c r="AO33" s="191">
        <f t="shared" si="21"/>
        <v>0</v>
      </c>
      <c r="AP33" s="218">
        <f>+IF(AND(AO$8&lt;=AM33,AO$9&gt;=AM33),+MIN($B33-SUMIF($H$17:AO$17,AP$17,$H33:AO33),((INDEX(ROUTE_PER_DAY_BY_SHIP,MATCH(CONCATENATE(AO$4,AO$5,AO$7),ROUTE_PER_DAY_ROUTES,0),MATCH(AO$6,ROUTE_PER_DAY_SHIPS,0))*(AM34-AM33))-(INDEX(ROUTE_PER_DAY_BY_SHIP,MATCH(CONCATENATE(AO$4,AO$5,AO$7),ROUTE_PER_DAY_ROUTES,0),MATCH(AO$6,ROUTE_PER_DAY_SHIPS,0))*(AM34-AM33))*HLOOKUP(AO$6,SHIPS,7,0)*INDEX(LADEN_VOYAGE_DAYS,MATCH(CONCATENATE(AO$4,AO$5,AO$7),LADEN_VOYAGE_ROUTES,0),MATCH(AO$6,LADEN_VOYAGE_SHIPS,0)))),0)</f>
        <v>0</v>
      </c>
      <c r="AQ33" s="118">
        <f>-(AP33)*PORTS!$I$6</f>
        <v>0</v>
      </c>
      <c r="AR33" s="215">
        <f t="shared" si="4"/>
        <v>0</v>
      </c>
      <c r="AS33" s="202"/>
      <c r="AT33" s="186">
        <f t="shared" si="31"/>
        <v>37165</v>
      </c>
      <c r="AU33" s="232">
        <f>+AR33*(VLOOKUP(AT33,CURVECALC!$C$6:$J$312,4,0)+AV$5)</f>
        <v>0</v>
      </c>
      <c r="AV33" s="208">
        <f>-AN33*INDEX(ship_curves,MATCH(AT33,'SHIP CURVES'!$A$9:$A$316,0),MATCH(CONCATENATE(AX$4,AX$5,AX$6,AX$7),'SHIP CURVES'!$A$9:$AZ$9,0))</f>
        <v>0</v>
      </c>
      <c r="AW33" s="209">
        <f>-AP33*INDEX(port_processing_fee,MATCH(AT33,PORTS!$H$626:$H$933,0),MATCH(AX$5,PORTS!$H$626:$Z$626,0))</f>
        <v>0</v>
      </c>
      <c r="AX33" s="405">
        <f>(((VLOOKUP(AT33,curvecalc,4,0))*IF(AN33=0,0,AR33/AN33)-INDEX(ship_curves,MATCH(AT33,'SHIP CURVES'!$A$9:$A$316,0),MATCH(CONCATENATE(AX$4,AX$5,AX$6,AX$7),'SHIP CURVES'!$A$9:$Z$9,0))-INDEX(terminal_curves,MATCH(AT33,'TERMINAL CURVES'!$A$4:$A$313,0),MATCH(AX$5,'TERMINAL CURVES'!$A$4:$N$4,0))*IF(AN33=0,0,AP33/AN33))-(AV$8)*((AV$7-$N$5)-(INDEX(ship_curves,MATCH(AT33,'SHIP CURVES'!$A$9:$A$316,0),MATCH(CONCATENATE(AX$4,AX$5,AX$6,AX$7),'SHIP CURVES'!$A$9:$Z$9,0))-INDEX(ship_curves,MATCH(AT33,'SHIP CURVES'!$A$9:$A$316,0),MATCH(CONCATENATE(AX$4,AV$6,AX$6,AX$7),'SHIP CURVES'!$A$9:$Z$9,0)))-(INDEX(terminal_curves,MATCH(AT33,'TERMINAL CURVES'!$A$4:$A$313,0),MATCH(AX$5,'TERMINAL CURVES'!$A$4:$N$4,0))-INDEX(terminal_curves,MATCH(AT33,'TERMINAL CURVES'!$A$4:$A$313,0),MATCH(AV$6,'TERMINAL CURVES'!$A$4:$N$4,0)))*IF(AN33=0,0,AP33/AN33)))*-AN33</f>
        <v>0</v>
      </c>
      <c r="AY33" s="343">
        <f t="shared" si="22"/>
        <v>0</v>
      </c>
      <c r="AZ33" s="338">
        <f>(-AP33/((HLOOKUP(AX$5,port_specs,2,0)/(365.25))*(AT34-AT33)))*(INDEX(fixed_capacity_charge,MATCH(AT33,PORTS!$H$11:$H$317,0),MATCH(AX$5,PORTS!$H$11:$N$11,0))+INDEX(variable_om_charge,MATCH(AT33,PORTS!$H$318:$H$625,0),MATCH(AX$5,PORTS!$H$318:$N$318,0)))</f>
        <v>0</v>
      </c>
      <c r="BA33" s="232">
        <f t="shared" si="23"/>
        <v>0</v>
      </c>
      <c r="BB33" s="241">
        <f t="shared" si="24"/>
        <v>0</v>
      </c>
      <c r="BC33" s="408"/>
      <c r="BD33" s="338">
        <f>+PORTS!I27+PORTS!I335</f>
        <v>0</v>
      </c>
    </row>
    <row r="34" spans="1:56" x14ac:dyDescent="0.2">
      <c r="A34" s="186">
        <f t="shared" si="25"/>
        <v>37196</v>
      </c>
      <c r="B34" s="215">
        <f>+IF(AND($A34&gt;=$C$8,$A34&lt;=$C$9),1,0)*PORTS!$I$5/(365.25)*(A35-A34)</f>
        <v>0</v>
      </c>
      <c r="C34" s="351">
        <f t="shared" si="5"/>
        <v>0</v>
      </c>
      <c r="D34">
        <f t="shared" si="6"/>
        <v>2001</v>
      </c>
      <c r="E34" s="186">
        <f t="shared" si="26"/>
        <v>37196</v>
      </c>
      <c r="F34" s="215">
        <f t="shared" si="7"/>
        <v>0</v>
      </c>
      <c r="G34" s="191">
        <f t="shared" si="8"/>
        <v>0</v>
      </c>
      <c r="H34" s="218">
        <f t="shared" si="9"/>
        <v>0</v>
      </c>
      <c r="I34" s="118">
        <f t="shared" si="10"/>
        <v>0</v>
      </c>
      <c r="J34" s="215">
        <f t="shared" si="2"/>
        <v>0</v>
      </c>
      <c r="K34" s="202"/>
      <c r="L34" s="186">
        <f t="shared" si="27"/>
        <v>37196</v>
      </c>
      <c r="M34" s="400">
        <f>+J34*(VLOOKUP(L34,CURVECALC!$C$6:$J$312,4,0)+N$5)</f>
        <v>0</v>
      </c>
      <c r="N34" s="208">
        <f>-F34*INDEX(ship_curves,MATCH(L34,'SHIP CURVES'!$A$9:$A$316,0),MATCH(CONCATENATE(P$4,P$5,P$6,P$7),'SHIP CURVES'!$A$9:$AZ$9,0))</f>
        <v>0</v>
      </c>
      <c r="O34" s="209">
        <f>-H34*INDEX(port_processing_fee,MATCH(L34,PORTS!$H$626:$H$933,0),MATCH(P$5,PORTS!$H$626:$Z$626,0))</f>
        <v>0</v>
      </c>
      <c r="P34" s="405">
        <f>(((VLOOKUP(L34,curvecalc,4,0))*IF(F34=0,0,J34/F34)-INDEX(ship_curves,MATCH(L34,'SHIP CURVES'!$A$9:$A$316,0),MATCH(CONCATENATE(P$4,P$5,P$6,P$7),'SHIP CURVES'!$A$9:$Z$9,0))-INDEX(terminal_curves,MATCH(L34,'TERMINAL CURVES'!$A$4:$A$313,0),MATCH(P$5,'TERMINAL CURVES'!$A$4:$N$4,0))*IF(F34=0,0,H34/F34))-(N$8)*((N$7-$N$5)-(INDEX(ship_curves,MATCH(L34,'SHIP CURVES'!$A$9:$A$316,0),MATCH(CONCATENATE(P$4,P$5,P$6,P$7),'SHIP CURVES'!$A$9:$Z$9,0))-INDEX(ship_curves,MATCH(L34,'SHIP CURVES'!$A$9:$A$316,0),MATCH(CONCATENATE(P$4,N$6,P$6,P$7),'SHIP CURVES'!$A$9:$Z$9,0)))-(INDEX(terminal_curves,MATCH(L34,'TERMINAL CURVES'!$A$4:$A$313,0),MATCH(P$5,'TERMINAL CURVES'!$A$4:$N$4,0))-INDEX(terminal_curves,MATCH(L34,'TERMINAL CURVES'!$A$4:$A$313,0),MATCH(N$6,'TERMINAL CURVES'!$A$4:$N$4,0)))*IF(F34=0,0,H34/F34)))*-F34</f>
        <v>0</v>
      </c>
      <c r="Q34" s="403">
        <f t="shared" si="11"/>
        <v>0</v>
      </c>
      <c r="R34" s="338">
        <f>(-H34/((HLOOKUP(P$5,port_specs,2,0)/(365.25))*(L35-L34)))*(INDEX(fixed_capacity_charge,MATCH(L34,PORTS!$H$11:$H$317,0),MATCH(P$5,PORTS!$H$11:$N$11,0))+INDEX(variable_om_charge,MATCH(L34,PORTS!$H$318:$H$625,0),MATCH(P$5,PORTS!$H$318:$N$318,0)))</f>
        <v>0</v>
      </c>
      <c r="S34" s="232">
        <f t="shared" si="12"/>
        <v>0</v>
      </c>
      <c r="T34" s="241">
        <f t="shared" si="13"/>
        <v>0</v>
      </c>
      <c r="U34" s="431"/>
      <c r="V34" s="186">
        <f t="shared" si="28"/>
        <v>37196</v>
      </c>
      <c r="W34" s="215">
        <f t="shared" si="14"/>
        <v>0</v>
      </c>
      <c r="X34" s="191">
        <f t="shared" si="15"/>
        <v>0</v>
      </c>
      <c r="Y34" s="218">
        <f>+IF(AND(X$8&lt;=V34,X$9&gt;=V34),+MIN($B34-SUMIF($H$17:X$17,Y$17,$H34:X34),((INDEX(ROUTE_PER_DAY_BY_SHIP,MATCH(CONCATENATE(X$4,X$5,X$7),ROUTE_PER_DAY_ROUTES,0),MATCH(X$6,ROUTE_PER_DAY_SHIPS,0))*(V35-V34))-(INDEX(ROUTE_PER_DAY_BY_SHIP,MATCH(CONCATENATE(X$4,X$5,X$7),ROUTE_PER_DAY_ROUTES,0),MATCH(X$6,ROUTE_PER_DAY_SHIPS,0))*(V35-V34))*HLOOKUP(X$6,SHIPS,7,0)*INDEX(LADEN_VOYAGE_DAYS,MATCH(CONCATENATE(X$4,X$5,X$7),LADEN_VOYAGE_ROUTES,0),MATCH(X$6,LADEN_VOYAGE_SHIPS,0)))),0)</f>
        <v>0</v>
      </c>
      <c r="Z34" s="118">
        <f t="shared" si="16"/>
        <v>0</v>
      </c>
      <c r="AA34" s="215">
        <f t="shared" si="3"/>
        <v>0</v>
      </c>
      <c r="AB34" s="202"/>
      <c r="AC34" s="186">
        <f t="shared" si="29"/>
        <v>37196</v>
      </c>
      <c r="AD34" s="232">
        <f>+AA34*(VLOOKUP(AC34,CURVECALC!$C$6:$J$312,4,0)+AE$5)</f>
        <v>0</v>
      </c>
      <c r="AE34" s="208">
        <f>-W34*INDEX(ship_curves,MATCH(AC34,'SHIP CURVES'!$A$9:$A$316,0),MATCH(CONCATENATE(AG$4,AG$5,AG$6,AG$7),'SHIP CURVES'!$A$9:$AZ$9,0))</f>
        <v>0</v>
      </c>
      <c r="AF34" s="209">
        <f>-Y34*INDEX(port_processing_fee,MATCH(AC34,PORTS!$H$626:$H$933,0),MATCH(AG$5,PORTS!$H$626:$Z$626,0))</f>
        <v>0</v>
      </c>
      <c r="AG34" s="405">
        <f>(((VLOOKUP(AC34,curvecalc,4,0))*IF(W34=0,0,AA34/W34)-INDEX(ship_curves,MATCH(AC34,'SHIP CURVES'!$A$9:$A$316,0),MATCH(CONCATENATE(AG$4,AG$5,AG$6,AG$7),'SHIP CURVES'!$A$9:$Z$9,0))-INDEX(terminal_curves,MATCH(AC34,'TERMINAL CURVES'!$A$4:$A$313,0),MATCH(AG$5,'TERMINAL CURVES'!$A$4:$N$4,0))*IF(W34=0,0,Y34/W34))-(AE$8)*((AE$7-$N$5)-(INDEX(ship_curves,MATCH(AC34,'SHIP CURVES'!$A$9:$A$316,0),MATCH(CONCATENATE(AG$4,AG$5,AG$6,AG$7),'SHIP CURVES'!$A$9:$Z$9,0))-INDEX(ship_curves,MATCH(AC34,'SHIP CURVES'!$A$9:$A$316,0),MATCH(CONCATENATE(AG$4,AE$6,AG$6,AG$7),'SHIP CURVES'!$A$9:$Z$9,0)))-(INDEX(terminal_curves,MATCH(AC34,'TERMINAL CURVES'!$A$4:$A$313,0),MATCH(AG$5,'TERMINAL CURVES'!$A$4:$N$4,0))-INDEX(terminal_curves,MATCH(AC34,'TERMINAL CURVES'!$A$4:$A$313,0),MATCH(AE$6,'TERMINAL CURVES'!$A$4:$N$4,0)))*IF(W34=0,0,Y34/W34)))*-W34</f>
        <v>0</v>
      </c>
      <c r="AH34" s="343">
        <f t="shared" si="17"/>
        <v>0</v>
      </c>
      <c r="AI34" s="338">
        <f>(-Y34/((HLOOKUP(AG$5,port_specs,2,0)/(365.25))*(AC35-AC34)))*(INDEX(fixed_capacity_charge,MATCH(AC34,PORTS!$H$11:$H$317,0),MATCH(AG$5,PORTS!$H$11:$N$11,0))+INDEX(variable_om_charge,MATCH(AC34,PORTS!$H$318:$H$625,0),MATCH(AG$5,PORTS!$H$318:$N$318,0)))</f>
        <v>0</v>
      </c>
      <c r="AJ34" s="232">
        <f t="shared" si="18"/>
        <v>0</v>
      </c>
      <c r="AK34" s="241">
        <f t="shared" si="19"/>
        <v>0</v>
      </c>
      <c r="AM34" s="186">
        <f t="shared" si="30"/>
        <v>37196</v>
      </c>
      <c r="AN34" s="215">
        <f t="shared" si="20"/>
        <v>0</v>
      </c>
      <c r="AO34" s="191">
        <f t="shared" si="21"/>
        <v>0</v>
      </c>
      <c r="AP34" s="218">
        <f>+IF(AND(AO$8&lt;=AM34,AO$9&gt;=AM34),+MIN($B34-SUMIF($H$17:AO$17,AP$17,$H34:AO34),((INDEX(ROUTE_PER_DAY_BY_SHIP,MATCH(CONCATENATE(AO$4,AO$5,AO$7),ROUTE_PER_DAY_ROUTES,0),MATCH(AO$6,ROUTE_PER_DAY_SHIPS,0))*(AM35-AM34))-(INDEX(ROUTE_PER_DAY_BY_SHIP,MATCH(CONCATENATE(AO$4,AO$5,AO$7),ROUTE_PER_DAY_ROUTES,0),MATCH(AO$6,ROUTE_PER_DAY_SHIPS,0))*(AM35-AM34))*HLOOKUP(AO$6,SHIPS,7,0)*INDEX(LADEN_VOYAGE_DAYS,MATCH(CONCATENATE(AO$4,AO$5,AO$7),LADEN_VOYAGE_ROUTES,0),MATCH(AO$6,LADEN_VOYAGE_SHIPS,0)))),0)</f>
        <v>0</v>
      </c>
      <c r="AQ34" s="118">
        <f>-(AP34)*PORTS!$I$6</f>
        <v>0</v>
      </c>
      <c r="AR34" s="215">
        <f t="shared" si="4"/>
        <v>0</v>
      </c>
      <c r="AS34" s="202"/>
      <c r="AT34" s="186">
        <f t="shared" si="31"/>
        <v>37196</v>
      </c>
      <c r="AU34" s="232">
        <f>+AR34*(VLOOKUP(AT34,CURVECALC!$C$6:$J$312,4,0)+AV$5)</f>
        <v>0</v>
      </c>
      <c r="AV34" s="208">
        <f>-AN34*INDEX(ship_curves,MATCH(AT34,'SHIP CURVES'!$A$9:$A$316,0),MATCH(CONCATENATE(AX$4,AX$5,AX$6,AX$7),'SHIP CURVES'!$A$9:$AZ$9,0))</f>
        <v>0</v>
      </c>
      <c r="AW34" s="209">
        <f>-AP34*INDEX(port_processing_fee,MATCH(AT34,PORTS!$H$626:$H$933,0),MATCH(AX$5,PORTS!$H$626:$Z$626,0))</f>
        <v>0</v>
      </c>
      <c r="AX34" s="405">
        <f>(((VLOOKUP(AT34,curvecalc,4,0))*IF(AN34=0,0,AR34/AN34)-INDEX(ship_curves,MATCH(AT34,'SHIP CURVES'!$A$9:$A$316,0),MATCH(CONCATENATE(AX$4,AX$5,AX$6,AX$7),'SHIP CURVES'!$A$9:$Z$9,0))-INDEX(terminal_curves,MATCH(AT34,'TERMINAL CURVES'!$A$4:$A$313,0),MATCH(AX$5,'TERMINAL CURVES'!$A$4:$N$4,0))*IF(AN34=0,0,AP34/AN34))-(AV$8)*((AV$7-$N$5)-(INDEX(ship_curves,MATCH(AT34,'SHIP CURVES'!$A$9:$A$316,0),MATCH(CONCATENATE(AX$4,AX$5,AX$6,AX$7),'SHIP CURVES'!$A$9:$Z$9,0))-INDEX(ship_curves,MATCH(AT34,'SHIP CURVES'!$A$9:$A$316,0),MATCH(CONCATENATE(AX$4,AV$6,AX$6,AX$7),'SHIP CURVES'!$A$9:$Z$9,0)))-(INDEX(terminal_curves,MATCH(AT34,'TERMINAL CURVES'!$A$4:$A$313,0),MATCH(AX$5,'TERMINAL CURVES'!$A$4:$N$4,0))-INDEX(terminal_curves,MATCH(AT34,'TERMINAL CURVES'!$A$4:$A$313,0),MATCH(AV$6,'TERMINAL CURVES'!$A$4:$N$4,0)))*IF(AN34=0,0,AP34/AN34)))*-AN34</f>
        <v>0</v>
      </c>
      <c r="AY34" s="343">
        <f t="shared" si="22"/>
        <v>0</v>
      </c>
      <c r="AZ34" s="338">
        <f>(-AP34/((HLOOKUP(AX$5,port_specs,2,0)/(365.25))*(AT35-AT34)))*(INDEX(fixed_capacity_charge,MATCH(AT34,PORTS!$H$11:$H$317,0),MATCH(AX$5,PORTS!$H$11:$N$11,0))+INDEX(variable_om_charge,MATCH(AT34,PORTS!$H$318:$H$625,0),MATCH(AX$5,PORTS!$H$318:$N$318,0)))</f>
        <v>0</v>
      </c>
      <c r="BA34" s="232">
        <f t="shared" si="23"/>
        <v>0</v>
      </c>
      <c r="BB34" s="241">
        <f t="shared" si="24"/>
        <v>0</v>
      </c>
      <c r="BC34" s="408"/>
      <c r="BD34" s="338">
        <f>+PORTS!I28+PORTS!I336</f>
        <v>0</v>
      </c>
    </row>
    <row r="35" spans="1:56" x14ac:dyDescent="0.2">
      <c r="A35" s="186">
        <f t="shared" si="25"/>
        <v>37226</v>
      </c>
      <c r="B35" s="215">
        <f>+IF(AND($A35&gt;=$C$8,$A35&lt;=$C$9),1,0)*PORTS!$I$5/(365.25)*(A36-A35)</f>
        <v>0</v>
      </c>
      <c r="C35" s="351">
        <f t="shared" si="5"/>
        <v>0</v>
      </c>
      <c r="D35">
        <f t="shared" si="6"/>
        <v>2001</v>
      </c>
      <c r="E35" s="186">
        <f t="shared" si="26"/>
        <v>37226</v>
      </c>
      <c r="F35" s="215">
        <f t="shared" si="7"/>
        <v>0</v>
      </c>
      <c r="G35" s="191">
        <f t="shared" si="8"/>
        <v>0</v>
      </c>
      <c r="H35" s="218">
        <f t="shared" si="9"/>
        <v>0</v>
      </c>
      <c r="I35" s="118">
        <f t="shared" si="10"/>
        <v>0</v>
      </c>
      <c r="J35" s="215">
        <f t="shared" si="2"/>
        <v>0</v>
      </c>
      <c r="K35" s="202"/>
      <c r="L35" s="186">
        <f t="shared" si="27"/>
        <v>37226</v>
      </c>
      <c r="M35" s="400">
        <f>+J35*(VLOOKUP(L35,CURVECALC!$C$6:$J$312,4,0)+N$5)</f>
        <v>0</v>
      </c>
      <c r="N35" s="208">
        <f>-F35*INDEX(ship_curves,MATCH(L35,'SHIP CURVES'!$A$9:$A$316,0),MATCH(CONCATENATE(P$4,P$5,P$6,P$7),'SHIP CURVES'!$A$9:$AZ$9,0))</f>
        <v>0</v>
      </c>
      <c r="O35" s="209">
        <f>-H35*INDEX(port_processing_fee,MATCH(L35,PORTS!$H$626:$H$933,0),MATCH(P$5,PORTS!$H$626:$Z$626,0))</f>
        <v>0</v>
      </c>
      <c r="P35" s="405">
        <f>(((VLOOKUP(L35,curvecalc,4,0))*IF(F35=0,0,J35/F35)-INDEX(ship_curves,MATCH(L35,'SHIP CURVES'!$A$9:$A$316,0),MATCH(CONCATENATE(P$4,P$5,P$6,P$7),'SHIP CURVES'!$A$9:$Z$9,0))-INDEX(terminal_curves,MATCH(L35,'TERMINAL CURVES'!$A$4:$A$313,0),MATCH(P$5,'TERMINAL CURVES'!$A$4:$N$4,0))*IF(F35=0,0,H35/F35))-(N$8)*((N$7-$N$5)-(INDEX(ship_curves,MATCH(L35,'SHIP CURVES'!$A$9:$A$316,0),MATCH(CONCATENATE(P$4,P$5,P$6,P$7),'SHIP CURVES'!$A$9:$Z$9,0))-INDEX(ship_curves,MATCH(L35,'SHIP CURVES'!$A$9:$A$316,0),MATCH(CONCATENATE(P$4,N$6,P$6,P$7),'SHIP CURVES'!$A$9:$Z$9,0)))-(INDEX(terminal_curves,MATCH(L35,'TERMINAL CURVES'!$A$4:$A$313,0),MATCH(P$5,'TERMINAL CURVES'!$A$4:$N$4,0))-INDEX(terminal_curves,MATCH(L35,'TERMINAL CURVES'!$A$4:$A$313,0),MATCH(N$6,'TERMINAL CURVES'!$A$4:$N$4,0)))*IF(F35=0,0,H35/F35)))*-F35</f>
        <v>0</v>
      </c>
      <c r="Q35" s="403">
        <f t="shared" si="11"/>
        <v>0</v>
      </c>
      <c r="R35" s="338">
        <f>(-H35/((HLOOKUP(P$5,port_specs,2,0)/(365.25))*(L36-L35)))*(INDEX(fixed_capacity_charge,MATCH(L35,PORTS!$H$11:$H$317,0),MATCH(P$5,PORTS!$H$11:$N$11,0))+INDEX(variable_om_charge,MATCH(L35,PORTS!$H$318:$H$625,0),MATCH(P$5,PORTS!$H$318:$N$318,0)))</f>
        <v>0</v>
      </c>
      <c r="S35" s="232">
        <f t="shared" si="12"/>
        <v>0</v>
      </c>
      <c r="T35" s="241">
        <f t="shared" si="13"/>
        <v>0</v>
      </c>
      <c r="U35" s="431"/>
      <c r="V35" s="186">
        <f t="shared" si="28"/>
        <v>37226</v>
      </c>
      <c r="W35" s="215">
        <f t="shared" si="14"/>
        <v>0</v>
      </c>
      <c r="X35" s="191">
        <f t="shared" si="15"/>
        <v>0</v>
      </c>
      <c r="Y35" s="218">
        <f>+IF(AND(X$8&lt;=V35,X$9&gt;=V35),+MIN($B35-SUMIF($H$17:X$17,Y$17,$H35:X35),((INDEX(ROUTE_PER_DAY_BY_SHIP,MATCH(CONCATENATE(X$4,X$5,X$7),ROUTE_PER_DAY_ROUTES,0),MATCH(X$6,ROUTE_PER_DAY_SHIPS,0))*(V36-V35))-(INDEX(ROUTE_PER_DAY_BY_SHIP,MATCH(CONCATENATE(X$4,X$5,X$7),ROUTE_PER_DAY_ROUTES,0),MATCH(X$6,ROUTE_PER_DAY_SHIPS,0))*(V36-V35))*HLOOKUP(X$6,SHIPS,7,0)*INDEX(LADEN_VOYAGE_DAYS,MATCH(CONCATENATE(X$4,X$5,X$7),LADEN_VOYAGE_ROUTES,0),MATCH(X$6,LADEN_VOYAGE_SHIPS,0)))),0)</f>
        <v>0</v>
      </c>
      <c r="Z35" s="118">
        <f t="shared" si="16"/>
        <v>0</v>
      </c>
      <c r="AA35" s="215">
        <f t="shared" si="3"/>
        <v>0</v>
      </c>
      <c r="AB35" s="202"/>
      <c r="AC35" s="186">
        <f t="shared" si="29"/>
        <v>37226</v>
      </c>
      <c r="AD35" s="232">
        <f>+AA35*(VLOOKUP(AC35,CURVECALC!$C$6:$J$312,4,0)+AE$5)</f>
        <v>0</v>
      </c>
      <c r="AE35" s="208">
        <f>-W35*INDEX(ship_curves,MATCH(AC35,'SHIP CURVES'!$A$9:$A$316,0),MATCH(CONCATENATE(AG$4,AG$5,AG$6,AG$7),'SHIP CURVES'!$A$9:$AZ$9,0))</f>
        <v>0</v>
      </c>
      <c r="AF35" s="209">
        <f>-Y35*INDEX(port_processing_fee,MATCH(AC35,PORTS!$H$626:$H$933,0),MATCH(AG$5,PORTS!$H$626:$Z$626,0))</f>
        <v>0</v>
      </c>
      <c r="AG35" s="405">
        <f>(((VLOOKUP(AC35,curvecalc,4,0))*IF(W35=0,0,AA35/W35)-INDEX(ship_curves,MATCH(AC35,'SHIP CURVES'!$A$9:$A$316,0),MATCH(CONCATENATE(AG$4,AG$5,AG$6,AG$7),'SHIP CURVES'!$A$9:$Z$9,0))-INDEX(terminal_curves,MATCH(AC35,'TERMINAL CURVES'!$A$4:$A$313,0),MATCH(AG$5,'TERMINAL CURVES'!$A$4:$N$4,0))*IF(W35=0,0,Y35/W35))-(AE$8)*((AE$7-$N$5)-(INDEX(ship_curves,MATCH(AC35,'SHIP CURVES'!$A$9:$A$316,0),MATCH(CONCATENATE(AG$4,AG$5,AG$6,AG$7),'SHIP CURVES'!$A$9:$Z$9,0))-INDEX(ship_curves,MATCH(AC35,'SHIP CURVES'!$A$9:$A$316,0),MATCH(CONCATENATE(AG$4,AE$6,AG$6,AG$7),'SHIP CURVES'!$A$9:$Z$9,0)))-(INDEX(terminal_curves,MATCH(AC35,'TERMINAL CURVES'!$A$4:$A$313,0),MATCH(AG$5,'TERMINAL CURVES'!$A$4:$N$4,0))-INDEX(terminal_curves,MATCH(AC35,'TERMINAL CURVES'!$A$4:$A$313,0),MATCH(AE$6,'TERMINAL CURVES'!$A$4:$N$4,0)))*IF(W35=0,0,Y35/W35)))*-W35</f>
        <v>0</v>
      </c>
      <c r="AH35" s="343">
        <f t="shared" si="17"/>
        <v>0</v>
      </c>
      <c r="AI35" s="338">
        <f>(-Y35/((HLOOKUP(AG$5,port_specs,2,0)/(365.25))*(AC36-AC35)))*(INDEX(fixed_capacity_charge,MATCH(AC35,PORTS!$H$11:$H$317,0),MATCH(AG$5,PORTS!$H$11:$N$11,0))+INDEX(variable_om_charge,MATCH(AC35,PORTS!$H$318:$H$625,0),MATCH(AG$5,PORTS!$H$318:$N$318,0)))</f>
        <v>0</v>
      </c>
      <c r="AJ35" s="232">
        <f t="shared" si="18"/>
        <v>0</v>
      </c>
      <c r="AK35" s="241">
        <f t="shared" si="19"/>
        <v>0</v>
      </c>
      <c r="AM35" s="186">
        <f t="shared" si="30"/>
        <v>37226</v>
      </c>
      <c r="AN35" s="215">
        <f t="shared" si="20"/>
        <v>0</v>
      </c>
      <c r="AO35" s="191">
        <f t="shared" si="21"/>
        <v>0</v>
      </c>
      <c r="AP35" s="218">
        <f>+IF(AND(AO$8&lt;=AM35,AO$9&gt;=AM35),+MIN($B35-SUMIF($H$17:AO$17,AP$17,$H35:AO35),((INDEX(ROUTE_PER_DAY_BY_SHIP,MATCH(CONCATENATE(AO$4,AO$5,AO$7),ROUTE_PER_DAY_ROUTES,0),MATCH(AO$6,ROUTE_PER_DAY_SHIPS,0))*(AM36-AM35))-(INDEX(ROUTE_PER_DAY_BY_SHIP,MATCH(CONCATENATE(AO$4,AO$5,AO$7),ROUTE_PER_DAY_ROUTES,0),MATCH(AO$6,ROUTE_PER_DAY_SHIPS,0))*(AM36-AM35))*HLOOKUP(AO$6,SHIPS,7,0)*INDEX(LADEN_VOYAGE_DAYS,MATCH(CONCATENATE(AO$4,AO$5,AO$7),LADEN_VOYAGE_ROUTES,0),MATCH(AO$6,LADEN_VOYAGE_SHIPS,0)))),0)</f>
        <v>0</v>
      </c>
      <c r="AQ35" s="118">
        <f>-(AP35)*PORTS!$I$6</f>
        <v>0</v>
      </c>
      <c r="AR35" s="215">
        <f t="shared" si="4"/>
        <v>0</v>
      </c>
      <c r="AS35" s="202"/>
      <c r="AT35" s="186">
        <f t="shared" si="31"/>
        <v>37226</v>
      </c>
      <c r="AU35" s="232">
        <f>+AR35*(VLOOKUP(AT35,CURVECALC!$C$6:$J$312,4,0)+AV$5)</f>
        <v>0</v>
      </c>
      <c r="AV35" s="208">
        <f>-AN35*INDEX(ship_curves,MATCH(AT35,'SHIP CURVES'!$A$9:$A$316,0),MATCH(CONCATENATE(AX$4,AX$5,AX$6,AX$7),'SHIP CURVES'!$A$9:$AZ$9,0))</f>
        <v>0</v>
      </c>
      <c r="AW35" s="209">
        <f>-AP35*INDEX(port_processing_fee,MATCH(AT35,PORTS!$H$626:$H$933,0),MATCH(AX$5,PORTS!$H$626:$Z$626,0))</f>
        <v>0</v>
      </c>
      <c r="AX35" s="405">
        <f>(((VLOOKUP(AT35,curvecalc,4,0))*IF(AN35=0,0,AR35/AN35)-INDEX(ship_curves,MATCH(AT35,'SHIP CURVES'!$A$9:$A$316,0),MATCH(CONCATENATE(AX$4,AX$5,AX$6,AX$7),'SHIP CURVES'!$A$9:$Z$9,0))-INDEX(terminal_curves,MATCH(AT35,'TERMINAL CURVES'!$A$4:$A$313,0),MATCH(AX$5,'TERMINAL CURVES'!$A$4:$N$4,0))*IF(AN35=0,0,AP35/AN35))-(AV$8)*((AV$7-$N$5)-(INDEX(ship_curves,MATCH(AT35,'SHIP CURVES'!$A$9:$A$316,0),MATCH(CONCATENATE(AX$4,AX$5,AX$6,AX$7),'SHIP CURVES'!$A$9:$Z$9,0))-INDEX(ship_curves,MATCH(AT35,'SHIP CURVES'!$A$9:$A$316,0),MATCH(CONCATENATE(AX$4,AV$6,AX$6,AX$7),'SHIP CURVES'!$A$9:$Z$9,0)))-(INDEX(terminal_curves,MATCH(AT35,'TERMINAL CURVES'!$A$4:$A$313,0),MATCH(AX$5,'TERMINAL CURVES'!$A$4:$N$4,0))-INDEX(terminal_curves,MATCH(AT35,'TERMINAL CURVES'!$A$4:$A$313,0),MATCH(AV$6,'TERMINAL CURVES'!$A$4:$N$4,0)))*IF(AN35=0,0,AP35/AN35)))*-AN35</f>
        <v>0</v>
      </c>
      <c r="AY35" s="343">
        <f t="shared" si="22"/>
        <v>0</v>
      </c>
      <c r="AZ35" s="338">
        <f>(-AP35/((HLOOKUP(AX$5,port_specs,2,0)/(365.25))*(AT36-AT35)))*(INDEX(fixed_capacity_charge,MATCH(AT35,PORTS!$H$11:$H$317,0),MATCH(AX$5,PORTS!$H$11:$N$11,0))+INDEX(variable_om_charge,MATCH(AT35,PORTS!$H$318:$H$625,0),MATCH(AX$5,PORTS!$H$318:$N$318,0)))</f>
        <v>0</v>
      </c>
      <c r="BA35" s="232">
        <f t="shared" si="23"/>
        <v>0</v>
      </c>
      <c r="BB35" s="241">
        <f t="shared" si="24"/>
        <v>0</v>
      </c>
      <c r="BC35" s="408"/>
      <c r="BD35" s="338">
        <f>+PORTS!I29+PORTS!I337</f>
        <v>0</v>
      </c>
    </row>
    <row r="36" spans="1:56" x14ac:dyDescent="0.2">
      <c r="A36" s="186">
        <f t="shared" si="25"/>
        <v>37257</v>
      </c>
      <c r="B36" s="215">
        <f>+IF(AND($A36&gt;=$C$8,$A36&lt;=$C$9),1,0)*PORTS!$I$5/(365.25)*(A37-A36)</f>
        <v>0</v>
      </c>
      <c r="C36" s="351">
        <f t="shared" si="5"/>
        <v>0</v>
      </c>
      <c r="D36">
        <f t="shared" si="6"/>
        <v>2002</v>
      </c>
      <c r="E36" s="186">
        <f t="shared" si="26"/>
        <v>37257</v>
      </c>
      <c r="F36" s="215">
        <f t="shared" si="7"/>
        <v>0</v>
      </c>
      <c r="G36" s="191">
        <f t="shared" si="8"/>
        <v>0</v>
      </c>
      <c r="H36" s="218">
        <f t="shared" si="9"/>
        <v>0</v>
      </c>
      <c r="I36" s="118">
        <f t="shared" si="10"/>
        <v>0</v>
      </c>
      <c r="J36" s="215">
        <f t="shared" si="2"/>
        <v>0</v>
      </c>
      <c r="K36" s="202"/>
      <c r="L36" s="186">
        <f t="shared" si="27"/>
        <v>37257</v>
      </c>
      <c r="M36" s="400">
        <f>+J36*(VLOOKUP(L36,CURVECALC!$C$6:$J$312,4,0)+N$5)</f>
        <v>0</v>
      </c>
      <c r="N36" s="208">
        <f>-F36*INDEX(ship_curves,MATCH(L36,'SHIP CURVES'!$A$9:$A$316,0),MATCH(CONCATENATE(P$4,P$5,P$6,P$7),'SHIP CURVES'!$A$9:$AZ$9,0))</f>
        <v>0</v>
      </c>
      <c r="O36" s="209">
        <f>-H36*INDEX(port_processing_fee,MATCH(L36,PORTS!$H$626:$H$933,0),MATCH(P$5,PORTS!$H$626:$Z$626,0))</f>
        <v>0</v>
      </c>
      <c r="P36" s="405">
        <f>(((VLOOKUP(L36,curvecalc,4,0))*IF(F36=0,0,J36/F36)-INDEX(ship_curves,MATCH(L36,'SHIP CURVES'!$A$9:$A$316,0),MATCH(CONCATENATE(P$4,P$5,P$6,P$7),'SHIP CURVES'!$A$9:$Z$9,0))-INDEX(terminal_curves,MATCH(L36,'TERMINAL CURVES'!$A$4:$A$313,0),MATCH(P$5,'TERMINAL CURVES'!$A$4:$N$4,0))*IF(F36=0,0,H36/F36))-(N$8)*((N$7-$N$5)-(INDEX(ship_curves,MATCH(L36,'SHIP CURVES'!$A$9:$A$316,0),MATCH(CONCATENATE(P$4,P$5,P$6,P$7),'SHIP CURVES'!$A$9:$Z$9,0))-INDEX(ship_curves,MATCH(L36,'SHIP CURVES'!$A$9:$A$316,0),MATCH(CONCATENATE(P$4,N$6,P$6,P$7),'SHIP CURVES'!$A$9:$Z$9,0)))-(INDEX(terminal_curves,MATCH(L36,'TERMINAL CURVES'!$A$4:$A$313,0),MATCH(P$5,'TERMINAL CURVES'!$A$4:$N$4,0))-INDEX(terminal_curves,MATCH(L36,'TERMINAL CURVES'!$A$4:$A$313,0),MATCH(N$6,'TERMINAL CURVES'!$A$4:$N$4,0)))*IF(F36=0,0,H36/F36)))*-F36</f>
        <v>0</v>
      </c>
      <c r="Q36" s="403">
        <f t="shared" si="11"/>
        <v>0</v>
      </c>
      <c r="R36" s="338">
        <f>(-H36/((HLOOKUP(P$5,port_specs,2,0)/(365.25))*(L37-L36)))*(INDEX(fixed_capacity_charge,MATCH(L36,PORTS!$H$11:$H$317,0),MATCH(P$5,PORTS!$H$11:$N$11,0))+INDEX(variable_om_charge,MATCH(L36,PORTS!$H$318:$H$625,0),MATCH(P$5,PORTS!$H$318:$N$318,0)))</f>
        <v>0</v>
      </c>
      <c r="S36" s="232">
        <f t="shared" si="12"/>
        <v>0</v>
      </c>
      <c r="T36" s="241">
        <f t="shared" si="13"/>
        <v>0</v>
      </c>
      <c r="U36" s="431"/>
      <c r="V36" s="186">
        <f t="shared" si="28"/>
        <v>37257</v>
      </c>
      <c r="W36" s="215">
        <f t="shared" si="14"/>
        <v>0</v>
      </c>
      <c r="X36" s="191">
        <f t="shared" si="15"/>
        <v>0</v>
      </c>
      <c r="Y36" s="218">
        <f>+IF(AND(X$8&lt;=V36,X$9&gt;=V36),+MIN($B36-SUMIF($H$17:X$17,Y$17,$H36:X36),((INDEX(ROUTE_PER_DAY_BY_SHIP,MATCH(CONCATENATE(X$4,X$5,X$7),ROUTE_PER_DAY_ROUTES,0),MATCH(X$6,ROUTE_PER_DAY_SHIPS,0))*(V37-V36))-(INDEX(ROUTE_PER_DAY_BY_SHIP,MATCH(CONCATENATE(X$4,X$5,X$7),ROUTE_PER_DAY_ROUTES,0),MATCH(X$6,ROUTE_PER_DAY_SHIPS,0))*(V37-V36))*HLOOKUP(X$6,SHIPS,7,0)*INDEX(LADEN_VOYAGE_DAYS,MATCH(CONCATENATE(X$4,X$5,X$7),LADEN_VOYAGE_ROUTES,0),MATCH(X$6,LADEN_VOYAGE_SHIPS,0)))),0)</f>
        <v>0</v>
      </c>
      <c r="Z36" s="118">
        <f t="shared" si="16"/>
        <v>0</v>
      </c>
      <c r="AA36" s="215">
        <f t="shared" si="3"/>
        <v>0</v>
      </c>
      <c r="AB36" s="202"/>
      <c r="AC36" s="186">
        <f t="shared" si="29"/>
        <v>37257</v>
      </c>
      <c r="AD36" s="232">
        <f>+AA36*(VLOOKUP(AC36,CURVECALC!$C$6:$J$312,4,0)+AE$5)</f>
        <v>0</v>
      </c>
      <c r="AE36" s="208">
        <f>-W36*INDEX(ship_curves,MATCH(AC36,'SHIP CURVES'!$A$9:$A$316,0),MATCH(CONCATENATE(AG$4,AG$5,AG$6,AG$7),'SHIP CURVES'!$A$9:$AZ$9,0))</f>
        <v>0</v>
      </c>
      <c r="AF36" s="209">
        <f>-Y36*INDEX(port_processing_fee,MATCH(AC36,PORTS!$H$626:$H$933,0),MATCH(AG$5,PORTS!$H$626:$Z$626,0))</f>
        <v>0</v>
      </c>
      <c r="AG36" s="405">
        <f>(((VLOOKUP(AC36,curvecalc,4,0))*IF(W36=0,0,AA36/W36)-INDEX(ship_curves,MATCH(AC36,'SHIP CURVES'!$A$9:$A$316,0),MATCH(CONCATENATE(AG$4,AG$5,AG$6,AG$7),'SHIP CURVES'!$A$9:$Z$9,0))-INDEX(terminal_curves,MATCH(AC36,'TERMINAL CURVES'!$A$4:$A$313,0),MATCH(AG$5,'TERMINAL CURVES'!$A$4:$N$4,0))*IF(W36=0,0,Y36/W36))-(AE$8)*((AE$7-$N$5)-(INDEX(ship_curves,MATCH(AC36,'SHIP CURVES'!$A$9:$A$316,0),MATCH(CONCATENATE(AG$4,AG$5,AG$6,AG$7),'SHIP CURVES'!$A$9:$Z$9,0))-INDEX(ship_curves,MATCH(AC36,'SHIP CURVES'!$A$9:$A$316,0),MATCH(CONCATENATE(AG$4,AE$6,AG$6,AG$7),'SHIP CURVES'!$A$9:$Z$9,0)))-(INDEX(terminal_curves,MATCH(AC36,'TERMINAL CURVES'!$A$4:$A$313,0),MATCH(AG$5,'TERMINAL CURVES'!$A$4:$N$4,0))-INDEX(terminal_curves,MATCH(AC36,'TERMINAL CURVES'!$A$4:$A$313,0),MATCH(AE$6,'TERMINAL CURVES'!$A$4:$N$4,0)))*IF(W36=0,0,Y36/W36)))*-W36</f>
        <v>0</v>
      </c>
      <c r="AH36" s="343">
        <f t="shared" si="17"/>
        <v>0</v>
      </c>
      <c r="AI36" s="338">
        <f>(-Y36/((HLOOKUP(AG$5,port_specs,2,0)/(365.25))*(AC37-AC36)))*(INDEX(fixed_capacity_charge,MATCH(AC36,PORTS!$H$11:$H$317,0),MATCH(AG$5,PORTS!$H$11:$N$11,0))+INDEX(variable_om_charge,MATCH(AC36,PORTS!$H$318:$H$625,0),MATCH(AG$5,PORTS!$H$318:$N$318,0)))</f>
        <v>0</v>
      </c>
      <c r="AJ36" s="232">
        <f t="shared" si="18"/>
        <v>0</v>
      </c>
      <c r="AK36" s="241">
        <f t="shared" si="19"/>
        <v>0</v>
      </c>
      <c r="AM36" s="186">
        <f t="shared" si="30"/>
        <v>37257</v>
      </c>
      <c r="AN36" s="215">
        <f t="shared" si="20"/>
        <v>0</v>
      </c>
      <c r="AO36" s="191">
        <f t="shared" si="21"/>
        <v>0</v>
      </c>
      <c r="AP36" s="218">
        <f>+IF(AND(AO$8&lt;=AM36,AO$9&gt;=AM36),+MIN($B36-SUMIF($H$17:AO$17,AP$17,$H36:AO36),((INDEX(ROUTE_PER_DAY_BY_SHIP,MATCH(CONCATENATE(AO$4,AO$5,AO$7),ROUTE_PER_DAY_ROUTES,0),MATCH(AO$6,ROUTE_PER_DAY_SHIPS,0))*(AM37-AM36))-(INDEX(ROUTE_PER_DAY_BY_SHIP,MATCH(CONCATENATE(AO$4,AO$5,AO$7),ROUTE_PER_DAY_ROUTES,0),MATCH(AO$6,ROUTE_PER_DAY_SHIPS,0))*(AM37-AM36))*HLOOKUP(AO$6,SHIPS,7,0)*INDEX(LADEN_VOYAGE_DAYS,MATCH(CONCATENATE(AO$4,AO$5,AO$7),LADEN_VOYAGE_ROUTES,0),MATCH(AO$6,LADEN_VOYAGE_SHIPS,0)))),0)</f>
        <v>0</v>
      </c>
      <c r="AQ36" s="118">
        <f>-(AP36)*PORTS!$I$6</f>
        <v>0</v>
      </c>
      <c r="AR36" s="215">
        <f t="shared" si="4"/>
        <v>0</v>
      </c>
      <c r="AS36" s="202"/>
      <c r="AT36" s="186">
        <f t="shared" si="31"/>
        <v>37257</v>
      </c>
      <c r="AU36" s="232">
        <f>+AR36*(VLOOKUP(AT36,CURVECALC!$C$6:$J$312,4,0)+AV$5)</f>
        <v>0</v>
      </c>
      <c r="AV36" s="208">
        <f>-AN36*INDEX(ship_curves,MATCH(AT36,'SHIP CURVES'!$A$9:$A$316,0),MATCH(CONCATENATE(AX$4,AX$5,AX$6,AX$7),'SHIP CURVES'!$A$9:$AZ$9,0))</f>
        <v>0</v>
      </c>
      <c r="AW36" s="209">
        <f>-AP36*INDEX(port_processing_fee,MATCH(AT36,PORTS!$H$626:$H$933,0),MATCH(AX$5,PORTS!$H$626:$Z$626,0))</f>
        <v>0</v>
      </c>
      <c r="AX36" s="405">
        <f>(((VLOOKUP(AT36,curvecalc,4,0))*IF(AN36=0,0,AR36/AN36)-INDEX(ship_curves,MATCH(AT36,'SHIP CURVES'!$A$9:$A$316,0),MATCH(CONCATENATE(AX$4,AX$5,AX$6,AX$7),'SHIP CURVES'!$A$9:$Z$9,0))-INDEX(terminal_curves,MATCH(AT36,'TERMINAL CURVES'!$A$4:$A$313,0),MATCH(AX$5,'TERMINAL CURVES'!$A$4:$N$4,0))*IF(AN36=0,0,AP36/AN36))-(AV$8)*((AV$7-$N$5)-(INDEX(ship_curves,MATCH(AT36,'SHIP CURVES'!$A$9:$A$316,0),MATCH(CONCATENATE(AX$4,AX$5,AX$6,AX$7),'SHIP CURVES'!$A$9:$Z$9,0))-INDEX(ship_curves,MATCH(AT36,'SHIP CURVES'!$A$9:$A$316,0),MATCH(CONCATENATE(AX$4,AV$6,AX$6,AX$7),'SHIP CURVES'!$A$9:$Z$9,0)))-(INDEX(terminal_curves,MATCH(AT36,'TERMINAL CURVES'!$A$4:$A$313,0),MATCH(AX$5,'TERMINAL CURVES'!$A$4:$N$4,0))-INDEX(terminal_curves,MATCH(AT36,'TERMINAL CURVES'!$A$4:$A$313,0),MATCH(AV$6,'TERMINAL CURVES'!$A$4:$N$4,0)))*IF(AN36=0,0,AP36/AN36)))*-AN36</f>
        <v>0</v>
      </c>
      <c r="AY36" s="343">
        <f t="shared" si="22"/>
        <v>0</v>
      </c>
      <c r="AZ36" s="338">
        <f>(-AP36/((HLOOKUP(AX$5,port_specs,2,0)/(365.25))*(AT37-AT36)))*(INDEX(fixed_capacity_charge,MATCH(AT36,PORTS!$H$11:$H$317,0),MATCH(AX$5,PORTS!$H$11:$N$11,0))+INDEX(variable_om_charge,MATCH(AT36,PORTS!$H$318:$H$625,0),MATCH(AX$5,PORTS!$H$318:$N$318,0)))</f>
        <v>0</v>
      </c>
      <c r="BA36" s="232">
        <f t="shared" si="23"/>
        <v>0</v>
      </c>
      <c r="BB36" s="241">
        <f t="shared" si="24"/>
        <v>0</v>
      </c>
      <c r="BC36" s="408"/>
      <c r="BD36" s="338">
        <f>+PORTS!I30+PORTS!I338</f>
        <v>0</v>
      </c>
    </row>
    <row r="37" spans="1:56" x14ac:dyDescent="0.2">
      <c r="A37" s="186">
        <f t="shared" si="25"/>
        <v>37288</v>
      </c>
      <c r="B37" s="215">
        <f>+IF(AND($A37&gt;=$C$8,$A37&lt;=$C$9),1,0)*PORTS!$I$5/(365.25)*(A38-A37)</f>
        <v>0</v>
      </c>
      <c r="C37" s="351">
        <f t="shared" si="5"/>
        <v>0</v>
      </c>
      <c r="D37">
        <f t="shared" si="6"/>
        <v>2002</v>
      </c>
      <c r="E37" s="186">
        <f t="shared" si="26"/>
        <v>37288</v>
      </c>
      <c r="F37" s="215">
        <f t="shared" si="7"/>
        <v>0</v>
      </c>
      <c r="G37" s="191">
        <f t="shared" si="8"/>
        <v>0</v>
      </c>
      <c r="H37" s="218">
        <f t="shared" si="9"/>
        <v>0</v>
      </c>
      <c r="I37" s="118">
        <f t="shared" si="10"/>
        <v>0</v>
      </c>
      <c r="J37" s="215">
        <f t="shared" si="2"/>
        <v>0</v>
      </c>
      <c r="K37" s="202"/>
      <c r="L37" s="186">
        <f t="shared" si="27"/>
        <v>37288</v>
      </c>
      <c r="M37" s="400">
        <f>+J37*(VLOOKUP(L37,CURVECALC!$C$6:$J$312,4,0)+N$5)</f>
        <v>0</v>
      </c>
      <c r="N37" s="208">
        <f>-F37*INDEX(ship_curves,MATCH(L37,'SHIP CURVES'!$A$9:$A$316,0),MATCH(CONCATENATE(P$4,P$5,P$6,P$7),'SHIP CURVES'!$A$9:$AZ$9,0))</f>
        <v>0</v>
      </c>
      <c r="O37" s="209">
        <f>-H37*INDEX(port_processing_fee,MATCH(L37,PORTS!$H$626:$H$933,0),MATCH(P$5,PORTS!$H$626:$Z$626,0))</f>
        <v>0</v>
      </c>
      <c r="P37" s="405">
        <f>(((VLOOKUP(L37,curvecalc,4,0))*IF(F37=0,0,J37/F37)-INDEX(ship_curves,MATCH(L37,'SHIP CURVES'!$A$9:$A$316,0),MATCH(CONCATENATE(P$4,P$5,P$6,P$7),'SHIP CURVES'!$A$9:$Z$9,0))-INDEX(terminal_curves,MATCH(L37,'TERMINAL CURVES'!$A$4:$A$313,0),MATCH(P$5,'TERMINAL CURVES'!$A$4:$N$4,0))*IF(F37=0,0,H37/F37))-(N$8)*((N$7-$N$5)-(INDEX(ship_curves,MATCH(L37,'SHIP CURVES'!$A$9:$A$316,0),MATCH(CONCATENATE(P$4,P$5,P$6,P$7),'SHIP CURVES'!$A$9:$Z$9,0))-INDEX(ship_curves,MATCH(L37,'SHIP CURVES'!$A$9:$A$316,0),MATCH(CONCATENATE(P$4,N$6,P$6,P$7),'SHIP CURVES'!$A$9:$Z$9,0)))-(INDEX(terminal_curves,MATCH(L37,'TERMINAL CURVES'!$A$4:$A$313,0),MATCH(P$5,'TERMINAL CURVES'!$A$4:$N$4,0))-INDEX(terminal_curves,MATCH(L37,'TERMINAL CURVES'!$A$4:$A$313,0),MATCH(N$6,'TERMINAL CURVES'!$A$4:$N$4,0)))*IF(F37=0,0,H37/F37)))*-F37</f>
        <v>0</v>
      </c>
      <c r="Q37" s="403">
        <f t="shared" si="11"/>
        <v>0</v>
      </c>
      <c r="R37" s="338">
        <f>(-H37/((HLOOKUP(P$5,port_specs,2,0)/(365.25))*(L38-L37)))*(INDEX(fixed_capacity_charge,MATCH(L37,PORTS!$H$11:$H$317,0),MATCH(P$5,PORTS!$H$11:$N$11,0))+INDEX(variable_om_charge,MATCH(L37,PORTS!$H$318:$H$625,0),MATCH(P$5,PORTS!$H$318:$N$318,0)))</f>
        <v>0</v>
      </c>
      <c r="S37" s="232">
        <f t="shared" si="12"/>
        <v>0</v>
      </c>
      <c r="T37" s="241">
        <f t="shared" si="13"/>
        <v>0</v>
      </c>
      <c r="U37" s="431"/>
      <c r="V37" s="186">
        <f t="shared" si="28"/>
        <v>37288</v>
      </c>
      <c r="W37" s="215">
        <f t="shared" si="14"/>
        <v>0</v>
      </c>
      <c r="X37" s="191">
        <f t="shared" si="15"/>
        <v>0</v>
      </c>
      <c r="Y37" s="218">
        <f>+IF(AND(X$8&lt;=V37,X$9&gt;=V37),+MIN($B37-SUMIF($H$17:X$17,Y$17,$H37:X37),((INDEX(ROUTE_PER_DAY_BY_SHIP,MATCH(CONCATENATE(X$4,X$5,X$7),ROUTE_PER_DAY_ROUTES,0),MATCH(X$6,ROUTE_PER_DAY_SHIPS,0))*(V38-V37))-(INDEX(ROUTE_PER_DAY_BY_SHIP,MATCH(CONCATENATE(X$4,X$5,X$7),ROUTE_PER_DAY_ROUTES,0),MATCH(X$6,ROUTE_PER_DAY_SHIPS,0))*(V38-V37))*HLOOKUP(X$6,SHIPS,7,0)*INDEX(LADEN_VOYAGE_DAYS,MATCH(CONCATENATE(X$4,X$5,X$7),LADEN_VOYAGE_ROUTES,0),MATCH(X$6,LADEN_VOYAGE_SHIPS,0)))),0)</f>
        <v>0</v>
      </c>
      <c r="Z37" s="118">
        <f t="shared" si="16"/>
        <v>0</v>
      </c>
      <c r="AA37" s="215">
        <f t="shared" si="3"/>
        <v>0</v>
      </c>
      <c r="AB37" s="202"/>
      <c r="AC37" s="186">
        <f t="shared" si="29"/>
        <v>37288</v>
      </c>
      <c r="AD37" s="232">
        <f>+AA37*(VLOOKUP(AC37,CURVECALC!$C$6:$J$312,4,0)+AE$5)</f>
        <v>0</v>
      </c>
      <c r="AE37" s="208">
        <f>-W37*INDEX(ship_curves,MATCH(AC37,'SHIP CURVES'!$A$9:$A$316,0),MATCH(CONCATENATE(AG$4,AG$5,AG$6,AG$7),'SHIP CURVES'!$A$9:$AZ$9,0))</f>
        <v>0</v>
      </c>
      <c r="AF37" s="209">
        <f>-Y37*INDEX(port_processing_fee,MATCH(AC37,PORTS!$H$626:$H$933,0),MATCH(AG$5,PORTS!$H$626:$Z$626,0))</f>
        <v>0</v>
      </c>
      <c r="AG37" s="405">
        <f>(((VLOOKUP(AC37,curvecalc,4,0))*IF(W37=0,0,AA37/W37)-INDEX(ship_curves,MATCH(AC37,'SHIP CURVES'!$A$9:$A$316,0),MATCH(CONCATENATE(AG$4,AG$5,AG$6,AG$7),'SHIP CURVES'!$A$9:$Z$9,0))-INDEX(terminal_curves,MATCH(AC37,'TERMINAL CURVES'!$A$4:$A$313,0),MATCH(AG$5,'TERMINAL CURVES'!$A$4:$N$4,0))*IF(W37=0,0,Y37/W37))-(AE$8)*((AE$7-$N$5)-(INDEX(ship_curves,MATCH(AC37,'SHIP CURVES'!$A$9:$A$316,0),MATCH(CONCATENATE(AG$4,AG$5,AG$6,AG$7),'SHIP CURVES'!$A$9:$Z$9,0))-INDEX(ship_curves,MATCH(AC37,'SHIP CURVES'!$A$9:$A$316,0),MATCH(CONCATENATE(AG$4,AE$6,AG$6,AG$7),'SHIP CURVES'!$A$9:$Z$9,0)))-(INDEX(terminal_curves,MATCH(AC37,'TERMINAL CURVES'!$A$4:$A$313,0),MATCH(AG$5,'TERMINAL CURVES'!$A$4:$N$4,0))-INDEX(terminal_curves,MATCH(AC37,'TERMINAL CURVES'!$A$4:$A$313,0),MATCH(AE$6,'TERMINAL CURVES'!$A$4:$N$4,0)))*IF(W37=0,0,Y37/W37)))*-W37</f>
        <v>0</v>
      </c>
      <c r="AH37" s="343">
        <f t="shared" si="17"/>
        <v>0</v>
      </c>
      <c r="AI37" s="338">
        <f>(-Y37/((HLOOKUP(AG$5,port_specs,2,0)/(365.25))*(AC38-AC37)))*(INDEX(fixed_capacity_charge,MATCH(AC37,PORTS!$H$11:$H$317,0),MATCH(AG$5,PORTS!$H$11:$N$11,0))+INDEX(variable_om_charge,MATCH(AC37,PORTS!$H$318:$H$625,0),MATCH(AG$5,PORTS!$H$318:$N$318,0)))</f>
        <v>0</v>
      </c>
      <c r="AJ37" s="232">
        <f t="shared" si="18"/>
        <v>0</v>
      </c>
      <c r="AK37" s="241">
        <f t="shared" si="19"/>
        <v>0</v>
      </c>
      <c r="AM37" s="186">
        <f t="shared" si="30"/>
        <v>37288</v>
      </c>
      <c r="AN37" s="215">
        <f t="shared" si="20"/>
        <v>0</v>
      </c>
      <c r="AO37" s="191">
        <f t="shared" si="21"/>
        <v>0</v>
      </c>
      <c r="AP37" s="218">
        <f>+IF(AND(AO$8&lt;=AM37,AO$9&gt;=AM37),+MIN($B37-SUMIF($H$17:AO$17,AP$17,$H37:AO37),((INDEX(ROUTE_PER_DAY_BY_SHIP,MATCH(CONCATENATE(AO$4,AO$5,AO$7),ROUTE_PER_DAY_ROUTES,0),MATCH(AO$6,ROUTE_PER_DAY_SHIPS,0))*(AM38-AM37))-(INDEX(ROUTE_PER_DAY_BY_SHIP,MATCH(CONCATENATE(AO$4,AO$5,AO$7),ROUTE_PER_DAY_ROUTES,0),MATCH(AO$6,ROUTE_PER_DAY_SHIPS,0))*(AM38-AM37))*HLOOKUP(AO$6,SHIPS,7,0)*INDEX(LADEN_VOYAGE_DAYS,MATCH(CONCATENATE(AO$4,AO$5,AO$7),LADEN_VOYAGE_ROUTES,0),MATCH(AO$6,LADEN_VOYAGE_SHIPS,0)))),0)</f>
        <v>0</v>
      </c>
      <c r="AQ37" s="118">
        <f>-(AP37)*PORTS!$I$6</f>
        <v>0</v>
      </c>
      <c r="AR37" s="215">
        <f t="shared" si="4"/>
        <v>0</v>
      </c>
      <c r="AS37" s="202"/>
      <c r="AT37" s="186">
        <f t="shared" si="31"/>
        <v>37288</v>
      </c>
      <c r="AU37" s="232">
        <f>+AR37*(VLOOKUP(AT37,CURVECALC!$C$6:$J$312,4,0)+AV$5)</f>
        <v>0</v>
      </c>
      <c r="AV37" s="208">
        <f>-AN37*INDEX(ship_curves,MATCH(AT37,'SHIP CURVES'!$A$9:$A$316,0),MATCH(CONCATENATE(AX$4,AX$5,AX$6,AX$7),'SHIP CURVES'!$A$9:$AZ$9,0))</f>
        <v>0</v>
      </c>
      <c r="AW37" s="209">
        <f>-AP37*INDEX(port_processing_fee,MATCH(AT37,PORTS!$H$626:$H$933,0),MATCH(AX$5,PORTS!$H$626:$Z$626,0))</f>
        <v>0</v>
      </c>
      <c r="AX37" s="405">
        <f>(((VLOOKUP(AT37,curvecalc,4,0))*IF(AN37=0,0,AR37/AN37)-INDEX(ship_curves,MATCH(AT37,'SHIP CURVES'!$A$9:$A$316,0),MATCH(CONCATENATE(AX$4,AX$5,AX$6,AX$7),'SHIP CURVES'!$A$9:$Z$9,0))-INDEX(terminal_curves,MATCH(AT37,'TERMINAL CURVES'!$A$4:$A$313,0),MATCH(AX$5,'TERMINAL CURVES'!$A$4:$N$4,0))*IF(AN37=0,0,AP37/AN37))-(AV$8)*((AV$7-$N$5)-(INDEX(ship_curves,MATCH(AT37,'SHIP CURVES'!$A$9:$A$316,0),MATCH(CONCATENATE(AX$4,AX$5,AX$6,AX$7),'SHIP CURVES'!$A$9:$Z$9,0))-INDEX(ship_curves,MATCH(AT37,'SHIP CURVES'!$A$9:$A$316,0),MATCH(CONCATENATE(AX$4,AV$6,AX$6,AX$7),'SHIP CURVES'!$A$9:$Z$9,0)))-(INDEX(terminal_curves,MATCH(AT37,'TERMINAL CURVES'!$A$4:$A$313,0),MATCH(AX$5,'TERMINAL CURVES'!$A$4:$N$4,0))-INDEX(terminal_curves,MATCH(AT37,'TERMINAL CURVES'!$A$4:$A$313,0),MATCH(AV$6,'TERMINAL CURVES'!$A$4:$N$4,0)))*IF(AN37=0,0,AP37/AN37)))*-AN37</f>
        <v>0</v>
      </c>
      <c r="AY37" s="343">
        <f t="shared" si="22"/>
        <v>0</v>
      </c>
      <c r="AZ37" s="338">
        <f>(-AP37/((HLOOKUP(AX$5,port_specs,2,0)/(365.25))*(AT38-AT37)))*(INDEX(fixed_capacity_charge,MATCH(AT37,PORTS!$H$11:$H$317,0),MATCH(AX$5,PORTS!$H$11:$N$11,0))+INDEX(variable_om_charge,MATCH(AT37,PORTS!$H$318:$H$625,0),MATCH(AX$5,PORTS!$H$318:$N$318,0)))</f>
        <v>0</v>
      </c>
      <c r="BA37" s="232">
        <f t="shared" si="23"/>
        <v>0</v>
      </c>
      <c r="BB37" s="241">
        <f t="shared" si="24"/>
        <v>0</v>
      </c>
      <c r="BC37" s="408"/>
      <c r="BD37" s="338">
        <f>+PORTS!I31+PORTS!I339</f>
        <v>0</v>
      </c>
    </row>
    <row r="38" spans="1:56" x14ac:dyDescent="0.2">
      <c r="A38" s="186">
        <f t="shared" si="25"/>
        <v>37316</v>
      </c>
      <c r="B38" s="215">
        <f>+IF(AND($A38&gt;=$C$8,$A38&lt;=$C$9),1,0)*PORTS!$I$5/(365.25)*(A39-A38)</f>
        <v>0</v>
      </c>
      <c r="C38" s="351">
        <f t="shared" si="5"/>
        <v>0</v>
      </c>
      <c r="D38">
        <f t="shared" si="6"/>
        <v>2002</v>
      </c>
      <c r="E38" s="186">
        <f t="shared" si="26"/>
        <v>37316</v>
      </c>
      <c r="F38" s="215">
        <f t="shared" si="7"/>
        <v>0</v>
      </c>
      <c r="G38" s="191">
        <f t="shared" si="8"/>
        <v>0</v>
      </c>
      <c r="H38" s="218">
        <f t="shared" si="9"/>
        <v>0</v>
      </c>
      <c r="I38" s="118">
        <f t="shared" si="10"/>
        <v>0</v>
      </c>
      <c r="J38" s="215">
        <f t="shared" si="2"/>
        <v>0</v>
      </c>
      <c r="K38" s="202"/>
      <c r="L38" s="186">
        <f t="shared" si="27"/>
        <v>37316</v>
      </c>
      <c r="M38" s="400">
        <f>+J38*(VLOOKUP(L38,CURVECALC!$C$6:$J$312,4,0)+N$5)</f>
        <v>0</v>
      </c>
      <c r="N38" s="208">
        <f>-F38*INDEX(ship_curves,MATCH(L38,'SHIP CURVES'!$A$9:$A$316,0),MATCH(CONCATENATE(P$4,P$5,P$6,P$7),'SHIP CURVES'!$A$9:$AZ$9,0))</f>
        <v>0</v>
      </c>
      <c r="O38" s="209">
        <f>-H38*INDEX(port_processing_fee,MATCH(L38,PORTS!$H$626:$H$933,0),MATCH(P$5,PORTS!$H$626:$Z$626,0))</f>
        <v>0</v>
      </c>
      <c r="P38" s="405">
        <f>(((VLOOKUP(L38,curvecalc,4,0))*IF(F38=0,0,J38/F38)-INDEX(ship_curves,MATCH(L38,'SHIP CURVES'!$A$9:$A$316,0),MATCH(CONCATENATE(P$4,P$5,P$6,P$7),'SHIP CURVES'!$A$9:$Z$9,0))-INDEX(terminal_curves,MATCH(L38,'TERMINAL CURVES'!$A$4:$A$313,0),MATCH(P$5,'TERMINAL CURVES'!$A$4:$N$4,0))*IF(F38=0,0,H38/F38))-(N$8)*((N$7-$N$5)-(INDEX(ship_curves,MATCH(L38,'SHIP CURVES'!$A$9:$A$316,0),MATCH(CONCATENATE(P$4,P$5,P$6,P$7),'SHIP CURVES'!$A$9:$Z$9,0))-INDEX(ship_curves,MATCH(L38,'SHIP CURVES'!$A$9:$A$316,0),MATCH(CONCATENATE(P$4,N$6,P$6,P$7),'SHIP CURVES'!$A$9:$Z$9,0)))-(INDEX(terminal_curves,MATCH(L38,'TERMINAL CURVES'!$A$4:$A$313,0),MATCH(P$5,'TERMINAL CURVES'!$A$4:$N$4,0))-INDEX(terminal_curves,MATCH(L38,'TERMINAL CURVES'!$A$4:$A$313,0),MATCH(N$6,'TERMINAL CURVES'!$A$4:$N$4,0)))*IF(F38=0,0,H38/F38)))*-F38</f>
        <v>0</v>
      </c>
      <c r="Q38" s="403">
        <f t="shared" si="11"/>
        <v>0</v>
      </c>
      <c r="R38" s="338">
        <f>(-H38/((HLOOKUP(P$5,port_specs,2,0)/(365.25))*(L39-L38)))*(INDEX(fixed_capacity_charge,MATCH(L38,PORTS!$H$11:$H$317,0),MATCH(P$5,PORTS!$H$11:$N$11,0))+INDEX(variable_om_charge,MATCH(L38,PORTS!$H$318:$H$625,0),MATCH(P$5,PORTS!$H$318:$N$318,0)))</f>
        <v>0</v>
      </c>
      <c r="S38" s="232">
        <f t="shared" si="12"/>
        <v>0</v>
      </c>
      <c r="T38" s="241">
        <f t="shared" si="13"/>
        <v>0</v>
      </c>
      <c r="U38" s="431"/>
      <c r="V38" s="186">
        <f t="shared" si="28"/>
        <v>37316</v>
      </c>
      <c r="W38" s="215">
        <f t="shared" si="14"/>
        <v>0</v>
      </c>
      <c r="X38" s="191">
        <f t="shared" si="15"/>
        <v>0</v>
      </c>
      <c r="Y38" s="218">
        <f>+IF(AND(X$8&lt;=V38,X$9&gt;=V38),+MIN($B38-SUMIF($H$17:X$17,Y$17,$H38:X38),((INDEX(ROUTE_PER_DAY_BY_SHIP,MATCH(CONCATENATE(X$4,X$5,X$7),ROUTE_PER_DAY_ROUTES,0),MATCH(X$6,ROUTE_PER_DAY_SHIPS,0))*(V39-V38))-(INDEX(ROUTE_PER_DAY_BY_SHIP,MATCH(CONCATENATE(X$4,X$5,X$7),ROUTE_PER_DAY_ROUTES,0),MATCH(X$6,ROUTE_PER_DAY_SHIPS,0))*(V39-V38))*HLOOKUP(X$6,SHIPS,7,0)*INDEX(LADEN_VOYAGE_DAYS,MATCH(CONCATENATE(X$4,X$5,X$7),LADEN_VOYAGE_ROUTES,0),MATCH(X$6,LADEN_VOYAGE_SHIPS,0)))),0)</f>
        <v>0</v>
      </c>
      <c r="Z38" s="118">
        <f t="shared" si="16"/>
        <v>0</v>
      </c>
      <c r="AA38" s="215">
        <f t="shared" si="3"/>
        <v>0</v>
      </c>
      <c r="AB38" s="202"/>
      <c r="AC38" s="186">
        <f t="shared" si="29"/>
        <v>37316</v>
      </c>
      <c r="AD38" s="232">
        <f>+AA38*(VLOOKUP(AC38,CURVECALC!$C$6:$J$312,4,0)+AE$5)</f>
        <v>0</v>
      </c>
      <c r="AE38" s="208">
        <f>-W38*INDEX(ship_curves,MATCH(AC38,'SHIP CURVES'!$A$9:$A$316,0),MATCH(CONCATENATE(AG$4,AG$5,AG$6,AG$7),'SHIP CURVES'!$A$9:$AZ$9,0))</f>
        <v>0</v>
      </c>
      <c r="AF38" s="209">
        <f>-Y38*INDEX(port_processing_fee,MATCH(AC38,PORTS!$H$626:$H$933,0),MATCH(AG$5,PORTS!$H$626:$Z$626,0))</f>
        <v>0</v>
      </c>
      <c r="AG38" s="405">
        <f>(((VLOOKUP(AC38,curvecalc,4,0))*IF(W38=0,0,AA38/W38)-INDEX(ship_curves,MATCH(AC38,'SHIP CURVES'!$A$9:$A$316,0),MATCH(CONCATENATE(AG$4,AG$5,AG$6,AG$7),'SHIP CURVES'!$A$9:$Z$9,0))-INDEX(terminal_curves,MATCH(AC38,'TERMINAL CURVES'!$A$4:$A$313,0),MATCH(AG$5,'TERMINAL CURVES'!$A$4:$N$4,0))*IF(W38=0,0,Y38/W38))-(AE$8)*((AE$7-$N$5)-(INDEX(ship_curves,MATCH(AC38,'SHIP CURVES'!$A$9:$A$316,0),MATCH(CONCATENATE(AG$4,AG$5,AG$6,AG$7),'SHIP CURVES'!$A$9:$Z$9,0))-INDEX(ship_curves,MATCH(AC38,'SHIP CURVES'!$A$9:$A$316,0),MATCH(CONCATENATE(AG$4,AE$6,AG$6,AG$7),'SHIP CURVES'!$A$9:$Z$9,0)))-(INDEX(terminal_curves,MATCH(AC38,'TERMINAL CURVES'!$A$4:$A$313,0),MATCH(AG$5,'TERMINAL CURVES'!$A$4:$N$4,0))-INDEX(terminal_curves,MATCH(AC38,'TERMINAL CURVES'!$A$4:$A$313,0),MATCH(AE$6,'TERMINAL CURVES'!$A$4:$N$4,0)))*IF(W38=0,0,Y38/W38)))*-W38</f>
        <v>0</v>
      </c>
      <c r="AH38" s="343">
        <f t="shared" si="17"/>
        <v>0</v>
      </c>
      <c r="AI38" s="338">
        <f>(-Y38/((HLOOKUP(AG$5,port_specs,2,0)/(365.25))*(AC39-AC38)))*(INDEX(fixed_capacity_charge,MATCH(AC38,PORTS!$H$11:$H$317,0),MATCH(AG$5,PORTS!$H$11:$N$11,0))+INDEX(variable_om_charge,MATCH(AC38,PORTS!$H$318:$H$625,0),MATCH(AG$5,PORTS!$H$318:$N$318,0)))</f>
        <v>0</v>
      </c>
      <c r="AJ38" s="232">
        <f t="shared" si="18"/>
        <v>0</v>
      </c>
      <c r="AK38" s="241">
        <f t="shared" si="19"/>
        <v>0</v>
      </c>
      <c r="AM38" s="186">
        <f t="shared" si="30"/>
        <v>37316</v>
      </c>
      <c r="AN38" s="215">
        <f t="shared" si="20"/>
        <v>0</v>
      </c>
      <c r="AO38" s="191">
        <f t="shared" si="21"/>
        <v>0</v>
      </c>
      <c r="AP38" s="218">
        <f>+IF(AND(AO$8&lt;=AM38,AO$9&gt;=AM38),+MIN($B38-SUMIF($H$17:AO$17,AP$17,$H38:AO38),((INDEX(ROUTE_PER_DAY_BY_SHIP,MATCH(CONCATENATE(AO$4,AO$5,AO$7),ROUTE_PER_DAY_ROUTES,0),MATCH(AO$6,ROUTE_PER_DAY_SHIPS,0))*(AM39-AM38))-(INDEX(ROUTE_PER_DAY_BY_SHIP,MATCH(CONCATENATE(AO$4,AO$5,AO$7),ROUTE_PER_DAY_ROUTES,0),MATCH(AO$6,ROUTE_PER_DAY_SHIPS,0))*(AM39-AM38))*HLOOKUP(AO$6,SHIPS,7,0)*INDEX(LADEN_VOYAGE_DAYS,MATCH(CONCATENATE(AO$4,AO$5,AO$7),LADEN_VOYAGE_ROUTES,0),MATCH(AO$6,LADEN_VOYAGE_SHIPS,0)))),0)</f>
        <v>0</v>
      </c>
      <c r="AQ38" s="118">
        <f>-(AP38)*PORTS!$I$6</f>
        <v>0</v>
      </c>
      <c r="AR38" s="215">
        <f t="shared" si="4"/>
        <v>0</v>
      </c>
      <c r="AS38" s="202"/>
      <c r="AT38" s="186">
        <f t="shared" si="31"/>
        <v>37316</v>
      </c>
      <c r="AU38" s="232">
        <f>+AR38*(VLOOKUP(AT38,CURVECALC!$C$6:$J$312,4,0)+AV$5)</f>
        <v>0</v>
      </c>
      <c r="AV38" s="208">
        <f>-AN38*INDEX(ship_curves,MATCH(AT38,'SHIP CURVES'!$A$9:$A$316,0),MATCH(CONCATENATE(AX$4,AX$5,AX$6,AX$7),'SHIP CURVES'!$A$9:$AZ$9,0))</f>
        <v>0</v>
      </c>
      <c r="AW38" s="209">
        <f>-AP38*INDEX(port_processing_fee,MATCH(AT38,PORTS!$H$626:$H$933,0),MATCH(AX$5,PORTS!$H$626:$Z$626,0))</f>
        <v>0</v>
      </c>
      <c r="AX38" s="405">
        <f>(((VLOOKUP(AT38,curvecalc,4,0))*IF(AN38=0,0,AR38/AN38)-INDEX(ship_curves,MATCH(AT38,'SHIP CURVES'!$A$9:$A$316,0),MATCH(CONCATENATE(AX$4,AX$5,AX$6,AX$7),'SHIP CURVES'!$A$9:$Z$9,0))-INDEX(terminal_curves,MATCH(AT38,'TERMINAL CURVES'!$A$4:$A$313,0),MATCH(AX$5,'TERMINAL CURVES'!$A$4:$N$4,0))*IF(AN38=0,0,AP38/AN38))-(AV$8)*((AV$7-$N$5)-(INDEX(ship_curves,MATCH(AT38,'SHIP CURVES'!$A$9:$A$316,0),MATCH(CONCATENATE(AX$4,AX$5,AX$6,AX$7),'SHIP CURVES'!$A$9:$Z$9,0))-INDEX(ship_curves,MATCH(AT38,'SHIP CURVES'!$A$9:$A$316,0),MATCH(CONCATENATE(AX$4,AV$6,AX$6,AX$7),'SHIP CURVES'!$A$9:$Z$9,0)))-(INDEX(terminal_curves,MATCH(AT38,'TERMINAL CURVES'!$A$4:$A$313,0),MATCH(AX$5,'TERMINAL CURVES'!$A$4:$N$4,0))-INDEX(terminal_curves,MATCH(AT38,'TERMINAL CURVES'!$A$4:$A$313,0),MATCH(AV$6,'TERMINAL CURVES'!$A$4:$N$4,0)))*IF(AN38=0,0,AP38/AN38)))*-AN38</f>
        <v>0</v>
      </c>
      <c r="AY38" s="343">
        <f t="shared" si="22"/>
        <v>0</v>
      </c>
      <c r="AZ38" s="338">
        <f>(-AP38/((HLOOKUP(AX$5,port_specs,2,0)/(365.25))*(AT39-AT38)))*(INDEX(fixed_capacity_charge,MATCH(AT38,PORTS!$H$11:$H$317,0),MATCH(AX$5,PORTS!$H$11:$N$11,0))+INDEX(variable_om_charge,MATCH(AT38,PORTS!$H$318:$H$625,0),MATCH(AX$5,PORTS!$H$318:$N$318,0)))</f>
        <v>0</v>
      </c>
      <c r="BA38" s="232">
        <f t="shared" si="23"/>
        <v>0</v>
      </c>
      <c r="BB38" s="241">
        <f t="shared" si="24"/>
        <v>0</v>
      </c>
      <c r="BC38" s="408"/>
      <c r="BD38" s="338">
        <f>+PORTS!I32+PORTS!I340</f>
        <v>0</v>
      </c>
    </row>
    <row r="39" spans="1:56" x14ac:dyDescent="0.2">
      <c r="A39" s="186">
        <f t="shared" si="25"/>
        <v>37347</v>
      </c>
      <c r="B39" s="215">
        <f>+IF(AND($A39&gt;=$C$8,$A39&lt;=$C$9),1,0)*PORTS!$I$5/(365.25)*(A40-A39)</f>
        <v>5166876.756626742</v>
      </c>
      <c r="C39" s="351">
        <f t="shared" si="5"/>
        <v>2475188.653717651</v>
      </c>
      <c r="D39">
        <f t="shared" si="6"/>
        <v>2002</v>
      </c>
      <c r="E39" s="186">
        <f t="shared" si="26"/>
        <v>37347</v>
      </c>
      <c r="F39" s="215">
        <f t="shared" si="7"/>
        <v>2783545.0909090908</v>
      </c>
      <c r="G39" s="191">
        <f t="shared" si="8"/>
        <v>-91856.987999999983</v>
      </c>
      <c r="H39" s="218">
        <f t="shared" si="9"/>
        <v>2691688.1029090909</v>
      </c>
      <c r="I39" s="118">
        <f t="shared" si="10"/>
        <v>-67292.20257272727</v>
      </c>
      <c r="J39" s="215">
        <f t="shared" si="2"/>
        <v>2624395.9003363638</v>
      </c>
      <c r="K39" s="202"/>
      <c r="L39" s="186">
        <f t="shared" si="27"/>
        <v>37347</v>
      </c>
      <c r="M39" s="400">
        <f>+J39*(VLOOKUP(L39,CURVECALC!$C$6:$J$312,4,0)+N$5)</f>
        <v>8571277.0104985647</v>
      </c>
      <c r="N39" s="208">
        <f>-F39*INDEX(ship_curves,MATCH(L39,'SHIP CURVES'!$A$9:$A$316,0),MATCH(CONCATENATE(P$4,P$5,P$6,P$7),'SHIP CURVES'!$A$9:$AZ$9,0))</f>
        <v>-1457333.3525663004</v>
      </c>
      <c r="O39" s="209">
        <f>-H39*INDEX(port_processing_fee,MATCH(L39,PORTS!$H$626:$H$933,0),MATCH(P$5,PORTS!$H$626:$Z$626,0))</f>
        <v>-72877.421829378989</v>
      </c>
      <c r="P39" s="405">
        <f>(((VLOOKUP(L39,curvecalc,4,0))*IF(F39=0,0,J39/F39)-INDEX(ship_curves,MATCH(L39,'SHIP CURVES'!$A$9:$A$316,0),MATCH(CONCATENATE(P$4,P$5,P$6,P$7),'SHIP CURVES'!$A$9:$Z$9,0))-INDEX(terminal_curves,MATCH(L39,'TERMINAL CURVES'!$A$4:$A$313,0),MATCH(P$5,'TERMINAL CURVES'!$A$4:$N$4,0))*IF(F39=0,0,H39/F39))-(N$8)*((N$7-$N$5)-(INDEX(ship_curves,MATCH(L39,'SHIP CURVES'!$A$9:$A$316,0),MATCH(CONCATENATE(P$4,P$5,P$6,P$7),'SHIP CURVES'!$A$9:$Z$9,0))-INDEX(ship_curves,MATCH(L39,'SHIP CURVES'!$A$9:$A$316,0),MATCH(CONCATENATE(P$4,N$6,P$6,P$7),'SHIP CURVES'!$A$9:$Z$9,0)))-(INDEX(terminal_curves,MATCH(L39,'TERMINAL CURVES'!$A$4:$A$313,0),MATCH(P$5,'TERMINAL CURVES'!$A$4:$N$4,0))-INDEX(terminal_curves,MATCH(L39,'TERMINAL CURVES'!$A$4:$A$313,0),MATCH(N$6,'TERMINAL CURVES'!$A$4:$N$4,0)))*IF(F39=0,0,H39/F39)))*-F39</f>
        <v>-6493212.5452788258</v>
      </c>
      <c r="Q39" s="403">
        <f t="shared" si="11"/>
        <v>-8023423.3196745049</v>
      </c>
      <c r="R39" s="338">
        <f>(-H39/((HLOOKUP(P$5,port_specs,2,0)/(365.25))*(L40-L39)))*(INDEX(fixed_capacity_charge,MATCH(L39,PORTS!$H$11:$H$317,0),MATCH(P$5,PORTS!$H$11:$N$11,0))+INDEX(variable_om_charge,MATCH(L39,PORTS!$H$318:$H$625,0),MATCH(P$5,PORTS!$H$318:$N$318,0)))</f>
        <v>-495365.77281733113</v>
      </c>
      <c r="S39" s="232">
        <f t="shared" si="12"/>
        <v>-8518789.0924918354</v>
      </c>
      <c r="T39" s="241">
        <f t="shared" si="13"/>
        <v>52487.918006729335</v>
      </c>
      <c r="U39" s="431"/>
      <c r="V39" s="186">
        <f t="shared" si="28"/>
        <v>37347</v>
      </c>
      <c r="W39" s="215">
        <f t="shared" si="14"/>
        <v>0</v>
      </c>
      <c r="X39" s="191">
        <f t="shared" si="15"/>
        <v>0</v>
      </c>
      <c r="Y39" s="218">
        <f>+IF(AND(X$8&lt;=V39,X$9&gt;=V39),+MIN($B39-SUMIF($H$17:X$17,Y$17,$H39:X39),((INDEX(ROUTE_PER_DAY_BY_SHIP,MATCH(CONCATENATE(X$4,X$5,X$7),ROUTE_PER_DAY_ROUTES,0),MATCH(X$6,ROUTE_PER_DAY_SHIPS,0))*(V40-V39))-(INDEX(ROUTE_PER_DAY_BY_SHIP,MATCH(CONCATENATE(X$4,X$5,X$7),ROUTE_PER_DAY_ROUTES,0),MATCH(X$6,ROUTE_PER_DAY_SHIPS,0))*(V40-V39))*HLOOKUP(X$6,SHIPS,7,0)*INDEX(LADEN_VOYAGE_DAYS,MATCH(CONCATENATE(X$4,X$5,X$7),LADEN_VOYAGE_ROUTES,0),MATCH(X$6,LADEN_VOYAGE_SHIPS,0)))),0)</f>
        <v>0</v>
      </c>
      <c r="Z39" s="118">
        <f t="shared" si="16"/>
        <v>0</v>
      </c>
      <c r="AA39" s="215">
        <f t="shared" si="3"/>
        <v>0</v>
      </c>
      <c r="AB39" s="202"/>
      <c r="AC39" s="186">
        <f t="shared" si="29"/>
        <v>37347</v>
      </c>
      <c r="AD39" s="232">
        <f>+AA39*(VLOOKUP(AC39,CURVECALC!$C$6:$J$312,4,0)+AE$5)</f>
        <v>0</v>
      </c>
      <c r="AE39" s="208">
        <f>-W39*INDEX(ship_curves,MATCH(AC39,'SHIP CURVES'!$A$9:$A$316,0),MATCH(CONCATENATE(AG$4,AG$5,AG$6,AG$7),'SHIP CURVES'!$A$9:$AZ$9,0))</f>
        <v>0</v>
      </c>
      <c r="AF39" s="209">
        <f>-Y39*INDEX(port_processing_fee,MATCH(AC39,PORTS!$H$626:$H$933,0),MATCH(AG$5,PORTS!$H$626:$Z$626,0))</f>
        <v>0</v>
      </c>
      <c r="AG39" s="405">
        <f>(((VLOOKUP(AC39,curvecalc,4,0))*IF(W39=0,0,AA39/W39)-INDEX(ship_curves,MATCH(AC39,'SHIP CURVES'!$A$9:$A$316,0),MATCH(CONCATENATE(AG$4,AG$5,AG$6,AG$7),'SHIP CURVES'!$A$9:$Z$9,0))-INDEX(terminal_curves,MATCH(AC39,'TERMINAL CURVES'!$A$4:$A$313,0),MATCH(AG$5,'TERMINAL CURVES'!$A$4:$N$4,0))*IF(W39=0,0,Y39/W39))-(AE$8)*((AE$7-$N$5)-(INDEX(ship_curves,MATCH(AC39,'SHIP CURVES'!$A$9:$A$316,0),MATCH(CONCATENATE(AG$4,AG$5,AG$6,AG$7),'SHIP CURVES'!$A$9:$Z$9,0))-INDEX(ship_curves,MATCH(AC39,'SHIP CURVES'!$A$9:$A$316,0),MATCH(CONCATENATE(AG$4,AE$6,AG$6,AG$7),'SHIP CURVES'!$A$9:$Z$9,0)))-(INDEX(terminal_curves,MATCH(AC39,'TERMINAL CURVES'!$A$4:$A$313,0),MATCH(AG$5,'TERMINAL CURVES'!$A$4:$N$4,0))-INDEX(terminal_curves,MATCH(AC39,'TERMINAL CURVES'!$A$4:$A$313,0),MATCH(AE$6,'TERMINAL CURVES'!$A$4:$N$4,0)))*IF(W39=0,0,Y39/W39)))*-W39</f>
        <v>0</v>
      </c>
      <c r="AH39" s="343">
        <f t="shared" si="17"/>
        <v>0</v>
      </c>
      <c r="AI39" s="338">
        <f>(-Y39/((HLOOKUP(AG$5,port_specs,2,0)/(365.25))*(AC40-AC39)))*(INDEX(fixed_capacity_charge,MATCH(AC39,PORTS!$H$11:$H$317,0),MATCH(AG$5,PORTS!$H$11:$N$11,0))+INDEX(variable_om_charge,MATCH(AC39,PORTS!$H$318:$H$625,0),MATCH(AG$5,PORTS!$H$318:$N$318,0)))</f>
        <v>0</v>
      </c>
      <c r="AJ39" s="232">
        <f t="shared" si="18"/>
        <v>0</v>
      </c>
      <c r="AK39" s="241">
        <f t="shared" si="19"/>
        <v>0</v>
      </c>
      <c r="AM39" s="186">
        <f t="shared" si="30"/>
        <v>37347</v>
      </c>
      <c r="AN39" s="215">
        <f t="shared" si="20"/>
        <v>0</v>
      </c>
      <c r="AO39" s="191">
        <f t="shared" si="21"/>
        <v>0</v>
      </c>
      <c r="AP39" s="218">
        <f>+IF(AND(AO$8&lt;=AM39,AO$9&gt;=AM39),+MIN($B39-SUMIF($H$17:AO$17,AP$17,$H39:AO39),((INDEX(ROUTE_PER_DAY_BY_SHIP,MATCH(CONCATENATE(AO$4,AO$5,AO$7),ROUTE_PER_DAY_ROUTES,0),MATCH(AO$6,ROUTE_PER_DAY_SHIPS,0))*(AM40-AM39))-(INDEX(ROUTE_PER_DAY_BY_SHIP,MATCH(CONCATENATE(AO$4,AO$5,AO$7),ROUTE_PER_DAY_ROUTES,0),MATCH(AO$6,ROUTE_PER_DAY_SHIPS,0))*(AM40-AM39))*HLOOKUP(AO$6,SHIPS,7,0)*INDEX(LADEN_VOYAGE_DAYS,MATCH(CONCATENATE(AO$4,AO$5,AO$7),LADEN_VOYAGE_ROUTES,0),MATCH(AO$6,LADEN_VOYAGE_SHIPS,0)))),0)</f>
        <v>0</v>
      </c>
      <c r="AQ39" s="118">
        <f>-(AP39)*PORTS!$I$6</f>
        <v>0</v>
      </c>
      <c r="AR39" s="215">
        <f t="shared" si="4"/>
        <v>0</v>
      </c>
      <c r="AS39" s="202"/>
      <c r="AT39" s="186">
        <f t="shared" si="31"/>
        <v>37347</v>
      </c>
      <c r="AU39" s="232">
        <f>+AR39*(VLOOKUP(AT39,CURVECALC!$C$6:$J$312,4,0)+AV$5)</f>
        <v>0</v>
      </c>
      <c r="AV39" s="208">
        <f>-AN39*INDEX(ship_curves,MATCH(AT39,'SHIP CURVES'!$A$9:$A$316,0),MATCH(CONCATENATE(AX$4,AX$5,AX$6,AX$7),'SHIP CURVES'!$A$9:$AZ$9,0))</f>
        <v>0</v>
      </c>
      <c r="AW39" s="209">
        <f>-AP39*INDEX(port_processing_fee,MATCH(AT39,PORTS!$H$626:$H$933,0),MATCH(AX$5,PORTS!$H$626:$Z$626,0))</f>
        <v>0</v>
      </c>
      <c r="AX39" s="405">
        <f>(((VLOOKUP(AT39,curvecalc,4,0))*IF(AN39=0,0,AR39/AN39)-INDEX(ship_curves,MATCH(AT39,'SHIP CURVES'!$A$9:$A$316,0),MATCH(CONCATENATE(AX$4,AX$5,AX$6,AX$7),'SHIP CURVES'!$A$9:$Z$9,0))-INDEX(terminal_curves,MATCH(AT39,'TERMINAL CURVES'!$A$4:$A$313,0),MATCH(AX$5,'TERMINAL CURVES'!$A$4:$N$4,0))*IF(AN39=0,0,AP39/AN39))-(AV$8)*((AV$7-$N$5)-(INDEX(ship_curves,MATCH(AT39,'SHIP CURVES'!$A$9:$A$316,0),MATCH(CONCATENATE(AX$4,AX$5,AX$6,AX$7),'SHIP CURVES'!$A$9:$Z$9,0))-INDEX(ship_curves,MATCH(AT39,'SHIP CURVES'!$A$9:$A$316,0),MATCH(CONCATENATE(AX$4,AV$6,AX$6,AX$7),'SHIP CURVES'!$A$9:$Z$9,0)))-(INDEX(terminal_curves,MATCH(AT39,'TERMINAL CURVES'!$A$4:$A$313,0),MATCH(AX$5,'TERMINAL CURVES'!$A$4:$N$4,0))-INDEX(terminal_curves,MATCH(AT39,'TERMINAL CURVES'!$A$4:$A$313,0),MATCH(AV$6,'TERMINAL CURVES'!$A$4:$N$4,0)))*IF(AN39=0,0,AP39/AN39)))*-AN39</f>
        <v>0</v>
      </c>
      <c r="AY39" s="343">
        <f t="shared" si="22"/>
        <v>0</v>
      </c>
      <c r="AZ39" s="338">
        <f>(-AP39/((HLOOKUP(AX$5,port_specs,2,0)/(365.25))*(AT40-AT39)))*(INDEX(fixed_capacity_charge,MATCH(AT39,PORTS!$H$11:$H$317,0),MATCH(AX$5,PORTS!$H$11:$N$11,0))+INDEX(variable_om_charge,MATCH(AT39,PORTS!$H$318:$H$625,0),MATCH(AX$5,PORTS!$H$318:$N$318,0)))</f>
        <v>0</v>
      </c>
      <c r="BA39" s="232">
        <f t="shared" si="23"/>
        <v>0</v>
      </c>
      <c r="BB39" s="241">
        <f t="shared" si="24"/>
        <v>0</v>
      </c>
      <c r="BC39" s="408"/>
      <c r="BD39" s="338">
        <f>+PORTS!I33+PORTS!I341</f>
        <v>950887.99286666675</v>
      </c>
    </row>
    <row r="40" spans="1:56" x14ac:dyDescent="0.2">
      <c r="A40" s="186">
        <f t="shared" si="25"/>
        <v>37377</v>
      </c>
      <c r="B40" s="215">
        <f>+IF(AND($A40&gt;=$C$8,$A40&lt;=$C$9),1,0)*PORTS!$I$5/(365.25)*(A41-A40)</f>
        <v>5339105.9818476336</v>
      </c>
      <c r="C40" s="351">
        <f t="shared" si="5"/>
        <v>2557694.9421749064</v>
      </c>
      <c r="D40">
        <f t="shared" si="6"/>
        <v>2002</v>
      </c>
      <c r="E40" s="186">
        <f t="shared" si="26"/>
        <v>37377</v>
      </c>
      <c r="F40" s="215">
        <f t="shared" si="7"/>
        <v>2876329.9272727272</v>
      </c>
      <c r="G40" s="191">
        <f t="shared" si="8"/>
        <v>-94918.887600000002</v>
      </c>
      <c r="H40" s="218">
        <f t="shared" si="9"/>
        <v>2781411.0396727272</v>
      </c>
      <c r="I40" s="118">
        <f t="shared" si="10"/>
        <v>-69535.275991818184</v>
      </c>
      <c r="J40" s="215">
        <f t="shared" si="2"/>
        <v>2711875.7636809088</v>
      </c>
      <c r="K40" s="202"/>
      <c r="L40" s="186">
        <f t="shared" si="27"/>
        <v>37377</v>
      </c>
      <c r="M40" s="400">
        <f>+J40*(VLOOKUP(L40,CURVECALC!$C$6:$J$312,4,0)+N$5)</f>
        <v>8762070.592453016</v>
      </c>
      <c r="N40" s="208">
        <f>-F40*INDEX(ship_curves,MATCH(L40,'SHIP CURVES'!$A$9:$A$316,0),MATCH(CONCATENATE(P$4,P$5,P$6,P$7),'SHIP CURVES'!$A$9:$AZ$9,0))</f>
        <v>-1506842.029287135</v>
      </c>
      <c r="O40" s="209">
        <f>-H40*INDEX(port_processing_fee,MATCH(L40,PORTS!$H$626:$H$933,0),MATCH(P$5,PORTS!$H$626:$Z$626,0))</f>
        <v>-75385.113670799619</v>
      </c>
      <c r="P40" s="405">
        <f>(((VLOOKUP(L40,curvecalc,4,0))*IF(F40=0,0,J40/F40)-INDEX(ship_curves,MATCH(L40,'SHIP CURVES'!$A$9:$A$316,0),MATCH(CONCATENATE(P$4,P$5,P$6,P$7),'SHIP CURVES'!$A$9:$Z$9,0))-INDEX(terminal_curves,MATCH(L40,'TERMINAL CURVES'!$A$4:$A$313,0),MATCH(P$5,'TERMINAL CURVES'!$A$4:$N$4,0))*IF(F40=0,0,H40/F40))-(N$8)*((N$7-$N$5)-(INDEX(ship_curves,MATCH(L40,'SHIP CURVES'!$A$9:$A$316,0),MATCH(CONCATENATE(P$4,P$5,P$6,P$7),'SHIP CURVES'!$A$9:$Z$9,0))-INDEX(ship_curves,MATCH(L40,'SHIP CURVES'!$A$9:$A$316,0),MATCH(CONCATENATE(P$4,N$6,P$6,P$7),'SHIP CURVES'!$A$9:$Z$9,0)))-(INDEX(terminal_curves,MATCH(L40,'TERMINAL CURVES'!$A$4:$A$313,0),MATCH(P$5,'TERMINAL CURVES'!$A$4:$N$4,0))-INDEX(terminal_curves,MATCH(L40,'TERMINAL CURVES'!$A$4:$A$313,0),MATCH(N$6,'TERMINAL CURVES'!$A$4:$N$4,0)))*IF(F40=0,0,H40/F40)))*-F40</f>
        <v>-6629987.4452735679</v>
      </c>
      <c r="Q40" s="403">
        <f t="shared" si="11"/>
        <v>-8212214.5882315021</v>
      </c>
      <c r="R40" s="338">
        <f>(-H40/((HLOOKUP(P$5,port_specs,2,0)/(365.25))*(L41-L40)))*(INDEX(fixed_capacity_charge,MATCH(L40,PORTS!$H$11:$H$317,0),MATCH(P$5,PORTS!$H$11:$N$11,0))+INDEX(variable_om_charge,MATCH(L40,PORTS!$H$318:$H$625,0),MATCH(P$5,PORTS!$H$318:$N$318,0)))</f>
        <v>-495618.48894789477</v>
      </c>
      <c r="S40" s="232">
        <f t="shared" si="12"/>
        <v>-8707833.0771793965</v>
      </c>
      <c r="T40" s="241">
        <f t="shared" si="13"/>
        <v>54237.515273619443</v>
      </c>
      <c r="U40" s="431"/>
      <c r="V40" s="186">
        <f t="shared" si="28"/>
        <v>37377</v>
      </c>
      <c r="W40" s="215">
        <f t="shared" si="14"/>
        <v>0</v>
      </c>
      <c r="X40" s="191">
        <f t="shared" si="15"/>
        <v>0</v>
      </c>
      <c r="Y40" s="218">
        <f>+IF(AND(X$8&lt;=V40,X$9&gt;=V40),+MIN($B40-SUMIF($H$17:X$17,Y$17,$H40:X40),((INDEX(ROUTE_PER_DAY_BY_SHIP,MATCH(CONCATENATE(X$4,X$5,X$7),ROUTE_PER_DAY_ROUTES,0),MATCH(X$6,ROUTE_PER_DAY_SHIPS,0))*(V41-V40))-(INDEX(ROUTE_PER_DAY_BY_SHIP,MATCH(CONCATENATE(X$4,X$5,X$7),ROUTE_PER_DAY_ROUTES,0),MATCH(X$6,ROUTE_PER_DAY_SHIPS,0))*(V41-V40))*HLOOKUP(X$6,SHIPS,7,0)*INDEX(LADEN_VOYAGE_DAYS,MATCH(CONCATENATE(X$4,X$5,X$7),LADEN_VOYAGE_ROUTES,0),MATCH(X$6,LADEN_VOYAGE_SHIPS,0)))),0)</f>
        <v>0</v>
      </c>
      <c r="Z40" s="118">
        <f t="shared" si="16"/>
        <v>0</v>
      </c>
      <c r="AA40" s="215">
        <f t="shared" si="3"/>
        <v>0</v>
      </c>
      <c r="AB40" s="202"/>
      <c r="AC40" s="186">
        <f t="shared" si="29"/>
        <v>37377</v>
      </c>
      <c r="AD40" s="232">
        <f>+AA40*(VLOOKUP(AC40,CURVECALC!$C$6:$J$312,4,0)+AE$5)</f>
        <v>0</v>
      </c>
      <c r="AE40" s="208">
        <f>-W40*INDEX(ship_curves,MATCH(AC40,'SHIP CURVES'!$A$9:$A$316,0),MATCH(CONCATENATE(AG$4,AG$5,AG$6,AG$7),'SHIP CURVES'!$A$9:$AZ$9,0))</f>
        <v>0</v>
      </c>
      <c r="AF40" s="209">
        <f>-Y40*INDEX(port_processing_fee,MATCH(AC40,PORTS!$H$626:$H$933,0),MATCH(AG$5,PORTS!$H$626:$Z$626,0))</f>
        <v>0</v>
      </c>
      <c r="AG40" s="405">
        <f>(((VLOOKUP(AC40,curvecalc,4,0))*IF(W40=0,0,AA40/W40)-INDEX(ship_curves,MATCH(AC40,'SHIP CURVES'!$A$9:$A$316,0),MATCH(CONCATENATE(AG$4,AG$5,AG$6,AG$7),'SHIP CURVES'!$A$9:$Z$9,0))-INDEX(terminal_curves,MATCH(AC40,'TERMINAL CURVES'!$A$4:$A$313,0),MATCH(AG$5,'TERMINAL CURVES'!$A$4:$N$4,0))*IF(W40=0,0,Y40/W40))-(AE$8)*((AE$7-$N$5)-(INDEX(ship_curves,MATCH(AC40,'SHIP CURVES'!$A$9:$A$316,0),MATCH(CONCATENATE(AG$4,AG$5,AG$6,AG$7),'SHIP CURVES'!$A$9:$Z$9,0))-INDEX(ship_curves,MATCH(AC40,'SHIP CURVES'!$A$9:$A$316,0),MATCH(CONCATENATE(AG$4,AE$6,AG$6,AG$7),'SHIP CURVES'!$A$9:$Z$9,0)))-(INDEX(terminal_curves,MATCH(AC40,'TERMINAL CURVES'!$A$4:$A$313,0),MATCH(AG$5,'TERMINAL CURVES'!$A$4:$N$4,0))-INDEX(terminal_curves,MATCH(AC40,'TERMINAL CURVES'!$A$4:$A$313,0),MATCH(AE$6,'TERMINAL CURVES'!$A$4:$N$4,0)))*IF(W40=0,0,Y40/W40)))*-W40</f>
        <v>0</v>
      </c>
      <c r="AH40" s="343">
        <f t="shared" si="17"/>
        <v>0</v>
      </c>
      <c r="AI40" s="338">
        <f>(-Y40/((HLOOKUP(AG$5,port_specs,2,0)/(365.25))*(AC41-AC40)))*(INDEX(fixed_capacity_charge,MATCH(AC40,PORTS!$H$11:$H$317,0),MATCH(AG$5,PORTS!$H$11:$N$11,0))+INDEX(variable_om_charge,MATCH(AC40,PORTS!$H$318:$H$625,0),MATCH(AG$5,PORTS!$H$318:$N$318,0)))</f>
        <v>0</v>
      </c>
      <c r="AJ40" s="232">
        <f t="shared" si="18"/>
        <v>0</v>
      </c>
      <c r="AK40" s="241">
        <f t="shared" si="19"/>
        <v>0</v>
      </c>
      <c r="AM40" s="186">
        <f t="shared" si="30"/>
        <v>37377</v>
      </c>
      <c r="AN40" s="215">
        <f t="shared" si="20"/>
        <v>0</v>
      </c>
      <c r="AO40" s="191">
        <f t="shared" si="21"/>
        <v>0</v>
      </c>
      <c r="AP40" s="218">
        <f>+IF(AND(AO$8&lt;=AM40,AO$9&gt;=AM40),+MIN($B40-SUMIF($H$17:AO$17,AP$17,$H40:AO40),((INDEX(ROUTE_PER_DAY_BY_SHIP,MATCH(CONCATENATE(AO$4,AO$5,AO$7),ROUTE_PER_DAY_ROUTES,0),MATCH(AO$6,ROUTE_PER_DAY_SHIPS,0))*(AM41-AM40))-(INDEX(ROUTE_PER_DAY_BY_SHIP,MATCH(CONCATENATE(AO$4,AO$5,AO$7),ROUTE_PER_DAY_ROUTES,0),MATCH(AO$6,ROUTE_PER_DAY_SHIPS,0))*(AM41-AM40))*HLOOKUP(AO$6,SHIPS,7,0)*INDEX(LADEN_VOYAGE_DAYS,MATCH(CONCATENATE(AO$4,AO$5,AO$7),LADEN_VOYAGE_ROUTES,0),MATCH(AO$6,LADEN_VOYAGE_SHIPS,0)))),0)</f>
        <v>0</v>
      </c>
      <c r="AQ40" s="118">
        <f>-(AP40)*PORTS!$I$6</f>
        <v>0</v>
      </c>
      <c r="AR40" s="215">
        <f t="shared" si="4"/>
        <v>0</v>
      </c>
      <c r="AS40" s="202"/>
      <c r="AT40" s="186">
        <f t="shared" si="31"/>
        <v>37377</v>
      </c>
      <c r="AU40" s="232">
        <f>+AR40*(VLOOKUP(AT40,CURVECALC!$C$6:$J$312,4,0)+AV$5)</f>
        <v>0</v>
      </c>
      <c r="AV40" s="208">
        <f>-AN40*INDEX(ship_curves,MATCH(AT40,'SHIP CURVES'!$A$9:$A$316,0),MATCH(CONCATENATE(AX$4,AX$5,AX$6,AX$7),'SHIP CURVES'!$A$9:$AZ$9,0))</f>
        <v>0</v>
      </c>
      <c r="AW40" s="209">
        <f>-AP40*INDEX(port_processing_fee,MATCH(AT40,PORTS!$H$626:$H$933,0),MATCH(AX$5,PORTS!$H$626:$Z$626,0))</f>
        <v>0</v>
      </c>
      <c r="AX40" s="405">
        <f>(((VLOOKUP(AT40,curvecalc,4,0))*IF(AN40=0,0,AR40/AN40)-INDEX(ship_curves,MATCH(AT40,'SHIP CURVES'!$A$9:$A$316,0),MATCH(CONCATENATE(AX$4,AX$5,AX$6,AX$7),'SHIP CURVES'!$A$9:$Z$9,0))-INDEX(terminal_curves,MATCH(AT40,'TERMINAL CURVES'!$A$4:$A$313,0),MATCH(AX$5,'TERMINAL CURVES'!$A$4:$N$4,0))*IF(AN40=0,0,AP40/AN40))-(AV$8)*((AV$7-$N$5)-(INDEX(ship_curves,MATCH(AT40,'SHIP CURVES'!$A$9:$A$316,0),MATCH(CONCATENATE(AX$4,AX$5,AX$6,AX$7),'SHIP CURVES'!$A$9:$Z$9,0))-INDEX(ship_curves,MATCH(AT40,'SHIP CURVES'!$A$9:$A$316,0),MATCH(CONCATENATE(AX$4,AV$6,AX$6,AX$7),'SHIP CURVES'!$A$9:$Z$9,0)))-(INDEX(terminal_curves,MATCH(AT40,'TERMINAL CURVES'!$A$4:$A$313,0),MATCH(AX$5,'TERMINAL CURVES'!$A$4:$N$4,0))-INDEX(terminal_curves,MATCH(AT40,'TERMINAL CURVES'!$A$4:$A$313,0),MATCH(AV$6,'TERMINAL CURVES'!$A$4:$N$4,0)))*IF(AN40=0,0,AP40/AN40)))*-AN40</f>
        <v>0</v>
      </c>
      <c r="AY40" s="343">
        <f t="shared" si="22"/>
        <v>0</v>
      </c>
      <c r="AZ40" s="338">
        <f>(-AP40/((HLOOKUP(AX$5,port_specs,2,0)/(365.25))*(AT41-AT40)))*(INDEX(fixed_capacity_charge,MATCH(AT40,PORTS!$H$11:$H$317,0),MATCH(AX$5,PORTS!$H$11:$N$11,0))+INDEX(variable_om_charge,MATCH(AT40,PORTS!$H$318:$H$625,0),MATCH(AX$5,PORTS!$H$318:$N$318,0)))</f>
        <v>0</v>
      </c>
      <c r="BA40" s="232">
        <f t="shared" si="23"/>
        <v>0</v>
      </c>
      <c r="BB40" s="241">
        <f t="shared" si="24"/>
        <v>0</v>
      </c>
      <c r="BC40" s="408"/>
      <c r="BD40" s="338">
        <f>+PORTS!I34+PORTS!I342</f>
        <v>951373.09851453989</v>
      </c>
    </row>
    <row r="41" spans="1:56" x14ac:dyDescent="0.2">
      <c r="A41" s="186">
        <f t="shared" si="25"/>
        <v>37408</v>
      </c>
      <c r="B41" s="215">
        <f>+IF(AND($A41&gt;=$C$8,$A41&lt;=$C$9),1,0)*PORTS!$I$5/(365.25)*(A42-A41)</f>
        <v>5166876.756626742</v>
      </c>
      <c r="C41" s="351">
        <f t="shared" si="5"/>
        <v>2475188.653717651</v>
      </c>
      <c r="D41">
        <f t="shared" si="6"/>
        <v>2002</v>
      </c>
      <c r="E41" s="186">
        <f t="shared" si="26"/>
        <v>37408</v>
      </c>
      <c r="F41" s="215">
        <f t="shared" si="7"/>
        <v>2783545.0909090908</v>
      </c>
      <c r="G41" s="191">
        <f t="shared" si="8"/>
        <v>-91856.987999999983</v>
      </c>
      <c r="H41" s="218">
        <f t="shared" si="9"/>
        <v>2691688.1029090909</v>
      </c>
      <c r="I41" s="118">
        <f t="shared" si="10"/>
        <v>-67292.20257272727</v>
      </c>
      <c r="J41" s="215">
        <f t="shared" si="2"/>
        <v>2624395.9003363638</v>
      </c>
      <c r="K41" s="202"/>
      <c r="L41" s="186">
        <f t="shared" si="27"/>
        <v>37408</v>
      </c>
      <c r="M41" s="400">
        <f>+J41*(VLOOKUP(L41,CURVECALC!$C$6:$J$312,4,0)+N$5)</f>
        <v>8453179.1949834265</v>
      </c>
      <c r="N41" s="208">
        <f>-F41*INDEX(ship_curves,MATCH(L41,'SHIP CURVES'!$A$9:$A$316,0),MATCH(CONCATENATE(P$4,P$5,P$6,P$7),'SHIP CURVES'!$A$9:$AZ$9,0))</f>
        <v>-1459136.9680263435</v>
      </c>
      <c r="O41" s="209">
        <f>-H41*INDEX(port_processing_fee,MATCH(L41,PORTS!$H$626:$H$933,0),MATCH(P$5,PORTS!$H$626:$Z$626,0))</f>
        <v>-73029.328868587123</v>
      </c>
      <c r="P41" s="405">
        <f>(((VLOOKUP(L41,curvecalc,4,0))*IF(F41=0,0,J41/F41)-INDEX(ship_curves,MATCH(L41,'SHIP CURVES'!$A$9:$A$316,0),MATCH(CONCATENATE(P$4,P$5,P$6,P$7),'SHIP CURVES'!$A$9:$Z$9,0))-INDEX(terminal_curves,MATCH(L41,'TERMINAL CURVES'!$A$4:$A$313,0),MATCH(P$5,'TERMINAL CURVES'!$A$4:$N$4,0))*IF(F41=0,0,H41/F41))-(N$8)*((N$7-$N$5)-(INDEX(ship_curves,MATCH(L41,'SHIP CURVES'!$A$9:$A$316,0),MATCH(CONCATENATE(P$4,P$5,P$6,P$7),'SHIP CURVES'!$A$9:$Z$9,0))-INDEX(ship_curves,MATCH(L41,'SHIP CURVES'!$A$9:$A$316,0),MATCH(CONCATENATE(P$4,N$6,P$6,P$7),'SHIP CURVES'!$A$9:$Z$9,0)))-(INDEX(terminal_curves,MATCH(L41,'TERMINAL CURVES'!$A$4:$A$313,0),MATCH(P$5,'TERMINAL CURVES'!$A$4:$N$4,0))-INDEX(terminal_curves,MATCH(L41,'TERMINAL CURVES'!$A$4:$A$313,0),MATCH(N$6,'TERMINAL CURVES'!$A$4:$N$4,0)))*IF(F41=0,0,H41/F41)))*-F41</f>
        <v>-6372653.5117573421</v>
      </c>
      <c r="Q41" s="403">
        <f t="shared" si="11"/>
        <v>-7904819.8086522724</v>
      </c>
      <c r="R41" s="338">
        <f>(-H41/((HLOOKUP(P$5,port_specs,2,0)/(365.25))*(L42-L41)))*(INDEX(fixed_capacity_charge,MATCH(L41,PORTS!$H$11:$H$317,0),MATCH(P$5,PORTS!$H$11:$N$11,0))+INDEX(variable_om_charge,MATCH(L41,PORTS!$H$318:$H$625,0),MATCH(P$5,PORTS!$H$318:$N$318,0)))</f>
        <v>-495871.4683244279</v>
      </c>
      <c r="S41" s="232">
        <f t="shared" si="12"/>
        <v>-8400691.2769767009</v>
      </c>
      <c r="T41" s="241">
        <f t="shared" si="13"/>
        <v>52487.918006725609</v>
      </c>
      <c r="U41" s="431"/>
      <c r="V41" s="186">
        <f t="shared" si="28"/>
        <v>37408</v>
      </c>
      <c r="W41" s="215">
        <f t="shared" si="14"/>
        <v>0</v>
      </c>
      <c r="X41" s="191">
        <f t="shared" si="15"/>
        <v>0</v>
      </c>
      <c r="Y41" s="218">
        <f>+IF(AND(X$8&lt;=V41,X$9&gt;=V41),+MIN($B41-SUMIF($H$17:X$17,Y$17,$H41:X41),((INDEX(ROUTE_PER_DAY_BY_SHIP,MATCH(CONCATENATE(X$4,X$5,X$7),ROUTE_PER_DAY_ROUTES,0),MATCH(X$6,ROUTE_PER_DAY_SHIPS,0))*(V42-V41))-(INDEX(ROUTE_PER_DAY_BY_SHIP,MATCH(CONCATENATE(X$4,X$5,X$7),ROUTE_PER_DAY_ROUTES,0),MATCH(X$6,ROUTE_PER_DAY_SHIPS,0))*(V42-V41))*HLOOKUP(X$6,SHIPS,7,0)*INDEX(LADEN_VOYAGE_DAYS,MATCH(CONCATENATE(X$4,X$5,X$7),LADEN_VOYAGE_ROUTES,0),MATCH(X$6,LADEN_VOYAGE_SHIPS,0)))),0)</f>
        <v>0</v>
      </c>
      <c r="Z41" s="118">
        <f t="shared" si="16"/>
        <v>0</v>
      </c>
      <c r="AA41" s="215">
        <f t="shared" si="3"/>
        <v>0</v>
      </c>
      <c r="AB41" s="202"/>
      <c r="AC41" s="186">
        <f t="shared" si="29"/>
        <v>37408</v>
      </c>
      <c r="AD41" s="232">
        <f>+AA41*(VLOOKUP(AC41,CURVECALC!$C$6:$J$312,4,0)+AE$5)</f>
        <v>0</v>
      </c>
      <c r="AE41" s="208">
        <f>-W41*INDEX(ship_curves,MATCH(AC41,'SHIP CURVES'!$A$9:$A$316,0),MATCH(CONCATENATE(AG$4,AG$5,AG$6,AG$7),'SHIP CURVES'!$A$9:$AZ$9,0))</f>
        <v>0</v>
      </c>
      <c r="AF41" s="209">
        <f>-Y41*INDEX(port_processing_fee,MATCH(AC41,PORTS!$H$626:$H$933,0),MATCH(AG$5,PORTS!$H$626:$Z$626,0))</f>
        <v>0</v>
      </c>
      <c r="AG41" s="405">
        <f>(((VLOOKUP(AC41,curvecalc,4,0))*IF(W41=0,0,AA41/W41)-INDEX(ship_curves,MATCH(AC41,'SHIP CURVES'!$A$9:$A$316,0),MATCH(CONCATENATE(AG$4,AG$5,AG$6,AG$7),'SHIP CURVES'!$A$9:$Z$9,0))-INDEX(terminal_curves,MATCH(AC41,'TERMINAL CURVES'!$A$4:$A$313,0),MATCH(AG$5,'TERMINAL CURVES'!$A$4:$N$4,0))*IF(W41=0,0,Y41/W41))-(AE$8)*((AE$7-$N$5)-(INDEX(ship_curves,MATCH(AC41,'SHIP CURVES'!$A$9:$A$316,0),MATCH(CONCATENATE(AG$4,AG$5,AG$6,AG$7),'SHIP CURVES'!$A$9:$Z$9,0))-INDEX(ship_curves,MATCH(AC41,'SHIP CURVES'!$A$9:$A$316,0),MATCH(CONCATENATE(AG$4,AE$6,AG$6,AG$7),'SHIP CURVES'!$A$9:$Z$9,0)))-(INDEX(terminal_curves,MATCH(AC41,'TERMINAL CURVES'!$A$4:$A$313,0),MATCH(AG$5,'TERMINAL CURVES'!$A$4:$N$4,0))-INDEX(terminal_curves,MATCH(AC41,'TERMINAL CURVES'!$A$4:$A$313,0),MATCH(AE$6,'TERMINAL CURVES'!$A$4:$N$4,0)))*IF(W41=0,0,Y41/W41)))*-W41</f>
        <v>0</v>
      </c>
      <c r="AH41" s="343">
        <f t="shared" si="17"/>
        <v>0</v>
      </c>
      <c r="AI41" s="338">
        <f>(-Y41/((HLOOKUP(AG$5,port_specs,2,0)/(365.25))*(AC42-AC41)))*(INDEX(fixed_capacity_charge,MATCH(AC41,PORTS!$H$11:$H$317,0),MATCH(AG$5,PORTS!$H$11:$N$11,0))+INDEX(variable_om_charge,MATCH(AC41,PORTS!$H$318:$H$625,0),MATCH(AG$5,PORTS!$H$318:$N$318,0)))</f>
        <v>0</v>
      </c>
      <c r="AJ41" s="232">
        <f t="shared" si="18"/>
        <v>0</v>
      </c>
      <c r="AK41" s="241">
        <f t="shared" si="19"/>
        <v>0</v>
      </c>
      <c r="AM41" s="186">
        <f t="shared" si="30"/>
        <v>37408</v>
      </c>
      <c r="AN41" s="215">
        <f t="shared" si="20"/>
        <v>0</v>
      </c>
      <c r="AO41" s="191">
        <f t="shared" si="21"/>
        <v>0</v>
      </c>
      <c r="AP41" s="218">
        <f>+IF(AND(AO$8&lt;=AM41,AO$9&gt;=AM41),+MIN($B41-SUMIF($H$17:AO$17,AP$17,$H41:AO41),((INDEX(ROUTE_PER_DAY_BY_SHIP,MATCH(CONCATENATE(AO$4,AO$5,AO$7),ROUTE_PER_DAY_ROUTES,0),MATCH(AO$6,ROUTE_PER_DAY_SHIPS,0))*(AM42-AM41))-(INDEX(ROUTE_PER_DAY_BY_SHIP,MATCH(CONCATENATE(AO$4,AO$5,AO$7),ROUTE_PER_DAY_ROUTES,0),MATCH(AO$6,ROUTE_PER_DAY_SHIPS,0))*(AM42-AM41))*HLOOKUP(AO$6,SHIPS,7,0)*INDEX(LADEN_VOYAGE_DAYS,MATCH(CONCATENATE(AO$4,AO$5,AO$7),LADEN_VOYAGE_ROUTES,0),MATCH(AO$6,LADEN_VOYAGE_SHIPS,0)))),0)</f>
        <v>0</v>
      </c>
      <c r="AQ41" s="118">
        <f>-(AP41)*PORTS!$I$6</f>
        <v>0</v>
      </c>
      <c r="AR41" s="215">
        <f t="shared" si="4"/>
        <v>0</v>
      </c>
      <c r="AS41" s="202"/>
      <c r="AT41" s="186">
        <f t="shared" si="31"/>
        <v>37408</v>
      </c>
      <c r="AU41" s="232">
        <f>+AR41*(VLOOKUP(AT41,CURVECALC!$C$6:$J$312,4,0)+AV$5)</f>
        <v>0</v>
      </c>
      <c r="AV41" s="208">
        <f>-AN41*INDEX(ship_curves,MATCH(AT41,'SHIP CURVES'!$A$9:$A$316,0),MATCH(CONCATENATE(AX$4,AX$5,AX$6,AX$7),'SHIP CURVES'!$A$9:$AZ$9,0))</f>
        <v>0</v>
      </c>
      <c r="AW41" s="209">
        <f>-AP41*INDEX(port_processing_fee,MATCH(AT41,PORTS!$H$626:$H$933,0),MATCH(AX$5,PORTS!$H$626:$Z$626,0))</f>
        <v>0</v>
      </c>
      <c r="AX41" s="405">
        <f>(((VLOOKUP(AT41,curvecalc,4,0))*IF(AN41=0,0,AR41/AN41)-INDEX(ship_curves,MATCH(AT41,'SHIP CURVES'!$A$9:$A$316,0),MATCH(CONCATENATE(AX$4,AX$5,AX$6,AX$7),'SHIP CURVES'!$A$9:$Z$9,0))-INDEX(terminal_curves,MATCH(AT41,'TERMINAL CURVES'!$A$4:$A$313,0),MATCH(AX$5,'TERMINAL CURVES'!$A$4:$N$4,0))*IF(AN41=0,0,AP41/AN41))-(AV$8)*((AV$7-$N$5)-(INDEX(ship_curves,MATCH(AT41,'SHIP CURVES'!$A$9:$A$316,0),MATCH(CONCATENATE(AX$4,AX$5,AX$6,AX$7),'SHIP CURVES'!$A$9:$Z$9,0))-INDEX(ship_curves,MATCH(AT41,'SHIP CURVES'!$A$9:$A$316,0),MATCH(CONCATENATE(AX$4,AV$6,AX$6,AX$7),'SHIP CURVES'!$A$9:$Z$9,0)))-(INDEX(terminal_curves,MATCH(AT41,'TERMINAL CURVES'!$A$4:$A$313,0),MATCH(AX$5,'TERMINAL CURVES'!$A$4:$N$4,0))-INDEX(terminal_curves,MATCH(AT41,'TERMINAL CURVES'!$A$4:$A$313,0),MATCH(AV$6,'TERMINAL CURVES'!$A$4:$N$4,0)))*IF(AN41=0,0,AP41/AN41)))*-AN41</f>
        <v>0</v>
      </c>
      <c r="AY41" s="343">
        <f t="shared" si="22"/>
        <v>0</v>
      </c>
      <c r="AZ41" s="338">
        <f>(-AP41/((HLOOKUP(AX$5,port_specs,2,0)/(365.25))*(AT42-AT41)))*(INDEX(fixed_capacity_charge,MATCH(AT41,PORTS!$H$11:$H$317,0),MATCH(AX$5,PORTS!$H$11:$N$11,0))+INDEX(variable_om_charge,MATCH(AT41,PORTS!$H$318:$H$625,0),MATCH(AX$5,PORTS!$H$318:$N$318,0)))</f>
        <v>0</v>
      </c>
      <c r="BA41" s="232">
        <f t="shared" si="23"/>
        <v>0</v>
      </c>
      <c r="BB41" s="241">
        <f t="shared" si="24"/>
        <v>0</v>
      </c>
      <c r="BC41" s="408"/>
      <c r="BD41" s="338">
        <f>+PORTS!I35+PORTS!I343</f>
        <v>951858.70948079636</v>
      </c>
    </row>
    <row r="42" spans="1:56" x14ac:dyDescent="0.2">
      <c r="A42" s="186">
        <f t="shared" si="25"/>
        <v>37438</v>
      </c>
      <c r="B42" s="215">
        <f>+IF(AND($A42&gt;=$C$8,$A42&lt;=$C$9),1,0)*PORTS!$I$5/(365.25)*(A43-A42)</f>
        <v>5339105.9818476336</v>
      </c>
      <c r="C42" s="351">
        <f t="shared" si="5"/>
        <v>2557694.9421749064</v>
      </c>
      <c r="D42">
        <f t="shared" si="6"/>
        <v>2002</v>
      </c>
      <c r="E42" s="186">
        <f t="shared" si="26"/>
        <v>37438</v>
      </c>
      <c r="F42" s="215">
        <f t="shared" si="7"/>
        <v>2876329.9272727272</v>
      </c>
      <c r="G42" s="191">
        <f t="shared" si="8"/>
        <v>-94918.887600000002</v>
      </c>
      <c r="H42" s="218">
        <f t="shared" si="9"/>
        <v>2781411.0396727272</v>
      </c>
      <c r="I42" s="118">
        <f t="shared" si="10"/>
        <v>-69535.275991818184</v>
      </c>
      <c r="J42" s="215">
        <f t="shared" si="2"/>
        <v>2711875.7636809088</v>
      </c>
      <c r="K42" s="202"/>
      <c r="L42" s="186">
        <f t="shared" si="27"/>
        <v>37438</v>
      </c>
      <c r="M42" s="400">
        <f>+J42*(VLOOKUP(L42,CURVECALC!$C$6:$J$312,4,0)+N$5)</f>
        <v>8734951.8348162062</v>
      </c>
      <c r="N42" s="208">
        <f>-F42*INDEX(ship_curves,MATCH(L42,'SHIP CURVES'!$A$9:$A$316,0),MATCH(CONCATENATE(P$4,P$5,P$6,P$7),'SHIP CURVES'!$A$9:$AZ$9,0))</f>
        <v>-1508709.6480457948</v>
      </c>
      <c r="O42" s="209">
        <f>-H42*INDEX(port_processing_fee,MATCH(L42,PORTS!$H$626:$H$933,0),MATCH(P$5,PORTS!$H$626:$Z$626,0))</f>
        <v>-75542.247789030516</v>
      </c>
      <c r="P42" s="405">
        <f>(((VLOOKUP(L42,curvecalc,4,0))*IF(F42=0,0,J42/F42)-INDEX(ship_curves,MATCH(L42,'SHIP CURVES'!$A$9:$A$316,0),MATCH(CONCATENATE(P$4,P$5,P$6,P$7),'SHIP CURVES'!$A$9:$Z$9,0))-INDEX(terminal_curves,MATCH(L42,'TERMINAL CURVES'!$A$4:$A$313,0),MATCH(P$5,'TERMINAL CURVES'!$A$4:$N$4,0))*IF(F42=0,0,H42/F42))-(N$8)*((N$7-$N$5)-(INDEX(ship_curves,MATCH(L42,'SHIP CURVES'!$A$9:$A$316,0),MATCH(CONCATENATE(P$4,P$5,P$6,P$7),'SHIP CURVES'!$A$9:$Z$9,0))-INDEX(ship_curves,MATCH(L42,'SHIP CURVES'!$A$9:$A$316,0),MATCH(CONCATENATE(P$4,N$6,P$6,P$7),'SHIP CURVES'!$A$9:$Z$9,0)))-(INDEX(terminal_curves,MATCH(L42,'TERMINAL CURVES'!$A$4:$A$313,0),MATCH(P$5,'TERMINAL CURVES'!$A$4:$N$4,0))-INDEX(terminal_curves,MATCH(L42,'TERMINAL CURVES'!$A$4:$A$313,0),MATCH(N$6,'TERMINAL CURVES'!$A$4:$N$4,0)))*IF(F42=0,0,H42/F42)))*-F42</f>
        <v>-6600337.7124866182</v>
      </c>
      <c r="Q42" s="403">
        <f t="shared" si="11"/>
        <v>-8184589.6083214432</v>
      </c>
      <c r="R42" s="338">
        <f>(-H42/((HLOOKUP(P$5,port_specs,2,0)/(365.25))*(L43-L42)))*(INDEX(fixed_capacity_charge,MATCH(L42,PORTS!$H$11:$H$317,0),MATCH(P$5,PORTS!$H$11:$N$11,0))+INDEX(variable_om_charge,MATCH(L42,PORTS!$H$318:$H$625,0),MATCH(P$5,PORTS!$H$318:$N$318,0)))</f>
        <v>-496124.71122114483</v>
      </c>
      <c r="S42" s="232">
        <f t="shared" si="12"/>
        <v>-8680714.3195425887</v>
      </c>
      <c r="T42" s="241">
        <f t="shared" si="13"/>
        <v>54237.515273617581</v>
      </c>
      <c r="U42" s="431"/>
      <c r="V42" s="186">
        <f t="shared" si="28"/>
        <v>37438</v>
      </c>
      <c r="W42" s="215">
        <f t="shared" si="14"/>
        <v>0</v>
      </c>
      <c r="X42" s="191">
        <f t="shared" si="15"/>
        <v>0</v>
      </c>
      <c r="Y42" s="218">
        <f>+IF(AND(X$8&lt;=V42,X$9&gt;=V42),+MIN($B42-SUMIF($H$17:X$17,Y$17,$H42:X42),((INDEX(ROUTE_PER_DAY_BY_SHIP,MATCH(CONCATENATE(X$4,X$5,X$7),ROUTE_PER_DAY_ROUTES,0),MATCH(X$6,ROUTE_PER_DAY_SHIPS,0))*(V43-V42))-(INDEX(ROUTE_PER_DAY_BY_SHIP,MATCH(CONCATENATE(X$4,X$5,X$7),ROUTE_PER_DAY_ROUTES,0),MATCH(X$6,ROUTE_PER_DAY_SHIPS,0))*(V43-V42))*HLOOKUP(X$6,SHIPS,7,0)*INDEX(LADEN_VOYAGE_DAYS,MATCH(CONCATENATE(X$4,X$5,X$7),LADEN_VOYAGE_ROUTES,0),MATCH(X$6,LADEN_VOYAGE_SHIPS,0)))),0)</f>
        <v>0</v>
      </c>
      <c r="Z42" s="118">
        <f t="shared" si="16"/>
        <v>0</v>
      </c>
      <c r="AA42" s="215">
        <f t="shared" si="3"/>
        <v>0</v>
      </c>
      <c r="AB42" s="202"/>
      <c r="AC42" s="186">
        <f t="shared" si="29"/>
        <v>37438</v>
      </c>
      <c r="AD42" s="232">
        <f>+AA42*(VLOOKUP(AC42,CURVECALC!$C$6:$J$312,4,0)+AE$5)</f>
        <v>0</v>
      </c>
      <c r="AE42" s="208">
        <f>-W42*INDEX(ship_curves,MATCH(AC42,'SHIP CURVES'!$A$9:$A$316,0),MATCH(CONCATENATE(AG$4,AG$5,AG$6,AG$7),'SHIP CURVES'!$A$9:$AZ$9,0))</f>
        <v>0</v>
      </c>
      <c r="AF42" s="209">
        <f>-Y42*INDEX(port_processing_fee,MATCH(AC42,PORTS!$H$626:$H$933,0),MATCH(AG$5,PORTS!$H$626:$Z$626,0))</f>
        <v>0</v>
      </c>
      <c r="AG42" s="405">
        <f>(((VLOOKUP(AC42,curvecalc,4,0))*IF(W42=0,0,AA42/W42)-INDEX(ship_curves,MATCH(AC42,'SHIP CURVES'!$A$9:$A$316,0),MATCH(CONCATENATE(AG$4,AG$5,AG$6,AG$7),'SHIP CURVES'!$A$9:$Z$9,0))-INDEX(terminal_curves,MATCH(AC42,'TERMINAL CURVES'!$A$4:$A$313,0),MATCH(AG$5,'TERMINAL CURVES'!$A$4:$N$4,0))*IF(W42=0,0,Y42/W42))-(AE$8)*((AE$7-$N$5)-(INDEX(ship_curves,MATCH(AC42,'SHIP CURVES'!$A$9:$A$316,0),MATCH(CONCATENATE(AG$4,AG$5,AG$6,AG$7),'SHIP CURVES'!$A$9:$Z$9,0))-INDEX(ship_curves,MATCH(AC42,'SHIP CURVES'!$A$9:$A$316,0),MATCH(CONCATENATE(AG$4,AE$6,AG$6,AG$7),'SHIP CURVES'!$A$9:$Z$9,0)))-(INDEX(terminal_curves,MATCH(AC42,'TERMINAL CURVES'!$A$4:$A$313,0),MATCH(AG$5,'TERMINAL CURVES'!$A$4:$N$4,0))-INDEX(terminal_curves,MATCH(AC42,'TERMINAL CURVES'!$A$4:$A$313,0),MATCH(AE$6,'TERMINAL CURVES'!$A$4:$N$4,0)))*IF(W42=0,0,Y42/W42)))*-W42</f>
        <v>0</v>
      </c>
      <c r="AH42" s="343">
        <f t="shared" si="17"/>
        <v>0</v>
      </c>
      <c r="AI42" s="338">
        <f>(-Y42/((HLOOKUP(AG$5,port_specs,2,0)/(365.25))*(AC43-AC42)))*(INDEX(fixed_capacity_charge,MATCH(AC42,PORTS!$H$11:$H$317,0),MATCH(AG$5,PORTS!$H$11:$N$11,0))+INDEX(variable_om_charge,MATCH(AC42,PORTS!$H$318:$H$625,0),MATCH(AG$5,PORTS!$H$318:$N$318,0)))</f>
        <v>0</v>
      </c>
      <c r="AJ42" s="232">
        <f t="shared" si="18"/>
        <v>0</v>
      </c>
      <c r="AK42" s="241">
        <f t="shared" si="19"/>
        <v>0</v>
      </c>
      <c r="AM42" s="186">
        <f t="shared" si="30"/>
        <v>37438</v>
      </c>
      <c r="AN42" s="215">
        <f t="shared" si="20"/>
        <v>0</v>
      </c>
      <c r="AO42" s="191">
        <f t="shared" si="21"/>
        <v>0</v>
      </c>
      <c r="AP42" s="218">
        <f>+IF(AND(AO$8&lt;=AM42,AO$9&gt;=AM42),+MIN($B42-SUMIF($H$17:AO$17,AP$17,$H42:AO42),((INDEX(ROUTE_PER_DAY_BY_SHIP,MATCH(CONCATENATE(AO$4,AO$5,AO$7),ROUTE_PER_DAY_ROUTES,0),MATCH(AO$6,ROUTE_PER_DAY_SHIPS,0))*(AM43-AM42))-(INDEX(ROUTE_PER_DAY_BY_SHIP,MATCH(CONCATENATE(AO$4,AO$5,AO$7),ROUTE_PER_DAY_ROUTES,0),MATCH(AO$6,ROUTE_PER_DAY_SHIPS,0))*(AM43-AM42))*HLOOKUP(AO$6,SHIPS,7,0)*INDEX(LADEN_VOYAGE_DAYS,MATCH(CONCATENATE(AO$4,AO$5,AO$7),LADEN_VOYAGE_ROUTES,0),MATCH(AO$6,LADEN_VOYAGE_SHIPS,0)))),0)</f>
        <v>0</v>
      </c>
      <c r="AQ42" s="118">
        <f>-(AP42)*PORTS!$I$6</f>
        <v>0</v>
      </c>
      <c r="AR42" s="215">
        <f t="shared" si="4"/>
        <v>0</v>
      </c>
      <c r="AS42" s="202"/>
      <c r="AT42" s="186">
        <f t="shared" si="31"/>
        <v>37438</v>
      </c>
      <c r="AU42" s="232">
        <f>+AR42*(VLOOKUP(AT42,CURVECALC!$C$6:$J$312,4,0)+AV$5)</f>
        <v>0</v>
      </c>
      <c r="AV42" s="208">
        <f>-AN42*INDEX(ship_curves,MATCH(AT42,'SHIP CURVES'!$A$9:$A$316,0),MATCH(CONCATENATE(AX$4,AX$5,AX$6,AX$7),'SHIP CURVES'!$A$9:$AZ$9,0))</f>
        <v>0</v>
      </c>
      <c r="AW42" s="209">
        <f>-AP42*INDEX(port_processing_fee,MATCH(AT42,PORTS!$H$626:$H$933,0),MATCH(AX$5,PORTS!$H$626:$Z$626,0))</f>
        <v>0</v>
      </c>
      <c r="AX42" s="405">
        <f>(((VLOOKUP(AT42,curvecalc,4,0))*IF(AN42=0,0,AR42/AN42)-INDEX(ship_curves,MATCH(AT42,'SHIP CURVES'!$A$9:$A$316,0),MATCH(CONCATENATE(AX$4,AX$5,AX$6,AX$7),'SHIP CURVES'!$A$9:$Z$9,0))-INDEX(terminal_curves,MATCH(AT42,'TERMINAL CURVES'!$A$4:$A$313,0),MATCH(AX$5,'TERMINAL CURVES'!$A$4:$N$4,0))*IF(AN42=0,0,AP42/AN42))-(AV$8)*((AV$7-$N$5)-(INDEX(ship_curves,MATCH(AT42,'SHIP CURVES'!$A$9:$A$316,0),MATCH(CONCATENATE(AX$4,AX$5,AX$6,AX$7),'SHIP CURVES'!$A$9:$Z$9,0))-INDEX(ship_curves,MATCH(AT42,'SHIP CURVES'!$A$9:$A$316,0),MATCH(CONCATENATE(AX$4,AV$6,AX$6,AX$7),'SHIP CURVES'!$A$9:$Z$9,0)))-(INDEX(terminal_curves,MATCH(AT42,'TERMINAL CURVES'!$A$4:$A$313,0),MATCH(AX$5,'TERMINAL CURVES'!$A$4:$N$4,0))-INDEX(terminal_curves,MATCH(AT42,'TERMINAL CURVES'!$A$4:$A$313,0),MATCH(AV$6,'TERMINAL CURVES'!$A$4:$N$4,0)))*IF(AN42=0,0,AP42/AN42)))*-AN42</f>
        <v>0</v>
      </c>
      <c r="AY42" s="343">
        <f t="shared" si="22"/>
        <v>0</v>
      </c>
      <c r="AZ42" s="338">
        <f>(-AP42/((HLOOKUP(AX$5,port_specs,2,0)/(365.25))*(AT43-AT42)))*(INDEX(fixed_capacity_charge,MATCH(AT42,PORTS!$H$11:$H$317,0),MATCH(AX$5,PORTS!$H$11:$N$11,0))+INDEX(variable_om_charge,MATCH(AT42,PORTS!$H$318:$H$625,0),MATCH(AX$5,PORTS!$H$318:$N$318,0)))</f>
        <v>0</v>
      </c>
      <c r="BA42" s="232">
        <f t="shared" si="23"/>
        <v>0</v>
      </c>
      <c r="BB42" s="241">
        <f t="shared" si="24"/>
        <v>0</v>
      </c>
      <c r="BC42" s="408"/>
      <c r="BD42" s="338">
        <f>+PORTS!I36+PORTS!I344</f>
        <v>952344.82629180932</v>
      </c>
    </row>
    <row r="43" spans="1:56" x14ac:dyDescent="0.2">
      <c r="A43" s="186">
        <f t="shared" si="25"/>
        <v>37469</v>
      </c>
      <c r="B43" s="215">
        <f>+IF(AND($A43&gt;=$C$8,$A43&lt;=$C$9),1,0)*PORTS!$I$5/(365.25)*(A44-A43)</f>
        <v>5339105.9818476336</v>
      </c>
      <c r="C43" s="351">
        <f t="shared" si="5"/>
        <v>2557694.9421749064</v>
      </c>
      <c r="D43">
        <f t="shared" si="6"/>
        <v>2002</v>
      </c>
      <c r="E43" s="186">
        <f t="shared" si="26"/>
        <v>37469</v>
      </c>
      <c r="F43" s="215">
        <f t="shared" si="7"/>
        <v>2876329.9272727272</v>
      </c>
      <c r="G43" s="191">
        <f t="shared" si="8"/>
        <v>-94918.887600000002</v>
      </c>
      <c r="H43" s="218">
        <f t="shared" si="9"/>
        <v>2781411.0396727272</v>
      </c>
      <c r="I43" s="118">
        <f t="shared" si="10"/>
        <v>-69535.275991818184</v>
      </c>
      <c r="J43" s="215">
        <f t="shared" si="2"/>
        <v>2711875.7636809088</v>
      </c>
      <c r="K43" s="202"/>
      <c r="L43" s="186">
        <f t="shared" si="27"/>
        <v>37469</v>
      </c>
      <c r="M43" s="400">
        <f>+J43*(VLOOKUP(L43,CURVECALC!$C$6:$J$312,4,0)+N$5)</f>
        <v>8734951.8348162062</v>
      </c>
      <c r="N43" s="208">
        <f>-F43*INDEX(ship_curves,MATCH(L43,'SHIP CURVES'!$A$9:$A$316,0),MATCH(CONCATENATE(P$4,P$5,P$6,P$7),'SHIP CURVES'!$A$9:$AZ$9,0))</f>
        <v>-1509646.3765916291</v>
      </c>
      <c r="O43" s="209">
        <f>-H43*INDEX(port_processing_fee,MATCH(L43,PORTS!$H$626:$H$933,0),MATCH(P$5,PORTS!$H$626:$Z$626,0))</f>
        <v>-75620.93763047742</v>
      </c>
      <c r="P43" s="405">
        <f>(((VLOOKUP(L43,curvecalc,4,0))*IF(F43=0,0,J43/F43)-INDEX(ship_curves,MATCH(L43,'SHIP CURVES'!$A$9:$A$316,0),MATCH(CONCATENATE(P$4,P$5,P$6,P$7),'SHIP CURVES'!$A$9:$Z$9,0))-INDEX(terminal_curves,MATCH(L43,'TERMINAL CURVES'!$A$4:$A$313,0),MATCH(P$5,'TERMINAL CURVES'!$A$4:$N$4,0))*IF(F43=0,0,H43/F43))-(N$8)*((N$7-$N$5)-(INDEX(ship_curves,MATCH(L43,'SHIP CURVES'!$A$9:$A$316,0),MATCH(CONCATENATE(P$4,P$5,P$6,P$7),'SHIP CURVES'!$A$9:$Z$9,0))-INDEX(ship_curves,MATCH(L43,'SHIP CURVES'!$A$9:$A$316,0),MATCH(CONCATENATE(P$4,N$6,P$6,P$7),'SHIP CURVES'!$A$9:$Z$9,0)))-(INDEX(terminal_curves,MATCH(L43,'TERMINAL CURVES'!$A$4:$A$313,0),MATCH(P$5,'TERMINAL CURVES'!$A$4:$N$4,0))-INDEX(terminal_curves,MATCH(L43,'TERMINAL CURVES'!$A$4:$A$313,0),MATCH(N$6,'TERMINAL CURVES'!$A$4:$N$4,0)))*IF(F43=0,0,H43/F43)))*-F43</f>
        <v>-6599068.7874079347</v>
      </c>
      <c r="Q43" s="403">
        <f t="shared" si="11"/>
        <v>-8184336.1016300414</v>
      </c>
      <c r="R43" s="338">
        <f>(-H43/((HLOOKUP(P$5,port_specs,2,0)/(365.25))*(L44-L43)))*(INDEX(fixed_capacity_charge,MATCH(L43,PORTS!$H$11:$H$317,0),MATCH(P$5,PORTS!$H$11:$N$11,0))+INDEX(variable_om_charge,MATCH(L43,PORTS!$H$318:$H$625,0),MATCH(P$5,PORTS!$H$318:$N$318,0)))</f>
        <v>-496378.21791254595</v>
      </c>
      <c r="S43" s="232">
        <f t="shared" si="12"/>
        <v>-8680714.3195425868</v>
      </c>
      <c r="T43" s="241">
        <f t="shared" si="13"/>
        <v>54237.515273619443</v>
      </c>
      <c r="U43" s="431"/>
      <c r="V43" s="186">
        <f t="shared" si="28"/>
        <v>37469</v>
      </c>
      <c r="W43" s="215">
        <f t="shared" si="14"/>
        <v>0</v>
      </c>
      <c r="X43" s="191">
        <f t="shared" si="15"/>
        <v>0</v>
      </c>
      <c r="Y43" s="218">
        <f>+IF(AND(X$8&lt;=V43,X$9&gt;=V43),+MIN($B43-SUMIF($H$17:X$17,Y$17,$H43:X43),((INDEX(ROUTE_PER_DAY_BY_SHIP,MATCH(CONCATENATE(X$4,X$5,X$7),ROUTE_PER_DAY_ROUTES,0),MATCH(X$6,ROUTE_PER_DAY_SHIPS,0))*(V44-V43))-(INDEX(ROUTE_PER_DAY_BY_SHIP,MATCH(CONCATENATE(X$4,X$5,X$7),ROUTE_PER_DAY_ROUTES,0),MATCH(X$6,ROUTE_PER_DAY_SHIPS,0))*(V44-V43))*HLOOKUP(X$6,SHIPS,7,0)*INDEX(LADEN_VOYAGE_DAYS,MATCH(CONCATENATE(X$4,X$5,X$7),LADEN_VOYAGE_ROUTES,0),MATCH(X$6,LADEN_VOYAGE_SHIPS,0)))),0)</f>
        <v>0</v>
      </c>
      <c r="Z43" s="118">
        <f t="shared" si="16"/>
        <v>0</v>
      </c>
      <c r="AA43" s="215">
        <f t="shared" si="3"/>
        <v>0</v>
      </c>
      <c r="AB43" s="202"/>
      <c r="AC43" s="186">
        <f t="shared" si="29"/>
        <v>37469</v>
      </c>
      <c r="AD43" s="232">
        <f>+AA43*(VLOOKUP(AC43,CURVECALC!$C$6:$J$312,4,0)+AE$5)</f>
        <v>0</v>
      </c>
      <c r="AE43" s="208">
        <f>-W43*INDEX(ship_curves,MATCH(AC43,'SHIP CURVES'!$A$9:$A$316,0),MATCH(CONCATENATE(AG$4,AG$5,AG$6,AG$7),'SHIP CURVES'!$A$9:$AZ$9,0))</f>
        <v>0</v>
      </c>
      <c r="AF43" s="209">
        <f>-Y43*INDEX(port_processing_fee,MATCH(AC43,PORTS!$H$626:$H$933,0),MATCH(AG$5,PORTS!$H$626:$Z$626,0))</f>
        <v>0</v>
      </c>
      <c r="AG43" s="405">
        <f>(((VLOOKUP(AC43,curvecalc,4,0))*IF(W43=0,0,AA43/W43)-INDEX(ship_curves,MATCH(AC43,'SHIP CURVES'!$A$9:$A$316,0),MATCH(CONCATENATE(AG$4,AG$5,AG$6,AG$7),'SHIP CURVES'!$A$9:$Z$9,0))-INDEX(terminal_curves,MATCH(AC43,'TERMINAL CURVES'!$A$4:$A$313,0),MATCH(AG$5,'TERMINAL CURVES'!$A$4:$N$4,0))*IF(W43=0,0,Y43/W43))-(AE$8)*((AE$7-$N$5)-(INDEX(ship_curves,MATCH(AC43,'SHIP CURVES'!$A$9:$A$316,0),MATCH(CONCATENATE(AG$4,AG$5,AG$6,AG$7),'SHIP CURVES'!$A$9:$Z$9,0))-INDEX(ship_curves,MATCH(AC43,'SHIP CURVES'!$A$9:$A$316,0),MATCH(CONCATENATE(AG$4,AE$6,AG$6,AG$7),'SHIP CURVES'!$A$9:$Z$9,0)))-(INDEX(terminal_curves,MATCH(AC43,'TERMINAL CURVES'!$A$4:$A$313,0),MATCH(AG$5,'TERMINAL CURVES'!$A$4:$N$4,0))-INDEX(terminal_curves,MATCH(AC43,'TERMINAL CURVES'!$A$4:$A$313,0),MATCH(AE$6,'TERMINAL CURVES'!$A$4:$N$4,0)))*IF(W43=0,0,Y43/W43)))*-W43</f>
        <v>0</v>
      </c>
      <c r="AH43" s="343">
        <f t="shared" si="17"/>
        <v>0</v>
      </c>
      <c r="AI43" s="338">
        <f>(-Y43/((HLOOKUP(AG$5,port_specs,2,0)/(365.25))*(AC44-AC43)))*(INDEX(fixed_capacity_charge,MATCH(AC43,PORTS!$H$11:$H$317,0),MATCH(AG$5,PORTS!$H$11:$N$11,0))+INDEX(variable_om_charge,MATCH(AC43,PORTS!$H$318:$H$625,0),MATCH(AG$5,PORTS!$H$318:$N$318,0)))</f>
        <v>0</v>
      </c>
      <c r="AJ43" s="232">
        <f t="shared" si="18"/>
        <v>0</v>
      </c>
      <c r="AK43" s="241">
        <f t="shared" si="19"/>
        <v>0</v>
      </c>
      <c r="AM43" s="186">
        <f t="shared" si="30"/>
        <v>37469</v>
      </c>
      <c r="AN43" s="215">
        <f t="shared" si="20"/>
        <v>0</v>
      </c>
      <c r="AO43" s="191">
        <f t="shared" si="21"/>
        <v>0</v>
      </c>
      <c r="AP43" s="218">
        <f>+IF(AND(AO$8&lt;=AM43,AO$9&gt;=AM43),+MIN($B43-SUMIF($H$17:AO$17,AP$17,$H43:AO43),((INDEX(ROUTE_PER_DAY_BY_SHIP,MATCH(CONCATENATE(AO$4,AO$5,AO$7),ROUTE_PER_DAY_ROUTES,0),MATCH(AO$6,ROUTE_PER_DAY_SHIPS,0))*(AM44-AM43))-(INDEX(ROUTE_PER_DAY_BY_SHIP,MATCH(CONCATENATE(AO$4,AO$5,AO$7),ROUTE_PER_DAY_ROUTES,0),MATCH(AO$6,ROUTE_PER_DAY_SHIPS,0))*(AM44-AM43))*HLOOKUP(AO$6,SHIPS,7,0)*INDEX(LADEN_VOYAGE_DAYS,MATCH(CONCATENATE(AO$4,AO$5,AO$7),LADEN_VOYAGE_ROUTES,0),MATCH(AO$6,LADEN_VOYAGE_SHIPS,0)))),0)</f>
        <v>0</v>
      </c>
      <c r="AQ43" s="118">
        <f>-(AP43)*PORTS!$I$6</f>
        <v>0</v>
      </c>
      <c r="AR43" s="215">
        <f t="shared" si="4"/>
        <v>0</v>
      </c>
      <c r="AS43" s="202"/>
      <c r="AT43" s="186">
        <f t="shared" si="31"/>
        <v>37469</v>
      </c>
      <c r="AU43" s="232">
        <f>+AR43*(VLOOKUP(AT43,CURVECALC!$C$6:$J$312,4,0)+AV$5)</f>
        <v>0</v>
      </c>
      <c r="AV43" s="208">
        <f>-AN43*INDEX(ship_curves,MATCH(AT43,'SHIP CURVES'!$A$9:$A$316,0),MATCH(CONCATENATE(AX$4,AX$5,AX$6,AX$7),'SHIP CURVES'!$A$9:$AZ$9,0))</f>
        <v>0</v>
      </c>
      <c r="AW43" s="209">
        <f>-AP43*INDEX(port_processing_fee,MATCH(AT43,PORTS!$H$626:$H$933,0),MATCH(AX$5,PORTS!$H$626:$Z$626,0))</f>
        <v>0</v>
      </c>
      <c r="AX43" s="405">
        <f>(((VLOOKUP(AT43,curvecalc,4,0))*IF(AN43=0,0,AR43/AN43)-INDEX(ship_curves,MATCH(AT43,'SHIP CURVES'!$A$9:$A$316,0),MATCH(CONCATENATE(AX$4,AX$5,AX$6,AX$7),'SHIP CURVES'!$A$9:$Z$9,0))-INDEX(terminal_curves,MATCH(AT43,'TERMINAL CURVES'!$A$4:$A$313,0),MATCH(AX$5,'TERMINAL CURVES'!$A$4:$N$4,0))*IF(AN43=0,0,AP43/AN43))-(AV$8)*((AV$7-$N$5)-(INDEX(ship_curves,MATCH(AT43,'SHIP CURVES'!$A$9:$A$316,0),MATCH(CONCATENATE(AX$4,AX$5,AX$6,AX$7),'SHIP CURVES'!$A$9:$Z$9,0))-INDEX(ship_curves,MATCH(AT43,'SHIP CURVES'!$A$9:$A$316,0),MATCH(CONCATENATE(AX$4,AV$6,AX$6,AX$7),'SHIP CURVES'!$A$9:$Z$9,0)))-(INDEX(terminal_curves,MATCH(AT43,'TERMINAL CURVES'!$A$4:$A$313,0),MATCH(AX$5,'TERMINAL CURVES'!$A$4:$N$4,0))-INDEX(terminal_curves,MATCH(AT43,'TERMINAL CURVES'!$A$4:$A$313,0),MATCH(AV$6,'TERMINAL CURVES'!$A$4:$N$4,0)))*IF(AN43=0,0,AP43/AN43)))*-AN43</f>
        <v>0</v>
      </c>
      <c r="AY43" s="343">
        <f t="shared" si="22"/>
        <v>0</v>
      </c>
      <c r="AZ43" s="338">
        <f>(-AP43/((HLOOKUP(AX$5,port_specs,2,0)/(365.25))*(AT44-AT43)))*(INDEX(fixed_capacity_charge,MATCH(AT43,PORTS!$H$11:$H$317,0),MATCH(AX$5,PORTS!$H$11:$N$11,0))+INDEX(variable_om_charge,MATCH(AT43,PORTS!$H$318:$H$625,0),MATCH(AX$5,PORTS!$H$318:$N$318,0)))</f>
        <v>0</v>
      </c>
      <c r="BA43" s="232">
        <f t="shared" si="23"/>
        <v>0</v>
      </c>
      <c r="BB43" s="241">
        <f t="shared" si="24"/>
        <v>0</v>
      </c>
      <c r="BC43" s="408"/>
      <c r="BD43" s="338">
        <f>+PORTS!I37+PORTS!I345</f>
        <v>952831.44947450049</v>
      </c>
    </row>
    <row r="44" spans="1:56" x14ac:dyDescent="0.2">
      <c r="A44" s="186">
        <f t="shared" si="25"/>
        <v>37500</v>
      </c>
      <c r="B44" s="215">
        <f>+IF(AND($A44&gt;=$C$8,$A44&lt;=$C$9),1,0)*PORTS!$I$5/(365.25)*(A45-A44)</f>
        <v>5166876.756626742</v>
      </c>
      <c r="C44" s="351">
        <f t="shared" si="5"/>
        <v>2475188.653717651</v>
      </c>
      <c r="D44">
        <f t="shared" si="6"/>
        <v>2002</v>
      </c>
      <c r="E44" s="186">
        <f t="shared" si="26"/>
        <v>37500</v>
      </c>
      <c r="F44" s="215">
        <f t="shared" si="7"/>
        <v>2783545.0909090908</v>
      </c>
      <c r="G44" s="191">
        <f t="shared" si="8"/>
        <v>-91856.987999999983</v>
      </c>
      <c r="H44" s="218">
        <f t="shared" si="9"/>
        <v>2691688.1029090909</v>
      </c>
      <c r="I44" s="118">
        <f t="shared" si="10"/>
        <v>-67292.20257272727</v>
      </c>
      <c r="J44" s="215">
        <f t="shared" si="2"/>
        <v>2624395.9003363638</v>
      </c>
      <c r="K44" s="202"/>
      <c r="L44" s="186">
        <f t="shared" si="27"/>
        <v>37500</v>
      </c>
      <c r="M44" s="400">
        <f>+J44*(VLOOKUP(L44,CURVECALC!$C$6:$J$312,4,0)+N$5)</f>
        <v>8426935.2359800637</v>
      </c>
      <c r="N44" s="208">
        <f>-F44*INDEX(ship_curves,MATCH(L44,'SHIP CURVES'!$A$9:$A$316,0),MATCH(CONCATENATE(P$4,P$5,P$6,P$7),'SHIP CURVES'!$A$9:$AZ$9,0))</f>
        <v>-1461856.5064405811</v>
      </c>
      <c r="O44" s="209">
        <f>-H44*INDEX(port_processing_fee,MATCH(L44,PORTS!$H$626:$H$933,0),MATCH(P$5,PORTS!$H$626:$Z$626,0))</f>
        <v>-73257.783329525002</v>
      </c>
      <c r="P44" s="405">
        <f>(((VLOOKUP(L44,curvecalc,4,0))*IF(F44=0,0,J44/F44)-INDEX(ship_curves,MATCH(L44,'SHIP CURVES'!$A$9:$A$316,0),MATCH(CONCATENATE(P$4,P$5,P$6,P$7),'SHIP CURVES'!$A$9:$Z$9,0))-INDEX(terminal_curves,MATCH(L44,'TERMINAL CURVES'!$A$4:$A$313,0),MATCH(P$5,'TERMINAL CURVES'!$A$4:$N$4,0))*IF(F44=0,0,H44/F44))-(N$8)*((N$7-$N$5)-(INDEX(ship_curves,MATCH(L44,'SHIP CURVES'!$A$9:$A$316,0),MATCH(CONCATENATE(P$4,P$5,P$6,P$7),'SHIP CURVES'!$A$9:$Z$9,0))-INDEX(ship_curves,MATCH(L44,'SHIP CURVES'!$A$9:$A$316,0),MATCH(CONCATENATE(P$4,N$6,P$6,P$7),'SHIP CURVES'!$A$9:$Z$9,0)))-(INDEX(terminal_curves,MATCH(L44,'TERMINAL CURVES'!$A$4:$A$313,0),MATCH(P$5,'TERMINAL CURVES'!$A$4:$N$4,0))-INDEX(terminal_curves,MATCH(L44,'TERMINAL CURVES'!$A$4:$A$313,0),MATCH(N$6,'TERMINAL CURVES'!$A$4:$N$4,0)))*IF(F44=0,0,H44/F44)))*-F44</f>
        <v>-6342701.0395298125</v>
      </c>
      <c r="Q44" s="403">
        <f t="shared" si="11"/>
        <v>-7877815.3292999184</v>
      </c>
      <c r="R44" s="338">
        <f>(-H44/((HLOOKUP(P$5,port_specs,2,0)/(365.25))*(L45-L44)))*(INDEX(fixed_capacity_charge,MATCH(L44,PORTS!$H$11:$H$317,0),MATCH(P$5,PORTS!$H$11:$N$11,0))+INDEX(variable_om_charge,MATCH(L44,PORTS!$H$318:$H$625,0),MATCH(P$5,PORTS!$H$318:$N$318,0)))</f>
        <v>-496631.98867341713</v>
      </c>
      <c r="S44" s="232">
        <f t="shared" si="12"/>
        <v>-8374447.3179733353</v>
      </c>
      <c r="T44" s="241">
        <f t="shared" si="13"/>
        <v>52487.918006728403</v>
      </c>
      <c r="U44" s="431"/>
      <c r="V44" s="186">
        <f t="shared" si="28"/>
        <v>37500</v>
      </c>
      <c r="W44" s="215">
        <f t="shared" si="14"/>
        <v>0</v>
      </c>
      <c r="X44" s="191">
        <f t="shared" si="15"/>
        <v>0</v>
      </c>
      <c r="Y44" s="218">
        <f>+IF(AND(X$8&lt;=V44,X$9&gt;=V44),+MIN($B44-SUMIF($H$17:X$17,Y$17,$H44:X44),((INDEX(ROUTE_PER_DAY_BY_SHIP,MATCH(CONCATENATE(X$4,X$5,X$7),ROUTE_PER_DAY_ROUTES,0),MATCH(X$6,ROUTE_PER_DAY_SHIPS,0))*(V45-V44))-(INDEX(ROUTE_PER_DAY_BY_SHIP,MATCH(CONCATENATE(X$4,X$5,X$7),ROUTE_PER_DAY_ROUTES,0),MATCH(X$6,ROUTE_PER_DAY_SHIPS,0))*(V45-V44))*HLOOKUP(X$6,SHIPS,7,0)*INDEX(LADEN_VOYAGE_DAYS,MATCH(CONCATENATE(X$4,X$5,X$7),LADEN_VOYAGE_ROUTES,0),MATCH(X$6,LADEN_VOYAGE_SHIPS,0)))),0)</f>
        <v>0</v>
      </c>
      <c r="Z44" s="118">
        <f t="shared" si="16"/>
        <v>0</v>
      </c>
      <c r="AA44" s="215">
        <f t="shared" si="3"/>
        <v>0</v>
      </c>
      <c r="AB44" s="202"/>
      <c r="AC44" s="186">
        <f t="shared" si="29"/>
        <v>37500</v>
      </c>
      <c r="AD44" s="232">
        <f>+AA44*(VLOOKUP(AC44,CURVECALC!$C$6:$J$312,4,0)+AE$5)</f>
        <v>0</v>
      </c>
      <c r="AE44" s="208">
        <f>-W44*INDEX(ship_curves,MATCH(AC44,'SHIP CURVES'!$A$9:$A$316,0),MATCH(CONCATENATE(AG$4,AG$5,AG$6,AG$7),'SHIP CURVES'!$A$9:$AZ$9,0))</f>
        <v>0</v>
      </c>
      <c r="AF44" s="209">
        <f>-Y44*INDEX(port_processing_fee,MATCH(AC44,PORTS!$H$626:$H$933,0),MATCH(AG$5,PORTS!$H$626:$Z$626,0))</f>
        <v>0</v>
      </c>
      <c r="AG44" s="405">
        <f>(((VLOOKUP(AC44,curvecalc,4,0))*IF(W44=0,0,AA44/W44)-INDEX(ship_curves,MATCH(AC44,'SHIP CURVES'!$A$9:$A$316,0),MATCH(CONCATENATE(AG$4,AG$5,AG$6,AG$7),'SHIP CURVES'!$A$9:$Z$9,0))-INDEX(terminal_curves,MATCH(AC44,'TERMINAL CURVES'!$A$4:$A$313,0),MATCH(AG$5,'TERMINAL CURVES'!$A$4:$N$4,0))*IF(W44=0,0,Y44/W44))-(AE$8)*((AE$7-$N$5)-(INDEX(ship_curves,MATCH(AC44,'SHIP CURVES'!$A$9:$A$316,0),MATCH(CONCATENATE(AG$4,AG$5,AG$6,AG$7),'SHIP CURVES'!$A$9:$Z$9,0))-INDEX(ship_curves,MATCH(AC44,'SHIP CURVES'!$A$9:$A$316,0),MATCH(CONCATENATE(AG$4,AE$6,AG$6,AG$7),'SHIP CURVES'!$A$9:$Z$9,0)))-(INDEX(terminal_curves,MATCH(AC44,'TERMINAL CURVES'!$A$4:$A$313,0),MATCH(AG$5,'TERMINAL CURVES'!$A$4:$N$4,0))-INDEX(terminal_curves,MATCH(AC44,'TERMINAL CURVES'!$A$4:$A$313,0),MATCH(AE$6,'TERMINAL CURVES'!$A$4:$N$4,0)))*IF(W44=0,0,Y44/W44)))*-W44</f>
        <v>0</v>
      </c>
      <c r="AH44" s="343">
        <f t="shared" si="17"/>
        <v>0</v>
      </c>
      <c r="AI44" s="338">
        <f>(-Y44/((HLOOKUP(AG$5,port_specs,2,0)/(365.25))*(AC45-AC44)))*(INDEX(fixed_capacity_charge,MATCH(AC44,PORTS!$H$11:$H$317,0),MATCH(AG$5,PORTS!$H$11:$N$11,0))+INDEX(variable_om_charge,MATCH(AC44,PORTS!$H$318:$H$625,0),MATCH(AG$5,PORTS!$H$318:$N$318,0)))</f>
        <v>0</v>
      </c>
      <c r="AJ44" s="232">
        <f t="shared" si="18"/>
        <v>0</v>
      </c>
      <c r="AK44" s="241">
        <f t="shared" si="19"/>
        <v>0</v>
      </c>
      <c r="AM44" s="186">
        <f t="shared" si="30"/>
        <v>37500</v>
      </c>
      <c r="AN44" s="215">
        <f t="shared" si="20"/>
        <v>0</v>
      </c>
      <c r="AO44" s="191">
        <f t="shared" si="21"/>
        <v>0</v>
      </c>
      <c r="AP44" s="218">
        <f>+IF(AND(AO$8&lt;=AM44,AO$9&gt;=AM44),+MIN($B44-SUMIF($H$17:AO$17,AP$17,$H44:AO44),((INDEX(ROUTE_PER_DAY_BY_SHIP,MATCH(CONCATENATE(AO$4,AO$5,AO$7),ROUTE_PER_DAY_ROUTES,0),MATCH(AO$6,ROUTE_PER_DAY_SHIPS,0))*(AM45-AM44))-(INDEX(ROUTE_PER_DAY_BY_SHIP,MATCH(CONCATENATE(AO$4,AO$5,AO$7),ROUTE_PER_DAY_ROUTES,0),MATCH(AO$6,ROUTE_PER_DAY_SHIPS,0))*(AM45-AM44))*HLOOKUP(AO$6,SHIPS,7,0)*INDEX(LADEN_VOYAGE_DAYS,MATCH(CONCATENATE(AO$4,AO$5,AO$7),LADEN_VOYAGE_ROUTES,0),MATCH(AO$6,LADEN_VOYAGE_SHIPS,0)))),0)</f>
        <v>0</v>
      </c>
      <c r="AQ44" s="118">
        <f>-(AP44)*PORTS!$I$6</f>
        <v>0</v>
      </c>
      <c r="AR44" s="215">
        <f t="shared" si="4"/>
        <v>0</v>
      </c>
      <c r="AS44" s="202"/>
      <c r="AT44" s="186">
        <f t="shared" si="31"/>
        <v>37500</v>
      </c>
      <c r="AU44" s="232">
        <f>+AR44*(VLOOKUP(AT44,CURVECALC!$C$6:$J$312,4,0)+AV$5)</f>
        <v>0</v>
      </c>
      <c r="AV44" s="208">
        <f>-AN44*INDEX(ship_curves,MATCH(AT44,'SHIP CURVES'!$A$9:$A$316,0),MATCH(CONCATENATE(AX$4,AX$5,AX$6,AX$7),'SHIP CURVES'!$A$9:$AZ$9,0))</f>
        <v>0</v>
      </c>
      <c r="AW44" s="209">
        <f>-AP44*INDEX(port_processing_fee,MATCH(AT44,PORTS!$H$626:$H$933,0),MATCH(AX$5,PORTS!$H$626:$Z$626,0))</f>
        <v>0</v>
      </c>
      <c r="AX44" s="405">
        <f>(((VLOOKUP(AT44,curvecalc,4,0))*IF(AN44=0,0,AR44/AN44)-INDEX(ship_curves,MATCH(AT44,'SHIP CURVES'!$A$9:$A$316,0),MATCH(CONCATENATE(AX$4,AX$5,AX$6,AX$7),'SHIP CURVES'!$A$9:$Z$9,0))-INDEX(terminal_curves,MATCH(AT44,'TERMINAL CURVES'!$A$4:$A$313,0),MATCH(AX$5,'TERMINAL CURVES'!$A$4:$N$4,0))*IF(AN44=0,0,AP44/AN44))-(AV$8)*((AV$7-$N$5)-(INDEX(ship_curves,MATCH(AT44,'SHIP CURVES'!$A$9:$A$316,0),MATCH(CONCATENATE(AX$4,AX$5,AX$6,AX$7),'SHIP CURVES'!$A$9:$Z$9,0))-INDEX(ship_curves,MATCH(AT44,'SHIP CURVES'!$A$9:$A$316,0),MATCH(CONCATENATE(AX$4,AV$6,AX$6,AX$7),'SHIP CURVES'!$A$9:$Z$9,0)))-(INDEX(terminal_curves,MATCH(AT44,'TERMINAL CURVES'!$A$4:$A$313,0),MATCH(AX$5,'TERMINAL CURVES'!$A$4:$N$4,0))-INDEX(terminal_curves,MATCH(AT44,'TERMINAL CURVES'!$A$4:$A$313,0),MATCH(AV$6,'TERMINAL CURVES'!$A$4:$N$4,0)))*IF(AN44=0,0,AP44/AN44)))*-AN44</f>
        <v>0</v>
      </c>
      <c r="AY44" s="343">
        <f t="shared" si="22"/>
        <v>0</v>
      </c>
      <c r="AZ44" s="338">
        <f>(-AP44/((HLOOKUP(AX$5,port_specs,2,0)/(365.25))*(AT45-AT44)))*(INDEX(fixed_capacity_charge,MATCH(AT44,PORTS!$H$11:$H$317,0),MATCH(AX$5,PORTS!$H$11:$N$11,0))+INDEX(variable_om_charge,MATCH(AT44,PORTS!$H$318:$H$625,0),MATCH(AX$5,PORTS!$H$318:$N$318,0)))</f>
        <v>0</v>
      </c>
      <c r="BA44" s="232">
        <f t="shared" si="23"/>
        <v>0</v>
      </c>
      <c r="BB44" s="241">
        <f t="shared" si="24"/>
        <v>0</v>
      </c>
      <c r="BC44" s="408"/>
      <c r="BD44" s="338">
        <f>+PORTS!I38+PORTS!I346</f>
        <v>953318.57955634012</v>
      </c>
    </row>
    <row r="45" spans="1:56" x14ac:dyDescent="0.2">
      <c r="A45" s="186">
        <f t="shared" si="25"/>
        <v>37530</v>
      </c>
      <c r="B45" s="215">
        <f>+IF(AND($A45&gt;=$C$8,$A45&lt;=$C$9),1,0)*PORTS!$I$5/(365.25)*(A46-A45)</f>
        <v>5339105.9818476336</v>
      </c>
      <c r="C45" s="351">
        <f t="shared" si="5"/>
        <v>2557694.9421749064</v>
      </c>
      <c r="D45">
        <f t="shared" si="6"/>
        <v>2002</v>
      </c>
      <c r="E45" s="186">
        <f t="shared" si="26"/>
        <v>37530</v>
      </c>
      <c r="F45" s="215">
        <f t="shared" si="7"/>
        <v>2876329.9272727272</v>
      </c>
      <c r="G45" s="191">
        <f t="shared" si="8"/>
        <v>-94918.887600000002</v>
      </c>
      <c r="H45" s="218">
        <f t="shared" si="9"/>
        <v>2781411.0396727272</v>
      </c>
      <c r="I45" s="118">
        <f t="shared" si="10"/>
        <v>-69535.275991818184</v>
      </c>
      <c r="J45" s="215">
        <f t="shared" si="2"/>
        <v>2711875.7636809088</v>
      </c>
      <c r="K45" s="202"/>
      <c r="L45" s="186">
        <f t="shared" si="27"/>
        <v>37530</v>
      </c>
      <c r="M45" s="400">
        <f>+J45*(VLOOKUP(L45,CURVECALC!$C$6:$J$312,4,0)+N$5)</f>
        <v>8762070.592453016</v>
      </c>
      <c r="N45" s="208">
        <f>-F45*INDEX(ship_curves,MATCH(L45,'SHIP CURVES'!$A$9:$A$316,0),MATCH(CONCATENATE(P$4,P$5,P$6,P$7),'SHIP CURVES'!$A$9:$AZ$9,0))</f>
        <v>-1511525.6923023707</v>
      </c>
      <c r="O45" s="209">
        <f>-H45*INDEX(port_processing_fee,MATCH(L45,PORTS!$H$626:$H$933,0),MATCH(P$5,PORTS!$H$626:$Z$626,0))</f>
        <v>-75778.563304509691</v>
      </c>
      <c r="P45" s="405">
        <f>(((VLOOKUP(L45,curvecalc,4,0))*IF(F45=0,0,J45/F45)-INDEX(ship_curves,MATCH(L45,'SHIP CURVES'!$A$9:$A$316,0),MATCH(CONCATENATE(P$4,P$5,P$6,P$7),'SHIP CURVES'!$A$9:$Z$9,0))-INDEX(terminal_curves,MATCH(L45,'TERMINAL CURVES'!$A$4:$A$313,0),MATCH(P$5,'TERMINAL CURVES'!$A$4:$N$4,0))*IF(F45=0,0,H45/F45))-(N$8)*((N$7-$N$5)-(INDEX(ship_curves,MATCH(L45,'SHIP CURVES'!$A$9:$A$316,0),MATCH(CONCATENATE(P$4,P$5,P$6,P$7),'SHIP CURVES'!$A$9:$Z$9,0))-INDEX(ship_curves,MATCH(L45,'SHIP CURVES'!$A$9:$A$316,0),MATCH(CONCATENATE(P$4,N$6,P$6,P$7),'SHIP CURVES'!$A$9:$Z$9,0)))-(INDEX(terminal_curves,MATCH(L45,'TERMINAL CURVES'!$A$4:$A$313,0),MATCH(P$5,'TERMINAL CURVES'!$A$4:$N$4,0))-INDEX(terminal_curves,MATCH(L45,'TERMINAL CURVES'!$A$4:$A$313,0),MATCH(N$6,'TERMINAL CURVES'!$A$4:$N$4,0)))*IF(F45=0,0,H45/F45)))*-F45</f>
        <v>-6623642.7977936855</v>
      </c>
      <c r="Q45" s="403">
        <f t="shared" si="11"/>
        <v>-8210947.0534005659</v>
      </c>
      <c r="R45" s="338">
        <f>(-H45/((HLOOKUP(P$5,port_specs,2,0)/(365.25))*(L46-L45)))*(INDEX(fixed_capacity_charge,MATCH(L45,PORTS!$H$11:$H$317,0),MATCH(P$5,PORTS!$H$11:$N$11,0))+INDEX(variable_om_charge,MATCH(L45,PORTS!$H$318:$H$625,0),MATCH(P$5,PORTS!$H$318:$N$318,0)))</f>
        <v>-496886.023778831</v>
      </c>
      <c r="S45" s="232">
        <f t="shared" si="12"/>
        <v>-8707833.0771793965</v>
      </c>
      <c r="T45" s="241">
        <f t="shared" si="13"/>
        <v>54237.515273619443</v>
      </c>
      <c r="U45" s="431"/>
      <c r="V45" s="186">
        <f t="shared" si="28"/>
        <v>37530</v>
      </c>
      <c r="W45" s="215">
        <f t="shared" si="14"/>
        <v>0</v>
      </c>
      <c r="X45" s="191">
        <f t="shared" si="15"/>
        <v>0</v>
      </c>
      <c r="Y45" s="218">
        <f>+IF(AND(X$8&lt;=V45,X$9&gt;=V45),+MIN($B45-SUMIF($H$17:X$17,Y$17,$H45:X45),((INDEX(ROUTE_PER_DAY_BY_SHIP,MATCH(CONCATENATE(X$4,X$5,X$7),ROUTE_PER_DAY_ROUTES,0),MATCH(X$6,ROUTE_PER_DAY_SHIPS,0))*(V46-V45))-(INDEX(ROUTE_PER_DAY_BY_SHIP,MATCH(CONCATENATE(X$4,X$5,X$7),ROUTE_PER_DAY_ROUTES,0),MATCH(X$6,ROUTE_PER_DAY_SHIPS,0))*(V46-V45))*HLOOKUP(X$6,SHIPS,7,0)*INDEX(LADEN_VOYAGE_DAYS,MATCH(CONCATENATE(X$4,X$5,X$7),LADEN_VOYAGE_ROUTES,0),MATCH(X$6,LADEN_VOYAGE_SHIPS,0)))),0)</f>
        <v>0</v>
      </c>
      <c r="Z45" s="118">
        <f t="shared" si="16"/>
        <v>0</v>
      </c>
      <c r="AA45" s="215">
        <f t="shared" si="3"/>
        <v>0</v>
      </c>
      <c r="AB45" s="202"/>
      <c r="AC45" s="186">
        <f t="shared" si="29"/>
        <v>37530</v>
      </c>
      <c r="AD45" s="232">
        <f>+AA45*(VLOOKUP(AC45,CURVECALC!$C$6:$J$312,4,0)+AE$5)</f>
        <v>0</v>
      </c>
      <c r="AE45" s="208">
        <f>-W45*INDEX(ship_curves,MATCH(AC45,'SHIP CURVES'!$A$9:$A$316,0),MATCH(CONCATENATE(AG$4,AG$5,AG$6,AG$7),'SHIP CURVES'!$A$9:$AZ$9,0))</f>
        <v>0</v>
      </c>
      <c r="AF45" s="209">
        <f>-Y45*INDEX(port_processing_fee,MATCH(AC45,PORTS!$H$626:$H$933,0),MATCH(AG$5,PORTS!$H$626:$Z$626,0))</f>
        <v>0</v>
      </c>
      <c r="AG45" s="405">
        <f>(((VLOOKUP(AC45,curvecalc,4,0))*IF(W45=0,0,AA45/W45)-INDEX(ship_curves,MATCH(AC45,'SHIP CURVES'!$A$9:$A$316,0),MATCH(CONCATENATE(AG$4,AG$5,AG$6,AG$7),'SHIP CURVES'!$A$9:$Z$9,0))-INDEX(terminal_curves,MATCH(AC45,'TERMINAL CURVES'!$A$4:$A$313,0),MATCH(AG$5,'TERMINAL CURVES'!$A$4:$N$4,0))*IF(W45=0,0,Y45/W45))-(AE$8)*((AE$7-$N$5)-(INDEX(ship_curves,MATCH(AC45,'SHIP CURVES'!$A$9:$A$316,0),MATCH(CONCATENATE(AG$4,AG$5,AG$6,AG$7),'SHIP CURVES'!$A$9:$Z$9,0))-INDEX(ship_curves,MATCH(AC45,'SHIP CURVES'!$A$9:$A$316,0),MATCH(CONCATENATE(AG$4,AE$6,AG$6,AG$7),'SHIP CURVES'!$A$9:$Z$9,0)))-(INDEX(terminal_curves,MATCH(AC45,'TERMINAL CURVES'!$A$4:$A$313,0),MATCH(AG$5,'TERMINAL CURVES'!$A$4:$N$4,0))-INDEX(terminal_curves,MATCH(AC45,'TERMINAL CURVES'!$A$4:$A$313,0),MATCH(AE$6,'TERMINAL CURVES'!$A$4:$N$4,0)))*IF(W45=0,0,Y45/W45)))*-W45</f>
        <v>0</v>
      </c>
      <c r="AH45" s="343">
        <f t="shared" si="17"/>
        <v>0</v>
      </c>
      <c r="AI45" s="338">
        <f>(-Y45/((HLOOKUP(AG$5,port_specs,2,0)/(365.25))*(AC46-AC45)))*(INDEX(fixed_capacity_charge,MATCH(AC45,PORTS!$H$11:$H$317,0),MATCH(AG$5,PORTS!$H$11:$N$11,0))+INDEX(variable_om_charge,MATCH(AC45,PORTS!$H$318:$H$625,0),MATCH(AG$5,PORTS!$H$318:$N$318,0)))</f>
        <v>0</v>
      </c>
      <c r="AJ45" s="232">
        <f t="shared" si="18"/>
        <v>0</v>
      </c>
      <c r="AK45" s="241">
        <f t="shared" si="19"/>
        <v>0</v>
      </c>
      <c r="AM45" s="186">
        <f t="shared" si="30"/>
        <v>37530</v>
      </c>
      <c r="AN45" s="215">
        <f t="shared" si="20"/>
        <v>0</v>
      </c>
      <c r="AO45" s="191">
        <f t="shared" si="21"/>
        <v>0</v>
      </c>
      <c r="AP45" s="218">
        <f>+IF(AND(AO$8&lt;=AM45,AO$9&gt;=AM45),+MIN($B45-SUMIF($H$17:AO$17,AP$17,$H45:AO45),((INDEX(ROUTE_PER_DAY_BY_SHIP,MATCH(CONCATENATE(AO$4,AO$5,AO$7),ROUTE_PER_DAY_ROUTES,0),MATCH(AO$6,ROUTE_PER_DAY_SHIPS,0))*(AM46-AM45))-(INDEX(ROUTE_PER_DAY_BY_SHIP,MATCH(CONCATENATE(AO$4,AO$5,AO$7),ROUTE_PER_DAY_ROUTES,0),MATCH(AO$6,ROUTE_PER_DAY_SHIPS,0))*(AM46-AM45))*HLOOKUP(AO$6,SHIPS,7,0)*INDEX(LADEN_VOYAGE_DAYS,MATCH(CONCATENATE(AO$4,AO$5,AO$7),LADEN_VOYAGE_ROUTES,0),MATCH(AO$6,LADEN_VOYAGE_SHIPS,0)))),0)</f>
        <v>0</v>
      </c>
      <c r="AQ45" s="118">
        <f>-(AP45)*PORTS!$I$6</f>
        <v>0</v>
      </c>
      <c r="AR45" s="215">
        <f t="shared" si="4"/>
        <v>0</v>
      </c>
      <c r="AS45" s="202"/>
      <c r="AT45" s="186">
        <f t="shared" si="31"/>
        <v>37530</v>
      </c>
      <c r="AU45" s="232">
        <f>+AR45*(VLOOKUP(AT45,CURVECALC!$C$6:$J$312,4,0)+AV$5)</f>
        <v>0</v>
      </c>
      <c r="AV45" s="208">
        <f>-AN45*INDEX(ship_curves,MATCH(AT45,'SHIP CURVES'!$A$9:$A$316,0),MATCH(CONCATENATE(AX$4,AX$5,AX$6,AX$7),'SHIP CURVES'!$A$9:$AZ$9,0))</f>
        <v>0</v>
      </c>
      <c r="AW45" s="209">
        <f>-AP45*INDEX(port_processing_fee,MATCH(AT45,PORTS!$H$626:$H$933,0),MATCH(AX$5,PORTS!$H$626:$Z$626,0))</f>
        <v>0</v>
      </c>
      <c r="AX45" s="405">
        <f>(((VLOOKUP(AT45,curvecalc,4,0))*IF(AN45=0,0,AR45/AN45)-INDEX(ship_curves,MATCH(AT45,'SHIP CURVES'!$A$9:$A$316,0),MATCH(CONCATENATE(AX$4,AX$5,AX$6,AX$7),'SHIP CURVES'!$A$9:$Z$9,0))-INDEX(terminal_curves,MATCH(AT45,'TERMINAL CURVES'!$A$4:$A$313,0),MATCH(AX$5,'TERMINAL CURVES'!$A$4:$N$4,0))*IF(AN45=0,0,AP45/AN45))-(AV$8)*((AV$7-$N$5)-(INDEX(ship_curves,MATCH(AT45,'SHIP CURVES'!$A$9:$A$316,0),MATCH(CONCATENATE(AX$4,AX$5,AX$6,AX$7),'SHIP CURVES'!$A$9:$Z$9,0))-INDEX(ship_curves,MATCH(AT45,'SHIP CURVES'!$A$9:$A$316,0),MATCH(CONCATENATE(AX$4,AV$6,AX$6,AX$7),'SHIP CURVES'!$A$9:$Z$9,0)))-(INDEX(terminal_curves,MATCH(AT45,'TERMINAL CURVES'!$A$4:$A$313,0),MATCH(AX$5,'TERMINAL CURVES'!$A$4:$N$4,0))-INDEX(terminal_curves,MATCH(AT45,'TERMINAL CURVES'!$A$4:$A$313,0),MATCH(AV$6,'TERMINAL CURVES'!$A$4:$N$4,0)))*IF(AN45=0,0,AP45/AN45)))*-AN45</f>
        <v>0</v>
      </c>
      <c r="AY45" s="343">
        <f t="shared" si="22"/>
        <v>0</v>
      </c>
      <c r="AZ45" s="338">
        <f>(-AP45/((HLOOKUP(AX$5,port_specs,2,0)/(365.25))*(AT46-AT45)))*(INDEX(fixed_capacity_charge,MATCH(AT45,PORTS!$H$11:$H$317,0),MATCH(AX$5,PORTS!$H$11:$N$11,0))+INDEX(variable_om_charge,MATCH(AT45,PORTS!$H$318:$H$625,0),MATCH(AX$5,PORTS!$H$318:$N$318,0)))</f>
        <v>0</v>
      </c>
      <c r="BA45" s="232">
        <f t="shared" si="23"/>
        <v>0</v>
      </c>
      <c r="BB45" s="241">
        <f t="shared" si="24"/>
        <v>0</v>
      </c>
      <c r="BC45" s="408"/>
      <c r="BD45" s="338">
        <f>+PORTS!I39+PORTS!I347</f>
        <v>953806.21706534852</v>
      </c>
    </row>
    <row r="46" spans="1:56" x14ac:dyDescent="0.2">
      <c r="A46" s="186">
        <f t="shared" si="25"/>
        <v>37561</v>
      </c>
      <c r="B46" s="215">
        <f>+IF(AND($A46&gt;=$C$8,$A46&lt;=$C$9),1,0)*PORTS!$I$5/(365.25)*(A47-A46)</f>
        <v>5166876.756626742</v>
      </c>
      <c r="C46" s="351">
        <f t="shared" si="5"/>
        <v>2475188.653717651</v>
      </c>
      <c r="D46">
        <f t="shared" si="6"/>
        <v>2002</v>
      </c>
      <c r="E46" s="186">
        <f t="shared" si="26"/>
        <v>37561</v>
      </c>
      <c r="F46" s="215">
        <f t="shared" si="7"/>
        <v>2783545.0909090908</v>
      </c>
      <c r="G46" s="191">
        <f t="shared" si="8"/>
        <v>-91856.987999999983</v>
      </c>
      <c r="H46" s="218">
        <f t="shared" si="9"/>
        <v>2691688.1029090909</v>
      </c>
      <c r="I46" s="118">
        <f t="shared" si="10"/>
        <v>-67292.20257272727</v>
      </c>
      <c r="J46" s="215">
        <f t="shared" si="2"/>
        <v>2624395.9003363638</v>
      </c>
      <c r="K46" s="202"/>
      <c r="L46" s="186">
        <f t="shared" si="27"/>
        <v>37561</v>
      </c>
      <c r="M46" s="400">
        <f>+J46*(VLOOKUP(L46,CURVECALC!$C$6:$J$312,4,0)+N$5)</f>
        <v>8765482.3071234562</v>
      </c>
      <c r="N46" s="208">
        <f>-F46*INDEX(ship_curves,MATCH(L46,'SHIP CURVES'!$A$9:$A$316,0),MATCH(CONCATENATE(P$4,P$5,P$6,P$7),'SHIP CURVES'!$A$9:$AZ$9,0))</f>
        <v>-1463678.9880068444</v>
      </c>
      <c r="O46" s="209">
        <f>-H46*INDEX(port_processing_fee,MATCH(L46,PORTS!$H$626:$H$933,0),MATCH(P$5,PORTS!$H$626:$Z$626,0))</f>
        <v>-73410.483201243755</v>
      </c>
      <c r="P46" s="405">
        <f>(((VLOOKUP(L46,curvecalc,4,0))*IF(F46=0,0,J46/F46)-INDEX(ship_curves,MATCH(L46,'SHIP CURVES'!$A$9:$A$316,0),MATCH(CONCATENATE(P$4,P$5,P$6,P$7),'SHIP CURVES'!$A$9:$Z$9,0))-INDEX(terminal_curves,MATCH(L46,'TERMINAL CURVES'!$A$4:$A$313,0),MATCH(P$5,'TERMINAL CURVES'!$A$4:$N$4,0))*IF(F46=0,0,H46/F46))-(N$8)*((N$7-$N$5)-(INDEX(ship_curves,MATCH(L46,'SHIP CURVES'!$A$9:$A$316,0),MATCH(CONCATENATE(P$4,P$5,P$6,P$7),'SHIP CURVES'!$A$9:$Z$9,0))-INDEX(ship_curves,MATCH(L46,'SHIP CURVES'!$A$9:$A$316,0),MATCH(CONCATENATE(P$4,N$6,P$6,P$7),'SHIP CURVES'!$A$9:$Z$9,0)))-(INDEX(terminal_curves,MATCH(L46,'TERMINAL CURVES'!$A$4:$A$313,0),MATCH(P$5,'TERMINAL CURVES'!$A$4:$N$4,0))-INDEX(terminal_curves,MATCH(L46,'TERMINAL CURVES'!$A$4:$A$313,0),MATCH(N$6,'TERMINAL CURVES'!$A$4:$N$4,0)))*IF(F46=0,0,H46/F46)))*-F46</f>
        <v>-6678764.5944044953</v>
      </c>
      <c r="Q46" s="403">
        <f t="shared" si="11"/>
        <v>-8215854.0656125834</v>
      </c>
      <c r="R46" s="338">
        <f>(-H46/((HLOOKUP(P$5,port_specs,2,0)/(365.25))*(L47-L46)))*(INDEX(fixed_capacity_charge,MATCH(L46,PORTS!$H$11:$H$317,0),MATCH(P$5,PORTS!$H$11:$N$11,0))+INDEX(variable_om_charge,MATCH(L46,PORTS!$H$318:$H$625,0),MATCH(P$5,PORTS!$H$318:$N$318,0)))</f>
        <v>-497140.32350414625</v>
      </c>
      <c r="S46" s="232">
        <f t="shared" si="12"/>
        <v>-8712994.3891167305</v>
      </c>
      <c r="T46" s="241">
        <f t="shared" si="13"/>
        <v>52487.918006725609</v>
      </c>
      <c r="U46" s="431"/>
      <c r="V46" s="186">
        <f t="shared" si="28"/>
        <v>37561</v>
      </c>
      <c r="W46" s="215">
        <f t="shared" si="14"/>
        <v>0</v>
      </c>
      <c r="X46" s="191">
        <f t="shared" si="15"/>
        <v>0</v>
      </c>
      <c r="Y46" s="218">
        <f>+IF(AND(X$8&lt;=V46,X$9&gt;=V46),+MIN($B46-SUMIF($H$17:X$17,Y$17,$H46:X46),((INDEX(ROUTE_PER_DAY_BY_SHIP,MATCH(CONCATENATE(X$4,X$5,X$7),ROUTE_PER_DAY_ROUTES,0),MATCH(X$6,ROUTE_PER_DAY_SHIPS,0))*(V47-V46))-(INDEX(ROUTE_PER_DAY_BY_SHIP,MATCH(CONCATENATE(X$4,X$5,X$7),ROUTE_PER_DAY_ROUTES,0),MATCH(X$6,ROUTE_PER_DAY_SHIPS,0))*(V47-V46))*HLOOKUP(X$6,SHIPS,7,0)*INDEX(LADEN_VOYAGE_DAYS,MATCH(CONCATENATE(X$4,X$5,X$7),LADEN_VOYAGE_ROUTES,0),MATCH(X$6,LADEN_VOYAGE_SHIPS,0)))),0)</f>
        <v>0</v>
      </c>
      <c r="Z46" s="118">
        <f t="shared" si="16"/>
        <v>0</v>
      </c>
      <c r="AA46" s="215">
        <f t="shared" si="3"/>
        <v>0</v>
      </c>
      <c r="AB46" s="202"/>
      <c r="AC46" s="186">
        <f t="shared" si="29"/>
        <v>37561</v>
      </c>
      <c r="AD46" s="232">
        <f>+AA46*(VLOOKUP(AC46,CURVECALC!$C$6:$J$312,4,0)+AE$5)</f>
        <v>0</v>
      </c>
      <c r="AE46" s="208">
        <f>-W46*INDEX(ship_curves,MATCH(AC46,'SHIP CURVES'!$A$9:$A$316,0),MATCH(CONCATENATE(AG$4,AG$5,AG$6,AG$7),'SHIP CURVES'!$A$9:$AZ$9,0))</f>
        <v>0</v>
      </c>
      <c r="AF46" s="209">
        <f>-Y46*INDEX(port_processing_fee,MATCH(AC46,PORTS!$H$626:$H$933,0),MATCH(AG$5,PORTS!$H$626:$Z$626,0))</f>
        <v>0</v>
      </c>
      <c r="AG46" s="405">
        <f>(((VLOOKUP(AC46,curvecalc,4,0))*IF(W46=0,0,AA46/W46)-INDEX(ship_curves,MATCH(AC46,'SHIP CURVES'!$A$9:$A$316,0),MATCH(CONCATENATE(AG$4,AG$5,AG$6,AG$7),'SHIP CURVES'!$A$9:$Z$9,0))-INDEX(terminal_curves,MATCH(AC46,'TERMINAL CURVES'!$A$4:$A$313,0),MATCH(AG$5,'TERMINAL CURVES'!$A$4:$N$4,0))*IF(W46=0,0,Y46/W46))-(AE$8)*((AE$7-$N$5)-(INDEX(ship_curves,MATCH(AC46,'SHIP CURVES'!$A$9:$A$316,0),MATCH(CONCATENATE(AG$4,AG$5,AG$6,AG$7),'SHIP CURVES'!$A$9:$Z$9,0))-INDEX(ship_curves,MATCH(AC46,'SHIP CURVES'!$A$9:$A$316,0),MATCH(CONCATENATE(AG$4,AE$6,AG$6,AG$7),'SHIP CURVES'!$A$9:$Z$9,0)))-(INDEX(terminal_curves,MATCH(AC46,'TERMINAL CURVES'!$A$4:$A$313,0),MATCH(AG$5,'TERMINAL CURVES'!$A$4:$N$4,0))-INDEX(terminal_curves,MATCH(AC46,'TERMINAL CURVES'!$A$4:$A$313,0),MATCH(AE$6,'TERMINAL CURVES'!$A$4:$N$4,0)))*IF(W46=0,0,Y46/W46)))*-W46</f>
        <v>0</v>
      </c>
      <c r="AH46" s="343">
        <f t="shared" si="17"/>
        <v>0</v>
      </c>
      <c r="AI46" s="338">
        <f>(-Y46/((HLOOKUP(AG$5,port_specs,2,0)/(365.25))*(AC47-AC46)))*(INDEX(fixed_capacity_charge,MATCH(AC46,PORTS!$H$11:$H$317,0),MATCH(AG$5,PORTS!$H$11:$N$11,0))+INDEX(variable_om_charge,MATCH(AC46,PORTS!$H$318:$H$625,0),MATCH(AG$5,PORTS!$H$318:$N$318,0)))</f>
        <v>0</v>
      </c>
      <c r="AJ46" s="232">
        <f t="shared" si="18"/>
        <v>0</v>
      </c>
      <c r="AK46" s="241">
        <f t="shared" si="19"/>
        <v>0</v>
      </c>
      <c r="AM46" s="186">
        <f t="shared" si="30"/>
        <v>37561</v>
      </c>
      <c r="AN46" s="215">
        <f t="shared" si="20"/>
        <v>0</v>
      </c>
      <c r="AO46" s="191">
        <f t="shared" si="21"/>
        <v>0</v>
      </c>
      <c r="AP46" s="218">
        <f>+IF(AND(AO$8&lt;=AM46,AO$9&gt;=AM46),+MIN($B46-SUMIF($H$17:AO$17,AP$17,$H46:AO46),((INDEX(ROUTE_PER_DAY_BY_SHIP,MATCH(CONCATENATE(AO$4,AO$5,AO$7),ROUTE_PER_DAY_ROUTES,0),MATCH(AO$6,ROUTE_PER_DAY_SHIPS,0))*(AM47-AM46))-(INDEX(ROUTE_PER_DAY_BY_SHIP,MATCH(CONCATENATE(AO$4,AO$5,AO$7),ROUTE_PER_DAY_ROUTES,0),MATCH(AO$6,ROUTE_PER_DAY_SHIPS,0))*(AM47-AM46))*HLOOKUP(AO$6,SHIPS,7,0)*INDEX(LADEN_VOYAGE_DAYS,MATCH(CONCATENATE(AO$4,AO$5,AO$7),LADEN_VOYAGE_ROUTES,0),MATCH(AO$6,LADEN_VOYAGE_SHIPS,0)))),0)</f>
        <v>0</v>
      </c>
      <c r="AQ46" s="118">
        <f>-(AP46)*PORTS!$I$6</f>
        <v>0</v>
      </c>
      <c r="AR46" s="215">
        <f t="shared" si="4"/>
        <v>0</v>
      </c>
      <c r="AS46" s="202"/>
      <c r="AT46" s="186">
        <f t="shared" si="31"/>
        <v>37561</v>
      </c>
      <c r="AU46" s="232">
        <f>+AR46*(VLOOKUP(AT46,CURVECALC!$C$6:$J$312,4,0)+AV$5)</f>
        <v>0</v>
      </c>
      <c r="AV46" s="208">
        <f>-AN46*INDEX(ship_curves,MATCH(AT46,'SHIP CURVES'!$A$9:$A$316,0),MATCH(CONCATENATE(AX$4,AX$5,AX$6,AX$7),'SHIP CURVES'!$A$9:$AZ$9,0))</f>
        <v>0</v>
      </c>
      <c r="AW46" s="209">
        <f>-AP46*INDEX(port_processing_fee,MATCH(AT46,PORTS!$H$626:$H$933,0),MATCH(AX$5,PORTS!$H$626:$Z$626,0))</f>
        <v>0</v>
      </c>
      <c r="AX46" s="405">
        <f>(((VLOOKUP(AT46,curvecalc,4,0))*IF(AN46=0,0,AR46/AN46)-INDEX(ship_curves,MATCH(AT46,'SHIP CURVES'!$A$9:$A$316,0),MATCH(CONCATENATE(AX$4,AX$5,AX$6,AX$7),'SHIP CURVES'!$A$9:$Z$9,0))-INDEX(terminal_curves,MATCH(AT46,'TERMINAL CURVES'!$A$4:$A$313,0),MATCH(AX$5,'TERMINAL CURVES'!$A$4:$N$4,0))*IF(AN46=0,0,AP46/AN46))-(AV$8)*((AV$7-$N$5)-(INDEX(ship_curves,MATCH(AT46,'SHIP CURVES'!$A$9:$A$316,0),MATCH(CONCATENATE(AX$4,AX$5,AX$6,AX$7),'SHIP CURVES'!$A$9:$Z$9,0))-INDEX(ship_curves,MATCH(AT46,'SHIP CURVES'!$A$9:$A$316,0),MATCH(CONCATENATE(AX$4,AV$6,AX$6,AX$7),'SHIP CURVES'!$A$9:$Z$9,0)))-(INDEX(terminal_curves,MATCH(AT46,'TERMINAL CURVES'!$A$4:$A$313,0),MATCH(AX$5,'TERMINAL CURVES'!$A$4:$N$4,0))-INDEX(terminal_curves,MATCH(AT46,'TERMINAL CURVES'!$A$4:$A$313,0),MATCH(AV$6,'TERMINAL CURVES'!$A$4:$N$4,0)))*IF(AN46=0,0,AP46/AN46)))*-AN46</f>
        <v>0</v>
      </c>
      <c r="AY46" s="343">
        <f t="shared" si="22"/>
        <v>0</v>
      </c>
      <c r="AZ46" s="338">
        <f>(-AP46/((HLOOKUP(AX$5,port_specs,2,0)/(365.25))*(AT47-AT46)))*(INDEX(fixed_capacity_charge,MATCH(AT46,PORTS!$H$11:$H$317,0),MATCH(AX$5,PORTS!$H$11:$N$11,0))+INDEX(variable_om_charge,MATCH(AT46,PORTS!$H$318:$H$625,0),MATCH(AX$5,PORTS!$H$318:$N$318,0)))</f>
        <v>0</v>
      </c>
      <c r="BA46" s="232">
        <f t="shared" si="23"/>
        <v>0</v>
      </c>
      <c r="BB46" s="241">
        <f t="shared" si="24"/>
        <v>0</v>
      </c>
      <c r="BC46" s="408"/>
      <c r="BD46" s="338">
        <f>+PORTS!I40+PORTS!I348</f>
        <v>954294.36253009527</v>
      </c>
    </row>
    <row r="47" spans="1:56" x14ac:dyDescent="0.2">
      <c r="A47" s="186">
        <f t="shared" si="25"/>
        <v>37591</v>
      </c>
      <c r="B47" s="215">
        <f>+IF(AND($A47&gt;=$C$8,$A47&lt;=$C$9),1,0)*PORTS!$I$5/(365.25)*(A48-A47)</f>
        <v>5339105.9818476336</v>
      </c>
      <c r="C47" s="351">
        <f t="shared" si="5"/>
        <v>2557694.9421749064</v>
      </c>
      <c r="D47">
        <f t="shared" si="6"/>
        <v>2002</v>
      </c>
      <c r="E47" s="186">
        <f t="shared" si="26"/>
        <v>37591</v>
      </c>
      <c r="F47" s="215">
        <f t="shared" si="7"/>
        <v>2876329.9272727272</v>
      </c>
      <c r="G47" s="191">
        <f t="shared" si="8"/>
        <v>-94918.887600000002</v>
      </c>
      <c r="H47" s="218">
        <f t="shared" si="9"/>
        <v>2781411.0396727272</v>
      </c>
      <c r="I47" s="118">
        <f t="shared" si="10"/>
        <v>-69535.275991818184</v>
      </c>
      <c r="J47" s="215">
        <f t="shared" si="2"/>
        <v>2711875.7636809088</v>
      </c>
      <c r="K47" s="202"/>
      <c r="L47" s="186">
        <f t="shared" si="27"/>
        <v>37591</v>
      </c>
      <c r="M47" s="400">
        <f>+J47*(VLOOKUP(L47,CURVECALC!$C$6:$J$312,4,0)+N$5)</f>
        <v>9342412.0058807321</v>
      </c>
      <c r="N47" s="208">
        <f>-F47*INDEX(ship_curves,MATCH(L47,'SHIP CURVES'!$A$9:$A$316,0),MATCH(CONCATENATE(P$4,P$5,P$6,P$7),'SHIP CURVES'!$A$9:$AZ$9,0))</f>
        <v>-1513412.846651993</v>
      </c>
      <c r="O47" s="209">
        <f>-H47*INDEX(port_processing_fee,MATCH(L47,PORTS!$H$626:$H$933,0),MATCH(P$5,PORTS!$H$626:$Z$626,0))</f>
        <v>-75936.51753639766</v>
      </c>
      <c r="P47" s="405">
        <f>(((VLOOKUP(L47,curvecalc,4,0))*IF(F47=0,0,J47/F47)-INDEX(ship_curves,MATCH(L47,'SHIP CURVES'!$A$9:$A$316,0),MATCH(CONCATENATE(P$4,P$5,P$6,P$7),'SHIP CURVES'!$A$9:$Z$9,0))-INDEX(terminal_curves,MATCH(L47,'TERMINAL CURVES'!$A$4:$A$313,0),MATCH(P$5,'TERMINAL CURVES'!$A$4:$N$4,0))*IF(F47=0,0,H47/F47))-(N$8)*((N$7-$N$5)-(INDEX(ship_curves,MATCH(L47,'SHIP CURVES'!$A$9:$A$316,0),MATCH(CONCATENATE(P$4,P$5,P$6,P$7),'SHIP CURVES'!$A$9:$Z$9,0))-INDEX(ship_curves,MATCH(L47,'SHIP CURVES'!$A$9:$A$316,0),MATCH(CONCATENATE(P$4,N$6,P$6,P$7),'SHIP CURVES'!$A$9:$Z$9,0)))-(INDEX(terminal_curves,MATCH(L47,'TERMINAL CURVES'!$A$4:$A$313,0),MATCH(P$5,'TERMINAL CURVES'!$A$4:$N$4,0))-INDEX(terminal_curves,MATCH(L47,'TERMINAL CURVES'!$A$4:$A$313,0),MATCH(N$6,'TERMINAL CURVES'!$A$4:$N$4,0)))*IF(F47=0,0,H47/F47)))*-F47</f>
        <v>-7201430.2382937139</v>
      </c>
      <c r="Q47" s="403">
        <f t="shared" si="11"/>
        <v>-8790779.6024821047</v>
      </c>
      <c r="R47" s="338">
        <f>(-H47/((HLOOKUP(P$5,port_specs,2,0)/(365.25))*(L48-L47)))*(INDEX(fixed_capacity_charge,MATCH(L47,PORTS!$H$11:$H$317,0),MATCH(P$5,PORTS!$H$11:$N$11,0))+INDEX(variable_om_charge,MATCH(L47,PORTS!$H$318:$H$625,0),MATCH(P$5,PORTS!$H$318:$N$318,0)))</f>
        <v>-497394.88812500873</v>
      </c>
      <c r="S47" s="232">
        <f t="shared" si="12"/>
        <v>-9288174.4906071126</v>
      </c>
      <c r="T47" s="241">
        <f t="shared" si="13"/>
        <v>54237.515273619443</v>
      </c>
      <c r="U47" s="431"/>
      <c r="V47" s="186">
        <f t="shared" si="28"/>
        <v>37591</v>
      </c>
      <c r="W47" s="215">
        <f t="shared" si="14"/>
        <v>0</v>
      </c>
      <c r="X47" s="191">
        <f t="shared" si="15"/>
        <v>0</v>
      </c>
      <c r="Y47" s="218">
        <f>+IF(AND(X$8&lt;=V47,X$9&gt;=V47),+MIN($B47-SUMIF($H$17:X$17,Y$17,$H47:X47),((INDEX(ROUTE_PER_DAY_BY_SHIP,MATCH(CONCATENATE(X$4,X$5,X$7),ROUTE_PER_DAY_ROUTES,0),MATCH(X$6,ROUTE_PER_DAY_SHIPS,0))*(V48-V47))-(INDEX(ROUTE_PER_DAY_BY_SHIP,MATCH(CONCATENATE(X$4,X$5,X$7),ROUTE_PER_DAY_ROUTES,0),MATCH(X$6,ROUTE_PER_DAY_SHIPS,0))*(V48-V47))*HLOOKUP(X$6,SHIPS,7,0)*INDEX(LADEN_VOYAGE_DAYS,MATCH(CONCATENATE(X$4,X$5,X$7),LADEN_VOYAGE_ROUTES,0),MATCH(X$6,LADEN_VOYAGE_SHIPS,0)))),0)</f>
        <v>0</v>
      </c>
      <c r="Z47" s="118">
        <f t="shared" si="16"/>
        <v>0</v>
      </c>
      <c r="AA47" s="215">
        <f t="shared" si="3"/>
        <v>0</v>
      </c>
      <c r="AB47" s="202"/>
      <c r="AC47" s="186">
        <f t="shared" si="29"/>
        <v>37591</v>
      </c>
      <c r="AD47" s="232">
        <f>+AA47*(VLOOKUP(AC47,CURVECALC!$C$6:$J$312,4,0)+AE$5)</f>
        <v>0</v>
      </c>
      <c r="AE47" s="208">
        <f>-W47*INDEX(ship_curves,MATCH(AC47,'SHIP CURVES'!$A$9:$A$316,0),MATCH(CONCATENATE(AG$4,AG$5,AG$6,AG$7),'SHIP CURVES'!$A$9:$AZ$9,0))</f>
        <v>0</v>
      </c>
      <c r="AF47" s="209">
        <f>-Y47*INDEX(port_processing_fee,MATCH(AC47,PORTS!$H$626:$H$933,0),MATCH(AG$5,PORTS!$H$626:$Z$626,0))</f>
        <v>0</v>
      </c>
      <c r="AG47" s="405">
        <f>(((VLOOKUP(AC47,curvecalc,4,0))*IF(W47=0,0,AA47/W47)-INDEX(ship_curves,MATCH(AC47,'SHIP CURVES'!$A$9:$A$316,0),MATCH(CONCATENATE(AG$4,AG$5,AG$6,AG$7),'SHIP CURVES'!$A$9:$Z$9,0))-INDEX(terminal_curves,MATCH(AC47,'TERMINAL CURVES'!$A$4:$A$313,0),MATCH(AG$5,'TERMINAL CURVES'!$A$4:$N$4,0))*IF(W47=0,0,Y47/W47))-(AE$8)*((AE$7-$N$5)-(INDEX(ship_curves,MATCH(AC47,'SHIP CURVES'!$A$9:$A$316,0),MATCH(CONCATENATE(AG$4,AG$5,AG$6,AG$7),'SHIP CURVES'!$A$9:$Z$9,0))-INDEX(ship_curves,MATCH(AC47,'SHIP CURVES'!$A$9:$A$316,0),MATCH(CONCATENATE(AG$4,AE$6,AG$6,AG$7),'SHIP CURVES'!$A$9:$Z$9,0)))-(INDEX(terminal_curves,MATCH(AC47,'TERMINAL CURVES'!$A$4:$A$313,0),MATCH(AG$5,'TERMINAL CURVES'!$A$4:$N$4,0))-INDEX(terminal_curves,MATCH(AC47,'TERMINAL CURVES'!$A$4:$A$313,0),MATCH(AE$6,'TERMINAL CURVES'!$A$4:$N$4,0)))*IF(W47=0,0,Y47/W47)))*-W47</f>
        <v>0</v>
      </c>
      <c r="AH47" s="343">
        <f t="shared" si="17"/>
        <v>0</v>
      </c>
      <c r="AI47" s="338">
        <f>(-Y47/((HLOOKUP(AG$5,port_specs,2,0)/(365.25))*(AC48-AC47)))*(INDEX(fixed_capacity_charge,MATCH(AC47,PORTS!$H$11:$H$317,0),MATCH(AG$5,PORTS!$H$11:$N$11,0))+INDEX(variable_om_charge,MATCH(AC47,PORTS!$H$318:$H$625,0),MATCH(AG$5,PORTS!$H$318:$N$318,0)))</f>
        <v>0</v>
      </c>
      <c r="AJ47" s="232">
        <f t="shared" si="18"/>
        <v>0</v>
      </c>
      <c r="AK47" s="241">
        <f t="shared" si="19"/>
        <v>0</v>
      </c>
      <c r="AM47" s="186">
        <f t="shared" si="30"/>
        <v>37591</v>
      </c>
      <c r="AN47" s="215">
        <f t="shared" si="20"/>
        <v>0</v>
      </c>
      <c r="AO47" s="191">
        <f t="shared" si="21"/>
        <v>0</v>
      </c>
      <c r="AP47" s="218">
        <f>+IF(AND(AO$8&lt;=AM47,AO$9&gt;=AM47),+MIN($B47-SUMIF($H$17:AO$17,AP$17,$H47:AO47),((INDEX(ROUTE_PER_DAY_BY_SHIP,MATCH(CONCATENATE(AO$4,AO$5,AO$7),ROUTE_PER_DAY_ROUTES,0),MATCH(AO$6,ROUTE_PER_DAY_SHIPS,0))*(AM48-AM47))-(INDEX(ROUTE_PER_DAY_BY_SHIP,MATCH(CONCATENATE(AO$4,AO$5,AO$7),ROUTE_PER_DAY_ROUTES,0),MATCH(AO$6,ROUTE_PER_DAY_SHIPS,0))*(AM48-AM47))*HLOOKUP(AO$6,SHIPS,7,0)*INDEX(LADEN_VOYAGE_DAYS,MATCH(CONCATENATE(AO$4,AO$5,AO$7),LADEN_VOYAGE_ROUTES,0),MATCH(AO$6,LADEN_VOYAGE_SHIPS,0)))),0)</f>
        <v>0</v>
      </c>
      <c r="AQ47" s="118">
        <f>-(AP47)*PORTS!$I$6</f>
        <v>0</v>
      </c>
      <c r="AR47" s="215">
        <f t="shared" si="4"/>
        <v>0</v>
      </c>
      <c r="AS47" s="202"/>
      <c r="AT47" s="186">
        <f t="shared" si="31"/>
        <v>37591</v>
      </c>
      <c r="AU47" s="232">
        <f>+AR47*(VLOOKUP(AT47,CURVECALC!$C$6:$J$312,4,0)+AV$5)</f>
        <v>0</v>
      </c>
      <c r="AV47" s="208">
        <f>-AN47*INDEX(ship_curves,MATCH(AT47,'SHIP CURVES'!$A$9:$A$316,0),MATCH(CONCATENATE(AX$4,AX$5,AX$6,AX$7),'SHIP CURVES'!$A$9:$AZ$9,0))</f>
        <v>0</v>
      </c>
      <c r="AW47" s="209">
        <f>-AP47*INDEX(port_processing_fee,MATCH(AT47,PORTS!$H$626:$H$933,0),MATCH(AX$5,PORTS!$H$626:$Z$626,0))</f>
        <v>0</v>
      </c>
      <c r="AX47" s="405">
        <f>(((VLOOKUP(AT47,curvecalc,4,0))*IF(AN47=0,0,AR47/AN47)-INDEX(ship_curves,MATCH(AT47,'SHIP CURVES'!$A$9:$A$316,0),MATCH(CONCATENATE(AX$4,AX$5,AX$6,AX$7),'SHIP CURVES'!$A$9:$Z$9,0))-INDEX(terminal_curves,MATCH(AT47,'TERMINAL CURVES'!$A$4:$A$313,0),MATCH(AX$5,'TERMINAL CURVES'!$A$4:$N$4,0))*IF(AN47=0,0,AP47/AN47))-(AV$8)*((AV$7-$N$5)-(INDEX(ship_curves,MATCH(AT47,'SHIP CURVES'!$A$9:$A$316,0),MATCH(CONCATENATE(AX$4,AX$5,AX$6,AX$7),'SHIP CURVES'!$A$9:$Z$9,0))-INDEX(ship_curves,MATCH(AT47,'SHIP CURVES'!$A$9:$A$316,0),MATCH(CONCATENATE(AX$4,AV$6,AX$6,AX$7),'SHIP CURVES'!$A$9:$Z$9,0)))-(INDEX(terminal_curves,MATCH(AT47,'TERMINAL CURVES'!$A$4:$A$313,0),MATCH(AX$5,'TERMINAL CURVES'!$A$4:$N$4,0))-INDEX(terminal_curves,MATCH(AT47,'TERMINAL CURVES'!$A$4:$A$313,0),MATCH(AV$6,'TERMINAL CURVES'!$A$4:$N$4,0)))*IF(AN47=0,0,AP47/AN47)))*-AN47</f>
        <v>0</v>
      </c>
      <c r="AY47" s="343">
        <f t="shared" si="22"/>
        <v>0</v>
      </c>
      <c r="AZ47" s="338">
        <f>(-AP47/((HLOOKUP(AX$5,port_specs,2,0)/(365.25))*(AT48-AT47)))*(INDEX(fixed_capacity_charge,MATCH(AT47,PORTS!$H$11:$H$317,0),MATCH(AX$5,PORTS!$H$11:$N$11,0))+INDEX(variable_om_charge,MATCH(AT47,PORTS!$H$318:$H$625,0),MATCH(AX$5,PORTS!$H$318:$N$318,0)))</f>
        <v>0</v>
      </c>
      <c r="BA47" s="232">
        <f t="shared" si="23"/>
        <v>0</v>
      </c>
      <c r="BB47" s="241">
        <f t="shared" si="24"/>
        <v>0</v>
      </c>
      <c r="BC47" s="408"/>
      <c r="BD47" s="338">
        <f>+PORTS!I41+PORTS!I349</f>
        <v>954783.01647970127</v>
      </c>
    </row>
    <row r="48" spans="1:56" x14ac:dyDescent="0.2">
      <c r="A48" s="186">
        <f t="shared" si="25"/>
        <v>37622</v>
      </c>
      <c r="B48" s="215">
        <f>+IF(AND($A48&gt;=$C$8,$A48&lt;=$C$9),1,0)*PORTS!$I$5/(365.25)*(A49-A48)</f>
        <v>5339105.9818476336</v>
      </c>
      <c r="C48" s="351">
        <f t="shared" si="5"/>
        <v>0</v>
      </c>
      <c r="D48">
        <f t="shared" si="6"/>
        <v>2003</v>
      </c>
      <c r="E48" s="186">
        <f t="shared" si="26"/>
        <v>37622</v>
      </c>
      <c r="F48" s="215">
        <f t="shared" si="7"/>
        <v>2876329.9272727272</v>
      </c>
      <c r="G48" s="191">
        <f t="shared" si="8"/>
        <v>-94918.887600000002</v>
      </c>
      <c r="H48" s="218">
        <f t="shared" si="9"/>
        <v>2781411.0396727272</v>
      </c>
      <c r="I48" s="118">
        <f t="shared" si="10"/>
        <v>-69535.275991818184</v>
      </c>
      <c r="J48" s="215">
        <f t="shared" si="2"/>
        <v>2711875.7636809088</v>
      </c>
      <c r="K48" s="202"/>
      <c r="L48" s="186">
        <f t="shared" si="27"/>
        <v>37622</v>
      </c>
      <c r="M48" s="400">
        <f>+J48*(VLOOKUP(L48,CURVECALC!$C$6:$J$312,4,0)+N$5)</f>
        <v>9396649.5211543478</v>
      </c>
      <c r="N48" s="208">
        <f>-F48*INDEX(ship_curves,MATCH(L48,'SHIP CURVES'!$A$9:$A$316,0),MATCH(CONCATENATE(P$4,P$5,P$6,P$7),'SHIP CURVES'!$A$9:$AZ$9,0))</f>
        <v>-1715859.3735282565</v>
      </c>
      <c r="O48" s="209">
        <f>-H48*INDEX(port_processing_fee,MATCH(L48,PORTS!$H$626:$H$933,0),MATCH(P$5,PORTS!$H$626:$Z$626,0))</f>
        <v>-76015.618075498074</v>
      </c>
      <c r="P48" s="405">
        <f>(((VLOOKUP(L48,curvecalc,4,0))*IF(F48=0,0,J48/F48)-INDEX(ship_curves,MATCH(L48,'SHIP CURVES'!$A$9:$A$316,0),MATCH(CONCATENATE(P$4,P$5,P$6,P$7),'SHIP CURVES'!$A$9:$Z$9,0))-INDEX(terminal_curves,MATCH(L48,'TERMINAL CURVES'!$A$4:$A$313,0),MATCH(P$5,'TERMINAL CURVES'!$A$4:$N$4,0))*IF(F48=0,0,H48/F48))-(N$8)*((N$7-$N$5)-(INDEX(ship_curves,MATCH(L48,'SHIP CURVES'!$A$9:$A$316,0),MATCH(CONCATENATE(P$4,P$5,P$6,P$7),'SHIP CURVES'!$A$9:$Z$9,0))-INDEX(ship_curves,MATCH(L48,'SHIP CURVES'!$A$9:$A$316,0),MATCH(CONCATENATE(P$4,N$6,P$6,P$7),'SHIP CURVES'!$A$9:$Z$9,0)))-(INDEX(terminal_curves,MATCH(L48,'TERMINAL CURVES'!$A$4:$A$313,0),MATCH(P$5,'TERMINAL CURVES'!$A$4:$N$4,0))-INDEX(terminal_curves,MATCH(L48,'TERMINAL CURVES'!$A$4:$A$313,0),MATCH(N$6,'TERMINAL CURVES'!$A$4:$N$4,0)))*IF(F48=0,0,H48/F48)))*-F48</f>
        <v>-7052887.2963596247</v>
      </c>
      <c r="Q48" s="403">
        <f t="shared" si="11"/>
        <v>-8844762.2879633792</v>
      </c>
      <c r="R48" s="338">
        <f>(-H48/((HLOOKUP(P$5,port_specs,2,0)/(365.25))*(L49-L48)))*(INDEX(fixed_capacity_charge,MATCH(L48,PORTS!$H$11:$H$317,0),MATCH(P$5,PORTS!$H$11:$N$11,0))+INDEX(variable_om_charge,MATCH(L48,PORTS!$H$318:$H$625,0),MATCH(P$5,PORTS!$H$318:$N$318,0)))</f>
        <v>-497649.71791735128</v>
      </c>
      <c r="S48" s="232">
        <f t="shared" si="12"/>
        <v>-9342412.0058807302</v>
      </c>
      <c r="T48" s="241">
        <f t="shared" si="13"/>
        <v>54237.515273617581</v>
      </c>
      <c r="U48" s="431"/>
      <c r="V48" s="186">
        <f t="shared" si="28"/>
        <v>37622</v>
      </c>
      <c r="W48" s="215">
        <f t="shared" si="14"/>
        <v>2604577.3341903323</v>
      </c>
      <c r="X48" s="191">
        <f t="shared" si="15"/>
        <v>-46882.392015425954</v>
      </c>
      <c r="Y48" s="218">
        <f>+IF(AND(X$8&lt;=V48,X$9&gt;=V48),+MIN($B48-SUMIF($H$17:X$17,Y$17,$H48:X48),((INDEX(ROUTE_PER_DAY_BY_SHIP,MATCH(CONCATENATE(X$4,X$5,X$7),ROUTE_PER_DAY_ROUTES,0),MATCH(X$6,ROUTE_PER_DAY_SHIPS,0))*(V49-V48))-(INDEX(ROUTE_PER_DAY_BY_SHIP,MATCH(CONCATENATE(X$4,X$5,X$7),ROUTE_PER_DAY_ROUTES,0),MATCH(X$6,ROUTE_PER_DAY_SHIPS,0))*(V49-V48))*HLOOKUP(X$6,SHIPS,7,0)*INDEX(LADEN_VOYAGE_DAYS,MATCH(CONCATENATE(X$4,X$5,X$7),LADEN_VOYAGE_ROUTES,0),MATCH(X$6,LADEN_VOYAGE_SHIPS,0)))),0)</f>
        <v>2557694.9421749064</v>
      </c>
      <c r="Z48" s="118">
        <f t="shared" si="16"/>
        <v>-63942.373554372665</v>
      </c>
      <c r="AA48" s="215">
        <f t="shared" si="3"/>
        <v>2493752.5686205337</v>
      </c>
      <c r="AB48" s="202"/>
      <c r="AC48" s="186">
        <f t="shared" si="29"/>
        <v>37622</v>
      </c>
      <c r="AD48" s="232">
        <f>+AA48*(VLOOKUP(AC48,CURVECALC!$C$6:$J$312,4,0)+AE$5)</f>
        <v>8640852.6502701491</v>
      </c>
      <c r="AE48" s="208">
        <f>-W48*INDEX(ship_curves,MATCH(AC48,'SHIP CURVES'!$A$9:$A$316,0),MATCH(CONCATENATE(AG$4,AG$5,AG$6,AG$7),'SHIP CURVES'!$A$9:$AZ$9,0))</f>
        <v>-1551776.9398083014</v>
      </c>
      <c r="AF48" s="209">
        <f>-Y48*INDEX(port_processing_fee,MATCH(AC48,PORTS!$H$626:$H$933,0),MATCH(AG$5,PORTS!$H$626:$Z$626,0))</f>
        <v>-69901.484931503568</v>
      </c>
      <c r="AG48" s="405">
        <f>(((VLOOKUP(AC48,curvecalc,4,0))*IF(W48=0,0,AA48/W48)-INDEX(ship_curves,MATCH(AC48,'SHIP CURVES'!$A$9:$A$316,0),MATCH(CONCATENATE(AG$4,AG$5,AG$6,AG$7),'SHIP CURVES'!$A$9:$Z$9,0))-INDEX(terminal_curves,MATCH(AC48,'TERMINAL CURVES'!$A$4:$A$313,0),MATCH(AG$5,'TERMINAL CURVES'!$A$4:$N$4,0))*IF(W48=0,0,Y48/W48))-(AE$8)*((AE$7-$N$5)-(INDEX(ship_curves,MATCH(AC48,'SHIP CURVES'!$A$9:$A$316,0),MATCH(CONCATENATE(AG$4,AG$5,AG$6,AG$7),'SHIP CURVES'!$A$9:$Z$9,0))-INDEX(ship_curves,MATCH(AC48,'SHIP CURVES'!$A$9:$A$316,0),MATCH(CONCATENATE(AG$4,AE$6,AG$6,AG$7),'SHIP CURVES'!$A$9:$Z$9,0)))-(INDEX(terminal_curves,MATCH(AC48,'TERMINAL CURVES'!$A$4:$A$313,0),MATCH(AG$5,'TERMINAL CURVES'!$A$4:$N$4,0))-INDEX(terminal_curves,MATCH(AC48,'TERMINAL CURVES'!$A$4:$A$313,0),MATCH(AE$6,'TERMINAL CURVES'!$A$4:$N$4,0)))*IF(W48=0,0,Y48/W48)))*-W48</f>
        <v>-6511676.7126314472</v>
      </c>
      <c r="AH48" s="343">
        <f t="shared" si="17"/>
        <v>-8133355.1373712523</v>
      </c>
      <c r="AI48" s="338">
        <f>(-Y48/((HLOOKUP(AG$5,port_specs,2,0)/(365.25))*(AC49-AC48)))*(INDEX(fixed_capacity_charge,MATCH(AC48,PORTS!$H$11:$H$317,0),MATCH(AG$5,PORTS!$H$11:$N$11,0))+INDEX(variable_om_charge,MATCH(AC48,PORTS!$H$318:$H$625,0),MATCH(AG$5,PORTS!$H$318:$N$318,0)))</f>
        <v>-457622.46152648679</v>
      </c>
      <c r="AJ48" s="232">
        <f t="shared" si="18"/>
        <v>-8590977.5988977384</v>
      </c>
      <c r="AK48" s="241">
        <f t="shared" si="19"/>
        <v>49875.05137241073</v>
      </c>
      <c r="AM48" s="186">
        <f t="shared" si="30"/>
        <v>37622</v>
      </c>
      <c r="AN48" s="215">
        <f t="shared" si="20"/>
        <v>0</v>
      </c>
      <c r="AO48" s="191">
        <f t="shared" si="21"/>
        <v>0</v>
      </c>
      <c r="AP48" s="218">
        <f>+IF(AND(AO$8&lt;=AM48,AO$9&gt;=AM48),+MIN($B48-SUMIF($H$17:AO$17,AP$17,$H48:AO48),((INDEX(ROUTE_PER_DAY_BY_SHIP,MATCH(CONCATENATE(AO$4,AO$5,AO$7),ROUTE_PER_DAY_ROUTES,0),MATCH(AO$6,ROUTE_PER_DAY_SHIPS,0))*(AM49-AM48))-(INDEX(ROUTE_PER_DAY_BY_SHIP,MATCH(CONCATENATE(AO$4,AO$5,AO$7),ROUTE_PER_DAY_ROUTES,0),MATCH(AO$6,ROUTE_PER_DAY_SHIPS,0))*(AM49-AM48))*HLOOKUP(AO$6,SHIPS,7,0)*INDEX(LADEN_VOYAGE_DAYS,MATCH(CONCATENATE(AO$4,AO$5,AO$7),LADEN_VOYAGE_ROUTES,0),MATCH(AO$6,LADEN_VOYAGE_SHIPS,0)))),0)</f>
        <v>0</v>
      </c>
      <c r="AQ48" s="118">
        <f>-(AP48)*PORTS!$I$6</f>
        <v>0</v>
      </c>
      <c r="AR48" s="215">
        <f t="shared" si="4"/>
        <v>0</v>
      </c>
      <c r="AS48" s="202"/>
      <c r="AT48" s="186">
        <f t="shared" si="31"/>
        <v>37622</v>
      </c>
      <c r="AU48" s="232">
        <f>+AR48*(VLOOKUP(AT48,CURVECALC!$C$6:$J$312,4,0)+AV$5)</f>
        <v>0</v>
      </c>
      <c r="AV48" s="208">
        <f>-AN48*INDEX(ship_curves,MATCH(AT48,'SHIP CURVES'!$A$9:$A$316,0),MATCH(CONCATENATE(AX$4,AX$5,AX$6,AX$7),'SHIP CURVES'!$A$9:$AZ$9,0))</f>
        <v>0</v>
      </c>
      <c r="AW48" s="209">
        <f>-AP48*INDEX(port_processing_fee,MATCH(AT48,PORTS!$H$626:$H$933,0),MATCH(AX$5,PORTS!$H$626:$Z$626,0))</f>
        <v>0</v>
      </c>
      <c r="AX48" s="405">
        <f>(((VLOOKUP(AT48,curvecalc,4,0))*IF(AN48=0,0,AR48/AN48)-INDEX(ship_curves,MATCH(AT48,'SHIP CURVES'!$A$9:$A$316,0),MATCH(CONCATENATE(AX$4,AX$5,AX$6,AX$7),'SHIP CURVES'!$A$9:$Z$9,0))-INDEX(terminal_curves,MATCH(AT48,'TERMINAL CURVES'!$A$4:$A$313,0),MATCH(AX$5,'TERMINAL CURVES'!$A$4:$N$4,0))*IF(AN48=0,0,AP48/AN48))-(AV$8)*((AV$7-$N$5)-(INDEX(ship_curves,MATCH(AT48,'SHIP CURVES'!$A$9:$A$316,0),MATCH(CONCATENATE(AX$4,AX$5,AX$6,AX$7),'SHIP CURVES'!$A$9:$Z$9,0))-INDEX(ship_curves,MATCH(AT48,'SHIP CURVES'!$A$9:$A$316,0),MATCH(CONCATENATE(AX$4,AV$6,AX$6,AX$7),'SHIP CURVES'!$A$9:$Z$9,0)))-(INDEX(terminal_curves,MATCH(AT48,'TERMINAL CURVES'!$A$4:$A$313,0),MATCH(AX$5,'TERMINAL CURVES'!$A$4:$N$4,0))-INDEX(terminal_curves,MATCH(AT48,'TERMINAL CURVES'!$A$4:$A$313,0),MATCH(AV$6,'TERMINAL CURVES'!$A$4:$N$4,0)))*IF(AN48=0,0,AP48/AN48)))*-AN48</f>
        <v>0</v>
      </c>
      <c r="AY48" s="343">
        <f t="shared" si="22"/>
        <v>0</v>
      </c>
      <c r="AZ48" s="338">
        <f>(-AP48/((HLOOKUP(AX$5,port_specs,2,0)/(365.25))*(AT49-AT48)))*(INDEX(fixed_capacity_charge,MATCH(AT48,PORTS!$H$11:$H$317,0),MATCH(AX$5,PORTS!$H$11:$N$11,0))+INDEX(variable_om_charge,MATCH(AT48,PORTS!$H$318:$H$625,0),MATCH(AX$5,PORTS!$H$318:$N$318,0)))</f>
        <v>0</v>
      </c>
      <c r="BA48" s="232">
        <f t="shared" si="23"/>
        <v>0</v>
      </c>
      <c r="BB48" s="241">
        <f t="shared" si="24"/>
        <v>0</v>
      </c>
      <c r="BC48" s="408"/>
      <c r="BD48" s="338">
        <f>+PORTS!I42+PORTS!I350</f>
        <v>955272.17944383807</v>
      </c>
    </row>
    <row r="49" spans="1:56" x14ac:dyDescent="0.2">
      <c r="A49" s="186">
        <f t="shared" si="25"/>
        <v>37653</v>
      </c>
      <c r="B49" s="215">
        <f>+IF(AND($A49&gt;=$C$8,$A49&lt;=$C$9),1,0)*PORTS!$I$5/(365.25)*(A50-A49)</f>
        <v>4822418.3061849596</v>
      </c>
      <c r="C49" s="351">
        <f t="shared" si="5"/>
        <v>0</v>
      </c>
      <c r="D49">
        <f t="shared" si="6"/>
        <v>2003</v>
      </c>
      <c r="E49" s="186">
        <f t="shared" si="26"/>
        <v>37653</v>
      </c>
      <c r="F49" s="215">
        <f t="shared" si="7"/>
        <v>2597975.418181818</v>
      </c>
      <c r="G49" s="191">
        <f t="shared" si="8"/>
        <v>-85733.188799999989</v>
      </c>
      <c r="H49" s="218">
        <f t="shared" si="9"/>
        <v>2512242.2293818179</v>
      </c>
      <c r="I49" s="118">
        <f t="shared" si="10"/>
        <v>-62806.055734545451</v>
      </c>
      <c r="J49" s="215">
        <f t="shared" si="2"/>
        <v>2449436.1736472724</v>
      </c>
      <c r="K49" s="202"/>
      <c r="L49" s="186">
        <f t="shared" si="27"/>
        <v>37653</v>
      </c>
      <c r="M49" s="400">
        <f>+J49*(VLOOKUP(L49,CURVECALC!$C$6:$J$312,4,0)+N$5)</f>
        <v>8168869.6391136535</v>
      </c>
      <c r="N49" s="208">
        <f>-F49*INDEX(ship_curves,MATCH(L49,'SHIP CURVES'!$A$9:$A$316,0),MATCH(CONCATENATE(P$4,P$5,P$6,P$7),'SHIP CURVES'!$A$9:$AZ$9,0))</f>
        <v>-1550665.175012721</v>
      </c>
      <c r="O49" s="209">
        <f>-H49*INDEX(port_processing_fee,MATCH(L49,PORTS!$H$626:$H$933,0),MATCH(P$5,PORTS!$H$626:$Z$626,0))</f>
        <v>-68730.7880099295</v>
      </c>
      <c r="P49" s="405">
        <f>(((VLOOKUP(L49,curvecalc,4,0))*IF(F49=0,0,J49/F49)-INDEX(ship_curves,MATCH(L49,'SHIP CURVES'!$A$9:$A$316,0),MATCH(CONCATENATE(P$4,P$5,P$6,P$7),'SHIP CURVES'!$A$9:$Z$9,0))-INDEX(terminal_curves,MATCH(L49,'TERMINAL CURVES'!$A$4:$A$313,0),MATCH(P$5,'TERMINAL CURVES'!$A$4:$N$4,0))*IF(F49=0,0,H49/F49))-(N$8)*((N$7-$N$5)-(INDEX(ship_curves,MATCH(L49,'SHIP CURVES'!$A$9:$A$316,0),MATCH(CONCATENATE(P$4,P$5,P$6,P$7),'SHIP CURVES'!$A$9:$Z$9,0))-INDEX(ship_curves,MATCH(L49,'SHIP CURVES'!$A$9:$A$316,0),MATCH(CONCATENATE(P$4,N$6,P$6,P$7),'SHIP CURVES'!$A$9:$Z$9,0)))-(INDEX(terminal_curves,MATCH(L49,'TERMINAL CURVES'!$A$4:$A$313,0),MATCH(P$5,'TERMINAL CURVES'!$A$4:$N$4,0))-INDEX(terminal_curves,MATCH(L49,'TERMINAL CURVES'!$A$4:$A$313,0),MATCH(N$6,'TERMINAL CURVES'!$A$4:$N$4,0)))*IF(F49=0,0,H49/F49)))*-F49</f>
        <v>-6002580.1394606624</v>
      </c>
      <c r="Q49" s="403">
        <f t="shared" si="11"/>
        <v>-7621976.1024833126</v>
      </c>
      <c r="R49" s="338">
        <f>(-H49/((HLOOKUP(P$5,port_specs,2,0)/(365.25))*(L50-L49)))*(INDEX(fixed_capacity_charge,MATCH(L49,PORTS!$H$11:$H$317,0),MATCH(P$5,PORTS!$H$11:$N$11,0))+INDEX(variable_om_charge,MATCH(L49,PORTS!$H$318:$H$625,0),MATCH(P$5,PORTS!$H$318:$N$318,0)))</f>
        <v>-497904.81315739412</v>
      </c>
      <c r="S49" s="232">
        <f t="shared" si="12"/>
        <v>-8119880.9156407071</v>
      </c>
      <c r="T49" s="241">
        <f t="shared" si="13"/>
        <v>48988.723472946323</v>
      </c>
      <c r="U49" s="431"/>
      <c r="V49" s="186">
        <f t="shared" si="28"/>
        <v>37653</v>
      </c>
      <c r="W49" s="215">
        <f t="shared" si="14"/>
        <v>2352521.4631396555</v>
      </c>
      <c r="X49" s="191">
        <f t="shared" si="15"/>
        <v>-42345.386336513795</v>
      </c>
      <c r="Y49" s="218">
        <f>+IF(AND(X$8&lt;=V49,X$9&gt;=V49),+MIN($B49-SUMIF($H$17:X$17,Y$17,$H49:X49),((INDEX(ROUTE_PER_DAY_BY_SHIP,MATCH(CONCATENATE(X$4,X$5,X$7),ROUTE_PER_DAY_ROUTES,0),MATCH(X$6,ROUTE_PER_DAY_SHIPS,0))*(V50-V49))-(INDEX(ROUTE_PER_DAY_BY_SHIP,MATCH(CONCATENATE(X$4,X$5,X$7),ROUTE_PER_DAY_ROUTES,0),MATCH(X$6,ROUTE_PER_DAY_SHIPS,0))*(V50-V49))*HLOOKUP(X$6,SHIPS,7,0)*INDEX(LADEN_VOYAGE_DAYS,MATCH(CONCATENATE(X$4,X$5,X$7),LADEN_VOYAGE_ROUTES,0),MATCH(X$6,LADEN_VOYAGE_SHIPS,0)))),0)</f>
        <v>2310176.0768031417</v>
      </c>
      <c r="Z49" s="118">
        <f t="shared" si="16"/>
        <v>-57754.401920078548</v>
      </c>
      <c r="AA49" s="215">
        <f t="shared" si="3"/>
        <v>2252421.6748830634</v>
      </c>
      <c r="AB49" s="202"/>
      <c r="AC49" s="186">
        <f t="shared" si="29"/>
        <v>37653</v>
      </c>
      <c r="AD49" s="232">
        <f>+AA49*(VLOOKUP(AC49,CURVECALC!$C$6:$J$312,4,0)+AE$5)</f>
        <v>7511826.2857350167</v>
      </c>
      <c r="AE49" s="208">
        <f>-W49*INDEX(ship_curves,MATCH(AC49,'SHIP CURVES'!$A$9:$A$316,0),MATCH(CONCATENATE(AG$4,AG$5,AG$6,AG$7),'SHIP CURVES'!$A$9:$AZ$9,0))</f>
        <v>-1401950.3586101581</v>
      </c>
      <c r="AF49" s="209">
        <f>-Y49*INDEX(port_processing_fee,MATCH(AC49,PORTS!$H$626:$H$933,0),MATCH(AG$5,PORTS!$H$626:$Z$626,0))</f>
        <v>-63202.592625567821</v>
      </c>
      <c r="AG49" s="405">
        <f>(((VLOOKUP(AC49,curvecalc,4,0))*IF(W49=0,0,AA49/W49)-INDEX(ship_curves,MATCH(AC49,'SHIP CURVES'!$A$9:$A$316,0),MATCH(CONCATENATE(AG$4,AG$5,AG$6,AG$7),'SHIP CURVES'!$A$9:$Z$9,0))-INDEX(terminal_curves,MATCH(AC49,'TERMINAL CURVES'!$A$4:$A$313,0),MATCH(AG$5,'TERMINAL CURVES'!$A$4:$N$4,0))*IF(W49=0,0,Y49/W49))-(AE$8)*((AE$7-$N$5)-(INDEX(ship_curves,MATCH(AC49,'SHIP CURVES'!$A$9:$A$316,0),MATCH(CONCATENATE(AG$4,AG$5,AG$6,AG$7),'SHIP CURVES'!$A$9:$Z$9,0))-INDEX(ship_curves,MATCH(AC49,'SHIP CURVES'!$A$9:$A$316,0),MATCH(CONCATENATE(AG$4,AE$6,AG$6,AG$7),'SHIP CURVES'!$A$9:$Z$9,0)))-(INDEX(terminal_curves,MATCH(AC49,'TERMINAL CURVES'!$A$4:$A$313,0),MATCH(AG$5,'TERMINAL CURVES'!$A$4:$N$4,0))-INDEX(terminal_curves,MATCH(AC49,'TERMINAL CURVES'!$A$4:$A$313,0),MATCH(AE$6,'TERMINAL CURVES'!$A$4:$N$4,0)))*IF(W49=0,0,Y49/W49)))*-W49</f>
        <v>-5543767.8622062942</v>
      </c>
      <c r="AH49" s="343">
        <f t="shared" si="17"/>
        <v>-7008920.8134420197</v>
      </c>
      <c r="AI49" s="338">
        <f>(-Y49/((HLOOKUP(AG$5,port_specs,2,0)/(365.25))*(AC50-AC49)))*(INDEX(fixed_capacity_charge,MATCH(AC49,PORTS!$H$11:$H$317,0),MATCH(AG$5,PORTS!$H$11:$N$11,0))+INDEX(variable_om_charge,MATCH(AC49,PORTS!$H$318:$H$625,0),MATCH(AG$5,PORTS!$H$318:$N$318,0)))</f>
        <v>-457857.03879533516</v>
      </c>
      <c r="AJ49" s="232">
        <f t="shared" si="18"/>
        <v>-7466777.852237355</v>
      </c>
      <c r="AK49" s="241">
        <f t="shared" si="19"/>
        <v>45048.433497661725</v>
      </c>
      <c r="AM49" s="186">
        <f t="shared" si="30"/>
        <v>37653</v>
      </c>
      <c r="AN49" s="215">
        <f t="shared" si="20"/>
        <v>0</v>
      </c>
      <c r="AO49" s="191">
        <f t="shared" si="21"/>
        <v>0</v>
      </c>
      <c r="AP49" s="218">
        <f>+IF(AND(AO$8&lt;=AM49,AO$9&gt;=AM49),+MIN($B49-SUMIF($H$17:AO$17,AP$17,$H49:AO49),((INDEX(ROUTE_PER_DAY_BY_SHIP,MATCH(CONCATENATE(AO$4,AO$5,AO$7),ROUTE_PER_DAY_ROUTES,0),MATCH(AO$6,ROUTE_PER_DAY_SHIPS,0))*(AM50-AM49))-(INDEX(ROUTE_PER_DAY_BY_SHIP,MATCH(CONCATENATE(AO$4,AO$5,AO$7),ROUTE_PER_DAY_ROUTES,0),MATCH(AO$6,ROUTE_PER_DAY_SHIPS,0))*(AM50-AM49))*HLOOKUP(AO$6,SHIPS,7,0)*INDEX(LADEN_VOYAGE_DAYS,MATCH(CONCATENATE(AO$4,AO$5,AO$7),LADEN_VOYAGE_ROUTES,0),MATCH(AO$6,LADEN_VOYAGE_SHIPS,0)))),0)</f>
        <v>0</v>
      </c>
      <c r="AQ49" s="118">
        <f>-(AP49)*PORTS!$I$6</f>
        <v>0</v>
      </c>
      <c r="AR49" s="215">
        <f t="shared" si="4"/>
        <v>0</v>
      </c>
      <c r="AS49" s="202"/>
      <c r="AT49" s="186">
        <f t="shared" si="31"/>
        <v>37653</v>
      </c>
      <c r="AU49" s="232">
        <f>+AR49*(VLOOKUP(AT49,CURVECALC!$C$6:$J$312,4,0)+AV$5)</f>
        <v>0</v>
      </c>
      <c r="AV49" s="208">
        <f>-AN49*INDEX(ship_curves,MATCH(AT49,'SHIP CURVES'!$A$9:$A$316,0),MATCH(CONCATENATE(AX$4,AX$5,AX$6,AX$7),'SHIP CURVES'!$A$9:$AZ$9,0))</f>
        <v>0</v>
      </c>
      <c r="AW49" s="209">
        <f>-AP49*INDEX(port_processing_fee,MATCH(AT49,PORTS!$H$626:$H$933,0),MATCH(AX$5,PORTS!$H$626:$Z$626,0))</f>
        <v>0</v>
      </c>
      <c r="AX49" s="405">
        <f>(((VLOOKUP(AT49,curvecalc,4,0))*IF(AN49=0,0,AR49/AN49)-INDEX(ship_curves,MATCH(AT49,'SHIP CURVES'!$A$9:$A$316,0),MATCH(CONCATENATE(AX$4,AX$5,AX$6,AX$7),'SHIP CURVES'!$A$9:$Z$9,0))-INDEX(terminal_curves,MATCH(AT49,'TERMINAL CURVES'!$A$4:$A$313,0),MATCH(AX$5,'TERMINAL CURVES'!$A$4:$N$4,0))*IF(AN49=0,0,AP49/AN49))-(AV$8)*((AV$7-$N$5)-(INDEX(ship_curves,MATCH(AT49,'SHIP CURVES'!$A$9:$A$316,0),MATCH(CONCATENATE(AX$4,AX$5,AX$6,AX$7),'SHIP CURVES'!$A$9:$Z$9,0))-INDEX(ship_curves,MATCH(AT49,'SHIP CURVES'!$A$9:$A$316,0),MATCH(CONCATENATE(AX$4,AV$6,AX$6,AX$7),'SHIP CURVES'!$A$9:$Z$9,0)))-(INDEX(terminal_curves,MATCH(AT49,'TERMINAL CURVES'!$A$4:$A$313,0),MATCH(AX$5,'TERMINAL CURVES'!$A$4:$N$4,0))-INDEX(terminal_curves,MATCH(AT49,'TERMINAL CURVES'!$A$4:$A$313,0),MATCH(AV$6,'TERMINAL CURVES'!$A$4:$N$4,0)))*IF(AN49=0,0,AP49/AN49)))*-AN49</f>
        <v>0</v>
      </c>
      <c r="AY49" s="343">
        <f t="shared" si="22"/>
        <v>0</v>
      </c>
      <c r="AZ49" s="338">
        <f>(-AP49/((HLOOKUP(AX$5,port_specs,2,0)/(365.25))*(AT50-AT49)))*(INDEX(fixed_capacity_charge,MATCH(AT49,PORTS!$H$11:$H$317,0),MATCH(AX$5,PORTS!$H$11:$N$11,0))+INDEX(variable_om_charge,MATCH(AT49,PORTS!$H$318:$H$625,0),MATCH(AX$5,PORTS!$H$318:$N$318,0)))</f>
        <v>0</v>
      </c>
      <c r="BA49" s="232">
        <f t="shared" si="23"/>
        <v>0</v>
      </c>
      <c r="BB49" s="241">
        <f t="shared" si="24"/>
        <v>0</v>
      </c>
      <c r="BC49" s="408"/>
      <c r="BD49" s="338">
        <f>+PORTS!I43+PORTS!I351</f>
        <v>955761.85195272928</v>
      </c>
    </row>
    <row r="50" spans="1:56" x14ac:dyDescent="0.2">
      <c r="A50" s="186">
        <f t="shared" si="25"/>
        <v>37681</v>
      </c>
      <c r="B50" s="215">
        <f>+IF(AND($A50&gt;=$C$8,$A50&lt;=$C$9),1,0)*PORTS!$I$5/(365.25)*(A51-A50)</f>
        <v>5339105.9818476336</v>
      </c>
      <c r="C50" s="351">
        <f t="shared" si="5"/>
        <v>0</v>
      </c>
      <c r="D50">
        <f t="shared" si="6"/>
        <v>2003</v>
      </c>
      <c r="E50" s="186">
        <f t="shared" si="26"/>
        <v>37681</v>
      </c>
      <c r="F50" s="215">
        <f t="shared" si="7"/>
        <v>2876329.9272727272</v>
      </c>
      <c r="G50" s="191">
        <f t="shared" si="8"/>
        <v>-94918.887600000002</v>
      </c>
      <c r="H50" s="218">
        <f t="shared" si="9"/>
        <v>2781411.0396727272</v>
      </c>
      <c r="I50" s="118">
        <f t="shared" si="10"/>
        <v>-69535.275991818184</v>
      </c>
      <c r="J50" s="215">
        <f t="shared" si="2"/>
        <v>2711875.7636809088</v>
      </c>
      <c r="K50" s="202"/>
      <c r="L50" s="186">
        <f t="shared" si="27"/>
        <v>37681</v>
      </c>
      <c r="M50" s="400">
        <f>+J50*(VLOOKUP(L50,CURVECALC!$C$6:$J$312,4,0)+N$5)</f>
        <v>8664443.064960504</v>
      </c>
      <c r="N50" s="208">
        <f>-F50*INDEX(ship_curves,MATCH(L50,'SHIP CURVES'!$A$9:$A$316,0),MATCH(CONCATENATE(P$4,P$5,P$6,P$7),'SHIP CURVES'!$A$9:$AZ$9,0))</f>
        <v>-1717758.34718195</v>
      </c>
      <c r="O50" s="209">
        <f>-H50*INDEX(port_processing_fee,MATCH(L50,PORTS!$H$626:$H$933,0),MATCH(P$5,PORTS!$H$626:$Z$626,0))</f>
        <v>-76174.066428713151</v>
      </c>
      <c r="P50" s="405">
        <f>(((VLOOKUP(L50,curvecalc,4,0))*IF(F50=0,0,J50/F50)-INDEX(ship_curves,MATCH(L50,'SHIP CURVES'!$A$9:$A$316,0),MATCH(CONCATENATE(P$4,P$5,P$6,P$7),'SHIP CURVES'!$A$9:$Z$9,0))-INDEX(terminal_curves,MATCH(L50,'TERMINAL CURVES'!$A$4:$A$313,0),MATCH(P$5,'TERMINAL CURVES'!$A$4:$N$4,0))*IF(F50=0,0,H50/F50))-(N$8)*((N$7-$N$5)-(INDEX(ship_curves,MATCH(L50,'SHIP CURVES'!$A$9:$A$316,0),MATCH(CONCATENATE(P$4,P$5,P$6,P$7),'SHIP CURVES'!$A$9:$Z$9,0))-INDEX(ship_curves,MATCH(L50,'SHIP CURVES'!$A$9:$A$316,0),MATCH(CONCATENATE(P$4,N$6,P$6,P$7),'SHIP CURVES'!$A$9:$Z$9,0)))-(INDEX(terminal_curves,MATCH(L50,'TERMINAL CURVES'!$A$4:$A$313,0),MATCH(P$5,'TERMINAL CURVES'!$A$4:$N$4,0))-INDEX(terminal_curves,MATCH(L50,'TERMINAL CURVES'!$A$4:$A$313,0),MATCH(N$6,'TERMINAL CURVES'!$A$4:$N$4,0)))*IF(F50=0,0,H50/F50)))*-F50</f>
        <v>-6318112.961954576</v>
      </c>
      <c r="Q50" s="403">
        <f t="shared" si="11"/>
        <v>-8112045.3755652392</v>
      </c>
      <c r="R50" s="338">
        <f>(-H50/((HLOOKUP(P$5,port_specs,2,0)/(365.25))*(L51-L50)))*(INDEX(fixed_capacity_charge,MATCH(L50,PORTS!$H$11:$H$317,0),MATCH(P$5,PORTS!$H$11:$N$11,0))+INDEX(variable_om_charge,MATCH(L50,PORTS!$H$318:$H$625,0),MATCH(P$5,PORTS!$H$318:$N$318,0)))</f>
        <v>-498160.17412164557</v>
      </c>
      <c r="S50" s="232">
        <f t="shared" si="12"/>
        <v>-8610205.5496868845</v>
      </c>
      <c r="T50" s="241">
        <f t="shared" si="13"/>
        <v>54237.515273619443</v>
      </c>
      <c r="U50" s="431"/>
      <c r="V50" s="186">
        <f t="shared" si="28"/>
        <v>37681</v>
      </c>
      <c r="W50" s="215">
        <f t="shared" si="14"/>
        <v>2604577.3341903323</v>
      </c>
      <c r="X50" s="191">
        <f t="shared" si="15"/>
        <v>-46882.392015425954</v>
      </c>
      <c r="Y50" s="218">
        <f>+IF(AND(X$8&lt;=V50,X$9&gt;=V50),+MIN($B50-SUMIF($H$17:X$17,Y$17,$H50:X50),((INDEX(ROUTE_PER_DAY_BY_SHIP,MATCH(CONCATENATE(X$4,X$5,X$7),ROUTE_PER_DAY_ROUTES,0),MATCH(X$6,ROUTE_PER_DAY_SHIPS,0))*(V51-V50))-(INDEX(ROUTE_PER_DAY_BY_SHIP,MATCH(CONCATENATE(X$4,X$5,X$7),ROUTE_PER_DAY_ROUTES,0),MATCH(X$6,ROUTE_PER_DAY_SHIPS,0))*(V51-V50))*HLOOKUP(X$6,SHIPS,7,0)*INDEX(LADEN_VOYAGE_DAYS,MATCH(CONCATENATE(X$4,X$5,X$7),LADEN_VOYAGE_ROUTES,0),MATCH(X$6,LADEN_VOYAGE_SHIPS,0)))),0)</f>
        <v>2557694.9421749064</v>
      </c>
      <c r="Z50" s="118">
        <f t="shared" si="16"/>
        <v>-63942.373554372665</v>
      </c>
      <c r="AA50" s="215">
        <f t="shared" si="3"/>
        <v>2493752.5686205337</v>
      </c>
      <c r="AB50" s="202"/>
      <c r="AC50" s="186">
        <f t="shared" si="29"/>
        <v>37681</v>
      </c>
      <c r="AD50" s="232">
        <f>+AA50*(VLOOKUP(AC50,CURVECALC!$C$6:$J$312,4,0)+AE$5)</f>
        <v>7967539.4567426043</v>
      </c>
      <c r="AE50" s="208">
        <f>-W50*INDEX(ship_curves,MATCH(AC50,'SHIP CURVES'!$A$9:$A$316,0),MATCH(CONCATENATE(AG$4,AG$5,AG$6,AG$7),'SHIP CURVES'!$A$9:$AZ$9,0))</f>
        <v>-1552542.5080369797</v>
      </c>
      <c r="AF50" s="209">
        <f>-Y50*INDEX(port_processing_fee,MATCH(AC50,PORTS!$H$626:$H$933,0),MATCH(AG$5,PORTS!$H$626:$Z$626,0))</f>
        <v>-70047.188873076273</v>
      </c>
      <c r="AG50" s="405">
        <f>(((VLOOKUP(AC50,curvecalc,4,0))*IF(W50=0,0,AA50/W50)-INDEX(ship_curves,MATCH(AC50,'SHIP CURVES'!$A$9:$A$316,0),MATCH(CONCATENATE(AG$4,AG$5,AG$6,AG$7),'SHIP CURVES'!$A$9:$Z$9,0))-INDEX(terminal_curves,MATCH(AC50,'TERMINAL CURVES'!$A$4:$A$313,0),MATCH(AG$5,'TERMINAL CURVES'!$A$4:$N$4,0))*IF(W50=0,0,Y50/W50))-(AE$8)*((AE$7-$N$5)-(INDEX(ship_curves,MATCH(AC50,'SHIP CURVES'!$A$9:$A$316,0),MATCH(CONCATENATE(AG$4,AG$5,AG$6,AG$7),'SHIP CURVES'!$A$9:$Z$9,0))-INDEX(ship_curves,MATCH(AC50,'SHIP CURVES'!$A$9:$A$316,0),MATCH(CONCATENATE(AG$4,AE$6,AG$6,AG$7),'SHIP CURVES'!$A$9:$Z$9,0)))-(INDEX(terminal_curves,MATCH(AC50,'TERMINAL CURVES'!$A$4:$A$313,0),MATCH(AG$5,'TERMINAL CURVES'!$A$4:$N$4,0))-INDEX(terminal_curves,MATCH(AC50,'TERMINAL CURVES'!$A$4:$A$313,0),MATCH(AE$6,'TERMINAL CURVES'!$A$4:$N$4,0)))*IF(W50=0,0,Y50/W50)))*-W50</f>
        <v>-5836982.8480446329</v>
      </c>
      <c r="AH50" s="343">
        <f t="shared" si="17"/>
        <v>-7459572.5449546892</v>
      </c>
      <c r="AI50" s="338">
        <f>(-Y50/((HLOOKUP(AG$5,port_specs,2,0)/(365.25))*(AC51-AC50)))*(INDEX(fixed_capacity_charge,MATCH(AC50,PORTS!$H$11:$H$317,0),MATCH(AG$5,PORTS!$H$11:$N$11,0))+INDEX(variable_om_charge,MATCH(AC50,PORTS!$H$318:$H$625,0),MATCH(AG$5,PORTS!$H$318:$N$318,0)))</f>
        <v>-458091.86041550495</v>
      </c>
      <c r="AJ50" s="232">
        <f t="shared" si="18"/>
        <v>-7917664.4053701945</v>
      </c>
      <c r="AK50" s="241">
        <f t="shared" si="19"/>
        <v>49875.051372409798</v>
      </c>
      <c r="AM50" s="186">
        <f t="shared" si="30"/>
        <v>37681</v>
      </c>
      <c r="AN50" s="215">
        <f t="shared" si="20"/>
        <v>0</v>
      </c>
      <c r="AO50" s="191">
        <f t="shared" si="21"/>
        <v>0</v>
      </c>
      <c r="AP50" s="218">
        <f>+IF(AND(AO$8&lt;=AM50,AO$9&gt;=AM50),+MIN($B50-SUMIF($H$17:AO$17,AP$17,$H50:AO50),((INDEX(ROUTE_PER_DAY_BY_SHIP,MATCH(CONCATENATE(AO$4,AO$5,AO$7),ROUTE_PER_DAY_ROUTES,0),MATCH(AO$6,ROUTE_PER_DAY_SHIPS,0))*(AM51-AM50))-(INDEX(ROUTE_PER_DAY_BY_SHIP,MATCH(CONCATENATE(AO$4,AO$5,AO$7),ROUTE_PER_DAY_ROUTES,0),MATCH(AO$6,ROUTE_PER_DAY_SHIPS,0))*(AM51-AM50))*HLOOKUP(AO$6,SHIPS,7,0)*INDEX(LADEN_VOYAGE_DAYS,MATCH(CONCATENATE(AO$4,AO$5,AO$7),LADEN_VOYAGE_ROUTES,0),MATCH(AO$6,LADEN_VOYAGE_SHIPS,0)))),0)</f>
        <v>0</v>
      </c>
      <c r="AQ50" s="118">
        <f>-(AP50)*PORTS!$I$6</f>
        <v>0</v>
      </c>
      <c r="AR50" s="215">
        <f t="shared" si="4"/>
        <v>0</v>
      </c>
      <c r="AS50" s="202"/>
      <c r="AT50" s="186">
        <f t="shared" si="31"/>
        <v>37681</v>
      </c>
      <c r="AU50" s="232">
        <f>+AR50*(VLOOKUP(AT50,CURVECALC!$C$6:$J$312,4,0)+AV$5)</f>
        <v>0</v>
      </c>
      <c r="AV50" s="208">
        <f>-AN50*INDEX(ship_curves,MATCH(AT50,'SHIP CURVES'!$A$9:$A$316,0),MATCH(CONCATENATE(AX$4,AX$5,AX$6,AX$7),'SHIP CURVES'!$A$9:$AZ$9,0))</f>
        <v>0</v>
      </c>
      <c r="AW50" s="209">
        <f>-AP50*INDEX(port_processing_fee,MATCH(AT50,PORTS!$H$626:$H$933,0),MATCH(AX$5,PORTS!$H$626:$Z$626,0))</f>
        <v>0</v>
      </c>
      <c r="AX50" s="405">
        <f>(((VLOOKUP(AT50,curvecalc,4,0))*IF(AN50=0,0,AR50/AN50)-INDEX(ship_curves,MATCH(AT50,'SHIP CURVES'!$A$9:$A$316,0),MATCH(CONCATENATE(AX$4,AX$5,AX$6,AX$7),'SHIP CURVES'!$A$9:$Z$9,0))-INDEX(terminal_curves,MATCH(AT50,'TERMINAL CURVES'!$A$4:$A$313,0),MATCH(AX$5,'TERMINAL CURVES'!$A$4:$N$4,0))*IF(AN50=0,0,AP50/AN50))-(AV$8)*((AV$7-$N$5)-(INDEX(ship_curves,MATCH(AT50,'SHIP CURVES'!$A$9:$A$316,0),MATCH(CONCATENATE(AX$4,AX$5,AX$6,AX$7),'SHIP CURVES'!$A$9:$Z$9,0))-INDEX(ship_curves,MATCH(AT50,'SHIP CURVES'!$A$9:$A$316,0),MATCH(CONCATENATE(AX$4,AV$6,AX$6,AX$7),'SHIP CURVES'!$A$9:$Z$9,0)))-(INDEX(terminal_curves,MATCH(AT50,'TERMINAL CURVES'!$A$4:$A$313,0),MATCH(AX$5,'TERMINAL CURVES'!$A$4:$N$4,0))-INDEX(terminal_curves,MATCH(AT50,'TERMINAL CURVES'!$A$4:$A$313,0),MATCH(AV$6,'TERMINAL CURVES'!$A$4:$N$4,0)))*IF(AN50=0,0,AP50/AN50)))*-AN50</f>
        <v>0</v>
      </c>
      <c r="AY50" s="343">
        <f t="shared" si="22"/>
        <v>0</v>
      </c>
      <c r="AZ50" s="338">
        <f>(-AP50/((HLOOKUP(AX$5,port_specs,2,0)/(365.25))*(AT51-AT50)))*(INDEX(fixed_capacity_charge,MATCH(AT50,PORTS!$H$11:$H$317,0),MATCH(AX$5,PORTS!$H$11:$N$11,0))+INDEX(variable_om_charge,MATCH(AT50,PORTS!$H$318:$H$625,0),MATCH(AX$5,PORTS!$H$318:$N$318,0)))</f>
        <v>0</v>
      </c>
      <c r="BA50" s="232">
        <f t="shared" si="23"/>
        <v>0</v>
      </c>
      <c r="BB50" s="241">
        <f t="shared" si="24"/>
        <v>0</v>
      </c>
      <c r="BC50" s="408"/>
      <c r="BD50" s="338">
        <f>+PORTS!I44+PORTS!I352</f>
        <v>956252.03453715052</v>
      </c>
    </row>
    <row r="51" spans="1:56" x14ac:dyDescent="0.2">
      <c r="A51" s="186">
        <f t="shared" si="25"/>
        <v>37712</v>
      </c>
      <c r="B51" s="215">
        <f>+IF(AND($A51&gt;=$C$8,$A51&lt;=$C$9),1,0)*PORTS!$I$5/(365.25)*(A52-A51)</f>
        <v>5166876.756626742</v>
      </c>
      <c r="C51" s="351">
        <f t="shared" si="5"/>
        <v>0</v>
      </c>
      <c r="D51">
        <f t="shared" si="6"/>
        <v>2003</v>
      </c>
      <c r="E51" s="186">
        <f t="shared" si="26"/>
        <v>37712</v>
      </c>
      <c r="F51" s="215">
        <f t="shared" si="7"/>
        <v>2783545.0909090908</v>
      </c>
      <c r="G51" s="191">
        <f t="shared" si="8"/>
        <v>-91856.987999999983</v>
      </c>
      <c r="H51" s="218">
        <f t="shared" si="9"/>
        <v>2691688.1029090909</v>
      </c>
      <c r="I51" s="118">
        <f t="shared" si="10"/>
        <v>-67292.20257272727</v>
      </c>
      <c r="J51" s="215">
        <f t="shared" si="2"/>
        <v>2624395.9003363638</v>
      </c>
      <c r="K51" s="202"/>
      <c r="L51" s="186">
        <f t="shared" si="27"/>
        <v>37712</v>
      </c>
      <c r="M51" s="400">
        <f>+J51*(VLOOKUP(L51,CURVECALC!$C$6:$J$312,4,0)+N$5)</f>
        <v>8017529.4755275911</v>
      </c>
      <c r="N51" s="208">
        <f>-F51*INDEX(ship_curves,MATCH(L51,'SHIP CURVES'!$A$9:$A$316,0),MATCH(CONCATENATE(P$4,P$5,P$6,P$7),'SHIP CURVES'!$A$9:$AZ$9,0))</f>
        <v>-1663268.5182428882</v>
      </c>
      <c r="O51" s="209">
        <f>-H51*INDEX(port_processing_fee,MATCH(L51,PORTS!$H$626:$H$933,0),MATCH(P$5,PORTS!$H$626:$Z$626,0))</f>
        <v>-73793.626852815869</v>
      </c>
      <c r="P51" s="405">
        <f>(((VLOOKUP(L51,curvecalc,4,0))*IF(F51=0,0,J51/F51)-INDEX(ship_curves,MATCH(L51,'SHIP CURVES'!$A$9:$A$316,0),MATCH(CONCATENATE(P$4,P$5,P$6,P$7),'SHIP CURVES'!$A$9:$Z$9,0))-INDEX(terminal_curves,MATCH(L51,'TERMINAL CURVES'!$A$4:$A$313,0),MATCH(P$5,'TERMINAL CURVES'!$A$4:$N$4,0))*IF(F51=0,0,H51/F51))-(N$8)*((N$7-$N$5)-(INDEX(ship_curves,MATCH(L51,'SHIP CURVES'!$A$9:$A$316,0),MATCH(CONCATENATE(P$4,P$5,P$6,P$7),'SHIP CURVES'!$A$9:$Z$9,0))-INDEX(ship_curves,MATCH(L51,'SHIP CURVES'!$A$9:$A$316,0),MATCH(CONCATENATE(P$4,N$6,P$6,P$7),'SHIP CURVES'!$A$9:$Z$9,0)))-(INDEX(terminal_curves,MATCH(L51,'TERMINAL CURVES'!$A$4:$A$313,0),MATCH(P$5,'TERMINAL CURVES'!$A$4:$N$4,0))-INDEX(terminal_curves,MATCH(L51,'TERMINAL CURVES'!$A$4:$A$313,0),MATCH(N$6,'TERMINAL CURVES'!$A$4:$N$4,0)))*IF(F51=0,0,H51/F51)))*-F51</f>
        <v>-5729563.6113382597</v>
      </c>
      <c r="Q51" s="403">
        <f t="shared" si="11"/>
        <v>-7466625.7564339638</v>
      </c>
      <c r="R51" s="338">
        <f>(-H51/((HLOOKUP(P$5,port_specs,2,0)/(365.25))*(L52-L51)))*(INDEX(fixed_capacity_charge,MATCH(L51,PORTS!$H$11:$H$317,0),MATCH(P$5,PORTS!$H$11:$N$11,0))+INDEX(variable_om_charge,MATCH(L51,PORTS!$H$318:$H$625,0),MATCH(P$5,PORTS!$H$318:$N$318,0)))</f>
        <v>-498415.80108690128</v>
      </c>
      <c r="S51" s="232">
        <f t="shared" si="12"/>
        <v>-7965041.5575208655</v>
      </c>
      <c r="T51" s="241">
        <f t="shared" si="13"/>
        <v>52487.918006725609</v>
      </c>
      <c r="U51" s="431"/>
      <c r="V51" s="186">
        <f t="shared" si="28"/>
        <v>37712</v>
      </c>
      <c r="W51" s="215">
        <f t="shared" si="14"/>
        <v>2520558.7105067731</v>
      </c>
      <c r="X51" s="191">
        <f t="shared" si="15"/>
        <v>-45370.056789122056</v>
      </c>
      <c r="Y51" s="218">
        <f>+IF(AND(X$8&lt;=V51,X$9&gt;=V51),+MIN($B51-SUMIF($H$17:X$17,Y$17,$H51:X51),((INDEX(ROUTE_PER_DAY_BY_SHIP,MATCH(CONCATENATE(X$4,X$5,X$7),ROUTE_PER_DAY_ROUTES,0),MATCH(X$6,ROUTE_PER_DAY_SHIPS,0))*(V52-V51))-(INDEX(ROUTE_PER_DAY_BY_SHIP,MATCH(CONCATENATE(X$4,X$5,X$7),ROUTE_PER_DAY_ROUTES,0),MATCH(X$6,ROUTE_PER_DAY_SHIPS,0))*(V52-V51))*HLOOKUP(X$6,SHIPS,7,0)*INDEX(LADEN_VOYAGE_DAYS,MATCH(CONCATENATE(X$4,X$5,X$7),LADEN_VOYAGE_ROUTES,0),MATCH(X$6,LADEN_VOYAGE_SHIPS,0)))),0)</f>
        <v>2475188.653717651</v>
      </c>
      <c r="Z51" s="118">
        <f t="shared" si="16"/>
        <v>-61879.716342941276</v>
      </c>
      <c r="AA51" s="215">
        <f t="shared" si="3"/>
        <v>2413308.9373747096</v>
      </c>
      <c r="AB51" s="202"/>
      <c r="AC51" s="186">
        <f t="shared" si="29"/>
        <v>37712</v>
      </c>
      <c r="AD51" s="232">
        <f>+AA51*(VLOOKUP(AC51,CURVECALC!$C$6:$J$312,4,0)+AE$5)</f>
        <v>7372658.8036797373</v>
      </c>
      <c r="AE51" s="208">
        <f>-W51*INDEX(ship_curves,MATCH(AC51,'SHIP CURVES'!$A$9:$A$316,0),MATCH(CONCATENATE(AG$4,AG$5,AG$6,AG$7),'SHIP CURVES'!$A$9:$AZ$9,0))</f>
        <v>-1502832.0859031528</v>
      </c>
      <c r="AF51" s="209">
        <f>-Y51*INDEX(port_processing_fee,MATCH(AC51,PORTS!$H$626:$H$933,0),MATCH(AG$5,PORTS!$H$626:$Z$626,0))</f>
        <v>-67858.214220792623</v>
      </c>
      <c r="AG51" s="405">
        <f>(((VLOOKUP(AC51,curvecalc,4,0))*IF(W51=0,0,AA51/W51)-INDEX(ship_curves,MATCH(AC51,'SHIP CURVES'!$A$9:$A$316,0),MATCH(CONCATENATE(AG$4,AG$5,AG$6,AG$7),'SHIP CURVES'!$A$9:$Z$9,0))-INDEX(terminal_curves,MATCH(AC51,'TERMINAL CURVES'!$A$4:$A$313,0),MATCH(AG$5,'TERMINAL CURVES'!$A$4:$N$4,0))*IF(W51=0,0,Y51/W51))-(AE$8)*((AE$7-$N$5)-(INDEX(ship_curves,MATCH(AC51,'SHIP CURVES'!$A$9:$A$316,0),MATCH(CONCATENATE(AG$4,AG$5,AG$6,AG$7),'SHIP CURVES'!$A$9:$Z$9,0))-INDEX(ship_curves,MATCH(AC51,'SHIP CURVES'!$A$9:$A$316,0),MATCH(CONCATENATE(AG$4,AE$6,AG$6,AG$7),'SHIP CURVES'!$A$9:$Z$9,0)))-(INDEX(terminal_curves,MATCH(AC51,'TERMINAL CURVES'!$A$4:$A$313,0),MATCH(AG$5,'TERMINAL CURVES'!$A$4:$N$4,0))-INDEX(terminal_curves,MATCH(AC51,'TERMINAL CURVES'!$A$4:$A$313,0),MATCH(AE$6,'TERMINAL CURVES'!$A$4:$N$4,0)))*IF(W51=0,0,Y51/W51)))*-W51</f>
        <v>-5295375.3981667683</v>
      </c>
      <c r="AH51" s="343">
        <f t="shared" si="17"/>
        <v>-6866065.6982907131</v>
      </c>
      <c r="AI51" s="338">
        <f>(-Y51/((HLOOKUP(AG$5,port_specs,2,0)/(365.25))*(AC52-AC51)))*(INDEX(fixed_capacity_charge,MATCH(AC51,PORTS!$H$11:$H$317,0),MATCH(AG$5,PORTS!$H$11:$N$11,0))+INDEX(variable_om_charge,MATCH(AC51,PORTS!$H$318:$H$625,0),MATCH(AG$5,PORTS!$H$318:$N$318,0)))</f>
        <v>-458326.92664152925</v>
      </c>
      <c r="AJ51" s="232">
        <f t="shared" si="18"/>
        <v>-7324392.6249322426</v>
      </c>
      <c r="AK51" s="241">
        <f t="shared" si="19"/>
        <v>48266.178747494705</v>
      </c>
      <c r="AM51" s="186">
        <f t="shared" si="30"/>
        <v>37712</v>
      </c>
      <c r="AN51" s="215">
        <f t="shared" si="20"/>
        <v>0</v>
      </c>
      <c r="AO51" s="191">
        <f t="shared" si="21"/>
        <v>0</v>
      </c>
      <c r="AP51" s="218">
        <f>+IF(AND(AO$8&lt;=AM51,AO$9&gt;=AM51),+MIN($B51-SUMIF($H$17:AO$17,AP$17,$H51:AO51),((INDEX(ROUTE_PER_DAY_BY_SHIP,MATCH(CONCATENATE(AO$4,AO$5,AO$7),ROUTE_PER_DAY_ROUTES,0),MATCH(AO$6,ROUTE_PER_DAY_SHIPS,0))*(AM52-AM51))-(INDEX(ROUTE_PER_DAY_BY_SHIP,MATCH(CONCATENATE(AO$4,AO$5,AO$7),ROUTE_PER_DAY_ROUTES,0),MATCH(AO$6,ROUTE_PER_DAY_SHIPS,0))*(AM52-AM51))*HLOOKUP(AO$6,SHIPS,7,0)*INDEX(LADEN_VOYAGE_DAYS,MATCH(CONCATENATE(AO$4,AO$5,AO$7),LADEN_VOYAGE_ROUTES,0),MATCH(AO$6,LADEN_VOYAGE_SHIPS,0)))),0)</f>
        <v>0</v>
      </c>
      <c r="AQ51" s="118">
        <f>-(AP51)*PORTS!$I$6</f>
        <v>0</v>
      </c>
      <c r="AR51" s="215">
        <f t="shared" si="4"/>
        <v>0</v>
      </c>
      <c r="AS51" s="202"/>
      <c r="AT51" s="186">
        <f t="shared" si="31"/>
        <v>37712</v>
      </c>
      <c r="AU51" s="232">
        <f>+AR51*(VLOOKUP(AT51,CURVECALC!$C$6:$J$312,4,0)+AV$5)</f>
        <v>0</v>
      </c>
      <c r="AV51" s="208">
        <f>-AN51*INDEX(ship_curves,MATCH(AT51,'SHIP CURVES'!$A$9:$A$316,0),MATCH(CONCATENATE(AX$4,AX$5,AX$6,AX$7),'SHIP CURVES'!$A$9:$AZ$9,0))</f>
        <v>0</v>
      </c>
      <c r="AW51" s="209">
        <f>-AP51*INDEX(port_processing_fee,MATCH(AT51,PORTS!$H$626:$H$933,0),MATCH(AX$5,PORTS!$H$626:$Z$626,0))</f>
        <v>0</v>
      </c>
      <c r="AX51" s="405">
        <f>(((VLOOKUP(AT51,curvecalc,4,0))*IF(AN51=0,0,AR51/AN51)-INDEX(ship_curves,MATCH(AT51,'SHIP CURVES'!$A$9:$A$316,0),MATCH(CONCATENATE(AX$4,AX$5,AX$6,AX$7),'SHIP CURVES'!$A$9:$Z$9,0))-INDEX(terminal_curves,MATCH(AT51,'TERMINAL CURVES'!$A$4:$A$313,0),MATCH(AX$5,'TERMINAL CURVES'!$A$4:$N$4,0))*IF(AN51=0,0,AP51/AN51))-(AV$8)*((AV$7-$N$5)-(INDEX(ship_curves,MATCH(AT51,'SHIP CURVES'!$A$9:$A$316,0),MATCH(CONCATENATE(AX$4,AX$5,AX$6,AX$7),'SHIP CURVES'!$A$9:$Z$9,0))-INDEX(ship_curves,MATCH(AT51,'SHIP CURVES'!$A$9:$A$316,0),MATCH(CONCATENATE(AX$4,AV$6,AX$6,AX$7),'SHIP CURVES'!$A$9:$Z$9,0)))-(INDEX(terminal_curves,MATCH(AT51,'TERMINAL CURVES'!$A$4:$A$313,0),MATCH(AX$5,'TERMINAL CURVES'!$A$4:$N$4,0))-INDEX(terminal_curves,MATCH(AT51,'TERMINAL CURVES'!$A$4:$A$313,0),MATCH(AV$6,'TERMINAL CURVES'!$A$4:$N$4,0)))*IF(AN51=0,0,AP51/AN51)))*-AN51</f>
        <v>0</v>
      </c>
      <c r="AY51" s="343">
        <f t="shared" si="22"/>
        <v>0</v>
      </c>
      <c r="AZ51" s="338">
        <f>(-AP51/((HLOOKUP(AX$5,port_specs,2,0)/(365.25))*(AT52-AT51)))*(INDEX(fixed_capacity_charge,MATCH(AT51,PORTS!$H$11:$H$317,0),MATCH(AX$5,PORTS!$H$11:$N$11,0))+INDEX(variable_om_charge,MATCH(AT51,PORTS!$H$318:$H$625,0),MATCH(AX$5,PORTS!$H$318:$N$318,0)))</f>
        <v>0</v>
      </c>
      <c r="BA51" s="232">
        <f t="shared" si="23"/>
        <v>0</v>
      </c>
      <c r="BB51" s="241">
        <f t="shared" si="24"/>
        <v>0</v>
      </c>
      <c r="BC51" s="408"/>
      <c r="BD51" s="338">
        <f>+PORTS!I45+PORTS!I353</f>
        <v>956742.72772843053</v>
      </c>
    </row>
    <row r="52" spans="1:56" x14ac:dyDescent="0.2">
      <c r="A52" s="186">
        <f t="shared" si="25"/>
        <v>37742</v>
      </c>
      <c r="B52" s="215">
        <f>+IF(AND($A52&gt;=$C$8,$A52&lt;=$C$9),1,0)*PORTS!$I$5/(365.25)*(A53-A52)</f>
        <v>5339105.9818476336</v>
      </c>
      <c r="C52" s="351">
        <f t="shared" si="5"/>
        <v>0</v>
      </c>
      <c r="D52">
        <f t="shared" si="6"/>
        <v>2003</v>
      </c>
      <c r="E52" s="186">
        <f t="shared" si="26"/>
        <v>37742</v>
      </c>
      <c r="F52" s="215">
        <f t="shared" si="7"/>
        <v>2876329.9272727272</v>
      </c>
      <c r="G52" s="191">
        <f t="shared" si="8"/>
        <v>-94918.887600000002</v>
      </c>
      <c r="H52" s="218">
        <f t="shared" si="9"/>
        <v>2781411.0396727272</v>
      </c>
      <c r="I52" s="118">
        <f t="shared" si="10"/>
        <v>-69535.275991818184</v>
      </c>
      <c r="J52" s="215">
        <f t="shared" si="2"/>
        <v>2711875.7636809088</v>
      </c>
      <c r="K52" s="202"/>
      <c r="L52" s="186">
        <f t="shared" si="27"/>
        <v>37742</v>
      </c>
      <c r="M52" s="400">
        <f>+J52*(VLOOKUP(L52,CURVECALC!$C$6:$J$312,4,0)+N$5)</f>
        <v>8244102.3215899626</v>
      </c>
      <c r="N52" s="208">
        <f>-F52*INDEX(ship_curves,MATCH(L52,'SHIP CURVES'!$A$9:$A$316,0),MATCH(CONCATENATE(P$4,P$5,P$6,P$7),'SHIP CURVES'!$A$9:$AZ$9,0))</f>
        <v>-1719665.2414679404</v>
      </c>
      <c r="O52" s="209">
        <f>-H52*INDEX(port_processing_fee,MATCH(L52,PORTS!$H$626:$H$933,0),MATCH(P$5,PORTS!$H$626:$Z$626,0))</f>
        <v>-76332.845054591569</v>
      </c>
      <c r="P52" s="405">
        <f>(((VLOOKUP(L52,curvecalc,4,0))*IF(F52=0,0,J52/F52)-INDEX(ship_curves,MATCH(L52,'SHIP CURVES'!$A$9:$A$316,0),MATCH(CONCATENATE(P$4,P$5,P$6,P$7),'SHIP CURVES'!$A$9:$Z$9,0))-INDEX(terminal_curves,MATCH(L52,'TERMINAL CURVES'!$A$4:$A$313,0),MATCH(P$5,'TERMINAL CURVES'!$A$4:$N$4,0))*IF(F52=0,0,H52/F52))-(N$8)*((N$7-$N$5)-(INDEX(ship_curves,MATCH(L52,'SHIP CURVES'!$A$9:$A$316,0),MATCH(CONCATENATE(P$4,P$5,P$6,P$7),'SHIP CURVES'!$A$9:$Z$9,0))-INDEX(ship_curves,MATCH(L52,'SHIP CURVES'!$A$9:$A$316,0),MATCH(CONCATENATE(P$4,N$6,P$6,P$7),'SHIP CURVES'!$A$9:$Z$9,0)))-(INDEX(terminal_curves,MATCH(L52,'TERMINAL CURVES'!$A$4:$A$313,0),MATCH(P$5,'TERMINAL CURVES'!$A$4:$N$4,0))-INDEX(terminal_curves,MATCH(L52,'TERMINAL CURVES'!$A$4:$A$313,0),MATCH(N$6,'TERMINAL CURVES'!$A$4:$N$4,0)))*IF(F52=0,0,H52/F52)))*-F52</f>
        <v>-5895195.0254635671</v>
      </c>
      <c r="Q52" s="403">
        <f t="shared" si="11"/>
        <v>-7691193.1119860988</v>
      </c>
      <c r="R52" s="338">
        <f>(-H52/((HLOOKUP(P$5,port_specs,2,0)/(365.25))*(L53-L52)))*(INDEX(fixed_capacity_charge,MATCH(L52,PORTS!$H$11:$H$317,0),MATCH(P$5,PORTS!$H$11:$N$11,0))+INDEX(variable_om_charge,MATCH(L52,PORTS!$H$318:$H$625,0),MATCH(P$5,PORTS!$H$318:$N$318,0)))</f>
        <v>-498671.69433024584</v>
      </c>
      <c r="S52" s="232">
        <f t="shared" si="12"/>
        <v>-8189864.806316345</v>
      </c>
      <c r="T52" s="241">
        <f t="shared" si="13"/>
        <v>54237.515273617581</v>
      </c>
      <c r="U52" s="431"/>
      <c r="V52" s="186">
        <f t="shared" si="28"/>
        <v>37742</v>
      </c>
      <c r="W52" s="215">
        <f t="shared" si="14"/>
        <v>2604577.3341903323</v>
      </c>
      <c r="X52" s="191">
        <f t="shared" si="15"/>
        <v>-46882.392015425954</v>
      </c>
      <c r="Y52" s="218">
        <f>+IF(AND(X$8&lt;=V52,X$9&gt;=V52),+MIN($B52-SUMIF($H$17:X$17,Y$17,$H52:X52),((INDEX(ROUTE_PER_DAY_BY_SHIP,MATCH(CONCATENATE(X$4,X$5,X$7),ROUTE_PER_DAY_ROUTES,0),MATCH(X$6,ROUTE_PER_DAY_SHIPS,0))*(V53-V52))-(INDEX(ROUTE_PER_DAY_BY_SHIP,MATCH(CONCATENATE(X$4,X$5,X$7),ROUTE_PER_DAY_ROUTES,0),MATCH(X$6,ROUTE_PER_DAY_SHIPS,0))*(V53-V52))*HLOOKUP(X$6,SHIPS,7,0)*INDEX(LADEN_VOYAGE_DAYS,MATCH(CONCATENATE(X$4,X$5,X$7),LADEN_VOYAGE_ROUTES,0),MATCH(X$6,LADEN_VOYAGE_SHIPS,0)))),0)</f>
        <v>2557694.9421749064</v>
      </c>
      <c r="Z52" s="118">
        <f t="shared" si="16"/>
        <v>-63942.373554372665</v>
      </c>
      <c r="AA52" s="215">
        <f t="shared" si="3"/>
        <v>2493752.5686205337</v>
      </c>
      <c r="AB52" s="202"/>
      <c r="AC52" s="186">
        <f t="shared" si="29"/>
        <v>37742</v>
      </c>
      <c r="AD52" s="232">
        <f>+AA52*(VLOOKUP(AC52,CURVECALC!$C$6:$J$312,4,0)+AE$5)</f>
        <v>7581007.8086064225</v>
      </c>
      <c r="AE52" s="208">
        <f>-W52*INDEX(ship_curves,MATCH(AC52,'SHIP CURVES'!$A$9:$A$316,0),MATCH(CONCATENATE(AG$4,AG$5,AG$6,AG$7),'SHIP CURVES'!$A$9:$AZ$9,0))</f>
        <v>-1553311.2694560562</v>
      </c>
      <c r="AF52" s="209">
        <f>-Y52*INDEX(port_processing_fee,MATCH(AC52,PORTS!$H$626:$H$933,0),MATCH(AG$5,PORTS!$H$626:$Z$626,0))</f>
        <v>-70193.196522626153</v>
      </c>
      <c r="AG52" s="405">
        <f>(((VLOOKUP(AC52,curvecalc,4,0))*IF(W52=0,0,AA52/W52)-INDEX(ship_curves,MATCH(AC52,'SHIP CURVES'!$A$9:$A$316,0),MATCH(CONCATENATE(AG$4,AG$5,AG$6,AG$7),'SHIP CURVES'!$A$9:$Z$9,0))-INDEX(terminal_curves,MATCH(AC52,'TERMINAL CURVES'!$A$4:$A$313,0),MATCH(AG$5,'TERMINAL CURVES'!$A$4:$N$4,0))*IF(W52=0,0,Y52/W52))-(AE$8)*((AE$7-$N$5)-(INDEX(ship_curves,MATCH(AC52,'SHIP CURVES'!$A$9:$A$316,0),MATCH(CONCATENATE(AG$4,AG$5,AG$6,AG$7),'SHIP CURVES'!$A$9:$Z$9,0))-INDEX(ship_curves,MATCH(AC52,'SHIP CURVES'!$A$9:$A$316,0),MATCH(CONCATENATE(AG$4,AE$6,AG$6,AG$7),'SHIP CURVES'!$A$9:$Z$9,0)))-(INDEX(terminal_curves,MATCH(AC52,'TERMINAL CURVES'!$A$4:$A$313,0),MATCH(AG$5,'TERMINAL CURVES'!$A$4:$N$4,0))-INDEX(terminal_curves,MATCH(AC52,'TERMINAL CURVES'!$A$4:$A$313,0),MATCH(AE$6,'TERMINAL CURVES'!$A$4:$N$4,0)))*IF(W52=0,0,Y52/W52)))*-W52</f>
        <v>-5449066.0535271233</v>
      </c>
      <c r="AH52" s="343">
        <f t="shared" si="17"/>
        <v>-7072570.5195058053</v>
      </c>
      <c r="AI52" s="338">
        <f>(-Y52/((HLOOKUP(AG$5,port_specs,2,0)/(365.25))*(AC53-AC52)))*(INDEX(fixed_capacity_charge,MATCH(AC52,PORTS!$H$11:$H$317,0),MATCH(AG$5,PORTS!$H$11:$N$11,0))+INDEX(variable_om_charge,MATCH(AC52,PORTS!$H$318:$H$625,0),MATCH(AG$5,PORTS!$H$318:$N$318,0)))</f>
        <v>-458562.23772820563</v>
      </c>
      <c r="AJ52" s="232">
        <f t="shared" si="18"/>
        <v>-7531132.7572340108</v>
      </c>
      <c r="AK52" s="241">
        <f t="shared" si="19"/>
        <v>49875.051372411661</v>
      </c>
      <c r="AM52" s="186">
        <f t="shared" si="30"/>
        <v>37742</v>
      </c>
      <c r="AN52" s="215">
        <f t="shared" si="20"/>
        <v>0</v>
      </c>
      <c r="AO52" s="191">
        <f t="shared" si="21"/>
        <v>0</v>
      </c>
      <c r="AP52" s="218">
        <f>+IF(AND(AO$8&lt;=AM52,AO$9&gt;=AM52),+MIN($B52-SUMIF($H$17:AO$17,AP$17,$H52:AO52),((INDEX(ROUTE_PER_DAY_BY_SHIP,MATCH(CONCATENATE(AO$4,AO$5,AO$7),ROUTE_PER_DAY_ROUTES,0),MATCH(AO$6,ROUTE_PER_DAY_SHIPS,0))*(AM53-AM52))-(INDEX(ROUTE_PER_DAY_BY_SHIP,MATCH(CONCATENATE(AO$4,AO$5,AO$7),ROUTE_PER_DAY_ROUTES,0),MATCH(AO$6,ROUTE_PER_DAY_SHIPS,0))*(AM53-AM52))*HLOOKUP(AO$6,SHIPS,7,0)*INDEX(LADEN_VOYAGE_DAYS,MATCH(CONCATENATE(AO$4,AO$5,AO$7),LADEN_VOYAGE_ROUTES,0),MATCH(AO$6,LADEN_VOYAGE_SHIPS,0)))),0)</f>
        <v>0</v>
      </c>
      <c r="AQ52" s="118">
        <f>-(AP52)*PORTS!$I$6</f>
        <v>0</v>
      </c>
      <c r="AR52" s="215">
        <f t="shared" si="4"/>
        <v>0</v>
      </c>
      <c r="AS52" s="202"/>
      <c r="AT52" s="186">
        <f t="shared" si="31"/>
        <v>37742</v>
      </c>
      <c r="AU52" s="232">
        <f>+AR52*(VLOOKUP(AT52,CURVECALC!$C$6:$J$312,4,0)+AV$5)</f>
        <v>0</v>
      </c>
      <c r="AV52" s="208">
        <f>-AN52*INDEX(ship_curves,MATCH(AT52,'SHIP CURVES'!$A$9:$A$316,0),MATCH(CONCATENATE(AX$4,AX$5,AX$6,AX$7),'SHIP CURVES'!$A$9:$AZ$9,0))</f>
        <v>0</v>
      </c>
      <c r="AW52" s="209">
        <f>-AP52*INDEX(port_processing_fee,MATCH(AT52,PORTS!$H$626:$H$933,0),MATCH(AX$5,PORTS!$H$626:$Z$626,0))</f>
        <v>0</v>
      </c>
      <c r="AX52" s="405">
        <f>(((VLOOKUP(AT52,curvecalc,4,0))*IF(AN52=0,0,AR52/AN52)-INDEX(ship_curves,MATCH(AT52,'SHIP CURVES'!$A$9:$A$316,0),MATCH(CONCATENATE(AX$4,AX$5,AX$6,AX$7),'SHIP CURVES'!$A$9:$Z$9,0))-INDEX(terminal_curves,MATCH(AT52,'TERMINAL CURVES'!$A$4:$A$313,0),MATCH(AX$5,'TERMINAL CURVES'!$A$4:$N$4,0))*IF(AN52=0,0,AP52/AN52))-(AV$8)*((AV$7-$N$5)-(INDEX(ship_curves,MATCH(AT52,'SHIP CURVES'!$A$9:$A$316,0),MATCH(CONCATENATE(AX$4,AX$5,AX$6,AX$7),'SHIP CURVES'!$A$9:$Z$9,0))-INDEX(ship_curves,MATCH(AT52,'SHIP CURVES'!$A$9:$A$316,0),MATCH(CONCATENATE(AX$4,AV$6,AX$6,AX$7),'SHIP CURVES'!$A$9:$Z$9,0)))-(INDEX(terminal_curves,MATCH(AT52,'TERMINAL CURVES'!$A$4:$A$313,0),MATCH(AX$5,'TERMINAL CURVES'!$A$4:$N$4,0))-INDEX(terminal_curves,MATCH(AT52,'TERMINAL CURVES'!$A$4:$A$313,0),MATCH(AV$6,'TERMINAL CURVES'!$A$4:$N$4,0)))*IF(AN52=0,0,AP52/AN52)))*-AN52</f>
        <v>0</v>
      </c>
      <c r="AY52" s="343">
        <f t="shared" si="22"/>
        <v>0</v>
      </c>
      <c r="AZ52" s="338">
        <f>(-AP52/((HLOOKUP(AX$5,port_specs,2,0)/(365.25))*(AT53-AT52)))*(INDEX(fixed_capacity_charge,MATCH(AT52,PORTS!$H$11:$H$317,0),MATCH(AX$5,PORTS!$H$11:$N$11,0))+INDEX(variable_om_charge,MATCH(AT52,PORTS!$H$318:$H$625,0),MATCH(AX$5,PORTS!$H$318:$N$318,0)))</f>
        <v>0</v>
      </c>
      <c r="BA52" s="232">
        <f t="shared" si="23"/>
        <v>0</v>
      </c>
      <c r="BB52" s="241">
        <f t="shared" si="24"/>
        <v>0</v>
      </c>
      <c r="BC52" s="408"/>
      <c r="BD52" s="338">
        <f>+PORTS!I46+PORTS!I354</f>
        <v>957233.93205845146</v>
      </c>
    </row>
    <row r="53" spans="1:56" x14ac:dyDescent="0.2">
      <c r="A53" s="186">
        <f t="shared" si="25"/>
        <v>37773</v>
      </c>
      <c r="B53" s="215">
        <f>+IF(AND($A53&gt;=$C$8,$A53&lt;=$C$9),1,0)*PORTS!$I$5/(365.25)*(A54-A53)</f>
        <v>5166876.756626742</v>
      </c>
      <c r="C53" s="351">
        <f t="shared" si="5"/>
        <v>0</v>
      </c>
      <c r="D53">
        <f t="shared" si="6"/>
        <v>2003</v>
      </c>
      <c r="E53" s="186">
        <f t="shared" si="26"/>
        <v>37773</v>
      </c>
      <c r="F53" s="215">
        <f t="shared" si="7"/>
        <v>2783545.0909090908</v>
      </c>
      <c r="G53" s="191">
        <f t="shared" si="8"/>
        <v>-91856.987999999983</v>
      </c>
      <c r="H53" s="218">
        <f t="shared" si="9"/>
        <v>2691688.1029090909</v>
      </c>
      <c r="I53" s="118">
        <f t="shared" si="10"/>
        <v>-67292.20257272727</v>
      </c>
      <c r="J53" s="215">
        <f t="shared" si="2"/>
        <v>2624395.9003363638</v>
      </c>
      <c r="K53" s="202"/>
      <c r="L53" s="186">
        <f t="shared" si="27"/>
        <v>37773</v>
      </c>
      <c r="M53" s="400">
        <f>+J53*(VLOOKUP(L53,CURVECALC!$C$6:$J$312,4,0)+N$5)</f>
        <v>8056895.4140326362</v>
      </c>
      <c r="N53" s="208">
        <f>-F53*INDEX(ship_curves,MATCH(L53,'SHIP CURVES'!$A$9:$A$316,0),MATCH(CONCATENATE(P$4,P$5,P$6,P$7),'SHIP CURVES'!$A$9:$AZ$9,0))</f>
        <v>-1665117.7443549072</v>
      </c>
      <c r="O53" s="209">
        <f>-H53*INDEX(port_processing_fee,MATCH(L53,PORTS!$H$626:$H$933,0),MATCH(P$5,PORTS!$H$626:$Z$626,0))</f>
        <v>-73947.443646635584</v>
      </c>
      <c r="P53" s="405">
        <f>(((VLOOKUP(L53,curvecalc,4,0))*IF(F53=0,0,J53/F53)-INDEX(ship_curves,MATCH(L53,'SHIP CURVES'!$A$9:$A$316,0),MATCH(CONCATENATE(P$4,P$5,P$6,P$7),'SHIP CURVES'!$A$9:$Z$9,0))-INDEX(terminal_curves,MATCH(L53,'TERMINAL CURVES'!$A$4:$A$313,0),MATCH(P$5,'TERMINAL CURVES'!$A$4:$N$4,0))*IF(F53=0,0,H53/F53))-(N$8)*((N$7-$N$5)-(INDEX(ship_curves,MATCH(L53,'SHIP CURVES'!$A$9:$A$316,0),MATCH(CONCATENATE(P$4,P$5,P$6,P$7),'SHIP CURVES'!$A$9:$Z$9,0))-INDEX(ship_curves,MATCH(L53,'SHIP CURVES'!$A$9:$A$316,0),MATCH(CONCATENATE(P$4,N$6,P$6,P$7),'SHIP CURVES'!$A$9:$Z$9,0)))-(INDEX(terminal_curves,MATCH(L53,'TERMINAL CURVES'!$A$4:$A$313,0),MATCH(P$5,'TERMINAL CURVES'!$A$4:$N$4,0))-INDEX(terminal_curves,MATCH(L53,'TERMINAL CURVES'!$A$4:$A$313,0),MATCH(N$6,'TERMINAL CURVES'!$A$4:$N$4,0)))*IF(F53=0,0,H53/F53)))*-F53</f>
        <v>-5766414.4538953137</v>
      </c>
      <c r="Q53" s="403">
        <f t="shared" si="11"/>
        <v>-7505479.6418968569</v>
      </c>
      <c r="R53" s="338">
        <f>(-H53/((HLOOKUP(P$5,port_specs,2,0)/(365.25))*(L54-L53)))*(INDEX(fixed_capacity_charge,MATCH(L53,PORTS!$H$11:$H$317,0),MATCH(P$5,PORTS!$H$11:$N$11,0))+INDEX(variable_om_charge,MATCH(L53,PORTS!$H$318:$H$625,0),MATCH(P$5,PORTS!$H$318:$N$318,0)))</f>
        <v>-498927.85412905214</v>
      </c>
      <c r="S53" s="232">
        <f t="shared" si="12"/>
        <v>-8004407.4960259087</v>
      </c>
      <c r="T53" s="241">
        <f t="shared" si="13"/>
        <v>52487.918006727472</v>
      </c>
      <c r="U53" s="431"/>
      <c r="V53" s="186">
        <f t="shared" si="28"/>
        <v>37773</v>
      </c>
      <c r="W53" s="215">
        <f t="shared" si="14"/>
        <v>2520558.7105067731</v>
      </c>
      <c r="X53" s="191">
        <f t="shared" si="15"/>
        <v>-45370.056789122056</v>
      </c>
      <c r="Y53" s="218">
        <f>+IF(AND(X$8&lt;=V53,X$9&gt;=V53),+MIN($B53-SUMIF($H$17:X$17,Y$17,$H53:X53),((INDEX(ROUTE_PER_DAY_BY_SHIP,MATCH(CONCATENATE(X$4,X$5,X$7),ROUTE_PER_DAY_ROUTES,0),MATCH(X$6,ROUTE_PER_DAY_SHIPS,0))*(V54-V53))-(INDEX(ROUTE_PER_DAY_BY_SHIP,MATCH(CONCATENATE(X$4,X$5,X$7),ROUTE_PER_DAY_ROUTES,0),MATCH(X$6,ROUTE_PER_DAY_SHIPS,0))*(V54-V53))*HLOOKUP(X$6,SHIPS,7,0)*INDEX(LADEN_VOYAGE_DAYS,MATCH(CONCATENATE(X$4,X$5,X$7),LADEN_VOYAGE_ROUTES,0),MATCH(X$6,LADEN_VOYAGE_SHIPS,0)))),0)</f>
        <v>2475188.653717651</v>
      </c>
      <c r="Z53" s="118">
        <f t="shared" si="16"/>
        <v>-61879.716342941276</v>
      </c>
      <c r="AA53" s="215">
        <f t="shared" si="3"/>
        <v>2413308.9373747096</v>
      </c>
      <c r="AB53" s="202"/>
      <c r="AC53" s="186">
        <f t="shared" si="29"/>
        <v>37773</v>
      </c>
      <c r="AD53" s="232">
        <f>+AA53*(VLOOKUP(AC53,CURVECALC!$C$6:$J$312,4,0)+AE$5)</f>
        <v>7408858.4377403585</v>
      </c>
      <c r="AE53" s="208">
        <f>-W53*INDEX(ship_curves,MATCH(AC53,'SHIP CURVES'!$A$9:$A$316,0),MATCH(CONCATENATE(AG$4,AG$5,AG$6,AG$7),'SHIP CURVES'!$A$9:$AZ$9,0))</f>
        <v>-1503577.5984889909</v>
      </c>
      <c r="AF53" s="209">
        <f>-Y53*INDEX(port_processing_fee,MATCH(AC53,PORTS!$H$626:$H$933,0),MATCH(AG$5,PORTS!$H$626:$Z$626,0))</f>
        <v>-67999.659131294073</v>
      </c>
      <c r="AG53" s="405">
        <f>(((VLOOKUP(AC53,curvecalc,4,0))*IF(W53=0,0,AA53/W53)-INDEX(ship_curves,MATCH(AC53,'SHIP CURVES'!$A$9:$A$316,0),MATCH(CONCATENATE(AG$4,AG$5,AG$6,AG$7),'SHIP CURVES'!$A$9:$Z$9,0))-INDEX(terminal_curves,MATCH(AC53,'TERMINAL CURVES'!$A$4:$A$313,0),MATCH(AG$5,'TERMINAL CURVES'!$A$4:$N$4,0))*IF(W53=0,0,Y53/W53))-(AE$8)*((AE$7-$N$5)-(INDEX(ship_curves,MATCH(AC53,'SHIP CURVES'!$A$9:$A$316,0),MATCH(CONCATENATE(AG$4,AG$5,AG$6,AG$7),'SHIP CURVES'!$A$9:$Z$9,0))-INDEX(ship_curves,MATCH(AC53,'SHIP CURVES'!$A$9:$A$316,0),MATCH(CONCATENATE(AG$4,AE$6,AG$6,AG$7),'SHIP CURVES'!$A$9:$Z$9,0)))-(INDEX(terminal_curves,MATCH(AC53,'TERMINAL CURVES'!$A$4:$A$313,0),MATCH(AG$5,'TERMINAL CURVES'!$A$4:$N$4,0))-INDEX(terminal_curves,MATCH(AC53,'TERMINAL CURVES'!$A$4:$A$313,0),MATCH(AE$6,'TERMINAL CURVES'!$A$4:$N$4,0)))*IF(W53=0,0,Y53/W53)))*-W53</f>
        <v>-5330217.2074419828</v>
      </c>
      <c r="AH53" s="343">
        <f t="shared" si="17"/>
        <v>-6901794.4650622681</v>
      </c>
      <c r="AI53" s="338">
        <f>(-Y53/((HLOOKUP(AG$5,port_specs,2,0)/(365.25))*(AC54-AC53)))*(INDEX(fixed_capacity_charge,MATCH(AC53,PORTS!$H$11:$H$317,0),MATCH(AG$5,PORTS!$H$11:$N$11,0))+INDEX(variable_om_charge,MATCH(AC53,PORTS!$H$318:$H$625,0),MATCH(AG$5,PORTS!$H$318:$N$318,0)))</f>
        <v>-458797.79393059725</v>
      </c>
      <c r="AJ53" s="232">
        <f t="shared" si="18"/>
        <v>-7360592.2589928657</v>
      </c>
      <c r="AK53" s="241">
        <f t="shared" si="19"/>
        <v>48266.178747492842</v>
      </c>
      <c r="AM53" s="186">
        <f t="shared" si="30"/>
        <v>37773</v>
      </c>
      <c r="AN53" s="215">
        <f t="shared" si="20"/>
        <v>0</v>
      </c>
      <c r="AO53" s="191">
        <f t="shared" si="21"/>
        <v>0</v>
      </c>
      <c r="AP53" s="218">
        <f>+IF(AND(AO$8&lt;=AM53,AO$9&gt;=AM53),+MIN($B53-SUMIF($H$17:AO$17,AP$17,$H53:AO53),((INDEX(ROUTE_PER_DAY_BY_SHIP,MATCH(CONCATENATE(AO$4,AO$5,AO$7),ROUTE_PER_DAY_ROUTES,0),MATCH(AO$6,ROUTE_PER_DAY_SHIPS,0))*(AM54-AM53))-(INDEX(ROUTE_PER_DAY_BY_SHIP,MATCH(CONCATENATE(AO$4,AO$5,AO$7),ROUTE_PER_DAY_ROUTES,0),MATCH(AO$6,ROUTE_PER_DAY_SHIPS,0))*(AM54-AM53))*HLOOKUP(AO$6,SHIPS,7,0)*INDEX(LADEN_VOYAGE_DAYS,MATCH(CONCATENATE(AO$4,AO$5,AO$7),LADEN_VOYAGE_ROUTES,0),MATCH(AO$6,LADEN_VOYAGE_SHIPS,0)))),0)</f>
        <v>0</v>
      </c>
      <c r="AQ53" s="118">
        <f>-(AP53)*PORTS!$I$6</f>
        <v>0</v>
      </c>
      <c r="AR53" s="215">
        <f t="shared" si="4"/>
        <v>0</v>
      </c>
      <c r="AS53" s="202"/>
      <c r="AT53" s="186">
        <f t="shared" si="31"/>
        <v>37773</v>
      </c>
      <c r="AU53" s="232">
        <f>+AR53*(VLOOKUP(AT53,CURVECALC!$C$6:$J$312,4,0)+AV$5)</f>
        <v>0</v>
      </c>
      <c r="AV53" s="208">
        <f>-AN53*INDEX(ship_curves,MATCH(AT53,'SHIP CURVES'!$A$9:$A$316,0),MATCH(CONCATENATE(AX$4,AX$5,AX$6,AX$7),'SHIP CURVES'!$A$9:$AZ$9,0))</f>
        <v>0</v>
      </c>
      <c r="AW53" s="209">
        <f>-AP53*INDEX(port_processing_fee,MATCH(AT53,PORTS!$H$626:$H$933,0),MATCH(AX$5,PORTS!$H$626:$Z$626,0))</f>
        <v>0</v>
      </c>
      <c r="AX53" s="405">
        <f>(((VLOOKUP(AT53,curvecalc,4,0))*IF(AN53=0,0,AR53/AN53)-INDEX(ship_curves,MATCH(AT53,'SHIP CURVES'!$A$9:$A$316,0),MATCH(CONCATENATE(AX$4,AX$5,AX$6,AX$7),'SHIP CURVES'!$A$9:$Z$9,0))-INDEX(terminal_curves,MATCH(AT53,'TERMINAL CURVES'!$A$4:$A$313,0),MATCH(AX$5,'TERMINAL CURVES'!$A$4:$N$4,0))*IF(AN53=0,0,AP53/AN53))-(AV$8)*((AV$7-$N$5)-(INDEX(ship_curves,MATCH(AT53,'SHIP CURVES'!$A$9:$A$316,0),MATCH(CONCATENATE(AX$4,AX$5,AX$6,AX$7),'SHIP CURVES'!$A$9:$Z$9,0))-INDEX(ship_curves,MATCH(AT53,'SHIP CURVES'!$A$9:$A$316,0),MATCH(CONCATENATE(AX$4,AV$6,AX$6,AX$7),'SHIP CURVES'!$A$9:$Z$9,0)))-(INDEX(terminal_curves,MATCH(AT53,'TERMINAL CURVES'!$A$4:$A$313,0),MATCH(AX$5,'TERMINAL CURVES'!$A$4:$N$4,0))-INDEX(terminal_curves,MATCH(AT53,'TERMINAL CURVES'!$A$4:$A$313,0),MATCH(AV$6,'TERMINAL CURVES'!$A$4:$N$4,0)))*IF(AN53=0,0,AP53/AN53)))*-AN53</f>
        <v>0</v>
      </c>
      <c r="AY53" s="343">
        <f t="shared" si="22"/>
        <v>0</v>
      </c>
      <c r="AZ53" s="338">
        <f>(-AP53/((HLOOKUP(AX$5,port_specs,2,0)/(365.25))*(AT54-AT53)))*(INDEX(fixed_capacity_charge,MATCH(AT53,PORTS!$H$11:$H$317,0),MATCH(AX$5,PORTS!$H$11:$N$11,0))+INDEX(variable_om_charge,MATCH(AT53,PORTS!$H$318:$H$625,0),MATCH(AX$5,PORTS!$H$318:$N$318,0)))</f>
        <v>0</v>
      </c>
      <c r="BA53" s="232">
        <f t="shared" si="23"/>
        <v>0</v>
      </c>
      <c r="BB53" s="241">
        <f t="shared" si="24"/>
        <v>0</v>
      </c>
      <c r="BC53" s="408"/>
      <c r="BD53" s="338">
        <f>+PORTS!I47+PORTS!I355</f>
        <v>957725.64805964939</v>
      </c>
    </row>
    <row r="54" spans="1:56" x14ac:dyDescent="0.2">
      <c r="A54" s="186">
        <f t="shared" si="25"/>
        <v>37803</v>
      </c>
      <c r="B54" s="215">
        <f>+IF(AND($A54&gt;=$C$8,$A54&lt;=$C$9),1,0)*PORTS!$I$5/(365.25)*(A55-A54)</f>
        <v>5339105.9818476336</v>
      </c>
      <c r="C54" s="351">
        <f t="shared" si="5"/>
        <v>0</v>
      </c>
      <c r="D54">
        <f t="shared" si="6"/>
        <v>2003</v>
      </c>
      <c r="E54" s="186">
        <f t="shared" si="26"/>
        <v>37803</v>
      </c>
      <c r="F54" s="215">
        <f t="shared" si="7"/>
        <v>2876329.9272727272</v>
      </c>
      <c r="G54" s="191">
        <f t="shared" si="8"/>
        <v>-94918.887600000002</v>
      </c>
      <c r="H54" s="218">
        <f t="shared" si="9"/>
        <v>2781411.0396727272</v>
      </c>
      <c r="I54" s="118">
        <f t="shared" si="10"/>
        <v>-69535.275991818184</v>
      </c>
      <c r="J54" s="215">
        <f t="shared" si="2"/>
        <v>2711875.7636809088</v>
      </c>
      <c r="K54" s="202"/>
      <c r="L54" s="186">
        <f t="shared" si="27"/>
        <v>37803</v>
      </c>
      <c r="M54" s="400">
        <f>+J54*(VLOOKUP(L54,CURVECALC!$C$6:$J$312,4,0)+N$5)</f>
        <v>8325458.5945003899</v>
      </c>
      <c r="N54" s="208">
        <f>-F54*INDEX(ship_curves,MATCH(L54,'SHIP CURVES'!$A$9:$A$316,0),MATCH(CONCATENATE(P$4,P$5,P$6,P$7),'SHIP CURVES'!$A$9:$AZ$9,0))</f>
        <v>-1721580.0894232399</v>
      </c>
      <c r="O54" s="209">
        <f>-H54*INDEX(port_processing_fee,MATCH(L54,PORTS!$H$626:$H$933,0),MATCH(P$5,PORTS!$H$626:$Z$626,0))</f>
        <v>-76491.954641559743</v>
      </c>
      <c r="P54" s="405">
        <f>(((VLOOKUP(L54,curvecalc,4,0))*IF(F54=0,0,J54/F54)-INDEX(ship_curves,MATCH(L54,'SHIP CURVES'!$A$9:$A$316,0),MATCH(CONCATENATE(P$4,P$5,P$6,P$7),'SHIP CURVES'!$A$9:$Z$9,0))-INDEX(terminal_curves,MATCH(L54,'TERMINAL CURVES'!$A$4:$A$313,0),MATCH(P$5,'TERMINAL CURVES'!$A$4:$N$4,0))*IF(F54=0,0,H54/F54))-(N$8)*((N$7-$N$5)-(INDEX(ship_curves,MATCH(L54,'SHIP CURVES'!$A$9:$A$316,0),MATCH(CONCATENATE(P$4,P$5,P$6,P$7),'SHIP CURVES'!$A$9:$Z$9,0))-INDEX(ship_curves,MATCH(L54,'SHIP CURVES'!$A$9:$A$316,0),MATCH(CONCATENATE(P$4,N$6,P$6,P$7),'SHIP CURVES'!$A$9:$Z$9,0)))-(INDEX(terminal_curves,MATCH(L54,'TERMINAL CURVES'!$A$4:$A$313,0),MATCH(P$5,'TERMINAL CURVES'!$A$4:$N$4,0))-INDEX(terminal_curves,MATCH(L54,'TERMINAL CURVES'!$A$4:$A$313,0),MATCH(N$6,'TERMINAL CURVES'!$A$4:$N$4,0)))*IF(F54=0,0,H54/F54)))*-F54</f>
        <v>-5973964.7544009909</v>
      </c>
      <c r="Q54" s="403">
        <f t="shared" si="11"/>
        <v>-7772036.7984657902</v>
      </c>
      <c r="R54" s="338">
        <f>(-H54/((HLOOKUP(P$5,port_specs,2,0)/(365.25))*(L55-L54)))*(INDEX(fixed_capacity_charge,MATCH(L54,PORTS!$H$11:$H$317,0),MATCH(P$5,PORTS!$H$11:$N$11,0))+INDEX(variable_om_charge,MATCH(L54,PORTS!$H$318:$H$625,0),MATCH(P$5,PORTS!$H$318:$N$318,0)))</f>
        <v>-499184.28076098231</v>
      </c>
      <c r="S54" s="232">
        <f t="shared" si="12"/>
        <v>-8271221.0792267723</v>
      </c>
      <c r="T54" s="241">
        <f t="shared" si="13"/>
        <v>54237.515273617581</v>
      </c>
      <c r="U54" s="431"/>
      <c r="V54" s="186">
        <f t="shared" si="28"/>
        <v>37803</v>
      </c>
      <c r="W54" s="215">
        <f t="shared" si="14"/>
        <v>2604577.3341903323</v>
      </c>
      <c r="X54" s="191">
        <f t="shared" si="15"/>
        <v>-46882.392015425954</v>
      </c>
      <c r="Y54" s="218">
        <f>+IF(AND(X$8&lt;=V54,X$9&gt;=V54),+MIN($B54-SUMIF($H$17:X$17,Y$17,$H54:X54),((INDEX(ROUTE_PER_DAY_BY_SHIP,MATCH(CONCATENATE(X$4,X$5,X$7),ROUTE_PER_DAY_ROUTES,0),MATCH(X$6,ROUTE_PER_DAY_SHIPS,0))*(V55-V54))-(INDEX(ROUTE_PER_DAY_BY_SHIP,MATCH(CONCATENATE(X$4,X$5,X$7),ROUTE_PER_DAY_ROUTES,0),MATCH(X$6,ROUTE_PER_DAY_SHIPS,0))*(V55-V54))*HLOOKUP(X$6,SHIPS,7,0)*INDEX(LADEN_VOYAGE_DAYS,MATCH(CONCATENATE(X$4,X$5,X$7),LADEN_VOYAGE_ROUTES,0),MATCH(X$6,LADEN_VOYAGE_SHIPS,0)))),0)</f>
        <v>2557694.9421749064</v>
      </c>
      <c r="Z54" s="118">
        <f t="shared" si="16"/>
        <v>-63942.373554372665</v>
      </c>
      <c r="AA54" s="215">
        <f t="shared" si="3"/>
        <v>2493752.5686205337</v>
      </c>
      <c r="AB54" s="202"/>
      <c r="AC54" s="186">
        <f t="shared" si="29"/>
        <v>37803</v>
      </c>
      <c r="AD54" s="232">
        <f>+AA54*(VLOOKUP(AC54,CURVECALC!$C$6:$J$312,4,0)+AE$5)</f>
        <v>7655820.3856650377</v>
      </c>
      <c r="AE54" s="208">
        <f>-W54*INDEX(ship_curves,MATCH(AC54,'SHIP CURVES'!$A$9:$A$316,0),MATCH(CONCATENATE(AG$4,AG$5,AG$6,AG$7),'SHIP CURVES'!$A$9:$AZ$9,0))</f>
        <v>-1554083.2373843503</v>
      </c>
      <c r="AF54" s="209">
        <f>-Y54*INDEX(port_processing_fee,MATCH(AC54,PORTS!$H$626:$H$933,0),MATCH(AG$5,PORTS!$H$626:$Z$626,0))</f>
        <v>-70339.508513207707</v>
      </c>
      <c r="AG54" s="405">
        <f>(((VLOOKUP(AC54,curvecalc,4,0))*IF(W54=0,0,AA54/W54)-INDEX(ship_curves,MATCH(AC54,'SHIP CURVES'!$A$9:$A$316,0),MATCH(CONCATENATE(AG$4,AG$5,AG$6,AG$7),'SHIP CURVES'!$A$9:$Z$9,0))-INDEX(terminal_curves,MATCH(AC54,'TERMINAL CURVES'!$A$4:$A$313,0),MATCH(AG$5,'TERMINAL CURVES'!$A$4:$N$4,0))*IF(W54=0,0,Y54/W54))-(AE$8)*((AE$7-$N$5)-(INDEX(ship_curves,MATCH(AC54,'SHIP CURVES'!$A$9:$A$316,0),MATCH(CONCATENATE(AG$4,AG$5,AG$6,AG$7),'SHIP CURVES'!$A$9:$Z$9,0))-INDEX(ship_curves,MATCH(AC54,'SHIP CURVES'!$A$9:$A$316,0),MATCH(CONCATENATE(AG$4,AE$6,AG$6,AG$7),'SHIP CURVES'!$A$9:$Z$9,0)))-(INDEX(terminal_curves,MATCH(AC54,'TERMINAL CURVES'!$A$4:$A$313,0),MATCH(AG$5,'TERMINAL CURVES'!$A$4:$N$4,0))-INDEX(terminal_curves,MATCH(AC54,'TERMINAL CURVES'!$A$4:$A$313,0),MATCH(AE$6,'TERMINAL CURVES'!$A$4:$N$4,0)))*IF(W54=0,0,Y54/W54)))*-W54</f>
        <v>-5522488.9928910369</v>
      </c>
      <c r="AH54" s="343">
        <f t="shared" si="17"/>
        <v>-7146911.7387885954</v>
      </c>
      <c r="AI54" s="338">
        <f>(-Y54/((HLOOKUP(AG$5,port_specs,2,0)/(365.25))*(AC55-AC54)))*(INDEX(fixed_capacity_charge,MATCH(AC54,PORTS!$H$11:$H$317,0),MATCH(AG$5,PORTS!$H$11:$N$11,0))+INDEX(variable_om_charge,MATCH(AC54,PORTS!$H$318:$H$625,0),MATCH(AG$5,PORTS!$H$318:$N$318,0)))</f>
        <v>-459033.59550403315</v>
      </c>
      <c r="AJ54" s="232">
        <f t="shared" si="18"/>
        <v>-7605945.3342926288</v>
      </c>
      <c r="AK54" s="241">
        <f t="shared" si="19"/>
        <v>49875.051372408867</v>
      </c>
      <c r="AM54" s="186">
        <f t="shared" si="30"/>
        <v>37803</v>
      </c>
      <c r="AN54" s="215">
        <f t="shared" si="20"/>
        <v>0</v>
      </c>
      <c r="AO54" s="191">
        <f t="shared" si="21"/>
        <v>0</v>
      </c>
      <c r="AP54" s="218">
        <f>+IF(AND(AO$8&lt;=AM54,AO$9&gt;=AM54),+MIN($B54-SUMIF($H$17:AO$17,AP$17,$H54:AO54),((INDEX(ROUTE_PER_DAY_BY_SHIP,MATCH(CONCATENATE(AO$4,AO$5,AO$7),ROUTE_PER_DAY_ROUTES,0),MATCH(AO$6,ROUTE_PER_DAY_SHIPS,0))*(AM55-AM54))-(INDEX(ROUTE_PER_DAY_BY_SHIP,MATCH(CONCATENATE(AO$4,AO$5,AO$7),ROUTE_PER_DAY_ROUTES,0),MATCH(AO$6,ROUTE_PER_DAY_SHIPS,0))*(AM55-AM54))*HLOOKUP(AO$6,SHIPS,7,0)*INDEX(LADEN_VOYAGE_DAYS,MATCH(CONCATENATE(AO$4,AO$5,AO$7),LADEN_VOYAGE_ROUTES,0),MATCH(AO$6,LADEN_VOYAGE_SHIPS,0)))),0)</f>
        <v>0</v>
      </c>
      <c r="AQ54" s="118">
        <f>-(AP54)*PORTS!$I$6</f>
        <v>0</v>
      </c>
      <c r="AR54" s="215">
        <f t="shared" si="4"/>
        <v>0</v>
      </c>
      <c r="AS54" s="202"/>
      <c r="AT54" s="186">
        <f t="shared" si="31"/>
        <v>37803</v>
      </c>
      <c r="AU54" s="232">
        <f>+AR54*(VLOOKUP(AT54,CURVECALC!$C$6:$J$312,4,0)+AV$5)</f>
        <v>0</v>
      </c>
      <c r="AV54" s="208">
        <f>-AN54*INDEX(ship_curves,MATCH(AT54,'SHIP CURVES'!$A$9:$A$316,0),MATCH(CONCATENATE(AX$4,AX$5,AX$6,AX$7),'SHIP CURVES'!$A$9:$AZ$9,0))</f>
        <v>0</v>
      </c>
      <c r="AW54" s="209">
        <f>-AP54*INDEX(port_processing_fee,MATCH(AT54,PORTS!$H$626:$H$933,0),MATCH(AX$5,PORTS!$H$626:$Z$626,0))</f>
        <v>0</v>
      </c>
      <c r="AX54" s="405">
        <f>(((VLOOKUP(AT54,curvecalc,4,0))*IF(AN54=0,0,AR54/AN54)-INDEX(ship_curves,MATCH(AT54,'SHIP CURVES'!$A$9:$A$316,0),MATCH(CONCATENATE(AX$4,AX$5,AX$6,AX$7),'SHIP CURVES'!$A$9:$Z$9,0))-INDEX(terminal_curves,MATCH(AT54,'TERMINAL CURVES'!$A$4:$A$313,0),MATCH(AX$5,'TERMINAL CURVES'!$A$4:$N$4,0))*IF(AN54=0,0,AP54/AN54))-(AV$8)*((AV$7-$N$5)-(INDEX(ship_curves,MATCH(AT54,'SHIP CURVES'!$A$9:$A$316,0),MATCH(CONCATENATE(AX$4,AX$5,AX$6,AX$7),'SHIP CURVES'!$A$9:$Z$9,0))-INDEX(ship_curves,MATCH(AT54,'SHIP CURVES'!$A$9:$A$316,0),MATCH(CONCATENATE(AX$4,AV$6,AX$6,AX$7),'SHIP CURVES'!$A$9:$Z$9,0)))-(INDEX(terminal_curves,MATCH(AT54,'TERMINAL CURVES'!$A$4:$A$313,0),MATCH(AX$5,'TERMINAL CURVES'!$A$4:$N$4,0))-INDEX(terminal_curves,MATCH(AT54,'TERMINAL CURVES'!$A$4:$A$313,0),MATCH(AV$6,'TERMINAL CURVES'!$A$4:$N$4,0)))*IF(AN54=0,0,AP54/AN54)))*-AN54</f>
        <v>0</v>
      </c>
      <c r="AY54" s="343">
        <f t="shared" si="22"/>
        <v>0</v>
      </c>
      <c r="AZ54" s="338">
        <f>(-AP54/((HLOOKUP(AX$5,port_specs,2,0)/(365.25))*(AT55-AT54)))*(INDEX(fixed_capacity_charge,MATCH(AT54,PORTS!$H$11:$H$317,0),MATCH(AX$5,PORTS!$H$11:$N$11,0))+INDEX(variable_om_charge,MATCH(AT54,PORTS!$H$318:$H$625,0),MATCH(AX$5,PORTS!$H$318:$N$318,0)))</f>
        <v>0</v>
      </c>
      <c r="BA54" s="232">
        <f t="shared" si="23"/>
        <v>0</v>
      </c>
      <c r="BB54" s="241">
        <f t="shared" si="24"/>
        <v>0</v>
      </c>
      <c r="BC54" s="408"/>
      <c r="BD54" s="338">
        <f>+PORTS!I48+PORTS!I356</f>
        <v>958217.87626501545</v>
      </c>
    </row>
    <row r="55" spans="1:56" x14ac:dyDescent="0.2">
      <c r="A55" s="186">
        <f t="shared" si="25"/>
        <v>37834</v>
      </c>
      <c r="B55" s="215">
        <f>+IF(AND($A55&gt;=$C$8,$A55&lt;=$C$9),1,0)*PORTS!$I$5/(365.25)*(A56-A55)</f>
        <v>5339105.9818476336</v>
      </c>
      <c r="C55" s="351">
        <f t="shared" si="5"/>
        <v>0</v>
      </c>
      <c r="D55">
        <f t="shared" si="6"/>
        <v>2003</v>
      </c>
      <c r="E55" s="186">
        <f t="shared" si="26"/>
        <v>37834</v>
      </c>
      <c r="F55" s="215">
        <f t="shared" si="7"/>
        <v>2876329.9272727272</v>
      </c>
      <c r="G55" s="191">
        <f t="shared" si="8"/>
        <v>-94918.887600000002</v>
      </c>
      <c r="H55" s="218">
        <f t="shared" si="9"/>
        <v>2781411.0396727272</v>
      </c>
      <c r="I55" s="118">
        <f t="shared" si="10"/>
        <v>-69535.275991818184</v>
      </c>
      <c r="J55" s="215">
        <f t="shared" si="2"/>
        <v>2711875.7636809088</v>
      </c>
      <c r="K55" s="202"/>
      <c r="L55" s="186">
        <f t="shared" si="27"/>
        <v>37834</v>
      </c>
      <c r="M55" s="400">
        <f>+J55*(VLOOKUP(L55,CURVECALC!$C$6:$J$312,4,0)+N$5)</f>
        <v>8488171.1403212436</v>
      </c>
      <c r="N55" s="208">
        <f>-F55*INDEX(ship_curves,MATCH(L55,'SHIP CURVES'!$A$9:$A$316,0),MATCH(CONCATENATE(P$4,P$5,P$6,P$7),'SHIP CURVES'!$A$9:$AZ$9,0))</f>
        <v>-1722540.5063886105</v>
      </c>
      <c r="O55" s="209">
        <f>-H55*INDEX(port_processing_fee,MATCH(L55,PORTS!$H$626:$H$933,0),MATCH(P$5,PORTS!$H$626:$Z$626,0))</f>
        <v>-76571.633760978031</v>
      </c>
      <c r="P55" s="405">
        <f>(((VLOOKUP(L55,curvecalc,4,0))*IF(F55=0,0,J55/F55)-INDEX(ship_curves,MATCH(L55,'SHIP CURVES'!$A$9:$A$316,0),MATCH(CONCATENATE(P$4,P$5,P$6,P$7),'SHIP CURVES'!$A$9:$Z$9,0))-INDEX(terminal_curves,MATCH(L55,'TERMINAL CURVES'!$A$4:$A$313,0),MATCH(P$5,'TERMINAL CURVES'!$A$4:$N$4,0))*IF(F55=0,0,H55/F55))-(N$8)*((N$7-$N$5)-(INDEX(ship_curves,MATCH(L55,'SHIP CURVES'!$A$9:$A$316,0),MATCH(CONCATENATE(P$4,P$5,P$6,P$7),'SHIP CURVES'!$A$9:$Z$9,0))-INDEX(ship_curves,MATCH(L55,'SHIP CURVES'!$A$9:$A$316,0),MATCH(CONCATENATE(P$4,N$6,P$6,P$7),'SHIP CURVES'!$A$9:$Z$9,0)))-(INDEX(terminal_curves,MATCH(L55,'TERMINAL CURVES'!$A$4:$A$313,0),MATCH(P$5,'TERMINAL CURVES'!$A$4:$N$4,0))-INDEX(terminal_curves,MATCH(L55,'TERMINAL CURVES'!$A$4:$A$313,0),MATCH(N$6,'TERMINAL CURVES'!$A$4:$N$4,0)))*IF(F55=0,0,H55/F55)))*-F55</f>
        <v>-6135380.5103940498</v>
      </c>
      <c r="Q55" s="403">
        <f t="shared" si="11"/>
        <v>-7934492.6505436385</v>
      </c>
      <c r="R55" s="338">
        <f>(-H55/((HLOOKUP(P$5,port_specs,2,0)/(365.25))*(L56-L55)))*(INDEX(fixed_capacity_charge,MATCH(L55,PORTS!$H$11:$H$317,0),MATCH(P$5,PORTS!$H$11:$N$11,0))+INDEX(variable_om_charge,MATCH(L55,PORTS!$H$318:$H$625,0),MATCH(P$5,PORTS!$H$318:$N$318,0)))</f>
        <v>-499440.97450398735</v>
      </c>
      <c r="S55" s="232">
        <f t="shared" si="12"/>
        <v>-8433933.625047626</v>
      </c>
      <c r="T55" s="241">
        <f t="shared" si="13"/>
        <v>54237.515273617581</v>
      </c>
      <c r="U55" s="431"/>
      <c r="V55" s="186">
        <f t="shared" si="28"/>
        <v>37834</v>
      </c>
      <c r="W55" s="215">
        <f t="shared" si="14"/>
        <v>2604577.3341903323</v>
      </c>
      <c r="X55" s="191">
        <f t="shared" si="15"/>
        <v>-46882.392015425954</v>
      </c>
      <c r="Y55" s="218">
        <f>+IF(AND(X$8&lt;=V55,X$9&gt;=V55),+MIN($B55-SUMIF($H$17:X$17,Y$17,$H55:X55),((INDEX(ROUTE_PER_DAY_BY_SHIP,MATCH(CONCATENATE(X$4,X$5,X$7),ROUTE_PER_DAY_ROUTES,0),MATCH(X$6,ROUTE_PER_DAY_SHIPS,0))*(V56-V55))-(INDEX(ROUTE_PER_DAY_BY_SHIP,MATCH(CONCATENATE(X$4,X$5,X$7),ROUTE_PER_DAY_ROUTES,0),MATCH(X$6,ROUTE_PER_DAY_SHIPS,0))*(V56-V55))*HLOOKUP(X$6,SHIPS,7,0)*INDEX(LADEN_VOYAGE_DAYS,MATCH(CONCATENATE(X$4,X$5,X$7),LADEN_VOYAGE_ROUTES,0),MATCH(X$6,LADEN_VOYAGE_SHIPS,0)))),0)</f>
        <v>2557694.9421749064</v>
      </c>
      <c r="Z55" s="118">
        <f t="shared" si="16"/>
        <v>-63942.373554372665</v>
      </c>
      <c r="AA55" s="215">
        <f t="shared" si="3"/>
        <v>2493752.5686205337</v>
      </c>
      <c r="AB55" s="202"/>
      <c r="AC55" s="186">
        <f t="shared" si="29"/>
        <v>37834</v>
      </c>
      <c r="AD55" s="232">
        <f>+AA55*(VLOOKUP(AC55,CURVECALC!$C$6:$J$312,4,0)+AE$5)</f>
        <v>7805445.5397822699</v>
      </c>
      <c r="AE55" s="208">
        <f>-W55*INDEX(ship_curves,MATCH(AC55,'SHIP CURVES'!$A$9:$A$316,0),MATCH(CONCATENATE(AG$4,AG$5,AG$6,AG$7),'SHIP CURVES'!$A$9:$AZ$9,0))</f>
        <v>-1554470.4279667689</v>
      </c>
      <c r="AF55" s="209">
        <f>-Y55*INDEX(port_processing_fee,MATCH(AC55,PORTS!$H$626:$H$933,0),MATCH(AG$5,PORTS!$H$626:$Z$626,0))</f>
        <v>-70412.778834575627</v>
      </c>
      <c r="AG55" s="405">
        <f>(((VLOOKUP(AC55,curvecalc,4,0))*IF(W55=0,0,AA55/W55)-INDEX(ship_curves,MATCH(AC55,'SHIP CURVES'!$A$9:$A$316,0),MATCH(CONCATENATE(AG$4,AG$5,AG$6,AG$7),'SHIP CURVES'!$A$9:$Z$9,0))-INDEX(terminal_curves,MATCH(AC55,'TERMINAL CURVES'!$A$4:$A$313,0),MATCH(AG$5,'TERMINAL CURVES'!$A$4:$N$4,0))*IF(W55=0,0,Y55/W55))-(AE$8)*((AE$7-$N$5)-(INDEX(ship_curves,MATCH(AC55,'SHIP CURVES'!$A$9:$A$316,0),MATCH(CONCATENATE(AG$4,AG$5,AG$6,AG$7),'SHIP CURVES'!$A$9:$Z$9,0))-INDEX(ship_curves,MATCH(AC55,'SHIP CURVES'!$A$9:$A$316,0),MATCH(CONCATENATE(AG$4,AE$6,AG$6,AG$7),'SHIP CURVES'!$A$9:$Z$9,0)))-(INDEX(terminal_curves,MATCH(AC55,'TERMINAL CURVES'!$A$4:$A$313,0),MATCH(AG$5,'TERMINAL CURVES'!$A$4:$N$4,0))-INDEX(terminal_curves,MATCH(AC55,'TERMINAL CURVES'!$A$4:$A$313,0),MATCH(AE$6,'TERMINAL CURVES'!$A$4:$N$4,0)))*IF(W55=0,0,Y55/W55)))*-W55</f>
        <v>-5671417.6389044076</v>
      </c>
      <c r="AH55" s="343">
        <f t="shared" si="17"/>
        <v>-7296300.8457057523</v>
      </c>
      <c r="AI55" s="338">
        <f>(-Y55/((HLOOKUP(AG$5,port_specs,2,0)/(365.25))*(AC56-AC55)))*(INDEX(fixed_capacity_charge,MATCH(AC55,PORTS!$H$11:$H$317,0),MATCH(AG$5,PORTS!$H$11:$N$11,0))+INDEX(variable_om_charge,MATCH(AC55,PORTS!$H$318:$H$625,0),MATCH(AG$5,PORTS!$H$318:$N$318,0)))</f>
        <v>-459269.64270410792</v>
      </c>
      <c r="AJ55" s="232">
        <f t="shared" si="18"/>
        <v>-7755570.4884098601</v>
      </c>
      <c r="AK55" s="241">
        <f t="shared" si="19"/>
        <v>49875.051372409798</v>
      </c>
      <c r="AM55" s="186">
        <f t="shared" si="30"/>
        <v>37834</v>
      </c>
      <c r="AN55" s="215">
        <f t="shared" si="20"/>
        <v>0</v>
      </c>
      <c r="AO55" s="191">
        <f t="shared" si="21"/>
        <v>0</v>
      </c>
      <c r="AP55" s="218">
        <f>+IF(AND(AO$8&lt;=AM55,AO$9&gt;=AM55),+MIN($B55-SUMIF($H$17:AO$17,AP$17,$H55:AO55),((INDEX(ROUTE_PER_DAY_BY_SHIP,MATCH(CONCATENATE(AO$4,AO$5,AO$7),ROUTE_PER_DAY_ROUTES,0),MATCH(AO$6,ROUTE_PER_DAY_SHIPS,0))*(AM56-AM55))-(INDEX(ROUTE_PER_DAY_BY_SHIP,MATCH(CONCATENATE(AO$4,AO$5,AO$7),ROUTE_PER_DAY_ROUTES,0),MATCH(AO$6,ROUTE_PER_DAY_SHIPS,0))*(AM56-AM55))*HLOOKUP(AO$6,SHIPS,7,0)*INDEX(LADEN_VOYAGE_DAYS,MATCH(CONCATENATE(AO$4,AO$5,AO$7),LADEN_VOYAGE_ROUTES,0),MATCH(AO$6,LADEN_VOYAGE_SHIPS,0)))),0)</f>
        <v>0</v>
      </c>
      <c r="AQ55" s="118">
        <f>-(AP55)*PORTS!$I$6</f>
        <v>0</v>
      </c>
      <c r="AR55" s="215">
        <f t="shared" si="4"/>
        <v>0</v>
      </c>
      <c r="AS55" s="202"/>
      <c r="AT55" s="186">
        <f t="shared" si="31"/>
        <v>37834</v>
      </c>
      <c r="AU55" s="232">
        <f>+AR55*(VLOOKUP(AT55,CURVECALC!$C$6:$J$312,4,0)+AV$5)</f>
        <v>0</v>
      </c>
      <c r="AV55" s="208">
        <f>-AN55*INDEX(ship_curves,MATCH(AT55,'SHIP CURVES'!$A$9:$A$316,0),MATCH(CONCATENATE(AX$4,AX$5,AX$6,AX$7),'SHIP CURVES'!$A$9:$AZ$9,0))</f>
        <v>0</v>
      </c>
      <c r="AW55" s="209">
        <f>-AP55*INDEX(port_processing_fee,MATCH(AT55,PORTS!$H$626:$H$933,0),MATCH(AX$5,PORTS!$H$626:$Z$626,0))</f>
        <v>0</v>
      </c>
      <c r="AX55" s="405">
        <f>(((VLOOKUP(AT55,curvecalc,4,0))*IF(AN55=0,0,AR55/AN55)-INDEX(ship_curves,MATCH(AT55,'SHIP CURVES'!$A$9:$A$316,0),MATCH(CONCATENATE(AX$4,AX$5,AX$6,AX$7),'SHIP CURVES'!$A$9:$Z$9,0))-INDEX(terminal_curves,MATCH(AT55,'TERMINAL CURVES'!$A$4:$A$313,0),MATCH(AX$5,'TERMINAL CURVES'!$A$4:$N$4,0))*IF(AN55=0,0,AP55/AN55))-(AV$8)*((AV$7-$N$5)-(INDEX(ship_curves,MATCH(AT55,'SHIP CURVES'!$A$9:$A$316,0),MATCH(CONCATENATE(AX$4,AX$5,AX$6,AX$7),'SHIP CURVES'!$A$9:$Z$9,0))-INDEX(ship_curves,MATCH(AT55,'SHIP CURVES'!$A$9:$A$316,0),MATCH(CONCATENATE(AX$4,AV$6,AX$6,AX$7),'SHIP CURVES'!$A$9:$Z$9,0)))-(INDEX(terminal_curves,MATCH(AT55,'TERMINAL CURVES'!$A$4:$A$313,0),MATCH(AX$5,'TERMINAL CURVES'!$A$4:$N$4,0))-INDEX(terminal_curves,MATCH(AT55,'TERMINAL CURVES'!$A$4:$A$313,0),MATCH(AV$6,'TERMINAL CURVES'!$A$4:$N$4,0)))*IF(AN55=0,0,AP55/AN55)))*-AN55</f>
        <v>0</v>
      </c>
      <c r="AY55" s="343">
        <f t="shared" si="22"/>
        <v>0</v>
      </c>
      <c r="AZ55" s="338">
        <f>(-AP55/((HLOOKUP(AX$5,port_specs,2,0)/(365.25))*(AT56-AT55)))*(INDEX(fixed_capacity_charge,MATCH(AT55,PORTS!$H$11:$H$317,0),MATCH(AX$5,PORTS!$H$11:$N$11,0))+INDEX(variable_om_charge,MATCH(AT55,PORTS!$H$318:$H$625,0),MATCH(AX$5,PORTS!$H$318:$N$318,0)))</f>
        <v>0</v>
      </c>
      <c r="BA55" s="232">
        <f t="shared" si="23"/>
        <v>0</v>
      </c>
      <c r="BB55" s="241">
        <f t="shared" si="24"/>
        <v>0</v>
      </c>
      <c r="BC55" s="408"/>
      <c r="BD55" s="338">
        <f>+PORTS!I49+PORTS!I357</f>
        <v>958710.61720809527</v>
      </c>
    </row>
    <row r="56" spans="1:56" x14ac:dyDescent="0.2">
      <c r="A56" s="186">
        <f t="shared" si="25"/>
        <v>37865</v>
      </c>
      <c r="B56" s="215">
        <f>+IF(AND($A56&gt;=$C$8,$A56&lt;=$C$9),1,0)*PORTS!$I$5/(365.25)*(A57-A56)</f>
        <v>5166876.756626742</v>
      </c>
      <c r="C56" s="351">
        <f t="shared" si="5"/>
        <v>0</v>
      </c>
      <c r="D56">
        <f t="shared" si="6"/>
        <v>2003</v>
      </c>
      <c r="E56" s="186">
        <f t="shared" si="26"/>
        <v>37865</v>
      </c>
      <c r="F56" s="215">
        <f t="shared" si="7"/>
        <v>2783545.0909090908</v>
      </c>
      <c r="G56" s="191">
        <f t="shared" si="8"/>
        <v>-91856.987999999983</v>
      </c>
      <c r="H56" s="218">
        <f t="shared" si="9"/>
        <v>2691688.1029090909</v>
      </c>
      <c r="I56" s="118">
        <f t="shared" si="10"/>
        <v>-67292.20257272727</v>
      </c>
      <c r="J56" s="215">
        <f t="shared" si="2"/>
        <v>2624395.9003363638</v>
      </c>
      <c r="K56" s="202"/>
      <c r="L56" s="186">
        <f t="shared" si="27"/>
        <v>37865</v>
      </c>
      <c r="M56" s="400">
        <f>+J56*(VLOOKUP(L56,CURVECALC!$C$6:$J$312,4,0)+N$5)</f>
        <v>8188115.2090494558</v>
      </c>
      <c r="N56" s="208">
        <f>-F56*INDEX(ship_curves,MATCH(L56,'SHIP CURVES'!$A$9:$A$316,0),MATCH(CONCATENATE(P$4,P$5,P$6,P$7),'SHIP CURVES'!$A$9:$AZ$9,0))</f>
        <v>-1667906.0556993473</v>
      </c>
      <c r="O56" s="209">
        <f>-H56*INDEX(port_processing_fee,MATCH(L56,PORTS!$H$626:$H$933,0),MATCH(P$5,PORTS!$H$626:$Z$626,0))</f>
        <v>-74178.770205947454</v>
      </c>
      <c r="P56" s="405">
        <f>(((VLOOKUP(L56,curvecalc,4,0))*IF(F56=0,0,J56/F56)-INDEX(ship_curves,MATCH(L56,'SHIP CURVES'!$A$9:$A$316,0),MATCH(CONCATENATE(P$4,P$5,P$6,P$7),'SHIP CURVES'!$A$9:$Z$9,0))-INDEX(terminal_curves,MATCH(L56,'TERMINAL CURVES'!$A$4:$A$313,0),MATCH(P$5,'TERMINAL CURVES'!$A$4:$N$4,0))*IF(F56=0,0,H56/F56))-(N$8)*((N$7-$N$5)-(INDEX(ship_curves,MATCH(L56,'SHIP CURVES'!$A$9:$A$316,0),MATCH(CONCATENATE(P$4,P$5,P$6,P$7),'SHIP CURVES'!$A$9:$Z$9,0))-INDEX(ship_curves,MATCH(L56,'SHIP CURVES'!$A$9:$A$316,0),MATCH(CONCATENATE(P$4,N$6,P$6,P$7),'SHIP CURVES'!$A$9:$Z$9,0)))-(INDEX(terminal_curves,MATCH(L56,'TERMINAL CURVES'!$A$4:$A$313,0),MATCH(P$5,'TERMINAL CURVES'!$A$4:$N$4,0))-INDEX(terminal_curves,MATCH(L56,'TERMINAL CURVES'!$A$4:$A$313,0),MATCH(N$6,'TERMINAL CURVES'!$A$4:$N$4,0)))*IF(F56=0,0,H56/F56)))*-F56</f>
        <v>-5893844.5295011252</v>
      </c>
      <c r="Q56" s="403">
        <f t="shared" si="11"/>
        <v>-7635929.3554064203</v>
      </c>
      <c r="R56" s="338">
        <f>(-H56/((HLOOKUP(P$5,port_specs,2,0)/(365.25))*(L57-L56)))*(INDEX(fixed_capacity_charge,MATCH(L56,PORTS!$H$11:$H$317,0),MATCH(P$5,PORTS!$H$11:$N$11,0))+INDEX(variable_om_charge,MATCH(L56,PORTS!$H$318:$H$625,0),MATCH(P$5,PORTS!$H$318:$N$318,0)))</f>
        <v>-499697.93563630799</v>
      </c>
      <c r="S56" s="232">
        <f t="shared" si="12"/>
        <v>-8135627.2910427283</v>
      </c>
      <c r="T56" s="241">
        <f t="shared" si="13"/>
        <v>52487.918006727472</v>
      </c>
      <c r="U56" s="431"/>
      <c r="V56" s="186">
        <f t="shared" si="28"/>
        <v>37865</v>
      </c>
      <c r="W56" s="215">
        <f t="shared" si="14"/>
        <v>2520558.7105067731</v>
      </c>
      <c r="X56" s="191">
        <f t="shared" si="15"/>
        <v>-45370.056789122056</v>
      </c>
      <c r="Y56" s="218">
        <f>+IF(AND(X$8&lt;=V56,X$9&gt;=V56),+MIN($B56-SUMIF($H$17:X$17,Y$17,$H56:X56),((INDEX(ROUTE_PER_DAY_BY_SHIP,MATCH(CONCATENATE(X$4,X$5,X$7),ROUTE_PER_DAY_ROUTES,0),MATCH(X$6,ROUTE_PER_DAY_SHIPS,0))*(V57-V56))-(INDEX(ROUTE_PER_DAY_BY_SHIP,MATCH(CONCATENATE(X$4,X$5,X$7),ROUTE_PER_DAY_ROUTES,0),MATCH(X$6,ROUTE_PER_DAY_SHIPS,0))*(V57-V56))*HLOOKUP(X$6,SHIPS,7,0)*INDEX(LADEN_VOYAGE_DAYS,MATCH(CONCATENATE(X$4,X$5,X$7),LADEN_VOYAGE_ROUTES,0),MATCH(X$6,LADEN_VOYAGE_SHIPS,0)))),0)</f>
        <v>2475188.653717651</v>
      </c>
      <c r="Z56" s="118">
        <f t="shared" si="16"/>
        <v>-61879.716342941276</v>
      </c>
      <c r="AA56" s="215">
        <f t="shared" si="3"/>
        <v>2413308.9373747096</v>
      </c>
      <c r="AB56" s="202"/>
      <c r="AC56" s="186">
        <f t="shared" si="29"/>
        <v>37865</v>
      </c>
      <c r="AD56" s="232">
        <f>+AA56*(VLOOKUP(AC56,CURVECALC!$C$6:$J$312,4,0)+AE$5)</f>
        <v>7529523.8846090939</v>
      </c>
      <c r="AE56" s="208">
        <f>-W56*INDEX(ship_curves,MATCH(AC56,'SHIP CURVES'!$A$9:$A$316,0),MATCH(CONCATENATE(AG$4,AG$5,AG$6,AG$7),'SHIP CURVES'!$A$9:$AZ$9,0))</f>
        <v>-1504701.7018028074</v>
      </c>
      <c r="AF56" s="209">
        <f>-Y56*INDEX(port_processing_fee,MATCH(AC56,PORTS!$H$626:$H$933,0),MATCH(AG$5,PORTS!$H$626:$Z$626,0))</f>
        <v>-68212.379495995134</v>
      </c>
      <c r="AG56" s="405">
        <f>(((VLOOKUP(AC56,curvecalc,4,0))*IF(W56=0,0,AA56/W56)-INDEX(ship_curves,MATCH(AC56,'SHIP CURVES'!$A$9:$A$316,0),MATCH(CONCATENATE(AG$4,AG$5,AG$6,AG$7),'SHIP CURVES'!$A$9:$Z$9,0))-INDEX(terminal_curves,MATCH(AC56,'TERMINAL CURVES'!$A$4:$A$313,0),MATCH(AG$5,'TERMINAL CURVES'!$A$4:$N$4,0))*IF(W56=0,0,Y56/W56))-(AE$8)*((AE$7-$N$5)-(INDEX(ship_curves,MATCH(AC56,'SHIP CURVES'!$A$9:$A$316,0),MATCH(CONCATENATE(AG$4,AG$5,AG$6,AG$7),'SHIP CURVES'!$A$9:$Z$9,0))-INDEX(ship_curves,MATCH(AC56,'SHIP CURVES'!$A$9:$A$316,0),MATCH(CONCATENATE(AG$4,AE$6,AG$6,AG$7),'SHIP CURVES'!$A$9:$Z$9,0)))-(INDEX(terminal_curves,MATCH(AC56,'TERMINAL CURVES'!$A$4:$A$313,0),MATCH(AG$5,'TERMINAL CURVES'!$A$4:$N$4,0))-INDEX(terminal_curves,MATCH(AC56,'TERMINAL CURVES'!$A$4:$A$313,0),MATCH(AE$6,'TERMINAL CURVES'!$A$4:$N$4,0)))*IF(W56=0,0,Y56/W56)))*-W56</f>
        <v>-5448837.688776115</v>
      </c>
      <c r="AH56" s="343">
        <f t="shared" si="17"/>
        <v>-7021751.770074917</v>
      </c>
      <c r="AI56" s="338">
        <f>(-Y56/((HLOOKUP(AG$5,port_specs,2,0)/(365.25))*(AC57-AC56)))*(INDEX(fixed_capacity_charge,MATCH(AC56,PORTS!$H$11:$H$317,0),MATCH(AG$5,PORTS!$H$11:$N$11,0))+INDEX(variable_om_charge,MATCH(AC56,PORTS!$H$318:$H$625,0),MATCH(AG$5,PORTS!$H$318:$N$318,0)))</f>
        <v>-459505.93578668282</v>
      </c>
      <c r="AJ56" s="232">
        <f t="shared" si="18"/>
        <v>-7481257.7058616001</v>
      </c>
      <c r="AK56" s="241">
        <f t="shared" si="19"/>
        <v>48266.178747493774</v>
      </c>
      <c r="AM56" s="186">
        <f t="shared" si="30"/>
        <v>37865</v>
      </c>
      <c r="AN56" s="215">
        <f t="shared" si="20"/>
        <v>0</v>
      </c>
      <c r="AO56" s="191">
        <f t="shared" si="21"/>
        <v>0</v>
      </c>
      <c r="AP56" s="218">
        <f>+IF(AND(AO$8&lt;=AM56,AO$9&gt;=AM56),+MIN($B56-SUMIF($H$17:AO$17,AP$17,$H56:AO56),((INDEX(ROUTE_PER_DAY_BY_SHIP,MATCH(CONCATENATE(AO$4,AO$5,AO$7),ROUTE_PER_DAY_ROUTES,0),MATCH(AO$6,ROUTE_PER_DAY_SHIPS,0))*(AM57-AM56))-(INDEX(ROUTE_PER_DAY_BY_SHIP,MATCH(CONCATENATE(AO$4,AO$5,AO$7),ROUTE_PER_DAY_ROUTES,0),MATCH(AO$6,ROUTE_PER_DAY_SHIPS,0))*(AM57-AM56))*HLOOKUP(AO$6,SHIPS,7,0)*INDEX(LADEN_VOYAGE_DAYS,MATCH(CONCATENATE(AO$4,AO$5,AO$7),LADEN_VOYAGE_ROUTES,0),MATCH(AO$6,LADEN_VOYAGE_SHIPS,0)))),0)</f>
        <v>0</v>
      </c>
      <c r="AQ56" s="118">
        <f>-(AP56)*PORTS!$I$6</f>
        <v>0</v>
      </c>
      <c r="AR56" s="215">
        <f t="shared" si="4"/>
        <v>0</v>
      </c>
      <c r="AS56" s="202"/>
      <c r="AT56" s="186">
        <f t="shared" si="31"/>
        <v>37865</v>
      </c>
      <c r="AU56" s="232">
        <f>+AR56*(VLOOKUP(AT56,CURVECALC!$C$6:$J$312,4,0)+AV$5)</f>
        <v>0</v>
      </c>
      <c r="AV56" s="208">
        <f>-AN56*INDEX(ship_curves,MATCH(AT56,'SHIP CURVES'!$A$9:$A$316,0),MATCH(CONCATENATE(AX$4,AX$5,AX$6,AX$7),'SHIP CURVES'!$A$9:$AZ$9,0))</f>
        <v>0</v>
      </c>
      <c r="AW56" s="209">
        <f>-AP56*INDEX(port_processing_fee,MATCH(AT56,PORTS!$H$626:$H$933,0),MATCH(AX$5,PORTS!$H$626:$Z$626,0))</f>
        <v>0</v>
      </c>
      <c r="AX56" s="405">
        <f>(((VLOOKUP(AT56,curvecalc,4,0))*IF(AN56=0,0,AR56/AN56)-INDEX(ship_curves,MATCH(AT56,'SHIP CURVES'!$A$9:$A$316,0),MATCH(CONCATENATE(AX$4,AX$5,AX$6,AX$7),'SHIP CURVES'!$A$9:$Z$9,0))-INDEX(terminal_curves,MATCH(AT56,'TERMINAL CURVES'!$A$4:$A$313,0),MATCH(AX$5,'TERMINAL CURVES'!$A$4:$N$4,0))*IF(AN56=0,0,AP56/AN56))-(AV$8)*((AV$7-$N$5)-(INDEX(ship_curves,MATCH(AT56,'SHIP CURVES'!$A$9:$A$316,0),MATCH(CONCATENATE(AX$4,AX$5,AX$6,AX$7),'SHIP CURVES'!$A$9:$Z$9,0))-INDEX(ship_curves,MATCH(AT56,'SHIP CURVES'!$A$9:$A$316,0),MATCH(CONCATENATE(AX$4,AV$6,AX$6,AX$7),'SHIP CURVES'!$A$9:$Z$9,0)))-(INDEX(terminal_curves,MATCH(AT56,'TERMINAL CURVES'!$A$4:$A$313,0),MATCH(AX$5,'TERMINAL CURVES'!$A$4:$N$4,0))-INDEX(terminal_curves,MATCH(AT56,'TERMINAL CURVES'!$A$4:$A$313,0),MATCH(AV$6,'TERMINAL CURVES'!$A$4:$N$4,0)))*IF(AN56=0,0,AP56/AN56)))*-AN56</f>
        <v>0</v>
      </c>
      <c r="AY56" s="343">
        <f t="shared" si="22"/>
        <v>0</v>
      </c>
      <c r="AZ56" s="338">
        <f>(-AP56/((HLOOKUP(AX$5,port_specs,2,0)/(365.25))*(AT57-AT56)))*(INDEX(fixed_capacity_charge,MATCH(AT56,PORTS!$H$11:$H$317,0),MATCH(AX$5,PORTS!$H$11:$N$11,0))+INDEX(variable_om_charge,MATCH(AT56,PORTS!$H$318:$H$625,0),MATCH(AX$5,PORTS!$H$318:$N$318,0)))</f>
        <v>0</v>
      </c>
      <c r="BA56" s="232">
        <f t="shared" si="23"/>
        <v>0</v>
      </c>
      <c r="BB56" s="241">
        <f t="shared" si="24"/>
        <v>0</v>
      </c>
      <c r="BC56" s="408"/>
      <c r="BD56" s="338">
        <f>+PORTS!I50+PORTS!I358</f>
        <v>959203.87142299081</v>
      </c>
    </row>
    <row r="57" spans="1:56" x14ac:dyDescent="0.2">
      <c r="A57" s="186">
        <f t="shared" si="25"/>
        <v>37895</v>
      </c>
      <c r="B57" s="215">
        <f>+IF(AND($A57&gt;=$C$8,$A57&lt;=$C$9),1,0)*PORTS!$I$5/(365.25)*(A58-A57)</f>
        <v>5339105.9818476336</v>
      </c>
      <c r="C57" s="351">
        <f t="shared" si="5"/>
        <v>0</v>
      </c>
      <c r="D57">
        <f t="shared" si="6"/>
        <v>2003</v>
      </c>
      <c r="E57" s="186">
        <f t="shared" si="26"/>
        <v>37895</v>
      </c>
      <c r="F57" s="215">
        <f t="shared" si="7"/>
        <v>2876329.9272727272</v>
      </c>
      <c r="G57" s="191">
        <f t="shared" si="8"/>
        <v>-94918.887600000002</v>
      </c>
      <c r="H57" s="218">
        <f t="shared" si="9"/>
        <v>2781411.0396727272</v>
      </c>
      <c r="I57" s="118">
        <f t="shared" si="10"/>
        <v>-69535.275991818184</v>
      </c>
      <c r="J57" s="215">
        <f t="shared" si="2"/>
        <v>2711875.7636809088</v>
      </c>
      <c r="K57" s="202"/>
      <c r="L57" s="186">
        <f t="shared" si="27"/>
        <v>37895</v>
      </c>
      <c r="M57" s="400">
        <f>+J57*(VLOOKUP(L57,CURVECALC!$C$6:$J$312,4,0)+N$5)</f>
        <v>8515289.8979580533</v>
      </c>
      <c r="N57" s="208">
        <f>-F57*INDEX(ship_curves,MATCH(L57,'SHIP CURVES'!$A$9:$A$316,0),MATCH(CONCATENATE(P$4,P$5,P$6,P$7),'SHIP CURVES'!$A$9:$AZ$9,0))</f>
        <v>-1724467.3470938613</v>
      </c>
      <c r="O57" s="209">
        <f>-H57*INDEX(port_processing_fee,MATCH(L57,PORTS!$H$626:$H$933,0),MATCH(P$5,PORTS!$H$626:$Z$626,0))</f>
        <v>-76731.241083520159</v>
      </c>
      <c r="P57" s="405">
        <f>(((VLOOKUP(L57,curvecalc,4,0))*IF(F57=0,0,J57/F57)-INDEX(ship_curves,MATCH(L57,'SHIP CURVES'!$A$9:$A$316,0),MATCH(CONCATENATE(P$4,P$5,P$6,P$7),'SHIP CURVES'!$A$9:$Z$9,0))-INDEX(terminal_curves,MATCH(L57,'TERMINAL CURVES'!$A$4:$A$313,0),MATCH(P$5,'TERMINAL CURVES'!$A$4:$N$4,0))*IF(F57=0,0,H57/F57))-(N$8)*((N$7-$N$5)-(INDEX(ship_curves,MATCH(L57,'SHIP CURVES'!$A$9:$A$316,0),MATCH(CONCATENATE(P$4,P$5,P$6,P$7),'SHIP CURVES'!$A$9:$Z$9,0))-INDEX(ship_curves,MATCH(L57,'SHIP CURVES'!$A$9:$A$316,0),MATCH(CONCATENATE(P$4,N$6,P$6,P$7),'SHIP CURVES'!$A$9:$Z$9,0)))-(INDEX(terminal_curves,MATCH(L57,'TERMINAL CURVES'!$A$4:$A$313,0),MATCH(P$5,'TERMINAL CURVES'!$A$4:$N$4,0))-INDEX(terminal_curves,MATCH(L57,'TERMINAL CURVES'!$A$4:$A$313,0),MATCH(N$6,'TERMINAL CURVES'!$A$4:$N$4,0)))*IF(F57=0,0,H57/F57)))*-F57</f>
        <v>-6159898.6300705802</v>
      </c>
      <c r="Q57" s="403">
        <f t="shared" si="11"/>
        <v>-7961097.2182479613</v>
      </c>
      <c r="R57" s="338">
        <f>(-H57/((HLOOKUP(P$5,port_specs,2,0)/(365.25))*(L58-L57)))*(INDEX(fixed_capacity_charge,MATCH(L57,PORTS!$H$11:$H$317,0),MATCH(P$5,PORTS!$H$11:$N$11,0))+INDEX(variable_om_charge,MATCH(L57,PORTS!$H$318:$H$625,0),MATCH(P$5,PORTS!$H$318:$N$318,0)))</f>
        <v>-499955.16443647485</v>
      </c>
      <c r="S57" s="232">
        <f t="shared" si="12"/>
        <v>-8461052.3826844357</v>
      </c>
      <c r="T57" s="241">
        <f t="shared" si="13"/>
        <v>54237.515273617581</v>
      </c>
      <c r="U57" s="431"/>
      <c r="V57" s="186">
        <f t="shared" si="28"/>
        <v>37895</v>
      </c>
      <c r="W57" s="215">
        <f t="shared" si="14"/>
        <v>2604577.3341903323</v>
      </c>
      <c r="X57" s="191">
        <f t="shared" si="15"/>
        <v>-46882.392015425954</v>
      </c>
      <c r="Y57" s="218">
        <f>+IF(AND(X$8&lt;=V57,X$9&gt;=V57),+MIN($B57-SUMIF($H$17:X$17,Y$17,$H57:X57),((INDEX(ROUTE_PER_DAY_BY_SHIP,MATCH(CONCATENATE(X$4,X$5,X$7),ROUTE_PER_DAY_ROUTES,0),MATCH(X$6,ROUTE_PER_DAY_SHIPS,0))*(V58-V57))-(INDEX(ROUTE_PER_DAY_BY_SHIP,MATCH(CONCATENATE(X$4,X$5,X$7),ROUTE_PER_DAY_ROUTES,0),MATCH(X$6,ROUTE_PER_DAY_SHIPS,0))*(V58-V57))*HLOOKUP(X$6,SHIPS,7,0)*INDEX(LADEN_VOYAGE_DAYS,MATCH(CONCATENATE(X$4,X$5,X$7),LADEN_VOYAGE_ROUTES,0),MATCH(X$6,LADEN_VOYAGE_SHIPS,0)))),0)</f>
        <v>2557694.9421749064</v>
      </c>
      <c r="Z57" s="118">
        <f t="shared" si="16"/>
        <v>-63942.373554372665</v>
      </c>
      <c r="AA57" s="215">
        <f t="shared" si="3"/>
        <v>2493752.5686205337</v>
      </c>
      <c r="AB57" s="202"/>
      <c r="AC57" s="186">
        <f t="shared" si="29"/>
        <v>37895</v>
      </c>
      <c r="AD57" s="232">
        <f>+AA57*(VLOOKUP(AC57,CURVECALC!$C$6:$J$312,4,0)+AE$5)</f>
        <v>7830383.0654684762</v>
      </c>
      <c r="AE57" s="208">
        <f>-W57*INDEX(ship_curves,MATCH(AC57,'SHIP CURVES'!$A$9:$A$316,0),MATCH(CONCATENATE(AG$4,AG$5,AG$6,AG$7),'SHIP CURVES'!$A$9:$AZ$9,0))</f>
        <v>-1555247.2307532611</v>
      </c>
      <c r="AF57" s="209">
        <f>-Y57*INDEX(port_processing_fee,MATCH(AC57,PORTS!$H$626:$H$933,0),MATCH(AG$5,PORTS!$H$626:$Z$626,0))</f>
        <v>-70559.548526569124</v>
      </c>
      <c r="AG57" s="405">
        <f>(((VLOOKUP(AC57,curvecalc,4,0))*IF(W57=0,0,AA57/W57)-INDEX(ship_curves,MATCH(AC57,'SHIP CURVES'!$A$9:$A$316,0),MATCH(CONCATENATE(AG$4,AG$5,AG$6,AG$7),'SHIP CURVES'!$A$9:$Z$9,0))-INDEX(terminal_curves,MATCH(AC57,'TERMINAL CURVES'!$A$4:$A$313,0),MATCH(AG$5,'TERMINAL CURVES'!$A$4:$N$4,0))*IF(W57=0,0,Y57/W57))-(AE$8)*((AE$7-$N$5)-(INDEX(ship_curves,MATCH(AC57,'SHIP CURVES'!$A$9:$A$316,0),MATCH(CONCATENATE(AG$4,AG$5,AG$6,AG$7),'SHIP CURVES'!$A$9:$Z$9,0))-INDEX(ship_curves,MATCH(AC57,'SHIP CURVES'!$A$9:$A$316,0),MATCH(CONCATENATE(AG$4,AE$6,AG$6,AG$7),'SHIP CURVES'!$A$9:$Z$9,0)))-(INDEX(terminal_curves,MATCH(AC57,'TERMINAL CURVES'!$A$4:$A$313,0),MATCH(AG$5,'TERMINAL CURVES'!$A$4:$N$4,0))-INDEX(terminal_curves,MATCH(AC57,'TERMINAL CURVES'!$A$4:$A$313,0),MATCH(AE$6,'TERMINAL CURVES'!$A$4:$N$4,0)))*IF(W57=0,0,Y57/W57)))*-W57</f>
        <v>-5694958.7598083494</v>
      </c>
      <c r="AH57" s="343">
        <f t="shared" si="17"/>
        <v>-7320765.5390881794</v>
      </c>
      <c r="AI57" s="338">
        <f>(-Y57/((HLOOKUP(AG$5,port_specs,2,0)/(365.25))*(AC58-AC57)))*(INDEX(fixed_capacity_charge,MATCH(AC57,PORTS!$H$11:$H$317,0),MATCH(AG$5,PORTS!$H$11:$N$11,0))+INDEX(variable_om_charge,MATCH(AC57,PORTS!$H$318:$H$625,0),MATCH(AG$5,PORTS!$H$318:$N$318,0)))</f>
        <v>-459742.47500788543</v>
      </c>
      <c r="AJ57" s="232">
        <f t="shared" si="18"/>
        <v>-7780508.0140960645</v>
      </c>
      <c r="AK57" s="241">
        <f t="shared" si="19"/>
        <v>49875.051372411661</v>
      </c>
      <c r="AM57" s="186">
        <f t="shared" si="30"/>
        <v>37895</v>
      </c>
      <c r="AN57" s="215">
        <f t="shared" si="20"/>
        <v>0</v>
      </c>
      <c r="AO57" s="191">
        <f t="shared" si="21"/>
        <v>0</v>
      </c>
      <c r="AP57" s="218">
        <f>+IF(AND(AO$8&lt;=AM57,AO$9&gt;=AM57),+MIN($B57-SUMIF($H$17:AO$17,AP$17,$H57:AO57),((INDEX(ROUTE_PER_DAY_BY_SHIP,MATCH(CONCATENATE(AO$4,AO$5,AO$7),ROUTE_PER_DAY_ROUTES,0),MATCH(AO$6,ROUTE_PER_DAY_SHIPS,0))*(AM58-AM57))-(INDEX(ROUTE_PER_DAY_BY_SHIP,MATCH(CONCATENATE(AO$4,AO$5,AO$7),ROUTE_PER_DAY_ROUTES,0),MATCH(AO$6,ROUTE_PER_DAY_SHIPS,0))*(AM58-AM57))*HLOOKUP(AO$6,SHIPS,7,0)*INDEX(LADEN_VOYAGE_DAYS,MATCH(CONCATENATE(AO$4,AO$5,AO$7),LADEN_VOYAGE_ROUTES,0),MATCH(AO$6,LADEN_VOYAGE_SHIPS,0)))),0)</f>
        <v>0</v>
      </c>
      <c r="AQ57" s="118">
        <f>-(AP57)*PORTS!$I$6</f>
        <v>0</v>
      </c>
      <c r="AR57" s="215">
        <f t="shared" si="4"/>
        <v>0</v>
      </c>
      <c r="AS57" s="202"/>
      <c r="AT57" s="186">
        <f t="shared" si="31"/>
        <v>37895</v>
      </c>
      <c r="AU57" s="232">
        <f>+AR57*(VLOOKUP(AT57,CURVECALC!$C$6:$J$312,4,0)+AV$5)</f>
        <v>0</v>
      </c>
      <c r="AV57" s="208">
        <f>-AN57*INDEX(ship_curves,MATCH(AT57,'SHIP CURVES'!$A$9:$A$316,0),MATCH(CONCATENATE(AX$4,AX$5,AX$6,AX$7),'SHIP CURVES'!$A$9:$AZ$9,0))</f>
        <v>0</v>
      </c>
      <c r="AW57" s="209">
        <f>-AP57*INDEX(port_processing_fee,MATCH(AT57,PORTS!$H$626:$H$933,0),MATCH(AX$5,PORTS!$H$626:$Z$626,0))</f>
        <v>0</v>
      </c>
      <c r="AX57" s="405">
        <f>(((VLOOKUP(AT57,curvecalc,4,0))*IF(AN57=0,0,AR57/AN57)-INDEX(ship_curves,MATCH(AT57,'SHIP CURVES'!$A$9:$A$316,0),MATCH(CONCATENATE(AX$4,AX$5,AX$6,AX$7),'SHIP CURVES'!$A$9:$Z$9,0))-INDEX(terminal_curves,MATCH(AT57,'TERMINAL CURVES'!$A$4:$A$313,0),MATCH(AX$5,'TERMINAL CURVES'!$A$4:$N$4,0))*IF(AN57=0,0,AP57/AN57))-(AV$8)*((AV$7-$N$5)-(INDEX(ship_curves,MATCH(AT57,'SHIP CURVES'!$A$9:$A$316,0),MATCH(CONCATENATE(AX$4,AX$5,AX$6,AX$7),'SHIP CURVES'!$A$9:$Z$9,0))-INDEX(ship_curves,MATCH(AT57,'SHIP CURVES'!$A$9:$A$316,0),MATCH(CONCATENATE(AX$4,AV$6,AX$6,AX$7),'SHIP CURVES'!$A$9:$Z$9,0)))-(INDEX(terminal_curves,MATCH(AT57,'TERMINAL CURVES'!$A$4:$A$313,0),MATCH(AX$5,'TERMINAL CURVES'!$A$4:$N$4,0))-INDEX(terminal_curves,MATCH(AT57,'TERMINAL CURVES'!$A$4:$A$313,0),MATCH(AV$6,'TERMINAL CURVES'!$A$4:$N$4,0)))*IF(AN57=0,0,AP57/AN57)))*-AN57</f>
        <v>0</v>
      </c>
      <c r="AY57" s="343">
        <f t="shared" si="22"/>
        <v>0</v>
      </c>
      <c r="AZ57" s="338">
        <f>(-AP57/((HLOOKUP(AX$5,port_specs,2,0)/(365.25))*(AT58-AT57)))*(INDEX(fixed_capacity_charge,MATCH(AT57,PORTS!$H$11:$H$317,0),MATCH(AX$5,PORTS!$H$11:$N$11,0))+INDEX(variable_om_charge,MATCH(AT57,PORTS!$H$318:$H$625,0),MATCH(AX$5,PORTS!$H$318:$N$318,0)))</f>
        <v>0</v>
      </c>
      <c r="BA57" s="232">
        <f t="shared" si="23"/>
        <v>0</v>
      </c>
      <c r="BB57" s="241">
        <f t="shared" si="24"/>
        <v>0</v>
      </c>
      <c r="BC57" s="408"/>
      <c r="BD57" s="338">
        <f>+PORTS!I51+PORTS!I359</f>
        <v>959697.63944436028</v>
      </c>
    </row>
    <row r="58" spans="1:56" x14ac:dyDescent="0.2">
      <c r="A58" s="186">
        <f t="shared" si="25"/>
        <v>37926</v>
      </c>
      <c r="B58" s="215">
        <f>+IF(AND($A58&gt;=$C$8,$A58&lt;=$C$9),1,0)*PORTS!$I$5/(365.25)*(A59-A58)</f>
        <v>5166876.756626742</v>
      </c>
      <c r="C58" s="351">
        <f t="shared" si="5"/>
        <v>0</v>
      </c>
      <c r="D58">
        <f t="shared" si="6"/>
        <v>2003</v>
      </c>
      <c r="E58" s="186">
        <f t="shared" si="26"/>
        <v>37926</v>
      </c>
      <c r="F58" s="215">
        <f t="shared" si="7"/>
        <v>2783545.0909090908</v>
      </c>
      <c r="G58" s="191">
        <f t="shared" si="8"/>
        <v>-91856.987999999983</v>
      </c>
      <c r="H58" s="218">
        <f t="shared" si="9"/>
        <v>2691688.1029090909</v>
      </c>
      <c r="I58" s="118">
        <f t="shared" si="10"/>
        <v>-67292.20257272727</v>
      </c>
      <c r="J58" s="215">
        <f t="shared" si="2"/>
        <v>2624395.9003363638</v>
      </c>
      <c r="K58" s="202"/>
      <c r="L58" s="186">
        <f t="shared" si="27"/>
        <v>37926</v>
      </c>
      <c r="M58" s="400">
        <f>+J58*(VLOOKUP(L58,CURVECALC!$C$6:$J$312,4,0)+N$5)</f>
        <v>8526662.2801928464</v>
      </c>
      <c r="N58" s="208">
        <f>-F58*INDEX(ship_curves,MATCH(L58,'SHIP CURVES'!$A$9:$A$316,0),MATCH(CONCATENATE(P$4,P$5,P$6,P$7),'SHIP CURVES'!$A$9:$AZ$9,0))</f>
        <v>-1669774.6250123021</v>
      </c>
      <c r="O58" s="209">
        <f>-H58*INDEX(port_processing_fee,MATCH(L58,PORTS!$H$626:$H$933,0),MATCH(P$5,PORTS!$H$626:$Z$626,0))</f>
        <v>-74333.389799660144</v>
      </c>
      <c r="P58" s="405">
        <f>(((VLOOKUP(L58,curvecalc,4,0))*IF(F58=0,0,J58/F58)-INDEX(ship_curves,MATCH(L58,'SHIP CURVES'!$A$9:$A$316,0),MATCH(CONCATENATE(P$4,P$5,P$6,P$7),'SHIP CURVES'!$A$9:$Z$9,0))-INDEX(terminal_curves,MATCH(L58,'TERMINAL CURVES'!$A$4:$A$313,0),MATCH(P$5,'TERMINAL CURVES'!$A$4:$N$4,0))*IF(F58=0,0,H58/F58))-(N$8)*((N$7-$N$5)-(INDEX(ship_curves,MATCH(L58,'SHIP CURVES'!$A$9:$A$316,0),MATCH(CONCATENATE(P$4,P$5,P$6,P$7),'SHIP CURVES'!$A$9:$Z$9,0))-INDEX(ship_curves,MATCH(L58,'SHIP CURVES'!$A$9:$A$316,0),MATCH(CONCATENATE(P$4,N$6,P$6,P$7),'SHIP CURVES'!$A$9:$Z$9,0)))-(INDEX(terminal_curves,MATCH(L58,'TERMINAL CURVES'!$A$4:$A$313,0),MATCH(P$5,'TERMINAL CURVES'!$A$4:$N$4,0))-INDEX(terminal_curves,MATCH(L58,'TERMINAL CURVES'!$A$4:$A$313,0),MATCH(N$6,'TERMINAL CURVES'!$A$4:$N$4,0)))*IF(F58=0,0,H58/F58)))*-F58</f>
        <v>-6229853.6861908501</v>
      </c>
      <c r="Q58" s="403">
        <f t="shared" si="11"/>
        <v>-7973961.701002812</v>
      </c>
      <c r="R58" s="338">
        <f>(-H58/((HLOOKUP(P$5,port_specs,2,0)/(365.25))*(L59-L58)))*(INDEX(fixed_capacity_charge,MATCH(L58,PORTS!$H$11:$H$317,0),MATCH(P$5,PORTS!$H$11:$N$11,0))+INDEX(variable_om_charge,MATCH(L58,PORTS!$H$318:$H$625,0),MATCH(P$5,PORTS!$H$318:$N$318,0)))</f>
        <v>-500212.66118330852</v>
      </c>
      <c r="S58" s="232">
        <f t="shared" si="12"/>
        <v>-8474174.3621861208</v>
      </c>
      <c r="T58" s="241">
        <f t="shared" si="13"/>
        <v>52487.918006725609</v>
      </c>
      <c r="U58" s="431"/>
      <c r="V58" s="186">
        <f t="shared" si="28"/>
        <v>37926</v>
      </c>
      <c r="W58" s="215">
        <f t="shared" si="14"/>
        <v>2520558.7105067731</v>
      </c>
      <c r="X58" s="191">
        <f t="shared" si="15"/>
        <v>-45370.056789122056</v>
      </c>
      <c r="Y58" s="218">
        <f>+IF(AND(X$8&lt;=V58,X$9&gt;=V58),+MIN($B58-SUMIF($H$17:X$17,Y$17,$H58:X58),((INDEX(ROUTE_PER_DAY_BY_SHIP,MATCH(CONCATENATE(X$4,X$5,X$7),ROUTE_PER_DAY_ROUTES,0),MATCH(X$6,ROUTE_PER_DAY_SHIPS,0))*(V59-V58))-(INDEX(ROUTE_PER_DAY_BY_SHIP,MATCH(CONCATENATE(X$4,X$5,X$7),ROUTE_PER_DAY_ROUTES,0),MATCH(X$6,ROUTE_PER_DAY_SHIPS,0))*(V59-V58))*HLOOKUP(X$6,SHIPS,7,0)*INDEX(LADEN_VOYAGE_DAYS,MATCH(CONCATENATE(X$4,X$5,X$7),LADEN_VOYAGE_ROUTES,0),MATCH(X$6,LADEN_VOYAGE_SHIPS,0)))),0)</f>
        <v>2475188.653717651</v>
      </c>
      <c r="Z58" s="118">
        <f t="shared" si="16"/>
        <v>-61879.716342941276</v>
      </c>
      <c r="AA58" s="215">
        <f t="shared" si="3"/>
        <v>2413308.9373747096</v>
      </c>
      <c r="AB58" s="202"/>
      <c r="AC58" s="186">
        <f t="shared" si="29"/>
        <v>37926</v>
      </c>
      <c r="AD58" s="232">
        <f>+AA58*(VLOOKUP(AC58,CURVECALC!$C$6:$J$312,4,0)+AE$5)</f>
        <v>7840840.7375304317</v>
      </c>
      <c r="AE58" s="208">
        <f>-W58*INDEX(ship_curves,MATCH(AC58,'SHIP CURVES'!$A$9:$A$316,0),MATCH(CONCATENATE(AG$4,AG$5,AG$6,AG$7),'SHIP CURVES'!$A$9:$AZ$9,0))</f>
        <v>-1505455.0125695465</v>
      </c>
      <c r="AF58" s="209">
        <f>-Y58*INDEX(port_processing_fee,MATCH(AC58,PORTS!$H$626:$H$933,0),MATCH(AG$5,PORTS!$H$626:$Z$626,0))</f>
        <v>-68354.562635113834</v>
      </c>
      <c r="AG58" s="405">
        <f>(((VLOOKUP(AC58,curvecalc,4,0))*IF(W58=0,0,AA58/W58)-INDEX(ship_curves,MATCH(AC58,'SHIP CURVES'!$A$9:$A$316,0),MATCH(CONCATENATE(AG$4,AG$5,AG$6,AG$7),'SHIP CURVES'!$A$9:$Z$9,0))-INDEX(terminal_curves,MATCH(AC58,'TERMINAL CURVES'!$A$4:$A$313,0),MATCH(AG$5,'TERMINAL CURVES'!$A$4:$N$4,0))*IF(W58=0,0,Y58/W58))-(AE$8)*((AE$7-$N$5)-(INDEX(ship_curves,MATCH(AC58,'SHIP CURVES'!$A$9:$A$316,0),MATCH(CONCATENATE(AG$4,AG$5,AG$6,AG$7),'SHIP CURVES'!$A$9:$Z$9,0))-INDEX(ship_curves,MATCH(AC58,'SHIP CURVES'!$A$9:$A$316,0),MATCH(CONCATENATE(AG$4,AE$6,AG$6,AG$7),'SHIP CURVES'!$A$9:$Z$9,0)))-(INDEX(terminal_curves,MATCH(AC58,'TERMINAL CURVES'!$A$4:$A$313,0),MATCH(AG$5,'TERMINAL CURVES'!$A$4:$N$4,0))-INDEX(terminal_curves,MATCH(AC58,'TERMINAL CURVES'!$A$4:$A$313,0),MATCH(AE$6,'TERMINAL CURVES'!$A$4:$N$4,0)))*IF(W58=0,0,Y58/W58)))*-W58</f>
        <v>-5758785.722954168</v>
      </c>
      <c r="AH58" s="343">
        <f t="shared" si="17"/>
        <v>-7332595.2981588282</v>
      </c>
      <c r="AI58" s="338">
        <f>(-Y58/((HLOOKUP(AG$5,port_specs,2,0)/(365.25))*(AC59-AC58)))*(INDEX(fixed_capacity_charge,MATCH(AC58,PORTS!$H$11:$H$317,0),MATCH(AG$5,PORTS!$H$11:$N$11,0))+INDEX(variable_om_charge,MATCH(AC58,PORTS!$H$318:$H$625,0),MATCH(AG$5,PORTS!$H$318:$N$318,0)))</f>
        <v>-459979.26062411006</v>
      </c>
      <c r="AJ58" s="232">
        <f t="shared" si="18"/>
        <v>-7792574.5587829379</v>
      </c>
      <c r="AK58" s="241">
        <f t="shared" si="19"/>
        <v>48266.178747493774</v>
      </c>
      <c r="AM58" s="186">
        <f t="shared" si="30"/>
        <v>37926</v>
      </c>
      <c r="AN58" s="215">
        <f t="shared" si="20"/>
        <v>0</v>
      </c>
      <c r="AO58" s="191">
        <f t="shared" si="21"/>
        <v>0</v>
      </c>
      <c r="AP58" s="218">
        <f>+IF(AND(AO$8&lt;=AM58,AO$9&gt;=AM58),+MIN($B58-SUMIF($H$17:AO$17,AP$17,$H58:AO58),((INDEX(ROUTE_PER_DAY_BY_SHIP,MATCH(CONCATENATE(AO$4,AO$5,AO$7),ROUTE_PER_DAY_ROUTES,0),MATCH(AO$6,ROUTE_PER_DAY_SHIPS,0))*(AM59-AM58))-(INDEX(ROUTE_PER_DAY_BY_SHIP,MATCH(CONCATENATE(AO$4,AO$5,AO$7),ROUTE_PER_DAY_ROUTES,0),MATCH(AO$6,ROUTE_PER_DAY_SHIPS,0))*(AM59-AM58))*HLOOKUP(AO$6,SHIPS,7,0)*INDEX(LADEN_VOYAGE_DAYS,MATCH(CONCATENATE(AO$4,AO$5,AO$7),LADEN_VOYAGE_ROUTES,0),MATCH(AO$6,LADEN_VOYAGE_SHIPS,0)))),0)</f>
        <v>0</v>
      </c>
      <c r="AQ58" s="118">
        <f>-(AP58)*PORTS!$I$6</f>
        <v>0</v>
      </c>
      <c r="AR58" s="215">
        <f t="shared" si="4"/>
        <v>0</v>
      </c>
      <c r="AS58" s="202"/>
      <c r="AT58" s="186">
        <f t="shared" si="31"/>
        <v>37926</v>
      </c>
      <c r="AU58" s="232">
        <f>+AR58*(VLOOKUP(AT58,CURVECALC!$C$6:$J$312,4,0)+AV$5)</f>
        <v>0</v>
      </c>
      <c r="AV58" s="208">
        <f>-AN58*INDEX(ship_curves,MATCH(AT58,'SHIP CURVES'!$A$9:$A$316,0),MATCH(CONCATENATE(AX$4,AX$5,AX$6,AX$7),'SHIP CURVES'!$A$9:$AZ$9,0))</f>
        <v>0</v>
      </c>
      <c r="AW58" s="209">
        <f>-AP58*INDEX(port_processing_fee,MATCH(AT58,PORTS!$H$626:$H$933,0),MATCH(AX$5,PORTS!$H$626:$Z$626,0))</f>
        <v>0</v>
      </c>
      <c r="AX58" s="405">
        <f>(((VLOOKUP(AT58,curvecalc,4,0))*IF(AN58=0,0,AR58/AN58)-INDEX(ship_curves,MATCH(AT58,'SHIP CURVES'!$A$9:$A$316,0),MATCH(CONCATENATE(AX$4,AX$5,AX$6,AX$7),'SHIP CURVES'!$A$9:$Z$9,0))-INDEX(terminal_curves,MATCH(AT58,'TERMINAL CURVES'!$A$4:$A$313,0),MATCH(AX$5,'TERMINAL CURVES'!$A$4:$N$4,0))*IF(AN58=0,0,AP58/AN58))-(AV$8)*((AV$7-$N$5)-(INDEX(ship_curves,MATCH(AT58,'SHIP CURVES'!$A$9:$A$316,0),MATCH(CONCATENATE(AX$4,AX$5,AX$6,AX$7),'SHIP CURVES'!$A$9:$Z$9,0))-INDEX(ship_curves,MATCH(AT58,'SHIP CURVES'!$A$9:$A$316,0),MATCH(CONCATENATE(AX$4,AV$6,AX$6,AX$7),'SHIP CURVES'!$A$9:$Z$9,0)))-(INDEX(terminal_curves,MATCH(AT58,'TERMINAL CURVES'!$A$4:$A$313,0),MATCH(AX$5,'TERMINAL CURVES'!$A$4:$N$4,0))-INDEX(terminal_curves,MATCH(AT58,'TERMINAL CURVES'!$A$4:$A$313,0),MATCH(AV$6,'TERMINAL CURVES'!$A$4:$N$4,0)))*IF(AN58=0,0,AP58/AN58)))*-AN58</f>
        <v>0</v>
      </c>
      <c r="AY58" s="343">
        <f t="shared" si="22"/>
        <v>0</v>
      </c>
      <c r="AZ58" s="338">
        <f>(-AP58/((HLOOKUP(AX$5,port_specs,2,0)/(365.25))*(AT59-AT58)))*(INDEX(fixed_capacity_charge,MATCH(AT58,PORTS!$H$11:$H$317,0),MATCH(AX$5,PORTS!$H$11:$N$11,0))+INDEX(variable_om_charge,MATCH(AT58,PORTS!$H$318:$H$625,0),MATCH(AX$5,PORTS!$H$318:$N$318,0)))</f>
        <v>0</v>
      </c>
      <c r="BA58" s="232">
        <f t="shared" si="23"/>
        <v>0</v>
      </c>
      <c r="BB58" s="241">
        <f t="shared" si="24"/>
        <v>0</v>
      </c>
      <c r="BC58" s="408"/>
      <c r="BD58" s="338">
        <f>+PORTS!I52+PORTS!I360</f>
        <v>960191.92180741858</v>
      </c>
    </row>
    <row r="59" spans="1:56" x14ac:dyDescent="0.2">
      <c r="A59" s="186">
        <f t="shared" si="25"/>
        <v>37956</v>
      </c>
      <c r="B59" s="215">
        <f>+IF(AND($A59&gt;=$C$8,$A59&lt;=$C$9),1,0)*PORTS!$I$5/(365.25)*(A60-A59)</f>
        <v>5339105.9818476336</v>
      </c>
      <c r="C59" s="351">
        <f t="shared" si="5"/>
        <v>0</v>
      </c>
      <c r="D59">
        <f t="shared" si="6"/>
        <v>2003</v>
      </c>
      <c r="E59" s="186">
        <f t="shared" si="26"/>
        <v>37956</v>
      </c>
      <c r="F59" s="215">
        <f t="shared" si="7"/>
        <v>2876329.9272727272</v>
      </c>
      <c r="G59" s="191">
        <f t="shared" si="8"/>
        <v>-94918.887600000002</v>
      </c>
      <c r="H59" s="218">
        <f t="shared" si="9"/>
        <v>2781411.0396727272</v>
      </c>
      <c r="I59" s="118">
        <f t="shared" si="10"/>
        <v>-69535.275991818184</v>
      </c>
      <c r="J59" s="215">
        <f t="shared" si="2"/>
        <v>2711875.7636809088</v>
      </c>
      <c r="K59" s="202"/>
      <c r="L59" s="186">
        <f t="shared" si="27"/>
        <v>37956</v>
      </c>
      <c r="M59" s="400">
        <f>+J59*(VLOOKUP(L59,CURVECALC!$C$6:$J$312,4,0)+N$5)</f>
        <v>9095631.3113857694</v>
      </c>
      <c r="N59" s="208">
        <f>-F59*INDEX(ship_curves,MATCH(L59,'SHIP CURVES'!$A$9:$A$316,0),MATCH(CONCATENATE(P$4,P$5,P$6,P$7),'SHIP CURVES'!$A$9:$AZ$9,0))</f>
        <v>-1726402.2246650746</v>
      </c>
      <c r="O59" s="209">
        <f>-H59*INDEX(port_processing_fee,MATCH(L59,PORTS!$H$626:$H$933,0),MATCH(P$5,PORTS!$H$626:$Z$626,0))</f>
        <v>-76891.181094502608</v>
      </c>
      <c r="P59" s="405">
        <f>(((VLOOKUP(L59,curvecalc,4,0))*IF(F59=0,0,J59/F59)-INDEX(ship_curves,MATCH(L59,'SHIP CURVES'!$A$9:$A$316,0),MATCH(CONCATENATE(P$4,P$5,P$6,P$7),'SHIP CURVES'!$A$9:$Z$9,0))-INDEX(terminal_curves,MATCH(L59,'TERMINAL CURVES'!$A$4:$A$313,0),MATCH(P$5,'TERMINAL CURVES'!$A$4:$N$4,0))*IF(F59=0,0,H59/F59))-(N$8)*((N$7-$N$5)-(INDEX(ship_curves,MATCH(L59,'SHIP CURVES'!$A$9:$A$316,0),MATCH(CONCATENATE(P$4,P$5,P$6,P$7),'SHIP CURVES'!$A$9:$Z$9,0))-INDEX(ship_curves,MATCH(L59,'SHIP CURVES'!$A$9:$A$316,0),MATCH(CONCATENATE(P$4,N$6,P$6,P$7),'SHIP CURVES'!$A$9:$Z$9,0)))-(INDEX(terminal_curves,MATCH(L59,'TERMINAL CURVES'!$A$4:$A$313,0),MATCH(P$5,'TERMINAL CURVES'!$A$4:$N$4,0))-INDEX(terminal_curves,MATCH(L59,'TERMINAL CURVES'!$A$4:$A$313,0),MATCH(N$6,'TERMINAL CURVES'!$A$4:$N$4,0)))*IF(F59=0,0,H59/F59)))*-F59</f>
        <v>-6737629.9641966522</v>
      </c>
      <c r="Q59" s="403">
        <f t="shared" si="11"/>
        <v>-8540923.3699562289</v>
      </c>
      <c r="R59" s="338">
        <f>(-H59/((HLOOKUP(P$5,port_specs,2,0)/(365.25))*(L60-L59)))*(INDEX(fixed_capacity_charge,MATCH(L59,PORTS!$H$11:$H$317,0),MATCH(P$5,PORTS!$H$11:$N$11,0))+INDEX(variable_om_charge,MATCH(L59,PORTS!$H$318:$H$625,0),MATCH(P$5,PORTS!$H$318:$N$318,0)))</f>
        <v>-500470.4261559202</v>
      </c>
      <c r="S59" s="232">
        <f t="shared" si="12"/>
        <v>-9041393.79611215</v>
      </c>
      <c r="T59" s="241">
        <f t="shared" si="13"/>
        <v>54237.515273619443</v>
      </c>
      <c r="U59" s="431"/>
      <c r="V59" s="186">
        <f t="shared" si="28"/>
        <v>37956</v>
      </c>
      <c r="W59" s="215">
        <f t="shared" si="14"/>
        <v>2604577.3341903323</v>
      </c>
      <c r="X59" s="191">
        <f t="shared" si="15"/>
        <v>-46882.392015425954</v>
      </c>
      <c r="Y59" s="218">
        <f>+IF(AND(X$8&lt;=V59,X$9&gt;=V59),+MIN($B59-SUMIF($H$17:X$17,Y$17,$H59:X59),((INDEX(ROUTE_PER_DAY_BY_SHIP,MATCH(CONCATENATE(X$4,X$5,X$7),ROUTE_PER_DAY_ROUTES,0),MATCH(X$6,ROUTE_PER_DAY_SHIPS,0))*(V60-V59))-(INDEX(ROUTE_PER_DAY_BY_SHIP,MATCH(CONCATENATE(X$4,X$5,X$7),ROUTE_PER_DAY_ROUTES,0),MATCH(X$6,ROUTE_PER_DAY_SHIPS,0))*(V60-V59))*HLOOKUP(X$6,SHIPS,7,0)*INDEX(LADEN_VOYAGE_DAYS,MATCH(CONCATENATE(X$4,X$5,X$7),LADEN_VOYAGE_ROUTES,0),MATCH(X$6,LADEN_VOYAGE_SHIPS,0)))),0)</f>
        <v>2557694.9421749064</v>
      </c>
      <c r="Z59" s="118">
        <f t="shared" si="16"/>
        <v>-63942.373554372665</v>
      </c>
      <c r="AA59" s="215">
        <f t="shared" si="3"/>
        <v>2493752.5686205337</v>
      </c>
      <c r="AB59" s="202"/>
      <c r="AC59" s="186">
        <f t="shared" si="29"/>
        <v>37956</v>
      </c>
      <c r="AD59" s="232">
        <f>+AA59*(VLOOKUP(AC59,CURVECALC!$C$6:$J$312,4,0)+AE$5)</f>
        <v>8364046.1151532717</v>
      </c>
      <c r="AE59" s="208">
        <f>-W59*INDEX(ship_curves,MATCH(AC59,'SHIP CURVES'!$A$9:$A$316,0),MATCH(CONCATENATE(AG$4,AG$5,AG$6,AG$7),'SHIP CURVES'!$A$9:$AZ$9,0))</f>
        <v>-1556027.2735895701</v>
      </c>
      <c r="AF59" s="209">
        <f>-Y59*INDEX(port_processing_fee,MATCH(AC59,PORTS!$H$626:$H$933,0),MATCH(AG$5,PORTS!$H$626:$Z$626,0))</f>
        <v>-70706.624148009592</v>
      </c>
      <c r="AG59" s="405">
        <f>(((VLOOKUP(AC59,curvecalc,4,0))*IF(W59=0,0,AA59/W59)-INDEX(ship_curves,MATCH(AC59,'SHIP CURVES'!$A$9:$A$316,0),MATCH(CONCATENATE(AG$4,AG$5,AG$6,AG$7),'SHIP CURVES'!$A$9:$Z$9,0))-INDEX(terminal_curves,MATCH(AC59,'TERMINAL CURVES'!$A$4:$A$313,0),MATCH(AG$5,'TERMINAL CURVES'!$A$4:$N$4,0))*IF(W59=0,0,Y59/W59))-(AE$8)*((AE$7-$N$5)-(INDEX(ship_curves,MATCH(AC59,'SHIP CURVES'!$A$9:$A$316,0),MATCH(CONCATENATE(AG$4,AG$5,AG$6,AG$7),'SHIP CURVES'!$A$9:$Z$9,0))-INDEX(ship_curves,MATCH(AC59,'SHIP CURVES'!$A$9:$A$316,0),MATCH(CONCATENATE(AG$4,AE$6,AG$6,AG$7),'SHIP CURVES'!$A$9:$Z$9,0)))-(INDEX(terminal_curves,MATCH(AC59,'TERMINAL CURVES'!$A$4:$A$313,0),MATCH(AG$5,'TERMINAL CURVES'!$A$4:$N$4,0))-INDEX(terminal_curves,MATCH(AC59,'TERMINAL CURVES'!$A$4:$A$313,0),MATCH(AE$6,'TERMINAL CURVES'!$A$4:$N$4,0)))*IF(W59=0,0,Y59/W59)))*-W59</f>
        <v>-6227220.8731512632</v>
      </c>
      <c r="AH59" s="343">
        <f t="shared" si="17"/>
        <v>-7853954.7708888426</v>
      </c>
      <c r="AI59" s="338">
        <f>(-Y59/((HLOOKUP(AG$5,port_specs,2,0)/(365.25))*(AC60-AC59)))*(INDEX(fixed_capacity_charge,MATCH(AC59,PORTS!$H$11:$H$317,0),MATCH(AG$5,PORTS!$H$11:$N$11,0))+INDEX(variable_om_charge,MATCH(AC59,PORTS!$H$318:$H$625,0),MATCH(AG$5,PORTS!$H$318:$N$318,0)))</f>
        <v>-460216.29289201827</v>
      </c>
      <c r="AJ59" s="232">
        <f t="shared" si="18"/>
        <v>-8314171.063780861</v>
      </c>
      <c r="AK59" s="241">
        <f t="shared" si="19"/>
        <v>49875.05137241073</v>
      </c>
      <c r="AM59" s="186">
        <f t="shared" si="30"/>
        <v>37956</v>
      </c>
      <c r="AN59" s="215">
        <f t="shared" si="20"/>
        <v>0</v>
      </c>
      <c r="AO59" s="191">
        <f t="shared" si="21"/>
        <v>0</v>
      </c>
      <c r="AP59" s="218">
        <f>+IF(AND(AO$8&lt;=AM59,AO$9&gt;=AM59),+MIN($B59-SUMIF($H$17:AO$17,AP$17,$H59:AO59),((INDEX(ROUTE_PER_DAY_BY_SHIP,MATCH(CONCATENATE(AO$4,AO$5,AO$7),ROUTE_PER_DAY_ROUTES,0),MATCH(AO$6,ROUTE_PER_DAY_SHIPS,0))*(AM60-AM59))-(INDEX(ROUTE_PER_DAY_BY_SHIP,MATCH(CONCATENATE(AO$4,AO$5,AO$7),ROUTE_PER_DAY_ROUTES,0),MATCH(AO$6,ROUTE_PER_DAY_SHIPS,0))*(AM60-AM59))*HLOOKUP(AO$6,SHIPS,7,0)*INDEX(LADEN_VOYAGE_DAYS,MATCH(CONCATENATE(AO$4,AO$5,AO$7),LADEN_VOYAGE_ROUTES,0),MATCH(AO$6,LADEN_VOYAGE_SHIPS,0)))),0)</f>
        <v>0</v>
      </c>
      <c r="AQ59" s="118">
        <f>-(AP59)*PORTS!$I$6</f>
        <v>0</v>
      </c>
      <c r="AR59" s="215">
        <f t="shared" si="4"/>
        <v>0</v>
      </c>
      <c r="AS59" s="202"/>
      <c r="AT59" s="186">
        <f t="shared" si="31"/>
        <v>37956</v>
      </c>
      <c r="AU59" s="232">
        <f>+AR59*(VLOOKUP(AT59,CURVECALC!$C$6:$J$312,4,0)+AV$5)</f>
        <v>0</v>
      </c>
      <c r="AV59" s="208">
        <f>-AN59*INDEX(ship_curves,MATCH(AT59,'SHIP CURVES'!$A$9:$A$316,0),MATCH(CONCATENATE(AX$4,AX$5,AX$6,AX$7),'SHIP CURVES'!$A$9:$AZ$9,0))</f>
        <v>0</v>
      </c>
      <c r="AW59" s="209">
        <f>-AP59*INDEX(port_processing_fee,MATCH(AT59,PORTS!$H$626:$H$933,0),MATCH(AX$5,PORTS!$H$626:$Z$626,0))</f>
        <v>0</v>
      </c>
      <c r="AX59" s="405">
        <f>(((VLOOKUP(AT59,curvecalc,4,0))*IF(AN59=0,0,AR59/AN59)-INDEX(ship_curves,MATCH(AT59,'SHIP CURVES'!$A$9:$A$316,0),MATCH(CONCATENATE(AX$4,AX$5,AX$6,AX$7),'SHIP CURVES'!$A$9:$Z$9,0))-INDEX(terminal_curves,MATCH(AT59,'TERMINAL CURVES'!$A$4:$A$313,0),MATCH(AX$5,'TERMINAL CURVES'!$A$4:$N$4,0))*IF(AN59=0,0,AP59/AN59))-(AV$8)*((AV$7-$N$5)-(INDEX(ship_curves,MATCH(AT59,'SHIP CURVES'!$A$9:$A$316,0),MATCH(CONCATENATE(AX$4,AX$5,AX$6,AX$7),'SHIP CURVES'!$A$9:$Z$9,0))-INDEX(ship_curves,MATCH(AT59,'SHIP CURVES'!$A$9:$A$316,0),MATCH(CONCATENATE(AX$4,AV$6,AX$6,AX$7),'SHIP CURVES'!$A$9:$Z$9,0)))-(INDEX(terminal_curves,MATCH(AT59,'TERMINAL CURVES'!$A$4:$A$313,0),MATCH(AX$5,'TERMINAL CURVES'!$A$4:$N$4,0))-INDEX(terminal_curves,MATCH(AT59,'TERMINAL CURVES'!$A$4:$A$313,0),MATCH(AV$6,'TERMINAL CURVES'!$A$4:$N$4,0)))*IF(AN59=0,0,AP59/AN59)))*-AN59</f>
        <v>0</v>
      </c>
      <c r="AY59" s="343">
        <f t="shared" si="22"/>
        <v>0</v>
      </c>
      <c r="AZ59" s="338">
        <f>(-AP59/((HLOOKUP(AX$5,port_specs,2,0)/(365.25))*(AT60-AT59)))*(INDEX(fixed_capacity_charge,MATCH(AT59,PORTS!$H$11:$H$317,0),MATCH(AX$5,PORTS!$H$11:$N$11,0))+INDEX(variable_om_charge,MATCH(AT59,PORTS!$H$318:$H$625,0),MATCH(AX$5,PORTS!$H$318:$N$318,0)))</f>
        <v>0</v>
      </c>
      <c r="BA59" s="232">
        <f t="shared" si="23"/>
        <v>0</v>
      </c>
      <c r="BB59" s="241">
        <f t="shared" si="24"/>
        <v>0</v>
      </c>
      <c r="BC59" s="408"/>
      <c r="BD59" s="338">
        <f>+PORTS!I53+PORTS!I361</f>
        <v>960686.71904793847</v>
      </c>
    </row>
    <row r="60" spans="1:56" x14ac:dyDescent="0.2">
      <c r="A60" s="186">
        <f t="shared" si="25"/>
        <v>37987</v>
      </c>
      <c r="B60" s="215">
        <f>+IF(AND($A60&gt;=$C$8,$A60&lt;=$C$9),1,0)*PORTS!$I$5/(365.25)*(A61-A60)</f>
        <v>5339105.9818476336</v>
      </c>
      <c r="C60" s="351">
        <f t="shared" si="5"/>
        <v>0</v>
      </c>
      <c r="D60">
        <f t="shared" si="6"/>
        <v>2004</v>
      </c>
      <c r="E60" s="186">
        <f t="shared" si="26"/>
        <v>37987</v>
      </c>
      <c r="F60" s="215">
        <f t="shared" si="7"/>
        <v>0</v>
      </c>
      <c r="G60" s="191">
        <f t="shared" si="8"/>
        <v>0</v>
      </c>
      <c r="H60" s="218">
        <f t="shared" si="9"/>
        <v>0</v>
      </c>
      <c r="I60" s="118">
        <f t="shared" si="10"/>
        <v>0</v>
      </c>
      <c r="J60" s="215">
        <f t="shared" si="2"/>
        <v>0</v>
      </c>
      <c r="K60" s="202"/>
      <c r="L60" s="186">
        <f t="shared" si="27"/>
        <v>37987</v>
      </c>
      <c r="M60" s="400">
        <f>+J60*(VLOOKUP(L60,CURVECALC!$C$6:$J$312,4,0)+N$5)</f>
        <v>0</v>
      </c>
      <c r="N60" s="208">
        <f>-F60*INDEX(ship_curves,MATCH(L60,'SHIP CURVES'!$A$9:$A$316,0),MATCH(CONCATENATE(P$4,P$5,P$6,P$7),'SHIP CURVES'!$A$9:$AZ$9,0))</f>
        <v>0</v>
      </c>
      <c r="O60" s="209">
        <f>-H60*INDEX(port_processing_fee,MATCH(L60,PORTS!$H$626:$H$933,0),MATCH(P$5,PORTS!$H$626:$Z$626,0))</f>
        <v>0</v>
      </c>
      <c r="P60" s="405">
        <f>(((VLOOKUP(L60,curvecalc,4,0))*IF(F60=0,0,J60/F60)-INDEX(ship_curves,MATCH(L60,'SHIP CURVES'!$A$9:$A$316,0),MATCH(CONCATENATE(P$4,P$5,P$6,P$7),'SHIP CURVES'!$A$9:$Z$9,0))-INDEX(terminal_curves,MATCH(L60,'TERMINAL CURVES'!$A$4:$A$313,0),MATCH(P$5,'TERMINAL CURVES'!$A$4:$N$4,0))*IF(F60=0,0,H60/F60))-(N$8)*((N$7-$N$5)-(INDEX(ship_curves,MATCH(L60,'SHIP CURVES'!$A$9:$A$316,0),MATCH(CONCATENATE(P$4,P$5,P$6,P$7),'SHIP CURVES'!$A$9:$Z$9,0))-INDEX(ship_curves,MATCH(L60,'SHIP CURVES'!$A$9:$A$316,0),MATCH(CONCATENATE(P$4,N$6,P$6,P$7),'SHIP CURVES'!$A$9:$Z$9,0)))-(INDEX(terminal_curves,MATCH(L60,'TERMINAL CURVES'!$A$4:$A$313,0),MATCH(P$5,'TERMINAL CURVES'!$A$4:$N$4,0))-INDEX(terminal_curves,MATCH(L60,'TERMINAL CURVES'!$A$4:$A$313,0),MATCH(N$6,'TERMINAL CURVES'!$A$4:$N$4,0)))*IF(F60=0,0,H60/F60)))*-F60</f>
        <v>0</v>
      </c>
      <c r="Q60" s="403">
        <f t="shared" si="11"/>
        <v>0</v>
      </c>
      <c r="R60" s="338">
        <f>(-H60/((HLOOKUP(P$5,port_specs,2,0)/(365.25))*(L61-L60)))*(INDEX(fixed_capacity_charge,MATCH(L60,PORTS!$H$11:$H$317,0),MATCH(P$5,PORTS!$H$11:$N$11,0))+INDEX(variable_om_charge,MATCH(L60,PORTS!$H$318:$H$625,0),MATCH(P$5,PORTS!$H$318:$N$318,0)))</f>
        <v>0</v>
      </c>
      <c r="S60" s="232">
        <f t="shared" si="12"/>
        <v>0</v>
      </c>
      <c r="T60" s="241">
        <f t="shared" si="13"/>
        <v>0</v>
      </c>
      <c r="U60" s="431"/>
      <c r="V60" s="186">
        <f t="shared" si="28"/>
        <v>37987</v>
      </c>
      <c r="W60" s="215">
        <f t="shared" si="14"/>
        <v>0</v>
      </c>
      <c r="X60" s="191">
        <f t="shared" si="15"/>
        <v>0</v>
      </c>
      <c r="Y60" s="218">
        <f>+IF(AND(X$8&lt;=V60,X$9&gt;=V60),+MIN($B60-SUMIF($H$17:X$17,Y$17,$H60:X60),((INDEX(ROUTE_PER_DAY_BY_SHIP,MATCH(CONCATENATE(X$4,X$5,X$7),ROUTE_PER_DAY_ROUTES,0),MATCH(X$6,ROUTE_PER_DAY_SHIPS,0))*(V61-V60))-(INDEX(ROUTE_PER_DAY_BY_SHIP,MATCH(CONCATENATE(X$4,X$5,X$7),ROUTE_PER_DAY_ROUTES,0),MATCH(X$6,ROUTE_PER_DAY_SHIPS,0))*(V61-V60))*HLOOKUP(X$6,SHIPS,7,0)*INDEX(LADEN_VOYAGE_DAYS,MATCH(CONCATENATE(X$4,X$5,X$7),LADEN_VOYAGE_ROUTES,0),MATCH(X$6,LADEN_VOYAGE_SHIPS,0)))),0)</f>
        <v>0</v>
      </c>
      <c r="Z60" s="118">
        <f t="shared" si="16"/>
        <v>0</v>
      </c>
      <c r="AA60" s="215">
        <f t="shared" si="3"/>
        <v>0</v>
      </c>
      <c r="AB60" s="202"/>
      <c r="AC60" s="186">
        <f t="shared" si="29"/>
        <v>37987</v>
      </c>
      <c r="AD60" s="232">
        <f>+AA60*(VLOOKUP(AC60,CURVECALC!$C$6:$J$312,4,0)+AE$5)</f>
        <v>0</v>
      </c>
      <c r="AE60" s="208">
        <f>-W60*INDEX(ship_curves,MATCH(AC60,'SHIP CURVES'!$A$9:$A$316,0),MATCH(CONCATENATE(AG$4,AG$5,AG$6,AG$7),'SHIP CURVES'!$A$9:$AZ$9,0))</f>
        <v>0</v>
      </c>
      <c r="AF60" s="209">
        <f>-Y60*INDEX(port_processing_fee,MATCH(AC60,PORTS!$H$626:$H$933,0),MATCH(AG$5,PORTS!$H$626:$Z$626,0))</f>
        <v>0</v>
      </c>
      <c r="AG60" s="405">
        <f>(((VLOOKUP(AC60,curvecalc,4,0))*IF(W60=0,0,AA60/W60)-INDEX(ship_curves,MATCH(AC60,'SHIP CURVES'!$A$9:$A$316,0),MATCH(CONCATENATE(AG$4,AG$5,AG$6,AG$7),'SHIP CURVES'!$A$9:$Z$9,0))-INDEX(terminal_curves,MATCH(AC60,'TERMINAL CURVES'!$A$4:$A$313,0),MATCH(AG$5,'TERMINAL CURVES'!$A$4:$N$4,0))*IF(W60=0,0,Y60/W60))-(AE$8)*((AE$7-$N$5)-(INDEX(ship_curves,MATCH(AC60,'SHIP CURVES'!$A$9:$A$316,0),MATCH(CONCATENATE(AG$4,AG$5,AG$6,AG$7),'SHIP CURVES'!$A$9:$Z$9,0))-INDEX(ship_curves,MATCH(AC60,'SHIP CURVES'!$A$9:$A$316,0),MATCH(CONCATENATE(AG$4,AE$6,AG$6,AG$7),'SHIP CURVES'!$A$9:$Z$9,0)))-(INDEX(terminal_curves,MATCH(AC60,'TERMINAL CURVES'!$A$4:$A$313,0),MATCH(AG$5,'TERMINAL CURVES'!$A$4:$N$4,0))-INDEX(terminal_curves,MATCH(AC60,'TERMINAL CURVES'!$A$4:$A$313,0),MATCH(AE$6,'TERMINAL CURVES'!$A$4:$N$4,0)))*IF(W60=0,0,Y60/W60)))*-W60</f>
        <v>0</v>
      </c>
      <c r="AH60" s="343">
        <f t="shared" si="17"/>
        <v>0</v>
      </c>
      <c r="AI60" s="338">
        <f>(-Y60/((HLOOKUP(AG$5,port_specs,2,0)/(365.25))*(AC61-AC60)))*(INDEX(fixed_capacity_charge,MATCH(AC60,PORTS!$H$11:$H$317,0),MATCH(AG$5,PORTS!$H$11:$N$11,0))+INDEX(variable_om_charge,MATCH(AC60,PORTS!$H$318:$H$625,0),MATCH(AG$5,PORTS!$H$318:$N$318,0)))</f>
        <v>0</v>
      </c>
      <c r="AJ60" s="232">
        <f t="shared" si="18"/>
        <v>0</v>
      </c>
      <c r="AK60" s="241">
        <f t="shared" si="19"/>
        <v>0</v>
      </c>
      <c r="AM60" s="186">
        <f t="shared" si="30"/>
        <v>37987</v>
      </c>
      <c r="AN60" s="215">
        <f t="shared" si="20"/>
        <v>5395761.4773599124</v>
      </c>
      <c r="AO60" s="191">
        <f t="shared" si="21"/>
        <v>-56655.495512278751</v>
      </c>
      <c r="AP60" s="218">
        <f>+IF(AND(AO$8&lt;=AM60,AO$9&gt;=AM60),+MIN($B60-SUMIF($H$17:AO$17,AP$17,$H60:AO60),((INDEX(ROUTE_PER_DAY_BY_SHIP,MATCH(CONCATENATE(AO$4,AO$5,AO$7),ROUTE_PER_DAY_ROUTES,0),MATCH(AO$6,ROUTE_PER_DAY_SHIPS,0))*(AM61-AM60))-(INDEX(ROUTE_PER_DAY_BY_SHIP,MATCH(CONCATENATE(AO$4,AO$5,AO$7),ROUTE_PER_DAY_ROUTES,0),MATCH(AO$6,ROUTE_PER_DAY_SHIPS,0))*(AM61-AM60))*HLOOKUP(AO$6,SHIPS,7,0)*INDEX(LADEN_VOYAGE_DAYS,MATCH(CONCATENATE(AO$4,AO$5,AO$7),LADEN_VOYAGE_ROUTES,0),MATCH(AO$6,LADEN_VOYAGE_SHIPS,0)))),0)</f>
        <v>5339105.9818476336</v>
      </c>
      <c r="AQ60" s="118">
        <f>-(AP60)*PORTS!$I$6</f>
        <v>-133477.64954619083</v>
      </c>
      <c r="AR60" s="215">
        <f t="shared" si="4"/>
        <v>5205628.3323014425</v>
      </c>
      <c r="AS60" s="202"/>
      <c r="AT60" s="186">
        <f t="shared" si="31"/>
        <v>37987</v>
      </c>
      <c r="AU60" s="232">
        <f>+AR60*(VLOOKUP(AT60,CURVECALC!$C$6:$J$312,4,0)+AV$5)</f>
        <v>17865716.43645855</v>
      </c>
      <c r="AV60" s="208">
        <f>-AN60*INDEX(ship_curves,MATCH(AT60,'SHIP CURVES'!$A$9:$A$316,0),MATCH(CONCATENATE(AX$4,AX$5,AX$6,AX$7),'SHIP CURVES'!$A$9:$AZ$9,0))</f>
        <v>-1756702.7486308231</v>
      </c>
      <c r="AW60" s="209">
        <f>-AP60*INDEX(port_processing_fee,MATCH(AT60,PORTS!$H$626:$H$933,0),MATCH(AX$5,PORTS!$H$626:$Z$626,0))</f>
        <v>-147751.55295630649</v>
      </c>
      <c r="AX60" s="405">
        <f>(((VLOOKUP(AT60,curvecalc,4,0))*IF(AN60=0,0,AR60/AN60)-INDEX(ship_curves,MATCH(AT60,'SHIP CURVES'!$A$9:$A$316,0),MATCH(CONCATENATE(AX$4,AX$5,AX$6,AX$7),'SHIP CURVES'!$A$9:$Z$9,0))-INDEX(terminal_curves,MATCH(AT60,'TERMINAL CURVES'!$A$4:$A$313,0),MATCH(AX$5,'TERMINAL CURVES'!$A$4:$N$4,0))*IF(AN60=0,0,AP60/AN60))-(AV$8)*((AV$7-$N$5)-(INDEX(ship_curves,MATCH(AT60,'SHIP CURVES'!$A$9:$A$316,0),MATCH(CONCATENATE(AX$4,AX$5,AX$6,AX$7),'SHIP CURVES'!$A$9:$Z$9,0))-INDEX(ship_curves,MATCH(AT60,'SHIP CURVES'!$A$9:$A$316,0),MATCH(CONCATENATE(AX$4,AV$6,AX$6,AX$7),'SHIP CURVES'!$A$9:$Z$9,0)))-(INDEX(terminal_curves,MATCH(AT60,'TERMINAL CURVES'!$A$4:$A$313,0),MATCH(AX$5,'TERMINAL CURVES'!$A$4:$N$4,0))-INDEX(terminal_curves,MATCH(AT60,'TERMINAL CURVES'!$A$4:$A$313,0),MATCH(AV$6,'TERMINAL CURVES'!$A$4:$N$4,0)))*IF(AN60=0,0,AP60/AN60)))*-AN60</f>
        <v>-14895967.536523141</v>
      </c>
      <c r="AY60" s="343">
        <f t="shared" si="22"/>
        <v>-16800421.838110272</v>
      </c>
      <c r="AZ60" s="338">
        <f>(-AP60/((HLOOKUP(AX$5,port_specs,2,0)/(365.25))*(AT61-AT60)))*(INDEX(fixed_capacity_charge,MATCH(AT60,PORTS!$H$11:$H$317,0),MATCH(AX$5,PORTS!$H$11:$N$11,0))+INDEX(variable_om_charge,MATCH(AT60,PORTS!$H$318:$H$625,0),MATCH(AX$5,PORTS!$H$318:$N$318,0)))</f>
        <v>-961182.03170225048</v>
      </c>
      <c r="BA60" s="232">
        <f t="shared" si="23"/>
        <v>-17761603.869812522</v>
      </c>
      <c r="BB60" s="241">
        <f t="shared" si="24"/>
        <v>104112.56664602831</v>
      </c>
      <c r="BC60" s="408"/>
      <c r="BD60" s="338">
        <f>+PORTS!I54+PORTS!I362</f>
        <v>961182.03170225048</v>
      </c>
    </row>
    <row r="61" spans="1:56" x14ac:dyDescent="0.2">
      <c r="A61" s="186">
        <f t="shared" si="25"/>
        <v>38018</v>
      </c>
      <c r="B61" s="215">
        <f>+IF(AND($A61&gt;=$C$8,$A61&lt;=$C$9),1,0)*PORTS!$I$5/(365.25)*(A62-A61)</f>
        <v>4994647.5314058512</v>
      </c>
      <c r="C61" s="351">
        <f t="shared" si="5"/>
        <v>0</v>
      </c>
      <c r="D61">
        <f t="shared" si="6"/>
        <v>2004</v>
      </c>
      <c r="E61" s="186">
        <f t="shared" si="26"/>
        <v>38018</v>
      </c>
      <c r="F61" s="215">
        <f t="shared" si="7"/>
        <v>0</v>
      </c>
      <c r="G61" s="191">
        <f t="shared" si="8"/>
        <v>0</v>
      </c>
      <c r="H61" s="218">
        <f t="shared" si="9"/>
        <v>0</v>
      </c>
      <c r="I61" s="118">
        <f t="shared" si="10"/>
        <v>0</v>
      </c>
      <c r="J61" s="215">
        <f t="shared" si="2"/>
        <v>0</v>
      </c>
      <c r="K61" s="202"/>
      <c r="L61" s="186">
        <f t="shared" si="27"/>
        <v>38018</v>
      </c>
      <c r="M61" s="400">
        <f>+J61*(VLOOKUP(L61,CURVECALC!$C$6:$J$312,4,0)+N$5)</f>
        <v>0</v>
      </c>
      <c r="N61" s="208">
        <f>-F61*INDEX(ship_curves,MATCH(L61,'SHIP CURVES'!$A$9:$A$316,0),MATCH(CONCATENATE(P$4,P$5,P$6,P$7),'SHIP CURVES'!$A$9:$AZ$9,0))</f>
        <v>0</v>
      </c>
      <c r="O61" s="209">
        <f>-H61*INDEX(port_processing_fee,MATCH(L61,PORTS!$H$626:$H$933,0),MATCH(P$5,PORTS!$H$626:$Z$626,0))</f>
        <v>0</v>
      </c>
      <c r="P61" s="405">
        <f>(((VLOOKUP(L61,curvecalc,4,0))*IF(F61=0,0,J61/F61)-INDEX(ship_curves,MATCH(L61,'SHIP CURVES'!$A$9:$A$316,0),MATCH(CONCATENATE(P$4,P$5,P$6,P$7),'SHIP CURVES'!$A$9:$Z$9,0))-INDEX(terminal_curves,MATCH(L61,'TERMINAL CURVES'!$A$4:$A$313,0),MATCH(P$5,'TERMINAL CURVES'!$A$4:$N$4,0))*IF(F61=0,0,H61/F61))-(N$8)*((N$7-$N$5)-(INDEX(ship_curves,MATCH(L61,'SHIP CURVES'!$A$9:$A$316,0),MATCH(CONCATENATE(P$4,P$5,P$6,P$7),'SHIP CURVES'!$A$9:$Z$9,0))-INDEX(ship_curves,MATCH(L61,'SHIP CURVES'!$A$9:$A$316,0),MATCH(CONCATENATE(P$4,N$6,P$6,P$7),'SHIP CURVES'!$A$9:$Z$9,0)))-(INDEX(terminal_curves,MATCH(L61,'TERMINAL CURVES'!$A$4:$A$313,0),MATCH(P$5,'TERMINAL CURVES'!$A$4:$N$4,0))-INDEX(terminal_curves,MATCH(L61,'TERMINAL CURVES'!$A$4:$A$313,0),MATCH(N$6,'TERMINAL CURVES'!$A$4:$N$4,0)))*IF(F61=0,0,H61/F61)))*-F61</f>
        <v>0</v>
      </c>
      <c r="Q61" s="403">
        <f t="shared" si="11"/>
        <v>0</v>
      </c>
      <c r="R61" s="338">
        <f>(-H61/((HLOOKUP(P$5,port_specs,2,0)/(365.25))*(L62-L61)))*(INDEX(fixed_capacity_charge,MATCH(L61,PORTS!$H$11:$H$317,0),MATCH(P$5,PORTS!$H$11:$N$11,0))+INDEX(variable_om_charge,MATCH(L61,PORTS!$H$318:$H$625,0),MATCH(P$5,PORTS!$H$318:$N$318,0)))</f>
        <v>0</v>
      </c>
      <c r="S61" s="232">
        <f t="shared" si="12"/>
        <v>0</v>
      </c>
      <c r="T61" s="241">
        <f t="shared" si="13"/>
        <v>0</v>
      </c>
      <c r="U61" s="431"/>
      <c r="V61" s="186">
        <f t="shared" si="28"/>
        <v>38018</v>
      </c>
      <c r="W61" s="215">
        <f t="shared" si="14"/>
        <v>0</v>
      </c>
      <c r="X61" s="191">
        <f t="shared" si="15"/>
        <v>0</v>
      </c>
      <c r="Y61" s="218">
        <f>+IF(AND(X$8&lt;=V61,X$9&gt;=V61),+MIN($B61-SUMIF($H$17:X$17,Y$17,$H61:X61),((INDEX(ROUTE_PER_DAY_BY_SHIP,MATCH(CONCATENATE(X$4,X$5,X$7),ROUTE_PER_DAY_ROUTES,0),MATCH(X$6,ROUTE_PER_DAY_SHIPS,0))*(V62-V61))-(INDEX(ROUTE_PER_DAY_BY_SHIP,MATCH(CONCATENATE(X$4,X$5,X$7),ROUTE_PER_DAY_ROUTES,0),MATCH(X$6,ROUTE_PER_DAY_SHIPS,0))*(V62-V61))*HLOOKUP(X$6,SHIPS,7,0)*INDEX(LADEN_VOYAGE_DAYS,MATCH(CONCATENATE(X$4,X$5,X$7),LADEN_VOYAGE_ROUTES,0),MATCH(X$6,LADEN_VOYAGE_SHIPS,0)))),0)</f>
        <v>0</v>
      </c>
      <c r="Z61" s="118">
        <f t="shared" si="16"/>
        <v>0</v>
      </c>
      <c r="AA61" s="215">
        <f t="shared" si="3"/>
        <v>0</v>
      </c>
      <c r="AB61" s="202"/>
      <c r="AC61" s="186">
        <f t="shared" si="29"/>
        <v>38018</v>
      </c>
      <c r="AD61" s="232">
        <f>+AA61*(VLOOKUP(AC61,CURVECALC!$C$6:$J$312,4,0)+AE$5)</f>
        <v>0</v>
      </c>
      <c r="AE61" s="208">
        <f>-W61*INDEX(ship_curves,MATCH(AC61,'SHIP CURVES'!$A$9:$A$316,0),MATCH(CONCATENATE(AG$4,AG$5,AG$6,AG$7),'SHIP CURVES'!$A$9:$AZ$9,0))</f>
        <v>0</v>
      </c>
      <c r="AF61" s="209">
        <f>-Y61*INDEX(port_processing_fee,MATCH(AC61,PORTS!$H$626:$H$933,0),MATCH(AG$5,PORTS!$H$626:$Z$626,0))</f>
        <v>0</v>
      </c>
      <c r="AG61" s="405">
        <f>(((VLOOKUP(AC61,curvecalc,4,0))*IF(W61=0,0,AA61/W61)-INDEX(ship_curves,MATCH(AC61,'SHIP CURVES'!$A$9:$A$316,0),MATCH(CONCATENATE(AG$4,AG$5,AG$6,AG$7),'SHIP CURVES'!$A$9:$Z$9,0))-INDEX(terminal_curves,MATCH(AC61,'TERMINAL CURVES'!$A$4:$A$313,0),MATCH(AG$5,'TERMINAL CURVES'!$A$4:$N$4,0))*IF(W61=0,0,Y61/W61))-(AE$8)*((AE$7-$N$5)-(INDEX(ship_curves,MATCH(AC61,'SHIP CURVES'!$A$9:$A$316,0),MATCH(CONCATENATE(AG$4,AG$5,AG$6,AG$7),'SHIP CURVES'!$A$9:$Z$9,0))-INDEX(ship_curves,MATCH(AC61,'SHIP CURVES'!$A$9:$A$316,0),MATCH(CONCATENATE(AG$4,AE$6,AG$6,AG$7),'SHIP CURVES'!$A$9:$Z$9,0)))-(INDEX(terminal_curves,MATCH(AC61,'TERMINAL CURVES'!$A$4:$A$313,0),MATCH(AG$5,'TERMINAL CURVES'!$A$4:$N$4,0))-INDEX(terminal_curves,MATCH(AC61,'TERMINAL CURVES'!$A$4:$A$313,0),MATCH(AE$6,'TERMINAL CURVES'!$A$4:$N$4,0)))*IF(W61=0,0,Y61/W61)))*-W61</f>
        <v>0</v>
      </c>
      <c r="AH61" s="343">
        <f t="shared" si="17"/>
        <v>0</v>
      </c>
      <c r="AI61" s="338">
        <f>(-Y61/((HLOOKUP(AG$5,port_specs,2,0)/(365.25))*(AC62-AC61)))*(INDEX(fixed_capacity_charge,MATCH(AC61,PORTS!$H$11:$H$317,0),MATCH(AG$5,PORTS!$H$11:$N$11,0))+INDEX(variable_om_charge,MATCH(AC61,PORTS!$H$318:$H$625,0),MATCH(AG$5,PORTS!$H$318:$N$318,0)))</f>
        <v>0</v>
      </c>
      <c r="AJ61" s="232">
        <f t="shared" si="18"/>
        <v>0</v>
      </c>
      <c r="AK61" s="241">
        <f t="shared" si="19"/>
        <v>0</v>
      </c>
      <c r="AM61" s="186">
        <f t="shared" si="30"/>
        <v>38018</v>
      </c>
      <c r="AN61" s="215">
        <f t="shared" si="20"/>
        <v>5047647.8336592736</v>
      </c>
      <c r="AO61" s="191">
        <f t="shared" si="21"/>
        <v>-53000.302253422327</v>
      </c>
      <c r="AP61" s="218">
        <f>+IF(AND(AO$8&lt;=AM61,AO$9&gt;=AM61),+MIN($B61-SUMIF($H$17:AO$17,AP$17,$H61:AO61),((INDEX(ROUTE_PER_DAY_BY_SHIP,MATCH(CONCATENATE(AO$4,AO$5,AO$7),ROUTE_PER_DAY_ROUTES,0),MATCH(AO$6,ROUTE_PER_DAY_SHIPS,0))*(AM62-AM61))-(INDEX(ROUTE_PER_DAY_BY_SHIP,MATCH(CONCATENATE(AO$4,AO$5,AO$7),ROUTE_PER_DAY_ROUTES,0),MATCH(AO$6,ROUTE_PER_DAY_SHIPS,0))*(AM62-AM61))*HLOOKUP(AO$6,SHIPS,7,0)*INDEX(LADEN_VOYAGE_DAYS,MATCH(CONCATENATE(AO$4,AO$5,AO$7),LADEN_VOYAGE_ROUTES,0),MATCH(AO$6,LADEN_VOYAGE_SHIPS,0)))),0)</f>
        <v>4994647.5314058512</v>
      </c>
      <c r="AQ61" s="118">
        <f>-(AP61)*PORTS!$I$6</f>
        <v>-124866.18828514629</v>
      </c>
      <c r="AR61" s="215">
        <f t="shared" si="4"/>
        <v>4869781.3431207053</v>
      </c>
      <c r="AS61" s="202"/>
      <c r="AT61" s="186">
        <f t="shared" si="31"/>
        <v>38018</v>
      </c>
      <c r="AU61" s="232">
        <f>+AR61*(VLOOKUP(AT61,CURVECALC!$C$6:$J$312,4,0)+AV$5)</f>
        <v>16099497.120357051</v>
      </c>
      <c r="AV61" s="208">
        <f>-AN61*INDEX(ship_curves,MATCH(AT61,'SHIP CURVES'!$A$9:$A$316,0),MATCH(CONCATENATE(AX$4,AX$5,AX$6,AX$7),'SHIP CURVES'!$A$9:$AZ$9,0))</f>
        <v>-1643801.2591779493</v>
      </c>
      <c r="AW61" s="209">
        <f>-AP61*INDEX(port_processing_fee,MATCH(AT61,PORTS!$H$626:$H$933,0),MATCH(AX$5,PORTS!$H$626:$Z$626,0))</f>
        <v>-138363.1730288745</v>
      </c>
      <c r="AX61" s="405">
        <f>(((VLOOKUP(AT61,curvecalc,4,0))*IF(AN61=0,0,AR61/AN61)-INDEX(ship_curves,MATCH(AT61,'SHIP CURVES'!$A$9:$A$316,0),MATCH(CONCATENATE(AX$4,AX$5,AX$6,AX$7),'SHIP CURVES'!$A$9:$Z$9,0))-INDEX(terminal_curves,MATCH(AT61,'TERMINAL CURVES'!$A$4:$A$313,0),MATCH(AX$5,'TERMINAL CURVES'!$A$4:$N$4,0))*IF(AN61=0,0,AP61/AN61))-(AV$8)*((AV$7-$N$5)-(INDEX(ship_curves,MATCH(AT61,'SHIP CURVES'!$A$9:$A$316,0),MATCH(CONCATENATE(AX$4,AX$5,AX$6,AX$7),'SHIP CURVES'!$A$9:$Z$9,0))-INDEX(ship_curves,MATCH(AT61,'SHIP CURVES'!$A$9:$A$316,0),MATCH(CONCATENATE(AX$4,AV$6,AX$6,AX$7),'SHIP CURVES'!$A$9:$Z$9,0)))-(INDEX(terminal_curves,MATCH(AT61,'TERMINAL CURVES'!$A$4:$A$313,0),MATCH(AX$5,'TERMINAL CURVES'!$A$4:$N$4,0))-INDEX(terminal_curves,MATCH(AT61,'TERMINAL CURVES'!$A$4:$A$313,0),MATCH(AV$6,'TERMINAL CURVES'!$A$4:$N$4,0)))*IF(AN61=0,0,AP61/AN61)))*-AN61</f>
        <v>-13258259.200980568</v>
      </c>
      <c r="AY61" s="343">
        <f t="shared" si="22"/>
        <v>-15040423.633187393</v>
      </c>
      <c r="AZ61" s="338">
        <f>(-AP61/((HLOOKUP(AX$5,port_specs,2,0)/(365.25))*(AT62-AT61)))*(INDEX(fixed_capacity_charge,MATCH(AT61,PORTS!$H$11:$H$317,0),MATCH(AX$5,PORTS!$H$11:$N$11,0))+INDEX(variable_om_charge,MATCH(AT61,PORTS!$H$318:$H$625,0),MATCH(AX$5,PORTS!$H$318:$N$318,0)))</f>
        <v>-961677.86030724412</v>
      </c>
      <c r="BA61" s="232">
        <f t="shared" si="23"/>
        <v>-16002101.493494637</v>
      </c>
      <c r="BB61" s="241">
        <f t="shared" si="24"/>
        <v>97395.626862414181</v>
      </c>
      <c r="BC61" s="408"/>
      <c r="BD61" s="338">
        <f>+PORTS!I55+PORTS!I363</f>
        <v>961677.86030724412</v>
      </c>
    </row>
    <row r="62" spans="1:56" x14ac:dyDescent="0.2">
      <c r="A62" s="186">
        <f t="shared" si="25"/>
        <v>38047</v>
      </c>
      <c r="B62" s="215">
        <f>+IF(AND($A62&gt;=$C$8,$A62&lt;=$C$9),1,0)*PORTS!$I$5/(365.25)*(A63-A62)</f>
        <v>5339105.9818476336</v>
      </c>
      <c r="C62" s="351">
        <f t="shared" si="5"/>
        <v>0</v>
      </c>
      <c r="D62">
        <f t="shared" si="6"/>
        <v>2004</v>
      </c>
      <c r="E62" s="186">
        <f t="shared" si="26"/>
        <v>38047</v>
      </c>
      <c r="F62" s="215">
        <f t="shared" si="7"/>
        <v>0</v>
      </c>
      <c r="G62" s="191">
        <f t="shared" si="8"/>
        <v>0</v>
      </c>
      <c r="H62" s="218">
        <f t="shared" si="9"/>
        <v>0</v>
      </c>
      <c r="I62" s="118">
        <f t="shared" si="10"/>
        <v>0</v>
      </c>
      <c r="J62" s="215">
        <f t="shared" si="2"/>
        <v>0</v>
      </c>
      <c r="K62" s="202"/>
      <c r="L62" s="186">
        <f t="shared" si="27"/>
        <v>38047</v>
      </c>
      <c r="M62" s="400">
        <f>+J62*(VLOOKUP(L62,CURVECALC!$C$6:$J$312,4,0)+N$5)</f>
        <v>0</v>
      </c>
      <c r="N62" s="208">
        <f>-F62*INDEX(ship_curves,MATCH(L62,'SHIP CURVES'!$A$9:$A$316,0),MATCH(CONCATENATE(P$4,P$5,P$6,P$7),'SHIP CURVES'!$A$9:$AZ$9,0))</f>
        <v>0</v>
      </c>
      <c r="O62" s="209">
        <f>-H62*INDEX(port_processing_fee,MATCH(L62,PORTS!$H$626:$H$933,0),MATCH(P$5,PORTS!$H$626:$Z$626,0))</f>
        <v>0</v>
      </c>
      <c r="P62" s="405">
        <f>(((VLOOKUP(L62,curvecalc,4,0))*IF(F62=0,0,J62/F62)-INDEX(ship_curves,MATCH(L62,'SHIP CURVES'!$A$9:$A$316,0),MATCH(CONCATENATE(P$4,P$5,P$6,P$7),'SHIP CURVES'!$A$9:$Z$9,0))-INDEX(terminal_curves,MATCH(L62,'TERMINAL CURVES'!$A$4:$A$313,0),MATCH(P$5,'TERMINAL CURVES'!$A$4:$N$4,0))*IF(F62=0,0,H62/F62))-(N$8)*((N$7-$N$5)-(INDEX(ship_curves,MATCH(L62,'SHIP CURVES'!$A$9:$A$316,0),MATCH(CONCATENATE(P$4,P$5,P$6,P$7),'SHIP CURVES'!$A$9:$Z$9,0))-INDEX(ship_curves,MATCH(L62,'SHIP CURVES'!$A$9:$A$316,0),MATCH(CONCATENATE(P$4,N$6,P$6,P$7),'SHIP CURVES'!$A$9:$Z$9,0)))-(INDEX(terminal_curves,MATCH(L62,'TERMINAL CURVES'!$A$4:$A$313,0),MATCH(P$5,'TERMINAL CURVES'!$A$4:$N$4,0))-INDEX(terminal_curves,MATCH(L62,'TERMINAL CURVES'!$A$4:$A$313,0),MATCH(N$6,'TERMINAL CURVES'!$A$4:$N$4,0)))*IF(F62=0,0,H62/F62)))*-F62</f>
        <v>0</v>
      </c>
      <c r="Q62" s="403">
        <f t="shared" si="11"/>
        <v>0</v>
      </c>
      <c r="R62" s="338">
        <f>(-H62/((HLOOKUP(P$5,port_specs,2,0)/(365.25))*(L63-L62)))*(INDEX(fixed_capacity_charge,MATCH(L62,PORTS!$H$11:$H$317,0),MATCH(P$5,PORTS!$H$11:$N$11,0))+INDEX(variable_om_charge,MATCH(L62,PORTS!$H$318:$H$625,0),MATCH(P$5,PORTS!$H$318:$N$318,0)))</f>
        <v>0</v>
      </c>
      <c r="S62" s="232">
        <f t="shared" si="12"/>
        <v>0</v>
      </c>
      <c r="T62" s="241">
        <f t="shared" si="13"/>
        <v>0</v>
      </c>
      <c r="U62" s="431"/>
      <c r="V62" s="186">
        <f t="shared" si="28"/>
        <v>38047</v>
      </c>
      <c r="W62" s="215">
        <f t="shared" si="14"/>
        <v>0</v>
      </c>
      <c r="X62" s="191">
        <f t="shared" si="15"/>
        <v>0</v>
      </c>
      <c r="Y62" s="218">
        <f>+IF(AND(X$8&lt;=V62,X$9&gt;=V62),+MIN($B62-SUMIF($H$17:X$17,Y$17,$H62:X62),((INDEX(ROUTE_PER_DAY_BY_SHIP,MATCH(CONCATENATE(X$4,X$5,X$7),ROUTE_PER_DAY_ROUTES,0),MATCH(X$6,ROUTE_PER_DAY_SHIPS,0))*(V63-V62))-(INDEX(ROUTE_PER_DAY_BY_SHIP,MATCH(CONCATENATE(X$4,X$5,X$7),ROUTE_PER_DAY_ROUTES,0),MATCH(X$6,ROUTE_PER_DAY_SHIPS,0))*(V63-V62))*HLOOKUP(X$6,SHIPS,7,0)*INDEX(LADEN_VOYAGE_DAYS,MATCH(CONCATENATE(X$4,X$5,X$7),LADEN_VOYAGE_ROUTES,0),MATCH(X$6,LADEN_VOYAGE_SHIPS,0)))),0)</f>
        <v>0</v>
      </c>
      <c r="Z62" s="118">
        <f t="shared" si="16"/>
        <v>0</v>
      </c>
      <c r="AA62" s="215">
        <f t="shared" si="3"/>
        <v>0</v>
      </c>
      <c r="AB62" s="202"/>
      <c r="AC62" s="186">
        <f t="shared" si="29"/>
        <v>38047</v>
      </c>
      <c r="AD62" s="232">
        <f>+AA62*(VLOOKUP(AC62,CURVECALC!$C$6:$J$312,4,0)+AE$5)</f>
        <v>0</v>
      </c>
      <c r="AE62" s="208">
        <f>-W62*INDEX(ship_curves,MATCH(AC62,'SHIP CURVES'!$A$9:$A$316,0),MATCH(CONCATENATE(AG$4,AG$5,AG$6,AG$7),'SHIP CURVES'!$A$9:$AZ$9,0))</f>
        <v>0</v>
      </c>
      <c r="AF62" s="209">
        <f>-Y62*INDEX(port_processing_fee,MATCH(AC62,PORTS!$H$626:$H$933,0),MATCH(AG$5,PORTS!$H$626:$Z$626,0))</f>
        <v>0</v>
      </c>
      <c r="AG62" s="405">
        <f>(((VLOOKUP(AC62,curvecalc,4,0))*IF(W62=0,0,AA62/W62)-INDEX(ship_curves,MATCH(AC62,'SHIP CURVES'!$A$9:$A$316,0),MATCH(CONCATENATE(AG$4,AG$5,AG$6,AG$7),'SHIP CURVES'!$A$9:$Z$9,0))-INDEX(terminal_curves,MATCH(AC62,'TERMINAL CURVES'!$A$4:$A$313,0),MATCH(AG$5,'TERMINAL CURVES'!$A$4:$N$4,0))*IF(W62=0,0,Y62/W62))-(AE$8)*((AE$7-$N$5)-(INDEX(ship_curves,MATCH(AC62,'SHIP CURVES'!$A$9:$A$316,0),MATCH(CONCATENATE(AG$4,AG$5,AG$6,AG$7),'SHIP CURVES'!$A$9:$Z$9,0))-INDEX(ship_curves,MATCH(AC62,'SHIP CURVES'!$A$9:$A$316,0),MATCH(CONCATENATE(AG$4,AE$6,AG$6,AG$7),'SHIP CURVES'!$A$9:$Z$9,0)))-(INDEX(terminal_curves,MATCH(AC62,'TERMINAL CURVES'!$A$4:$A$313,0),MATCH(AG$5,'TERMINAL CURVES'!$A$4:$N$4,0))-INDEX(terminal_curves,MATCH(AC62,'TERMINAL CURVES'!$A$4:$A$313,0),MATCH(AE$6,'TERMINAL CURVES'!$A$4:$N$4,0)))*IF(W62=0,0,Y62/W62)))*-W62</f>
        <v>0</v>
      </c>
      <c r="AH62" s="343">
        <f t="shared" si="17"/>
        <v>0</v>
      </c>
      <c r="AI62" s="338">
        <f>(-Y62/((HLOOKUP(AG$5,port_specs,2,0)/(365.25))*(AC63-AC62)))*(INDEX(fixed_capacity_charge,MATCH(AC62,PORTS!$H$11:$H$317,0),MATCH(AG$5,PORTS!$H$11:$N$11,0))+INDEX(variable_om_charge,MATCH(AC62,PORTS!$H$318:$H$625,0),MATCH(AG$5,PORTS!$H$318:$N$318,0)))</f>
        <v>0</v>
      </c>
      <c r="AJ62" s="232">
        <f t="shared" si="18"/>
        <v>0</v>
      </c>
      <c r="AK62" s="241">
        <f t="shared" si="19"/>
        <v>0</v>
      </c>
      <c r="AM62" s="186">
        <f t="shared" si="30"/>
        <v>38047</v>
      </c>
      <c r="AN62" s="215">
        <f t="shared" si="20"/>
        <v>5395761.4773599124</v>
      </c>
      <c r="AO62" s="191">
        <f t="shared" si="21"/>
        <v>-56655.495512278751</v>
      </c>
      <c r="AP62" s="218">
        <f>+IF(AND(AO$8&lt;=AM62,AO$9&gt;=AM62),+MIN($B62-SUMIF($H$17:AO$17,AP$17,$H62:AO62),((INDEX(ROUTE_PER_DAY_BY_SHIP,MATCH(CONCATENATE(AO$4,AO$5,AO$7),ROUTE_PER_DAY_ROUTES,0),MATCH(AO$6,ROUTE_PER_DAY_SHIPS,0))*(AM63-AM62))-(INDEX(ROUTE_PER_DAY_BY_SHIP,MATCH(CONCATENATE(AO$4,AO$5,AO$7),ROUTE_PER_DAY_ROUTES,0),MATCH(AO$6,ROUTE_PER_DAY_SHIPS,0))*(AM63-AM62))*HLOOKUP(AO$6,SHIPS,7,0)*INDEX(LADEN_VOYAGE_DAYS,MATCH(CONCATENATE(AO$4,AO$5,AO$7),LADEN_VOYAGE_ROUTES,0),MATCH(AO$6,LADEN_VOYAGE_SHIPS,0)))),0)</f>
        <v>5339105.9818476336</v>
      </c>
      <c r="AQ62" s="118">
        <f>-(AP62)*PORTS!$I$6</f>
        <v>-133477.64954619083</v>
      </c>
      <c r="AR62" s="215">
        <f t="shared" si="4"/>
        <v>5205628.3323014425</v>
      </c>
      <c r="AS62" s="202"/>
      <c r="AT62" s="186">
        <f t="shared" si="31"/>
        <v>38047</v>
      </c>
      <c r="AU62" s="232">
        <f>+AR62*(VLOOKUP(AT62,CURVECALC!$C$6:$J$312,4,0)+AV$5)</f>
        <v>16496636.185063275</v>
      </c>
      <c r="AV62" s="208">
        <f>-AN62*INDEX(ship_curves,MATCH(AT62,'SHIP CURVES'!$A$9:$A$316,0),MATCH(CONCATENATE(AX$4,AX$5,AX$6,AX$7),'SHIP CURVES'!$A$9:$AZ$9,0))</f>
        <v>-1757631.9447930264</v>
      </c>
      <c r="AW62" s="209">
        <f>-AP62*INDEX(port_processing_fee,MATCH(AT62,PORTS!$H$626:$H$933,0),MATCH(AX$5,PORTS!$H$626:$Z$626,0))</f>
        <v>-148059.52901232758</v>
      </c>
      <c r="AX62" s="405">
        <f>(((VLOOKUP(AT62,curvecalc,4,0))*IF(AN62=0,0,AR62/AN62)-INDEX(ship_curves,MATCH(AT62,'SHIP CURVES'!$A$9:$A$316,0),MATCH(CONCATENATE(AX$4,AX$5,AX$6,AX$7),'SHIP CURVES'!$A$9:$Z$9,0))-INDEX(terminal_curves,MATCH(AT62,'TERMINAL CURVES'!$A$4:$A$313,0),MATCH(AX$5,'TERMINAL CURVES'!$A$4:$N$4,0))*IF(AN62=0,0,AP62/AN62))-(AV$8)*((AV$7-$N$5)-(INDEX(ship_curves,MATCH(AT62,'SHIP CURVES'!$A$9:$A$316,0),MATCH(CONCATENATE(AX$4,AX$5,AX$6,AX$7),'SHIP CURVES'!$A$9:$Z$9,0))-INDEX(ship_curves,MATCH(AT62,'SHIP CURVES'!$A$9:$A$316,0),MATCH(CONCATENATE(AX$4,AV$6,AX$6,AX$7),'SHIP CURVES'!$A$9:$Z$9,0)))-(INDEX(terminal_curves,MATCH(AT62,'TERMINAL CURVES'!$A$4:$A$313,0),MATCH(AX$5,'TERMINAL CURVES'!$A$4:$N$4,0))-INDEX(terminal_curves,MATCH(AT62,'TERMINAL CURVES'!$A$4:$A$313,0),MATCH(AV$6,'TERMINAL CURVES'!$A$4:$N$4,0)))*IF(AN62=0,0,AP62/AN62)))*-AN62</f>
        <v>-13524657.939211523</v>
      </c>
      <c r="AY62" s="343">
        <f t="shared" si="22"/>
        <v>-15430349.413016878</v>
      </c>
      <c r="AZ62" s="338">
        <f>(-AP62/((HLOOKUP(AX$5,port_specs,2,0)/(365.25))*(AT63-AT62)))*(INDEX(fixed_capacity_charge,MATCH(AT62,PORTS!$H$11:$H$317,0),MATCH(AX$5,PORTS!$H$11:$N$11,0))+INDEX(variable_om_charge,MATCH(AT62,PORTS!$H$318:$H$625,0),MATCH(AX$5,PORTS!$H$318:$N$318,0)))</f>
        <v>-962174.20540036797</v>
      </c>
      <c r="BA62" s="232">
        <f t="shared" si="23"/>
        <v>-16392523.618417246</v>
      </c>
      <c r="BB62" s="241">
        <f t="shared" si="24"/>
        <v>104112.56664602831</v>
      </c>
      <c r="BC62" s="408"/>
      <c r="BD62" s="338">
        <f>+PORTS!I56+PORTS!I364</f>
        <v>962174.20540036797</v>
      </c>
    </row>
    <row r="63" spans="1:56" x14ac:dyDescent="0.2">
      <c r="A63" s="186">
        <f t="shared" si="25"/>
        <v>38078</v>
      </c>
      <c r="B63" s="215">
        <f>+IF(AND($A63&gt;=$C$8,$A63&lt;=$C$9),1,0)*PORTS!$I$5/(365.25)*(A64-A63)</f>
        <v>5166876.756626742</v>
      </c>
      <c r="C63" s="351">
        <f t="shared" si="5"/>
        <v>0</v>
      </c>
      <c r="D63">
        <f t="shared" si="6"/>
        <v>2004</v>
      </c>
      <c r="E63" s="186">
        <f t="shared" si="26"/>
        <v>38078</v>
      </c>
      <c r="F63" s="215">
        <f t="shared" si="7"/>
        <v>0</v>
      </c>
      <c r="G63" s="191">
        <f t="shared" si="8"/>
        <v>0</v>
      </c>
      <c r="H63" s="218">
        <f t="shared" si="9"/>
        <v>0</v>
      </c>
      <c r="I63" s="118">
        <f t="shared" si="10"/>
        <v>0</v>
      </c>
      <c r="J63" s="215">
        <f t="shared" si="2"/>
        <v>0</v>
      </c>
      <c r="K63" s="202"/>
      <c r="L63" s="186">
        <f t="shared" si="27"/>
        <v>38078</v>
      </c>
      <c r="M63" s="400">
        <f>+J63*(VLOOKUP(L63,CURVECALC!$C$6:$J$312,4,0)+N$5)</f>
        <v>0</v>
      </c>
      <c r="N63" s="208">
        <f>-F63*INDEX(ship_curves,MATCH(L63,'SHIP CURVES'!$A$9:$A$316,0),MATCH(CONCATENATE(P$4,P$5,P$6,P$7),'SHIP CURVES'!$A$9:$AZ$9,0))</f>
        <v>0</v>
      </c>
      <c r="O63" s="209">
        <f>-H63*INDEX(port_processing_fee,MATCH(L63,PORTS!$H$626:$H$933,0),MATCH(P$5,PORTS!$H$626:$Z$626,0))</f>
        <v>0</v>
      </c>
      <c r="P63" s="405">
        <f>(((VLOOKUP(L63,curvecalc,4,0))*IF(F63=0,0,J63/F63)-INDEX(ship_curves,MATCH(L63,'SHIP CURVES'!$A$9:$A$316,0),MATCH(CONCATENATE(P$4,P$5,P$6,P$7),'SHIP CURVES'!$A$9:$Z$9,0))-INDEX(terminal_curves,MATCH(L63,'TERMINAL CURVES'!$A$4:$A$313,0),MATCH(P$5,'TERMINAL CURVES'!$A$4:$N$4,0))*IF(F63=0,0,H63/F63))-(N$8)*((N$7-$N$5)-(INDEX(ship_curves,MATCH(L63,'SHIP CURVES'!$A$9:$A$316,0),MATCH(CONCATENATE(P$4,P$5,P$6,P$7),'SHIP CURVES'!$A$9:$Z$9,0))-INDEX(ship_curves,MATCH(L63,'SHIP CURVES'!$A$9:$A$316,0),MATCH(CONCATENATE(P$4,N$6,P$6,P$7),'SHIP CURVES'!$A$9:$Z$9,0)))-(INDEX(terminal_curves,MATCH(L63,'TERMINAL CURVES'!$A$4:$A$313,0),MATCH(P$5,'TERMINAL CURVES'!$A$4:$N$4,0))-INDEX(terminal_curves,MATCH(L63,'TERMINAL CURVES'!$A$4:$A$313,0),MATCH(N$6,'TERMINAL CURVES'!$A$4:$N$4,0)))*IF(F63=0,0,H63/F63)))*-F63</f>
        <v>0</v>
      </c>
      <c r="Q63" s="403">
        <f t="shared" si="11"/>
        <v>0</v>
      </c>
      <c r="R63" s="338">
        <f>(-H63/((HLOOKUP(P$5,port_specs,2,0)/(365.25))*(L64-L63)))*(INDEX(fixed_capacity_charge,MATCH(L63,PORTS!$H$11:$H$317,0),MATCH(P$5,PORTS!$H$11:$N$11,0))+INDEX(variable_om_charge,MATCH(L63,PORTS!$H$318:$H$625,0),MATCH(P$5,PORTS!$H$318:$N$318,0)))</f>
        <v>0</v>
      </c>
      <c r="S63" s="232">
        <f t="shared" si="12"/>
        <v>0</v>
      </c>
      <c r="T63" s="241">
        <f t="shared" si="13"/>
        <v>0</v>
      </c>
      <c r="U63" s="431"/>
      <c r="V63" s="186">
        <f t="shared" si="28"/>
        <v>38078</v>
      </c>
      <c r="W63" s="215">
        <f t="shared" si="14"/>
        <v>0</v>
      </c>
      <c r="X63" s="191">
        <f t="shared" si="15"/>
        <v>0</v>
      </c>
      <c r="Y63" s="218">
        <f>+IF(AND(X$8&lt;=V63,X$9&gt;=V63),+MIN($B63-SUMIF($H$17:X$17,Y$17,$H63:X63),((INDEX(ROUTE_PER_DAY_BY_SHIP,MATCH(CONCATENATE(X$4,X$5,X$7),ROUTE_PER_DAY_ROUTES,0),MATCH(X$6,ROUTE_PER_DAY_SHIPS,0))*(V64-V63))-(INDEX(ROUTE_PER_DAY_BY_SHIP,MATCH(CONCATENATE(X$4,X$5,X$7),ROUTE_PER_DAY_ROUTES,0),MATCH(X$6,ROUTE_PER_DAY_SHIPS,0))*(V64-V63))*HLOOKUP(X$6,SHIPS,7,0)*INDEX(LADEN_VOYAGE_DAYS,MATCH(CONCATENATE(X$4,X$5,X$7),LADEN_VOYAGE_ROUTES,0),MATCH(X$6,LADEN_VOYAGE_SHIPS,0)))),0)</f>
        <v>0</v>
      </c>
      <c r="Z63" s="118">
        <f t="shared" si="16"/>
        <v>0</v>
      </c>
      <c r="AA63" s="215">
        <f t="shared" si="3"/>
        <v>0</v>
      </c>
      <c r="AB63" s="202"/>
      <c r="AC63" s="186">
        <f t="shared" si="29"/>
        <v>38078</v>
      </c>
      <c r="AD63" s="232">
        <f>+AA63*(VLOOKUP(AC63,CURVECALC!$C$6:$J$312,4,0)+AE$5)</f>
        <v>0</v>
      </c>
      <c r="AE63" s="208">
        <f>-W63*INDEX(ship_curves,MATCH(AC63,'SHIP CURVES'!$A$9:$A$316,0),MATCH(CONCATENATE(AG$4,AG$5,AG$6,AG$7),'SHIP CURVES'!$A$9:$AZ$9,0))</f>
        <v>0</v>
      </c>
      <c r="AF63" s="209">
        <f>-Y63*INDEX(port_processing_fee,MATCH(AC63,PORTS!$H$626:$H$933,0),MATCH(AG$5,PORTS!$H$626:$Z$626,0))</f>
        <v>0</v>
      </c>
      <c r="AG63" s="405">
        <f>(((VLOOKUP(AC63,curvecalc,4,0))*IF(W63=0,0,AA63/W63)-INDEX(ship_curves,MATCH(AC63,'SHIP CURVES'!$A$9:$A$316,0),MATCH(CONCATENATE(AG$4,AG$5,AG$6,AG$7),'SHIP CURVES'!$A$9:$Z$9,0))-INDEX(terminal_curves,MATCH(AC63,'TERMINAL CURVES'!$A$4:$A$313,0),MATCH(AG$5,'TERMINAL CURVES'!$A$4:$N$4,0))*IF(W63=0,0,Y63/W63))-(AE$8)*((AE$7-$N$5)-(INDEX(ship_curves,MATCH(AC63,'SHIP CURVES'!$A$9:$A$316,0),MATCH(CONCATENATE(AG$4,AG$5,AG$6,AG$7),'SHIP CURVES'!$A$9:$Z$9,0))-INDEX(ship_curves,MATCH(AC63,'SHIP CURVES'!$A$9:$A$316,0),MATCH(CONCATENATE(AG$4,AE$6,AG$6,AG$7),'SHIP CURVES'!$A$9:$Z$9,0)))-(INDEX(terminal_curves,MATCH(AC63,'TERMINAL CURVES'!$A$4:$A$313,0),MATCH(AG$5,'TERMINAL CURVES'!$A$4:$N$4,0))-INDEX(terminal_curves,MATCH(AC63,'TERMINAL CURVES'!$A$4:$A$313,0),MATCH(AE$6,'TERMINAL CURVES'!$A$4:$N$4,0)))*IF(W63=0,0,Y63/W63)))*-W63</f>
        <v>0</v>
      </c>
      <c r="AH63" s="343">
        <f t="shared" si="17"/>
        <v>0</v>
      </c>
      <c r="AI63" s="338">
        <f>(-Y63/((HLOOKUP(AG$5,port_specs,2,0)/(365.25))*(AC64-AC63)))*(INDEX(fixed_capacity_charge,MATCH(AC63,PORTS!$H$11:$H$317,0),MATCH(AG$5,PORTS!$H$11:$N$11,0))+INDEX(variable_om_charge,MATCH(AC63,PORTS!$H$318:$H$625,0),MATCH(AG$5,PORTS!$H$318:$N$318,0)))</f>
        <v>0</v>
      </c>
      <c r="AJ63" s="232">
        <f t="shared" si="18"/>
        <v>0</v>
      </c>
      <c r="AK63" s="241">
        <f t="shared" si="19"/>
        <v>0</v>
      </c>
      <c r="AM63" s="186">
        <f t="shared" si="30"/>
        <v>38078</v>
      </c>
      <c r="AN63" s="215">
        <f t="shared" si="20"/>
        <v>5221704.655509592</v>
      </c>
      <c r="AO63" s="191">
        <f t="shared" si="21"/>
        <v>-54827.898882850073</v>
      </c>
      <c r="AP63" s="218">
        <f>+IF(AND(AO$8&lt;=AM63,AO$9&gt;=AM63),+MIN($B63-SUMIF($H$17:AO$17,AP$17,$H63:AO63),((INDEX(ROUTE_PER_DAY_BY_SHIP,MATCH(CONCATENATE(AO$4,AO$5,AO$7),ROUTE_PER_DAY_ROUTES,0),MATCH(AO$6,ROUTE_PER_DAY_SHIPS,0))*(AM64-AM63))-(INDEX(ROUTE_PER_DAY_BY_SHIP,MATCH(CONCATENATE(AO$4,AO$5,AO$7),ROUTE_PER_DAY_ROUTES,0),MATCH(AO$6,ROUTE_PER_DAY_SHIPS,0))*(AM64-AM63))*HLOOKUP(AO$6,SHIPS,7,0)*INDEX(LADEN_VOYAGE_DAYS,MATCH(CONCATENATE(AO$4,AO$5,AO$7),LADEN_VOYAGE_ROUTES,0),MATCH(AO$6,LADEN_VOYAGE_SHIPS,0)))),0)</f>
        <v>5166876.756626742</v>
      </c>
      <c r="AQ63" s="118">
        <f>-(AP63)*PORTS!$I$6</f>
        <v>-129171.91891566856</v>
      </c>
      <c r="AR63" s="215">
        <f t="shared" si="4"/>
        <v>5037704.8377110735</v>
      </c>
      <c r="AS63" s="202"/>
      <c r="AT63" s="186">
        <f t="shared" si="31"/>
        <v>38078</v>
      </c>
      <c r="AU63" s="232">
        <f>+AR63*(VLOOKUP(AT63,CURVECALC!$C$6:$J$312,4,0)+AV$5)</f>
        <v>15274321.067939974</v>
      </c>
      <c r="AV63" s="208">
        <f>-AN63*INDEX(ship_curves,MATCH(AT63,'SHIP CURVES'!$A$9:$A$316,0),MATCH(CONCATENATE(AX$4,AX$5,AX$6,AX$7),'SHIP CURVES'!$A$9:$AZ$9,0))</f>
        <v>-1701385.1566903822</v>
      </c>
      <c r="AW63" s="209">
        <f>-AP63*INDEX(port_processing_fee,MATCH(AT63,PORTS!$H$626:$H$933,0),MATCH(AX$5,PORTS!$H$626:$Z$626,0))</f>
        <v>-143432.66873069233</v>
      </c>
      <c r="AX63" s="405">
        <f>(((VLOOKUP(AT63,curvecalc,4,0))*IF(AN63=0,0,AR63/AN63)-INDEX(ship_curves,MATCH(AT63,'SHIP CURVES'!$A$9:$A$316,0),MATCH(CONCATENATE(AX$4,AX$5,AX$6,AX$7),'SHIP CURVES'!$A$9:$Z$9,0))-INDEX(terminal_curves,MATCH(AT63,'TERMINAL CURVES'!$A$4:$A$313,0),MATCH(AX$5,'TERMINAL CURVES'!$A$4:$N$4,0))*IF(AN63=0,0,AP63/AN63))-(AV$8)*((AV$7-$N$5)-(INDEX(ship_curves,MATCH(AT63,'SHIP CURVES'!$A$9:$A$316,0),MATCH(CONCATENATE(AX$4,AX$5,AX$6,AX$7),'SHIP CURVES'!$A$9:$Z$9,0))-INDEX(ship_curves,MATCH(AT63,'SHIP CURVES'!$A$9:$A$316,0),MATCH(CONCATENATE(AX$4,AV$6,AX$6,AX$7),'SHIP CURVES'!$A$9:$Z$9,0)))-(INDEX(terminal_curves,MATCH(AT63,'TERMINAL CURVES'!$A$4:$A$313,0),MATCH(AX$5,'TERMINAL CURVES'!$A$4:$N$4,0))-INDEX(terminal_curves,MATCH(AT63,'TERMINAL CURVES'!$A$4:$A$313,0),MATCH(AV$6,'TERMINAL CURVES'!$A$4:$N$4,0)))*IF(AN63=0,0,AP63/AN63)))*-AN63</f>
        <v>-12366078.078245047</v>
      </c>
      <c r="AY63" s="343">
        <f t="shared" si="22"/>
        <v>-14210895.903666122</v>
      </c>
      <c r="AZ63" s="338">
        <f>(-AP63/((HLOOKUP(AX$5,port_specs,2,0)/(365.25))*(AT64-AT63)))*(INDEX(fixed_capacity_charge,MATCH(AT63,PORTS!$H$11:$H$317,0),MATCH(AX$5,PORTS!$H$11:$N$11,0))+INDEX(variable_om_charge,MATCH(AT63,PORTS!$H$318:$H$625,0),MATCH(AX$5,PORTS!$H$318:$N$318,0)))</f>
        <v>-962671.06751963054</v>
      </c>
      <c r="BA63" s="232">
        <f t="shared" si="23"/>
        <v>-15173566.971185753</v>
      </c>
      <c r="BB63" s="241">
        <f t="shared" si="24"/>
        <v>100754.09675422125</v>
      </c>
      <c r="BC63" s="408"/>
      <c r="BD63" s="338">
        <f>+PORTS!I57+PORTS!I365</f>
        <v>962671.06751963054</v>
      </c>
    </row>
    <row r="64" spans="1:56" x14ac:dyDescent="0.2">
      <c r="A64" s="186">
        <f t="shared" si="25"/>
        <v>38108</v>
      </c>
      <c r="B64" s="215">
        <f>+IF(AND($A64&gt;=$C$8,$A64&lt;=$C$9),1,0)*PORTS!$I$5/(365.25)*(A65-A64)</f>
        <v>5339105.9818476336</v>
      </c>
      <c r="C64" s="351">
        <f t="shared" si="5"/>
        <v>0</v>
      </c>
      <c r="D64">
        <f t="shared" si="6"/>
        <v>2004</v>
      </c>
      <c r="E64" s="186">
        <f t="shared" si="26"/>
        <v>38108</v>
      </c>
      <c r="F64" s="215">
        <f t="shared" si="7"/>
        <v>0</v>
      </c>
      <c r="G64" s="191">
        <f t="shared" si="8"/>
        <v>0</v>
      </c>
      <c r="H64" s="218">
        <f t="shared" si="9"/>
        <v>0</v>
      </c>
      <c r="I64" s="118">
        <f t="shared" si="10"/>
        <v>0</v>
      </c>
      <c r="J64" s="215">
        <f t="shared" si="2"/>
        <v>0</v>
      </c>
      <c r="K64" s="202"/>
      <c r="L64" s="186">
        <f t="shared" si="27"/>
        <v>38108</v>
      </c>
      <c r="M64" s="400">
        <f>+J64*(VLOOKUP(L64,CURVECALC!$C$6:$J$312,4,0)+N$5)</f>
        <v>0</v>
      </c>
      <c r="N64" s="208">
        <f>-F64*INDEX(ship_curves,MATCH(L64,'SHIP CURVES'!$A$9:$A$316,0),MATCH(CONCATENATE(P$4,P$5,P$6,P$7),'SHIP CURVES'!$A$9:$AZ$9,0))</f>
        <v>0</v>
      </c>
      <c r="O64" s="209">
        <f>-H64*INDEX(port_processing_fee,MATCH(L64,PORTS!$H$626:$H$933,0),MATCH(P$5,PORTS!$H$626:$Z$626,0))</f>
        <v>0</v>
      </c>
      <c r="P64" s="405">
        <f>(((VLOOKUP(L64,curvecalc,4,0))*IF(F64=0,0,J64/F64)-INDEX(ship_curves,MATCH(L64,'SHIP CURVES'!$A$9:$A$316,0),MATCH(CONCATENATE(P$4,P$5,P$6,P$7),'SHIP CURVES'!$A$9:$Z$9,0))-INDEX(terminal_curves,MATCH(L64,'TERMINAL CURVES'!$A$4:$A$313,0),MATCH(P$5,'TERMINAL CURVES'!$A$4:$N$4,0))*IF(F64=0,0,H64/F64))-(N$8)*((N$7-$N$5)-(INDEX(ship_curves,MATCH(L64,'SHIP CURVES'!$A$9:$A$316,0),MATCH(CONCATENATE(P$4,P$5,P$6,P$7),'SHIP CURVES'!$A$9:$Z$9,0))-INDEX(ship_curves,MATCH(L64,'SHIP CURVES'!$A$9:$A$316,0),MATCH(CONCATENATE(P$4,N$6,P$6,P$7),'SHIP CURVES'!$A$9:$Z$9,0)))-(INDEX(terminal_curves,MATCH(L64,'TERMINAL CURVES'!$A$4:$A$313,0),MATCH(P$5,'TERMINAL CURVES'!$A$4:$N$4,0))-INDEX(terminal_curves,MATCH(L64,'TERMINAL CURVES'!$A$4:$A$313,0),MATCH(N$6,'TERMINAL CURVES'!$A$4:$N$4,0)))*IF(F64=0,0,H64/F64)))*-F64</f>
        <v>0</v>
      </c>
      <c r="Q64" s="403">
        <f t="shared" si="11"/>
        <v>0</v>
      </c>
      <c r="R64" s="338">
        <f>(-H64/((HLOOKUP(P$5,port_specs,2,0)/(365.25))*(L65-L64)))*(INDEX(fixed_capacity_charge,MATCH(L64,PORTS!$H$11:$H$317,0),MATCH(P$5,PORTS!$H$11:$N$11,0))+INDEX(variable_om_charge,MATCH(L64,PORTS!$H$318:$H$625,0),MATCH(P$5,PORTS!$H$318:$N$318,0)))</f>
        <v>0</v>
      </c>
      <c r="S64" s="232">
        <f t="shared" si="12"/>
        <v>0</v>
      </c>
      <c r="T64" s="241">
        <f t="shared" si="13"/>
        <v>0</v>
      </c>
      <c r="U64" s="431"/>
      <c r="V64" s="186">
        <f t="shared" si="28"/>
        <v>38108</v>
      </c>
      <c r="W64" s="215">
        <f t="shared" si="14"/>
        <v>0</v>
      </c>
      <c r="X64" s="191">
        <f t="shared" si="15"/>
        <v>0</v>
      </c>
      <c r="Y64" s="218">
        <f>+IF(AND(X$8&lt;=V64,X$9&gt;=V64),+MIN($B64-SUMIF($H$17:X$17,Y$17,$H64:X64),((INDEX(ROUTE_PER_DAY_BY_SHIP,MATCH(CONCATENATE(X$4,X$5,X$7),ROUTE_PER_DAY_ROUTES,0),MATCH(X$6,ROUTE_PER_DAY_SHIPS,0))*(V65-V64))-(INDEX(ROUTE_PER_DAY_BY_SHIP,MATCH(CONCATENATE(X$4,X$5,X$7),ROUTE_PER_DAY_ROUTES,0),MATCH(X$6,ROUTE_PER_DAY_SHIPS,0))*(V65-V64))*HLOOKUP(X$6,SHIPS,7,0)*INDEX(LADEN_VOYAGE_DAYS,MATCH(CONCATENATE(X$4,X$5,X$7),LADEN_VOYAGE_ROUTES,0),MATCH(X$6,LADEN_VOYAGE_SHIPS,0)))),0)</f>
        <v>0</v>
      </c>
      <c r="Z64" s="118">
        <f t="shared" si="16"/>
        <v>0</v>
      </c>
      <c r="AA64" s="215">
        <f t="shared" si="3"/>
        <v>0</v>
      </c>
      <c r="AB64" s="202"/>
      <c r="AC64" s="186">
        <f t="shared" si="29"/>
        <v>38108</v>
      </c>
      <c r="AD64" s="232">
        <f>+AA64*(VLOOKUP(AC64,CURVECALC!$C$6:$J$312,4,0)+AE$5)</f>
        <v>0</v>
      </c>
      <c r="AE64" s="208">
        <f>-W64*INDEX(ship_curves,MATCH(AC64,'SHIP CURVES'!$A$9:$A$316,0),MATCH(CONCATENATE(AG$4,AG$5,AG$6,AG$7),'SHIP CURVES'!$A$9:$AZ$9,0))</f>
        <v>0</v>
      </c>
      <c r="AF64" s="209">
        <f>-Y64*INDEX(port_processing_fee,MATCH(AC64,PORTS!$H$626:$H$933,0),MATCH(AG$5,PORTS!$H$626:$Z$626,0))</f>
        <v>0</v>
      </c>
      <c r="AG64" s="405">
        <f>(((VLOOKUP(AC64,curvecalc,4,0))*IF(W64=0,0,AA64/W64)-INDEX(ship_curves,MATCH(AC64,'SHIP CURVES'!$A$9:$A$316,0),MATCH(CONCATENATE(AG$4,AG$5,AG$6,AG$7),'SHIP CURVES'!$A$9:$Z$9,0))-INDEX(terminal_curves,MATCH(AC64,'TERMINAL CURVES'!$A$4:$A$313,0),MATCH(AG$5,'TERMINAL CURVES'!$A$4:$N$4,0))*IF(W64=0,0,Y64/W64))-(AE$8)*((AE$7-$N$5)-(INDEX(ship_curves,MATCH(AC64,'SHIP CURVES'!$A$9:$A$316,0),MATCH(CONCATENATE(AG$4,AG$5,AG$6,AG$7),'SHIP CURVES'!$A$9:$Z$9,0))-INDEX(ship_curves,MATCH(AC64,'SHIP CURVES'!$A$9:$A$316,0),MATCH(CONCATENATE(AG$4,AE$6,AG$6,AG$7),'SHIP CURVES'!$A$9:$Z$9,0)))-(INDEX(terminal_curves,MATCH(AC64,'TERMINAL CURVES'!$A$4:$A$313,0),MATCH(AG$5,'TERMINAL CURVES'!$A$4:$N$4,0))-INDEX(terminal_curves,MATCH(AC64,'TERMINAL CURVES'!$A$4:$A$313,0),MATCH(AE$6,'TERMINAL CURVES'!$A$4:$N$4,0)))*IF(W64=0,0,Y64/W64)))*-W64</f>
        <v>0</v>
      </c>
      <c r="AH64" s="343">
        <f t="shared" si="17"/>
        <v>0</v>
      </c>
      <c r="AI64" s="338">
        <f>(-Y64/((HLOOKUP(AG$5,port_specs,2,0)/(365.25))*(AC65-AC64)))*(INDEX(fixed_capacity_charge,MATCH(AC64,PORTS!$H$11:$H$317,0),MATCH(AG$5,PORTS!$H$11:$N$11,0))+INDEX(variable_om_charge,MATCH(AC64,PORTS!$H$318:$H$625,0),MATCH(AG$5,PORTS!$H$318:$N$318,0)))</f>
        <v>0</v>
      </c>
      <c r="AJ64" s="232">
        <f t="shared" si="18"/>
        <v>0</v>
      </c>
      <c r="AK64" s="241">
        <f t="shared" si="19"/>
        <v>0</v>
      </c>
      <c r="AM64" s="186">
        <f t="shared" si="30"/>
        <v>38108</v>
      </c>
      <c r="AN64" s="215">
        <f t="shared" si="20"/>
        <v>5395761.4773599124</v>
      </c>
      <c r="AO64" s="191">
        <f t="shared" si="21"/>
        <v>-56655.495512278751</v>
      </c>
      <c r="AP64" s="218">
        <f>+IF(AND(AO$8&lt;=AM64,AO$9&gt;=AM64),+MIN($B64-SUMIF($H$17:AO$17,AP$17,$H64:AO64),((INDEX(ROUTE_PER_DAY_BY_SHIP,MATCH(CONCATENATE(AO$4,AO$5,AO$7),ROUTE_PER_DAY_ROUTES,0),MATCH(AO$6,ROUTE_PER_DAY_SHIPS,0))*(AM65-AM64))-(INDEX(ROUTE_PER_DAY_BY_SHIP,MATCH(CONCATENATE(AO$4,AO$5,AO$7),ROUTE_PER_DAY_ROUTES,0),MATCH(AO$6,ROUTE_PER_DAY_SHIPS,0))*(AM65-AM64))*HLOOKUP(AO$6,SHIPS,7,0)*INDEX(LADEN_VOYAGE_DAYS,MATCH(CONCATENATE(AO$4,AO$5,AO$7),LADEN_VOYAGE_ROUTES,0),MATCH(AO$6,LADEN_VOYAGE_SHIPS,0)))),0)</f>
        <v>5339105.9818476336</v>
      </c>
      <c r="AQ64" s="118">
        <f>-(AP64)*PORTS!$I$6</f>
        <v>-133477.64954619083</v>
      </c>
      <c r="AR64" s="215">
        <f t="shared" si="4"/>
        <v>5205628.3323014425</v>
      </c>
      <c r="AS64" s="202"/>
      <c r="AT64" s="186">
        <f t="shared" si="31"/>
        <v>38108</v>
      </c>
      <c r="AU64" s="232">
        <f>+AR64*(VLOOKUP(AT64,CURVECALC!$C$6:$J$312,4,0)+AV$5)</f>
        <v>15710586.306885755</v>
      </c>
      <c r="AV64" s="208">
        <f>-AN64*INDEX(ship_curves,MATCH(AT64,'SHIP CURVES'!$A$9:$A$316,0),MATCH(CONCATENATE(AX$4,AX$5,AX$6,AX$7),'SHIP CURVES'!$A$9:$AZ$9,0))</f>
        <v>-1758565.0166388752</v>
      </c>
      <c r="AW64" s="209">
        <f>-AP64*INDEX(port_processing_fee,MATCH(AT64,PORTS!$H$626:$H$933,0),MATCH(AX$5,PORTS!$H$626:$Z$626,0))</f>
        <v>-148368.14701930745</v>
      </c>
      <c r="AX64" s="405">
        <f>(((VLOOKUP(AT64,curvecalc,4,0))*IF(AN64=0,0,AR64/AN64)-INDEX(ship_curves,MATCH(AT64,'SHIP CURVES'!$A$9:$A$316,0),MATCH(CONCATENATE(AX$4,AX$5,AX$6,AX$7),'SHIP CURVES'!$A$9:$Z$9,0))-INDEX(terminal_curves,MATCH(AT64,'TERMINAL CURVES'!$A$4:$A$313,0),MATCH(AX$5,'TERMINAL CURVES'!$A$4:$N$4,0))*IF(AN64=0,0,AP64/AN64))-(AV$8)*((AV$7-$N$5)-(INDEX(ship_curves,MATCH(AT64,'SHIP CURVES'!$A$9:$A$316,0),MATCH(CONCATENATE(AX$4,AX$5,AX$6,AX$7),'SHIP CURVES'!$A$9:$Z$9,0))-INDEX(ship_curves,MATCH(AT64,'SHIP CURVES'!$A$9:$A$316,0),MATCH(CONCATENATE(AX$4,AV$6,AX$6,AX$7),'SHIP CURVES'!$A$9:$Z$9,0)))-(INDEX(terminal_curves,MATCH(AT64,'TERMINAL CURVES'!$A$4:$A$313,0),MATCH(AX$5,'TERMINAL CURVES'!$A$4:$N$4,0))-INDEX(terminal_curves,MATCH(AT64,'TERMINAL CURVES'!$A$4:$A$313,0),MATCH(AV$6,'TERMINAL CURVES'!$A$4:$N$4,0)))*IF(AN64=0,0,AP64/AN64)))*-AN64</f>
        <v>-12736372.129377941</v>
      </c>
      <c r="AY64" s="343">
        <f t="shared" si="22"/>
        <v>-14643305.293036124</v>
      </c>
      <c r="AZ64" s="338">
        <f>(-AP64/((HLOOKUP(AX$5,port_specs,2,0)/(365.25))*(AT65-AT64)))*(INDEX(fixed_capacity_charge,MATCH(AT64,PORTS!$H$11:$H$317,0),MATCH(AX$5,PORTS!$H$11:$N$11,0))+INDEX(variable_om_charge,MATCH(AT64,PORTS!$H$318:$H$625,0),MATCH(AX$5,PORTS!$H$318:$N$318,0)))</f>
        <v>-963168.44720360055</v>
      </c>
      <c r="BA64" s="232">
        <f t="shared" si="23"/>
        <v>-15606473.740239725</v>
      </c>
      <c r="BB64" s="241">
        <f t="shared" si="24"/>
        <v>104112.56664603017</v>
      </c>
      <c r="BC64" s="408"/>
      <c r="BD64" s="338">
        <f>+PORTS!I58+PORTS!I366</f>
        <v>963168.44720360055</v>
      </c>
    </row>
    <row r="65" spans="1:56" x14ac:dyDescent="0.2">
      <c r="A65" s="186">
        <f t="shared" si="25"/>
        <v>38139</v>
      </c>
      <c r="B65" s="215">
        <f>+IF(AND($A65&gt;=$C$8,$A65&lt;=$C$9),1,0)*PORTS!$I$5/(365.25)*(A66-A65)</f>
        <v>5166876.756626742</v>
      </c>
      <c r="C65" s="351">
        <f t="shared" si="5"/>
        <v>0</v>
      </c>
      <c r="D65">
        <f t="shared" si="6"/>
        <v>2004</v>
      </c>
      <c r="E65" s="186">
        <f t="shared" si="26"/>
        <v>38139</v>
      </c>
      <c r="F65" s="215">
        <f t="shared" si="7"/>
        <v>0</v>
      </c>
      <c r="G65" s="191">
        <f t="shared" si="8"/>
        <v>0</v>
      </c>
      <c r="H65" s="218">
        <f t="shared" si="9"/>
        <v>0</v>
      </c>
      <c r="I65" s="118">
        <f t="shared" si="10"/>
        <v>0</v>
      </c>
      <c r="J65" s="215">
        <f t="shared" si="2"/>
        <v>0</v>
      </c>
      <c r="K65" s="202"/>
      <c r="L65" s="186">
        <f t="shared" si="27"/>
        <v>38139</v>
      </c>
      <c r="M65" s="400">
        <f>+J65*(VLOOKUP(L65,CURVECALC!$C$6:$J$312,4,0)+N$5)</f>
        <v>0</v>
      </c>
      <c r="N65" s="208">
        <f>-F65*INDEX(ship_curves,MATCH(L65,'SHIP CURVES'!$A$9:$A$316,0),MATCH(CONCATENATE(P$4,P$5,P$6,P$7),'SHIP CURVES'!$A$9:$AZ$9,0))</f>
        <v>0</v>
      </c>
      <c r="O65" s="209">
        <f>-H65*INDEX(port_processing_fee,MATCH(L65,PORTS!$H$626:$H$933,0),MATCH(P$5,PORTS!$H$626:$Z$626,0))</f>
        <v>0</v>
      </c>
      <c r="P65" s="405">
        <f>(((VLOOKUP(L65,curvecalc,4,0))*IF(F65=0,0,J65/F65)-INDEX(ship_curves,MATCH(L65,'SHIP CURVES'!$A$9:$A$316,0),MATCH(CONCATENATE(P$4,P$5,P$6,P$7),'SHIP CURVES'!$A$9:$Z$9,0))-INDEX(terminal_curves,MATCH(L65,'TERMINAL CURVES'!$A$4:$A$313,0),MATCH(P$5,'TERMINAL CURVES'!$A$4:$N$4,0))*IF(F65=0,0,H65/F65))-(N$8)*((N$7-$N$5)-(INDEX(ship_curves,MATCH(L65,'SHIP CURVES'!$A$9:$A$316,0),MATCH(CONCATENATE(P$4,P$5,P$6,P$7),'SHIP CURVES'!$A$9:$Z$9,0))-INDEX(ship_curves,MATCH(L65,'SHIP CURVES'!$A$9:$A$316,0),MATCH(CONCATENATE(P$4,N$6,P$6,P$7),'SHIP CURVES'!$A$9:$Z$9,0)))-(INDEX(terminal_curves,MATCH(L65,'TERMINAL CURVES'!$A$4:$A$313,0),MATCH(P$5,'TERMINAL CURVES'!$A$4:$N$4,0))-INDEX(terminal_curves,MATCH(L65,'TERMINAL CURVES'!$A$4:$A$313,0),MATCH(N$6,'TERMINAL CURVES'!$A$4:$N$4,0)))*IF(F65=0,0,H65/F65)))*-F65</f>
        <v>0</v>
      </c>
      <c r="Q65" s="403">
        <f t="shared" si="11"/>
        <v>0</v>
      </c>
      <c r="R65" s="338">
        <f>(-H65/((HLOOKUP(P$5,port_specs,2,0)/(365.25))*(L66-L65)))*(INDEX(fixed_capacity_charge,MATCH(L65,PORTS!$H$11:$H$317,0),MATCH(P$5,PORTS!$H$11:$N$11,0))+INDEX(variable_om_charge,MATCH(L65,PORTS!$H$318:$H$625,0),MATCH(P$5,PORTS!$H$318:$N$318,0)))</f>
        <v>0</v>
      </c>
      <c r="S65" s="232">
        <f t="shared" si="12"/>
        <v>0</v>
      </c>
      <c r="T65" s="241">
        <f t="shared" si="13"/>
        <v>0</v>
      </c>
      <c r="U65" s="431"/>
      <c r="V65" s="186">
        <f t="shared" si="28"/>
        <v>38139</v>
      </c>
      <c r="W65" s="215">
        <f t="shared" si="14"/>
        <v>0</v>
      </c>
      <c r="X65" s="191">
        <f t="shared" si="15"/>
        <v>0</v>
      </c>
      <c r="Y65" s="218">
        <f>+IF(AND(X$8&lt;=V65,X$9&gt;=V65),+MIN($B65-SUMIF($H$17:X$17,Y$17,$H65:X65),((INDEX(ROUTE_PER_DAY_BY_SHIP,MATCH(CONCATENATE(X$4,X$5,X$7),ROUTE_PER_DAY_ROUTES,0),MATCH(X$6,ROUTE_PER_DAY_SHIPS,0))*(V66-V65))-(INDEX(ROUTE_PER_DAY_BY_SHIP,MATCH(CONCATENATE(X$4,X$5,X$7),ROUTE_PER_DAY_ROUTES,0),MATCH(X$6,ROUTE_PER_DAY_SHIPS,0))*(V66-V65))*HLOOKUP(X$6,SHIPS,7,0)*INDEX(LADEN_VOYAGE_DAYS,MATCH(CONCATENATE(X$4,X$5,X$7),LADEN_VOYAGE_ROUTES,0),MATCH(X$6,LADEN_VOYAGE_SHIPS,0)))),0)</f>
        <v>0</v>
      </c>
      <c r="Z65" s="118">
        <f t="shared" si="16"/>
        <v>0</v>
      </c>
      <c r="AA65" s="215">
        <f t="shared" si="3"/>
        <v>0</v>
      </c>
      <c r="AB65" s="202"/>
      <c r="AC65" s="186">
        <f t="shared" si="29"/>
        <v>38139</v>
      </c>
      <c r="AD65" s="232">
        <f>+AA65*(VLOOKUP(AC65,CURVECALC!$C$6:$J$312,4,0)+AE$5)</f>
        <v>0</v>
      </c>
      <c r="AE65" s="208">
        <f>-W65*INDEX(ship_curves,MATCH(AC65,'SHIP CURVES'!$A$9:$A$316,0),MATCH(CONCATENATE(AG$4,AG$5,AG$6,AG$7),'SHIP CURVES'!$A$9:$AZ$9,0))</f>
        <v>0</v>
      </c>
      <c r="AF65" s="209">
        <f>-Y65*INDEX(port_processing_fee,MATCH(AC65,PORTS!$H$626:$H$933,0),MATCH(AG$5,PORTS!$H$626:$Z$626,0))</f>
        <v>0</v>
      </c>
      <c r="AG65" s="405">
        <f>(((VLOOKUP(AC65,curvecalc,4,0))*IF(W65=0,0,AA65/W65)-INDEX(ship_curves,MATCH(AC65,'SHIP CURVES'!$A$9:$A$316,0),MATCH(CONCATENATE(AG$4,AG$5,AG$6,AG$7),'SHIP CURVES'!$A$9:$Z$9,0))-INDEX(terminal_curves,MATCH(AC65,'TERMINAL CURVES'!$A$4:$A$313,0),MATCH(AG$5,'TERMINAL CURVES'!$A$4:$N$4,0))*IF(W65=0,0,Y65/W65))-(AE$8)*((AE$7-$N$5)-(INDEX(ship_curves,MATCH(AC65,'SHIP CURVES'!$A$9:$A$316,0),MATCH(CONCATENATE(AG$4,AG$5,AG$6,AG$7),'SHIP CURVES'!$A$9:$Z$9,0))-INDEX(ship_curves,MATCH(AC65,'SHIP CURVES'!$A$9:$A$316,0),MATCH(CONCATENATE(AG$4,AE$6,AG$6,AG$7),'SHIP CURVES'!$A$9:$Z$9,0)))-(INDEX(terminal_curves,MATCH(AC65,'TERMINAL CURVES'!$A$4:$A$313,0),MATCH(AG$5,'TERMINAL CURVES'!$A$4:$N$4,0))-INDEX(terminal_curves,MATCH(AC65,'TERMINAL CURVES'!$A$4:$A$313,0),MATCH(AE$6,'TERMINAL CURVES'!$A$4:$N$4,0)))*IF(W65=0,0,Y65/W65)))*-W65</f>
        <v>0</v>
      </c>
      <c r="AH65" s="343">
        <f t="shared" si="17"/>
        <v>0</v>
      </c>
      <c r="AI65" s="338">
        <f>(-Y65/((HLOOKUP(AG$5,port_specs,2,0)/(365.25))*(AC66-AC65)))*(INDEX(fixed_capacity_charge,MATCH(AC65,PORTS!$H$11:$H$317,0),MATCH(AG$5,PORTS!$H$11:$N$11,0))+INDEX(variable_om_charge,MATCH(AC65,PORTS!$H$318:$H$625,0),MATCH(AG$5,PORTS!$H$318:$N$318,0)))</f>
        <v>0</v>
      </c>
      <c r="AJ65" s="232">
        <f t="shared" si="18"/>
        <v>0</v>
      </c>
      <c r="AK65" s="241">
        <f t="shared" si="19"/>
        <v>0</v>
      </c>
      <c r="AM65" s="186">
        <f t="shared" si="30"/>
        <v>38139</v>
      </c>
      <c r="AN65" s="215">
        <f t="shared" si="20"/>
        <v>5221704.655509592</v>
      </c>
      <c r="AO65" s="191">
        <f t="shared" si="21"/>
        <v>-54827.898882850073</v>
      </c>
      <c r="AP65" s="218">
        <f>+IF(AND(AO$8&lt;=AM65,AO$9&gt;=AM65),+MIN($B65-SUMIF($H$17:AO$17,AP$17,$H65:AO65),((INDEX(ROUTE_PER_DAY_BY_SHIP,MATCH(CONCATENATE(AO$4,AO$5,AO$7),ROUTE_PER_DAY_ROUTES,0),MATCH(AO$6,ROUTE_PER_DAY_SHIPS,0))*(AM66-AM65))-(INDEX(ROUTE_PER_DAY_BY_SHIP,MATCH(CONCATENATE(AO$4,AO$5,AO$7),ROUTE_PER_DAY_ROUTES,0),MATCH(AO$6,ROUTE_PER_DAY_SHIPS,0))*(AM66-AM65))*HLOOKUP(AO$6,SHIPS,7,0)*INDEX(LADEN_VOYAGE_DAYS,MATCH(CONCATENATE(AO$4,AO$5,AO$7),LADEN_VOYAGE_ROUTES,0),MATCH(AO$6,LADEN_VOYAGE_SHIPS,0)))),0)</f>
        <v>5166876.756626742</v>
      </c>
      <c r="AQ65" s="118">
        <f>-(AP65)*PORTS!$I$6</f>
        <v>-129171.91891566856</v>
      </c>
      <c r="AR65" s="215">
        <f t="shared" si="4"/>
        <v>5037704.8377110735</v>
      </c>
      <c r="AS65" s="202"/>
      <c r="AT65" s="186">
        <f t="shared" si="31"/>
        <v>38139</v>
      </c>
      <c r="AU65" s="232">
        <f>+AR65*(VLOOKUP(AT65,CURVECALC!$C$6:$J$312,4,0)+AV$5)</f>
        <v>15359962.050181065</v>
      </c>
      <c r="AV65" s="208">
        <f>-AN65*INDEX(ship_curves,MATCH(AT65,'SHIP CURVES'!$A$9:$A$316,0),MATCH(CONCATENATE(AX$4,AX$5,AX$6,AX$7),'SHIP CURVES'!$A$9:$AZ$9,0))</f>
        <v>-1702290.0106376663</v>
      </c>
      <c r="AW65" s="209">
        <f>-AP65*INDEX(port_processing_fee,MATCH(AT65,PORTS!$H$626:$H$933,0),MATCH(AX$5,PORTS!$H$626:$Z$626,0))</f>
        <v>-143731.64242495407</v>
      </c>
      <c r="AX65" s="405">
        <f>(((VLOOKUP(AT65,curvecalc,4,0))*IF(AN65=0,0,AR65/AN65)-INDEX(ship_curves,MATCH(AT65,'SHIP CURVES'!$A$9:$A$316,0),MATCH(CONCATENATE(AX$4,AX$5,AX$6,AX$7),'SHIP CURVES'!$A$9:$Z$9,0))-INDEX(terminal_curves,MATCH(AT65,'TERMINAL CURVES'!$A$4:$A$313,0),MATCH(AX$5,'TERMINAL CURVES'!$A$4:$N$4,0))*IF(AN65=0,0,AP65/AN65))-(AV$8)*((AV$7-$N$5)-(INDEX(ship_curves,MATCH(AT65,'SHIP CURVES'!$A$9:$A$316,0),MATCH(CONCATENATE(AX$4,AX$5,AX$6,AX$7),'SHIP CURVES'!$A$9:$Z$9,0))-INDEX(ship_curves,MATCH(AT65,'SHIP CURVES'!$A$9:$A$316,0),MATCH(CONCATENATE(AX$4,AV$6,AX$6,AX$7),'SHIP CURVES'!$A$9:$Z$9,0)))-(INDEX(terminal_curves,MATCH(AT65,'TERMINAL CURVES'!$A$4:$A$313,0),MATCH(AX$5,'TERMINAL CURVES'!$A$4:$N$4,0))-INDEX(terminal_curves,MATCH(AT65,'TERMINAL CURVES'!$A$4:$A$313,0),MATCH(AV$6,'TERMINAL CURVES'!$A$4:$N$4,0)))*IF(AN65=0,0,AP65/AN65)))*-AN65</f>
        <v>-12449519.95537281</v>
      </c>
      <c r="AY65" s="343">
        <f t="shared" si="22"/>
        <v>-14295541.608435431</v>
      </c>
      <c r="AZ65" s="338">
        <f>(-AP65/((HLOOKUP(AX$5,port_specs,2,0)/(365.25))*(AT66-AT65)))*(INDEX(fixed_capacity_charge,MATCH(AT65,PORTS!$H$11:$H$317,0),MATCH(AX$5,PORTS!$H$11:$N$11,0))+INDEX(variable_om_charge,MATCH(AT65,PORTS!$H$318:$H$625,0),MATCH(AX$5,PORTS!$H$318:$N$318,0)))</f>
        <v>-963666.34499140806</v>
      </c>
      <c r="BA65" s="232">
        <f t="shared" si="23"/>
        <v>-15259207.95342684</v>
      </c>
      <c r="BB65" s="241">
        <f t="shared" si="24"/>
        <v>100754.09675422497</v>
      </c>
      <c r="BC65" s="408"/>
      <c r="BD65" s="338">
        <f>+PORTS!I59+PORTS!I367</f>
        <v>963666.34499140806</v>
      </c>
    </row>
    <row r="66" spans="1:56" x14ac:dyDescent="0.2">
      <c r="A66" s="186">
        <f t="shared" si="25"/>
        <v>38169</v>
      </c>
      <c r="B66" s="215">
        <f>+IF(AND($A66&gt;=$C$8,$A66&lt;=$C$9),1,0)*PORTS!$I$5/(365.25)*(A67-A66)</f>
        <v>5339105.9818476336</v>
      </c>
      <c r="C66" s="351">
        <f t="shared" si="5"/>
        <v>0</v>
      </c>
      <c r="D66">
        <f t="shared" si="6"/>
        <v>2004</v>
      </c>
      <c r="E66" s="186">
        <f t="shared" si="26"/>
        <v>38169</v>
      </c>
      <c r="F66" s="215">
        <f t="shared" si="7"/>
        <v>0</v>
      </c>
      <c r="G66" s="191">
        <f t="shared" si="8"/>
        <v>0</v>
      </c>
      <c r="H66" s="218">
        <f t="shared" si="9"/>
        <v>0</v>
      </c>
      <c r="I66" s="118">
        <f t="shared" si="10"/>
        <v>0</v>
      </c>
      <c r="J66" s="215">
        <f t="shared" si="2"/>
        <v>0</v>
      </c>
      <c r="K66" s="202"/>
      <c r="L66" s="186">
        <f t="shared" si="27"/>
        <v>38169</v>
      </c>
      <c r="M66" s="400">
        <f>+J66*(VLOOKUP(L66,CURVECALC!$C$6:$J$312,4,0)+N$5)</f>
        <v>0</v>
      </c>
      <c r="N66" s="208">
        <f>-F66*INDEX(ship_curves,MATCH(L66,'SHIP CURVES'!$A$9:$A$316,0),MATCH(CONCATENATE(P$4,P$5,P$6,P$7),'SHIP CURVES'!$A$9:$AZ$9,0))</f>
        <v>0</v>
      </c>
      <c r="O66" s="209">
        <f>-H66*INDEX(port_processing_fee,MATCH(L66,PORTS!$H$626:$H$933,0),MATCH(P$5,PORTS!$H$626:$Z$626,0))</f>
        <v>0</v>
      </c>
      <c r="P66" s="405">
        <f>(((VLOOKUP(L66,curvecalc,4,0))*IF(F66=0,0,J66/F66)-INDEX(ship_curves,MATCH(L66,'SHIP CURVES'!$A$9:$A$316,0),MATCH(CONCATENATE(P$4,P$5,P$6,P$7),'SHIP CURVES'!$A$9:$Z$9,0))-INDEX(terminal_curves,MATCH(L66,'TERMINAL CURVES'!$A$4:$A$313,0),MATCH(P$5,'TERMINAL CURVES'!$A$4:$N$4,0))*IF(F66=0,0,H66/F66))-(N$8)*((N$7-$N$5)-(INDEX(ship_curves,MATCH(L66,'SHIP CURVES'!$A$9:$A$316,0),MATCH(CONCATENATE(P$4,P$5,P$6,P$7),'SHIP CURVES'!$A$9:$Z$9,0))-INDEX(ship_curves,MATCH(L66,'SHIP CURVES'!$A$9:$A$316,0),MATCH(CONCATENATE(P$4,N$6,P$6,P$7),'SHIP CURVES'!$A$9:$Z$9,0)))-(INDEX(terminal_curves,MATCH(L66,'TERMINAL CURVES'!$A$4:$A$313,0),MATCH(P$5,'TERMINAL CURVES'!$A$4:$N$4,0))-INDEX(terminal_curves,MATCH(L66,'TERMINAL CURVES'!$A$4:$A$313,0),MATCH(N$6,'TERMINAL CURVES'!$A$4:$N$4,0)))*IF(F66=0,0,H66/F66)))*-F66</f>
        <v>0</v>
      </c>
      <c r="Q66" s="403">
        <f t="shared" si="11"/>
        <v>0</v>
      </c>
      <c r="R66" s="338">
        <f>(-H66/((HLOOKUP(P$5,port_specs,2,0)/(365.25))*(L67-L66)))*(INDEX(fixed_capacity_charge,MATCH(L66,PORTS!$H$11:$H$317,0),MATCH(P$5,PORTS!$H$11:$N$11,0))+INDEX(variable_om_charge,MATCH(L66,PORTS!$H$318:$H$625,0),MATCH(P$5,PORTS!$H$318:$N$318,0)))</f>
        <v>0</v>
      </c>
      <c r="S66" s="232">
        <f t="shared" si="12"/>
        <v>0</v>
      </c>
      <c r="T66" s="241">
        <f t="shared" si="13"/>
        <v>0</v>
      </c>
      <c r="U66" s="431"/>
      <c r="V66" s="186">
        <f t="shared" si="28"/>
        <v>38169</v>
      </c>
      <c r="W66" s="215">
        <f t="shared" si="14"/>
        <v>0</v>
      </c>
      <c r="X66" s="191">
        <f t="shared" si="15"/>
        <v>0</v>
      </c>
      <c r="Y66" s="218">
        <f>+IF(AND(X$8&lt;=V66,X$9&gt;=V66),+MIN($B66-SUMIF($H$17:X$17,Y$17,$H66:X66),((INDEX(ROUTE_PER_DAY_BY_SHIP,MATCH(CONCATENATE(X$4,X$5,X$7),ROUTE_PER_DAY_ROUTES,0),MATCH(X$6,ROUTE_PER_DAY_SHIPS,0))*(V67-V66))-(INDEX(ROUTE_PER_DAY_BY_SHIP,MATCH(CONCATENATE(X$4,X$5,X$7),ROUTE_PER_DAY_ROUTES,0),MATCH(X$6,ROUTE_PER_DAY_SHIPS,0))*(V67-V66))*HLOOKUP(X$6,SHIPS,7,0)*INDEX(LADEN_VOYAGE_DAYS,MATCH(CONCATENATE(X$4,X$5,X$7),LADEN_VOYAGE_ROUTES,0),MATCH(X$6,LADEN_VOYAGE_SHIPS,0)))),0)</f>
        <v>0</v>
      </c>
      <c r="Z66" s="118">
        <f t="shared" si="16"/>
        <v>0</v>
      </c>
      <c r="AA66" s="215">
        <f t="shared" si="3"/>
        <v>0</v>
      </c>
      <c r="AB66" s="202"/>
      <c r="AC66" s="186">
        <f t="shared" si="29"/>
        <v>38169</v>
      </c>
      <c r="AD66" s="232">
        <f>+AA66*(VLOOKUP(AC66,CURVECALC!$C$6:$J$312,4,0)+AE$5)</f>
        <v>0</v>
      </c>
      <c r="AE66" s="208">
        <f>-W66*INDEX(ship_curves,MATCH(AC66,'SHIP CURVES'!$A$9:$A$316,0),MATCH(CONCATENATE(AG$4,AG$5,AG$6,AG$7),'SHIP CURVES'!$A$9:$AZ$9,0))</f>
        <v>0</v>
      </c>
      <c r="AF66" s="209">
        <f>-Y66*INDEX(port_processing_fee,MATCH(AC66,PORTS!$H$626:$H$933,0),MATCH(AG$5,PORTS!$H$626:$Z$626,0))</f>
        <v>0</v>
      </c>
      <c r="AG66" s="405">
        <f>(((VLOOKUP(AC66,curvecalc,4,0))*IF(W66=0,0,AA66/W66)-INDEX(ship_curves,MATCH(AC66,'SHIP CURVES'!$A$9:$A$316,0),MATCH(CONCATENATE(AG$4,AG$5,AG$6,AG$7),'SHIP CURVES'!$A$9:$Z$9,0))-INDEX(terminal_curves,MATCH(AC66,'TERMINAL CURVES'!$A$4:$A$313,0),MATCH(AG$5,'TERMINAL CURVES'!$A$4:$N$4,0))*IF(W66=0,0,Y66/W66))-(AE$8)*((AE$7-$N$5)-(INDEX(ship_curves,MATCH(AC66,'SHIP CURVES'!$A$9:$A$316,0),MATCH(CONCATENATE(AG$4,AG$5,AG$6,AG$7),'SHIP CURVES'!$A$9:$Z$9,0))-INDEX(ship_curves,MATCH(AC66,'SHIP CURVES'!$A$9:$A$316,0),MATCH(CONCATENATE(AG$4,AE$6,AG$6,AG$7),'SHIP CURVES'!$A$9:$Z$9,0)))-(INDEX(terminal_curves,MATCH(AC66,'TERMINAL CURVES'!$A$4:$A$313,0),MATCH(AG$5,'TERMINAL CURVES'!$A$4:$N$4,0))-INDEX(terminal_curves,MATCH(AC66,'TERMINAL CURVES'!$A$4:$A$313,0),MATCH(AE$6,'TERMINAL CURVES'!$A$4:$N$4,0)))*IF(W66=0,0,Y66/W66)))*-W66</f>
        <v>0</v>
      </c>
      <c r="AH66" s="343">
        <f t="shared" si="17"/>
        <v>0</v>
      </c>
      <c r="AI66" s="338">
        <f>(-Y66/((HLOOKUP(AG$5,port_specs,2,0)/(365.25))*(AC67-AC66)))*(INDEX(fixed_capacity_charge,MATCH(AC66,PORTS!$H$11:$H$317,0),MATCH(AG$5,PORTS!$H$11:$N$11,0))+INDEX(variable_om_charge,MATCH(AC66,PORTS!$H$318:$H$625,0),MATCH(AG$5,PORTS!$H$318:$N$318,0)))</f>
        <v>0</v>
      </c>
      <c r="AJ66" s="232">
        <f t="shared" si="18"/>
        <v>0</v>
      </c>
      <c r="AK66" s="241">
        <f t="shared" si="19"/>
        <v>0</v>
      </c>
      <c r="AM66" s="186">
        <f t="shared" si="30"/>
        <v>38169</v>
      </c>
      <c r="AN66" s="215">
        <f t="shared" si="20"/>
        <v>5395761.4773599124</v>
      </c>
      <c r="AO66" s="191">
        <f t="shared" si="21"/>
        <v>-56655.495512278751</v>
      </c>
      <c r="AP66" s="218">
        <f>+IF(AND(AO$8&lt;=AM66,AO$9&gt;=AM66),+MIN($B66-SUMIF($H$17:AO$17,AP$17,$H66:AO66),((INDEX(ROUTE_PER_DAY_BY_SHIP,MATCH(CONCATENATE(AO$4,AO$5,AO$7),ROUTE_PER_DAY_ROUTES,0),MATCH(AO$6,ROUTE_PER_DAY_SHIPS,0))*(AM67-AM66))-(INDEX(ROUTE_PER_DAY_BY_SHIP,MATCH(CONCATENATE(AO$4,AO$5,AO$7),ROUTE_PER_DAY_ROUTES,0),MATCH(AO$6,ROUTE_PER_DAY_SHIPS,0))*(AM67-AM66))*HLOOKUP(AO$6,SHIPS,7,0)*INDEX(LADEN_VOYAGE_DAYS,MATCH(CONCATENATE(AO$4,AO$5,AO$7),LADEN_VOYAGE_ROUTES,0),MATCH(AO$6,LADEN_VOYAGE_SHIPS,0)))),0)</f>
        <v>5339105.9818476336</v>
      </c>
      <c r="AQ66" s="118">
        <f>-(AP66)*PORTS!$I$6</f>
        <v>-133477.64954619083</v>
      </c>
      <c r="AR66" s="215">
        <f t="shared" si="4"/>
        <v>5205628.3323014425</v>
      </c>
      <c r="AS66" s="202"/>
      <c r="AT66" s="186">
        <f t="shared" si="31"/>
        <v>38169</v>
      </c>
      <c r="AU66" s="232">
        <f>+AR66*(VLOOKUP(AT66,CURVECALC!$C$6:$J$312,4,0)+AV$5)</f>
        <v>15871960.785187101</v>
      </c>
      <c r="AV66" s="208">
        <f>-AN66*INDEX(ship_curves,MATCH(AT66,'SHIP CURVES'!$A$9:$A$316,0),MATCH(CONCATENATE(AX$4,AX$5,AX$6,AX$7),'SHIP CURVES'!$A$9:$AZ$9,0))</f>
        <v>-1759501.9803338724</v>
      </c>
      <c r="AW66" s="209">
        <f>-AP66*INDEX(port_processing_fee,MATCH(AT66,PORTS!$H$626:$H$933,0),MATCH(AX$5,PORTS!$H$626:$Z$626,0))</f>
        <v>-148677.40831534052</v>
      </c>
      <c r="AX66" s="405">
        <f>(((VLOOKUP(AT66,curvecalc,4,0))*IF(AN66=0,0,AR66/AN66)-INDEX(ship_curves,MATCH(AT66,'SHIP CURVES'!$A$9:$A$316,0),MATCH(CONCATENATE(AX$4,AX$5,AX$6,AX$7),'SHIP CURVES'!$A$9:$Z$9,0))-INDEX(terminal_curves,MATCH(AT66,'TERMINAL CURVES'!$A$4:$A$313,0),MATCH(AX$5,'TERMINAL CURVES'!$A$4:$N$4,0))*IF(AN66=0,0,AP66/AN66))-(AV$8)*((AV$7-$N$5)-(INDEX(ship_curves,MATCH(AT66,'SHIP CURVES'!$A$9:$A$316,0),MATCH(CONCATENATE(AX$4,AX$5,AX$6,AX$7),'SHIP CURVES'!$A$9:$Z$9,0))-INDEX(ship_curves,MATCH(AT66,'SHIP CURVES'!$A$9:$A$316,0),MATCH(CONCATENATE(AX$4,AV$6,AX$6,AX$7),'SHIP CURVES'!$A$9:$Z$9,0)))-(INDEX(terminal_curves,MATCH(AT66,'TERMINAL CURVES'!$A$4:$A$313,0),MATCH(AX$5,'TERMINAL CURVES'!$A$4:$N$4,0))-INDEX(terminal_curves,MATCH(AT66,'TERMINAL CURVES'!$A$4:$A$313,0),MATCH(AV$6,'TERMINAL CURVES'!$A$4:$N$4,0)))*IF(AN66=0,0,AP66/AN66)))*-AN66</f>
        <v>-12895504.068469115</v>
      </c>
      <c r="AY66" s="343">
        <f t="shared" si="22"/>
        <v>-14803683.457118327</v>
      </c>
      <c r="AZ66" s="338">
        <f>(-AP66/((HLOOKUP(AX$5,port_specs,2,0)/(365.25))*(AT67-AT66)))*(INDEX(fixed_capacity_charge,MATCH(AT66,PORTS!$H$11:$H$317,0),MATCH(AX$5,PORTS!$H$11:$N$11,0))+INDEX(variable_om_charge,MATCH(AT66,PORTS!$H$318:$H$625,0),MATCH(AX$5,PORTS!$H$318:$N$318,0)))</f>
        <v>-964164.7614227446</v>
      </c>
      <c r="BA66" s="232">
        <f t="shared" si="23"/>
        <v>-15767848.218541071</v>
      </c>
      <c r="BB66" s="241">
        <f t="shared" si="24"/>
        <v>104112.56664603017</v>
      </c>
      <c r="BC66" s="408"/>
      <c r="BD66" s="338">
        <f>+PORTS!I60+PORTS!I368</f>
        <v>964164.7614227446</v>
      </c>
    </row>
    <row r="67" spans="1:56" x14ac:dyDescent="0.2">
      <c r="A67" s="186">
        <f t="shared" si="25"/>
        <v>38200</v>
      </c>
      <c r="B67" s="215">
        <f>+IF(AND($A67&gt;=$C$8,$A67&lt;=$C$9),1,0)*PORTS!$I$5/(365.25)*(A68-A67)</f>
        <v>5339105.9818476336</v>
      </c>
      <c r="C67" s="351">
        <f t="shared" si="5"/>
        <v>0</v>
      </c>
      <c r="D67">
        <f t="shared" si="6"/>
        <v>2004</v>
      </c>
      <c r="E67" s="186">
        <f t="shared" si="26"/>
        <v>38200</v>
      </c>
      <c r="F67" s="215">
        <f t="shared" si="7"/>
        <v>0</v>
      </c>
      <c r="G67" s="191">
        <f t="shared" si="8"/>
        <v>0</v>
      </c>
      <c r="H67" s="218">
        <f t="shared" si="9"/>
        <v>0</v>
      </c>
      <c r="I67" s="118">
        <f t="shared" si="10"/>
        <v>0</v>
      </c>
      <c r="J67" s="215">
        <f t="shared" si="2"/>
        <v>0</v>
      </c>
      <c r="K67" s="202"/>
      <c r="L67" s="186">
        <f t="shared" si="27"/>
        <v>38200</v>
      </c>
      <c r="M67" s="400">
        <f>+J67*(VLOOKUP(L67,CURVECALC!$C$6:$J$312,4,0)+N$5)</f>
        <v>0</v>
      </c>
      <c r="N67" s="208">
        <f>-F67*INDEX(ship_curves,MATCH(L67,'SHIP CURVES'!$A$9:$A$316,0),MATCH(CONCATENATE(P$4,P$5,P$6,P$7),'SHIP CURVES'!$A$9:$AZ$9,0))</f>
        <v>0</v>
      </c>
      <c r="O67" s="209">
        <f>-H67*INDEX(port_processing_fee,MATCH(L67,PORTS!$H$626:$H$933,0),MATCH(P$5,PORTS!$H$626:$Z$626,0))</f>
        <v>0</v>
      </c>
      <c r="P67" s="405">
        <f>(((VLOOKUP(L67,curvecalc,4,0))*IF(F67=0,0,J67/F67)-INDEX(ship_curves,MATCH(L67,'SHIP CURVES'!$A$9:$A$316,0),MATCH(CONCATENATE(P$4,P$5,P$6,P$7),'SHIP CURVES'!$A$9:$Z$9,0))-INDEX(terminal_curves,MATCH(L67,'TERMINAL CURVES'!$A$4:$A$313,0),MATCH(P$5,'TERMINAL CURVES'!$A$4:$N$4,0))*IF(F67=0,0,H67/F67))-(N$8)*((N$7-$N$5)-(INDEX(ship_curves,MATCH(L67,'SHIP CURVES'!$A$9:$A$316,0),MATCH(CONCATENATE(P$4,P$5,P$6,P$7),'SHIP CURVES'!$A$9:$Z$9,0))-INDEX(ship_curves,MATCH(L67,'SHIP CURVES'!$A$9:$A$316,0),MATCH(CONCATENATE(P$4,N$6,P$6,P$7),'SHIP CURVES'!$A$9:$Z$9,0)))-(INDEX(terminal_curves,MATCH(L67,'TERMINAL CURVES'!$A$4:$A$313,0),MATCH(P$5,'TERMINAL CURVES'!$A$4:$N$4,0))-INDEX(terminal_curves,MATCH(L67,'TERMINAL CURVES'!$A$4:$A$313,0),MATCH(N$6,'TERMINAL CURVES'!$A$4:$N$4,0)))*IF(F67=0,0,H67/F67)))*-F67</f>
        <v>0</v>
      </c>
      <c r="Q67" s="403">
        <f t="shared" si="11"/>
        <v>0</v>
      </c>
      <c r="R67" s="338">
        <f>(-H67/((HLOOKUP(P$5,port_specs,2,0)/(365.25))*(L68-L67)))*(INDEX(fixed_capacity_charge,MATCH(L67,PORTS!$H$11:$H$317,0),MATCH(P$5,PORTS!$H$11:$N$11,0))+INDEX(variable_om_charge,MATCH(L67,PORTS!$H$318:$H$625,0),MATCH(P$5,PORTS!$H$318:$N$318,0)))</f>
        <v>0</v>
      </c>
      <c r="S67" s="232">
        <f t="shared" si="12"/>
        <v>0</v>
      </c>
      <c r="T67" s="241">
        <f t="shared" si="13"/>
        <v>0</v>
      </c>
      <c r="U67" s="431"/>
      <c r="V67" s="186">
        <f t="shared" si="28"/>
        <v>38200</v>
      </c>
      <c r="W67" s="215">
        <f t="shared" si="14"/>
        <v>0</v>
      </c>
      <c r="X67" s="191">
        <f t="shared" si="15"/>
        <v>0</v>
      </c>
      <c r="Y67" s="218">
        <f>+IF(AND(X$8&lt;=V67,X$9&gt;=V67),+MIN($B67-SUMIF($H$17:X$17,Y$17,$H67:X67),((INDEX(ROUTE_PER_DAY_BY_SHIP,MATCH(CONCATENATE(X$4,X$5,X$7),ROUTE_PER_DAY_ROUTES,0),MATCH(X$6,ROUTE_PER_DAY_SHIPS,0))*(V68-V67))-(INDEX(ROUTE_PER_DAY_BY_SHIP,MATCH(CONCATENATE(X$4,X$5,X$7),ROUTE_PER_DAY_ROUTES,0),MATCH(X$6,ROUTE_PER_DAY_SHIPS,0))*(V68-V67))*HLOOKUP(X$6,SHIPS,7,0)*INDEX(LADEN_VOYAGE_DAYS,MATCH(CONCATENATE(X$4,X$5,X$7),LADEN_VOYAGE_ROUTES,0),MATCH(X$6,LADEN_VOYAGE_SHIPS,0)))),0)</f>
        <v>0</v>
      </c>
      <c r="Z67" s="118">
        <f t="shared" si="16"/>
        <v>0</v>
      </c>
      <c r="AA67" s="215">
        <f t="shared" si="3"/>
        <v>0</v>
      </c>
      <c r="AB67" s="202"/>
      <c r="AC67" s="186">
        <f t="shared" si="29"/>
        <v>38200</v>
      </c>
      <c r="AD67" s="232">
        <f>+AA67*(VLOOKUP(AC67,CURVECALC!$C$6:$J$312,4,0)+AE$5)</f>
        <v>0</v>
      </c>
      <c r="AE67" s="208">
        <f>-W67*INDEX(ship_curves,MATCH(AC67,'SHIP CURVES'!$A$9:$A$316,0),MATCH(CONCATENATE(AG$4,AG$5,AG$6,AG$7),'SHIP CURVES'!$A$9:$AZ$9,0))</f>
        <v>0</v>
      </c>
      <c r="AF67" s="209">
        <f>-Y67*INDEX(port_processing_fee,MATCH(AC67,PORTS!$H$626:$H$933,0),MATCH(AG$5,PORTS!$H$626:$Z$626,0))</f>
        <v>0</v>
      </c>
      <c r="AG67" s="405">
        <f>(((VLOOKUP(AC67,curvecalc,4,0))*IF(W67=0,0,AA67/W67)-INDEX(ship_curves,MATCH(AC67,'SHIP CURVES'!$A$9:$A$316,0),MATCH(CONCATENATE(AG$4,AG$5,AG$6,AG$7),'SHIP CURVES'!$A$9:$Z$9,0))-INDEX(terminal_curves,MATCH(AC67,'TERMINAL CURVES'!$A$4:$A$313,0),MATCH(AG$5,'TERMINAL CURVES'!$A$4:$N$4,0))*IF(W67=0,0,Y67/W67))-(AE$8)*((AE$7-$N$5)-(INDEX(ship_curves,MATCH(AC67,'SHIP CURVES'!$A$9:$A$316,0),MATCH(CONCATENATE(AG$4,AG$5,AG$6,AG$7),'SHIP CURVES'!$A$9:$Z$9,0))-INDEX(ship_curves,MATCH(AC67,'SHIP CURVES'!$A$9:$A$316,0),MATCH(CONCATENATE(AG$4,AE$6,AG$6,AG$7),'SHIP CURVES'!$A$9:$Z$9,0)))-(INDEX(terminal_curves,MATCH(AC67,'TERMINAL CURVES'!$A$4:$A$313,0),MATCH(AG$5,'TERMINAL CURVES'!$A$4:$N$4,0))-INDEX(terminal_curves,MATCH(AC67,'TERMINAL CURVES'!$A$4:$A$313,0),MATCH(AE$6,'TERMINAL CURVES'!$A$4:$N$4,0)))*IF(W67=0,0,Y67/W67)))*-W67</f>
        <v>0</v>
      </c>
      <c r="AH67" s="343">
        <f t="shared" si="17"/>
        <v>0</v>
      </c>
      <c r="AI67" s="338">
        <f>(-Y67/((HLOOKUP(AG$5,port_specs,2,0)/(365.25))*(AC68-AC67)))*(INDEX(fixed_capacity_charge,MATCH(AC67,PORTS!$H$11:$H$317,0),MATCH(AG$5,PORTS!$H$11:$N$11,0))+INDEX(variable_om_charge,MATCH(AC67,PORTS!$H$318:$H$625,0),MATCH(AG$5,PORTS!$H$318:$N$318,0)))</f>
        <v>0</v>
      </c>
      <c r="AJ67" s="232">
        <f t="shared" si="18"/>
        <v>0</v>
      </c>
      <c r="AK67" s="241">
        <f t="shared" si="19"/>
        <v>0</v>
      </c>
      <c r="AM67" s="186">
        <f t="shared" si="30"/>
        <v>38200</v>
      </c>
      <c r="AN67" s="215">
        <f t="shared" si="20"/>
        <v>5395761.4773599124</v>
      </c>
      <c r="AO67" s="191">
        <f t="shared" si="21"/>
        <v>-56655.495512278751</v>
      </c>
      <c r="AP67" s="218">
        <f>+IF(AND(AO$8&lt;=AM67,AO$9&gt;=AM67),+MIN($B67-SUMIF($H$17:AO$17,AP$17,$H67:AO67),((INDEX(ROUTE_PER_DAY_BY_SHIP,MATCH(CONCATENATE(AO$4,AO$5,AO$7),ROUTE_PER_DAY_ROUTES,0),MATCH(AO$6,ROUTE_PER_DAY_SHIPS,0))*(AM68-AM67))-(INDEX(ROUTE_PER_DAY_BY_SHIP,MATCH(CONCATENATE(AO$4,AO$5,AO$7),ROUTE_PER_DAY_ROUTES,0),MATCH(AO$6,ROUTE_PER_DAY_SHIPS,0))*(AM68-AM67))*HLOOKUP(AO$6,SHIPS,7,0)*INDEX(LADEN_VOYAGE_DAYS,MATCH(CONCATENATE(AO$4,AO$5,AO$7),LADEN_VOYAGE_ROUTES,0),MATCH(AO$6,LADEN_VOYAGE_SHIPS,0)))),0)</f>
        <v>5339105.9818476336</v>
      </c>
      <c r="AQ67" s="118">
        <f>-(AP67)*PORTS!$I$6</f>
        <v>-133477.64954619083</v>
      </c>
      <c r="AR67" s="215">
        <f t="shared" si="4"/>
        <v>5205628.3323014425</v>
      </c>
      <c r="AS67" s="202"/>
      <c r="AT67" s="186">
        <f t="shared" si="31"/>
        <v>38200</v>
      </c>
      <c r="AU67" s="232">
        <f>+AR67*(VLOOKUP(AT67,CURVECALC!$C$6:$J$312,4,0)+AV$5)</f>
        <v>16184298.485125188</v>
      </c>
      <c r="AV67" s="208">
        <f>-AN67*INDEX(ship_curves,MATCH(AT67,'SHIP CURVES'!$A$9:$A$316,0),MATCH(CONCATENATE(AX$4,AX$5,AX$6,AX$7),'SHIP CURVES'!$A$9:$AZ$9,0))</f>
        <v>-1759971.9266949506</v>
      </c>
      <c r="AW67" s="209">
        <f>-AP67*INDEX(port_processing_fee,MATCH(AT67,PORTS!$H$626:$H$933,0),MATCH(AX$5,PORTS!$H$626:$Z$626,0))</f>
        <v>-148832.28061566901</v>
      </c>
      <c r="AX67" s="405">
        <f>(((VLOOKUP(AT67,curvecalc,4,0))*IF(AN67=0,0,AR67/AN67)-INDEX(ship_curves,MATCH(AT67,'SHIP CURVES'!$A$9:$A$316,0),MATCH(CONCATENATE(AX$4,AX$5,AX$6,AX$7),'SHIP CURVES'!$A$9:$Z$9,0))-INDEX(terminal_curves,MATCH(AT67,'TERMINAL CURVES'!$A$4:$A$313,0),MATCH(AX$5,'TERMINAL CURVES'!$A$4:$N$4,0))*IF(AN67=0,0,AP67/AN67))-(AV$8)*((AV$7-$N$5)-(INDEX(ship_curves,MATCH(AT67,'SHIP CURVES'!$A$9:$A$316,0),MATCH(CONCATENATE(AX$4,AX$5,AX$6,AX$7),'SHIP CURVES'!$A$9:$Z$9,0))-INDEX(ship_curves,MATCH(AT67,'SHIP CURVES'!$A$9:$A$316,0),MATCH(CONCATENATE(AX$4,AV$6,AX$6,AX$7),'SHIP CURVES'!$A$9:$Z$9,0)))-(INDEX(terminal_curves,MATCH(AT67,'TERMINAL CURVES'!$A$4:$A$313,0),MATCH(AX$5,'TERMINAL CURVES'!$A$4:$N$4,0))-INDEX(terminal_curves,MATCH(AT67,'TERMINAL CURVES'!$A$4:$A$313,0),MATCH(AV$6,'TERMINAL CURVES'!$A$4:$N$4,0)))*IF(AN67=0,0,AP67/AN67)))*-AN67</f>
        <v>-13206718.014130674</v>
      </c>
      <c r="AY67" s="343">
        <f t="shared" si="22"/>
        <v>-15115522.221441293</v>
      </c>
      <c r="AZ67" s="338">
        <f>(-AP67/((HLOOKUP(AX$5,port_specs,2,0)/(365.25))*(AT68-AT67)))*(INDEX(fixed_capacity_charge,MATCH(AT67,PORTS!$H$11:$H$317,0),MATCH(AX$5,PORTS!$H$11:$N$11,0))+INDEX(variable_om_charge,MATCH(AT67,PORTS!$H$318:$H$625,0),MATCH(AX$5,PORTS!$H$318:$N$318,0)))</f>
        <v>-964663.69703786378</v>
      </c>
      <c r="BA67" s="232">
        <f t="shared" si="23"/>
        <v>-16080185.918479158</v>
      </c>
      <c r="BB67" s="241">
        <f t="shared" si="24"/>
        <v>104112.56664603017</v>
      </c>
      <c r="BC67" s="408"/>
      <c r="BD67" s="338">
        <f>+PORTS!I61+PORTS!I369</f>
        <v>964663.69703786378</v>
      </c>
    </row>
    <row r="68" spans="1:56" x14ac:dyDescent="0.2">
      <c r="A68" s="186">
        <f t="shared" si="25"/>
        <v>38231</v>
      </c>
      <c r="B68" s="215">
        <f>+IF(AND($A68&gt;=$C$8,$A68&lt;=$C$9),1,0)*PORTS!$I$5/(365.25)*(A69-A68)</f>
        <v>5166876.756626742</v>
      </c>
      <c r="C68" s="351">
        <f t="shared" si="5"/>
        <v>0</v>
      </c>
      <c r="D68">
        <f t="shared" si="6"/>
        <v>2004</v>
      </c>
      <c r="E68" s="186">
        <f t="shared" si="26"/>
        <v>38231</v>
      </c>
      <c r="F68" s="215">
        <f t="shared" si="7"/>
        <v>0</v>
      </c>
      <c r="G68" s="191">
        <f t="shared" si="8"/>
        <v>0</v>
      </c>
      <c r="H68" s="218">
        <f t="shared" si="9"/>
        <v>0</v>
      </c>
      <c r="I68" s="118">
        <f t="shared" si="10"/>
        <v>0</v>
      </c>
      <c r="J68" s="215">
        <f t="shared" si="2"/>
        <v>0</v>
      </c>
      <c r="K68" s="202"/>
      <c r="L68" s="186">
        <f t="shared" si="27"/>
        <v>38231</v>
      </c>
      <c r="M68" s="400">
        <f>+J68*(VLOOKUP(L68,CURVECALC!$C$6:$J$312,4,0)+N$5)</f>
        <v>0</v>
      </c>
      <c r="N68" s="208">
        <f>-F68*INDEX(ship_curves,MATCH(L68,'SHIP CURVES'!$A$9:$A$316,0),MATCH(CONCATENATE(P$4,P$5,P$6,P$7),'SHIP CURVES'!$A$9:$AZ$9,0))</f>
        <v>0</v>
      </c>
      <c r="O68" s="209">
        <f>-H68*INDEX(port_processing_fee,MATCH(L68,PORTS!$H$626:$H$933,0),MATCH(P$5,PORTS!$H$626:$Z$626,0))</f>
        <v>0</v>
      </c>
      <c r="P68" s="405">
        <f>(((VLOOKUP(L68,curvecalc,4,0))*IF(F68=0,0,J68/F68)-INDEX(ship_curves,MATCH(L68,'SHIP CURVES'!$A$9:$A$316,0),MATCH(CONCATENATE(P$4,P$5,P$6,P$7),'SHIP CURVES'!$A$9:$Z$9,0))-INDEX(terminal_curves,MATCH(L68,'TERMINAL CURVES'!$A$4:$A$313,0),MATCH(P$5,'TERMINAL CURVES'!$A$4:$N$4,0))*IF(F68=0,0,H68/F68))-(N$8)*((N$7-$N$5)-(INDEX(ship_curves,MATCH(L68,'SHIP CURVES'!$A$9:$A$316,0),MATCH(CONCATENATE(P$4,P$5,P$6,P$7),'SHIP CURVES'!$A$9:$Z$9,0))-INDEX(ship_curves,MATCH(L68,'SHIP CURVES'!$A$9:$A$316,0),MATCH(CONCATENATE(P$4,N$6,P$6,P$7),'SHIP CURVES'!$A$9:$Z$9,0)))-(INDEX(terminal_curves,MATCH(L68,'TERMINAL CURVES'!$A$4:$A$313,0),MATCH(P$5,'TERMINAL CURVES'!$A$4:$N$4,0))-INDEX(terminal_curves,MATCH(L68,'TERMINAL CURVES'!$A$4:$A$313,0),MATCH(N$6,'TERMINAL CURVES'!$A$4:$N$4,0)))*IF(F68=0,0,H68/F68)))*-F68</f>
        <v>0</v>
      </c>
      <c r="Q68" s="403">
        <f t="shared" si="11"/>
        <v>0</v>
      </c>
      <c r="R68" s="338">
        <f>(-H68/((HLOOKUP(P$5,port_specs,2,0)/(365.25))*(L69-L68)))*(INDEX(fixed_capacity_charge,MATCH(L68,PORTS!$H$11:$H$317,0),MATCH(P$5,PORTS!$H$11:$N$11,0))+INDEX(variable_om_charge,MATCH(L68,PORTS!$H$318:$H$625,0),MATCH(P$5,PORTS!$H$318:$N$318,0)))</f>
        <v>0</v>
      </c>
      <c r="S68" s="232">
        <f t="shared" si="12"/>
        <v>0</v>
      </c>
      <c r="T68" s="241">
        <f t="shared" si="13"/>
        <v>0</v>
      </c>
      <c r="U68" s="431"/>
      <c r="V68" s="186">
        <f t="shared" si="28"/>
        <v>38231</v>
      </c>
      <c r="W68" s="215">
        <f t="shared" si="14"/>
        <v>0</v>
      </c>
      <c r="X68" s="191">
        <f t="shared" si="15"/>
        <v>0</v>
      </c>
      <c r="Y68" s="218">
        <f>+IF(AND(X$8&lt;=V68,X$9&gt;=V68),+MIN($B68-SUMIF($H$17:X$17,Y$17,$H68:X68),((INDEX(ROUTE_PER_DAY_BY_SHIP,MATCH(CONCATENATE(X$4,X$5,X$7),ROUTE_PER_DAY_ROUTES,0),MATCH(X$6,ROUTE_PER_DAY_SHIPS,0))*(V69-V68))-(INDEX(ROUTE_PER_DAY_BY_SHIP,MATCH(CONCATENATE(X$4,X$5,X$7),ROUTE_PER_DAY_ROUTES,0),MATCH(X$6,ROUTE_PER_DAY_SHIPS,0))*(V69-V68))*HLOOKUP(X$6,SHIPS,7,0)*INDEX(LADEN_VOYAGE_DAYS,MATCH(CONCATENATE(X$4,X$5,X$7),LADEN_VOYAGE_ROUTES,0),MATCH(X$6,LADEN_VOYAGE_SHIPS,0)))),0)</f>
        <v>0</v>
      </c>
      <c r="Z68" s="118">
        <f t="shared" si="16"/>
        <v>0</v>
      </c>
      <c r="AA68" s="215">
        <f t="shared" si="3"/>
        <v>0</v>
      </c>
      <c r="AB68" s="202"/>
      <c r="AC68" s="186">
        <f t="shared" si="29"/>
        <v>38231</v>
      </c>
      <c r="AD68" s="232">
        <f>+AA68*(VLOOKUP(AC68,CURVECALC!$C$6:$J$312,4,0)+AE$5)</f>
        <v>0</v>
      </c>
      <c r="AE68" s="208">
        <f>-W68*INDEX(ship_curves,MATCH(AC68,'SHIP CURVES'!$A$9:$A$316,0),MATCH(CONCATENATE(AG$4,AG$5,AG$6,AG$7),'SHIP CURVES'!$A$9:$AZ$9,0))</f>
        <v>0</v>
      </c>
      <c r="AF68" s="209">
        <f>-Y68*INDEX(port_processing_fee,MATCH(AC68,PORTS!$H$626:$H$933,0),MATCH(AG$5,PORTS!$H$626:$Z$626,0))</f>
        <v>0</v>
      </c>
      <c r="AG68" s="405">
        <f>(((VLOOKUP(AC68,curvecalc,4,0))*IF(W68=0,0,AA68/W68)-INDEX(ship_curves,MATCH(AC68,'SHIP CURVES'!$A$9:$A$316,0),MATCH(CONCATENATE(AG$4,AG$5,AG$6,AG$7),'SHIP CURVES'!$A$9:$Z$9,0))-INDEX(terminal_curves,MATCH(AC68,'TERMINAL CURVES'!$A$4:$A$313,0),MATCH(AG$5,'TERMINAL CURVES'!$A$4:$N$4,0))*IF(W68=0,0,Y68/W68))-(AE$8)*((AE$7-$N$5)-(INDEX(ship_curves,MATCH(AC68,'SHIP CURVES'!$A$9:$A$316,0),MATCH(CONCATENATE(AG$4,AG$5,AG$6,AG$7),'SHIP CURVES'!$A$9:$Z$9,0))-INDEX(ship_curves,MATCH(AC68,'SHIP CURVES'!$A$9:$A$316,0),MATCH(CONCATENATE(AG$4,AE$6,AG$6,AG$7),'SHIP CURVES'!$A$9:$Z$9,0)))-(INDEX(terminal_curves,MATCH(AC68,'TERMINAL CURVES'!$A$4:$A$313,0),MATCH(AG$5,'TERMINAL CURVES'!$A$4:$N$4,0))-INDEX(terminal_curves,MATCH(AC68,'TERMINAL CURVES'!$A$4:$A$313,0),MATCH(AE$6,'TERMINAL CURVES'!$A$4:$N$4,0)))*IF(W68=0,0,Y68/W68)))*-W68</f>
        <v>0</v>
      </c>
      <c r="AH68" s="343">
        <f t="shared" si="17"/>
        <v>0</v>
      </c>
      <c r="AI68" s="338">
        <f>(-Y68/((HLOOKUP(AG$5,port_specs,2,0)/(365.25))*(AC69-AC68)))*(INDEX(fixed_capacity_charge,MATCH(AC68,PORTS!$H$11:$H$317,0),MATCH(AG$5,PORTS!$H$11:$N$11,0))+INDEX(variable_om_charge,MATCH(AC68,PORTS!$H$318:$H$625,0),MATCH(AG$5,PORTS!$H$318:$N$318,0)))</f>
        <v>0</v>
      </c>
      <c r="AJ68" s="232">
        <f t="shared" si="18"/>
        <v>0</v>
      </c>
      <c r="AK68" s="241">
        <f t="shared" si="19"/>
        <v>0</v>
      </c>
      <c r="AM68" s="186">
        <f t="shared" si="30"/>
        <v>38231</v>
      </c>
      <c r="AN68" s="215">
        <f t="shared" si="20"/>
        <v>5221704.655509592</v>
      </c>
      <c r="AO68" s="191">
        <f t="shared" si="21"/>
        <v>-54827.898882850073</v>
      </c>
      <c r="AP68" s="218">
        <f>+IF(AND(AO$8&lt;=AM68,AO$9&gt;=AM68),+MIN($B68-SUMIF($H$17:AO$17,AP$17,$H68:AO68),((INDEX(ROUTE_PER_DAY_BY_SHIP,MATCH(CONCATENATE(AO$4,AO$5,AO$7),ROUTE_PER_DAY_ROUTES,0),MATCH(AO$6,ROUTE_PER_DAY_SHIPS,0))*(AM69-AM68))-(INDEX(ROUTE_PER_DAY_BY_SHIP,MATCH(CONCATENATE(AO$4,AO$5,AO$7),ROUTE_PER_DAY_ROUTES,0),MATCH(AO$6,ROUTE_PER_DAY_SHIPS,0))*(AM69-AM68))*HLOOKUP(AO$6,SHIPS,7,0)*INDEX(LADEN_VOYAGE_DAYS,MATCH(CONCATENATE(AO$4,AO$5,AO$7),LADEN_VOYAGE_ROUTES,0),MATCH(AO$6,LADEN_VOYAGE_SHIPS,0)))),0)</f>
        <v>5166876.756626742</v>
      </c>
      <c r="AQ68" s="118">
        <f>-(AP68)*PORTS!$I$6</f>
        <v>-129171.91891566856</v>
      </c>
      <c r="AR68" s="215">
        <f t="shared" si="4"/>
        <v>5037704.8377110735</v>
      </c>
      <c r="AS68" s="202"/>
      <c r="AT68" s="186">
        <f t="shared" si="31"/>
        <v>38231</v>
      </c>
      <c r="AU68" s="232">
        <f>+AR68*(VLOOKUP(AT68,CURVECALC!$C$6:$J$312,4,0)+AV$5)</f>
        <v>15606809.587228907</v>
      </c>
      <c r="AV68" s="208">
        <f>-AN68*INDEX(ship_curves,MATCH(AT68,'SHIP CURVES'!$A$9:$A$316,0),MATCH(CONCATENATE(AX$4,AX$5,AX$6,AX$7),'SHIP CURVES'!$A$9:$AZ$9,0))</f>
        <v>-1703654.3730105946</v>
      </c>
      <c r="AW68" s="209">
        <f>-AP68*INDEX(port_processing_fee,MATCH(AT68,PORTS!$H$626:$H$933,0),MATCH(AX$5,PORTS!$H$626:$Z$626,0))</f>
        <v>-144181.27184642933</v>
      </c>
      <c r="AX68" s="405">
        <f>(((VLOOKUP(AT68,curvecalc,4,0))*IF(AN68=0,0,AR68/AN68)-INDEX(ship_curves,MATCH(AT68,'SHIP CURVES'!$A$9:$A$316,0),MATCH(CONCATENATE(AX$4,AX$5,AX$6,AX$7),'SHIP CURVES'!$A$9:$Z$9,0))-INDEX(terminal_curves,MATCH(AT68,'TERMINAL CURVES'!$A$4:$A$313,0),MATCH(AX$5,'TERMINAL CURVES'!$A$4:$N$4,0))*IF(AN68=0,0,AP68/AN68))-(AV$8)*((AV$7-$N$5)-(INDEX(ship_curves,MATCH(AT68,'SHIP CURVES'!$A$9:$A$316,0),MATCH(CONCATENATE(AX$4,AX$5,AX$6,AX$7),'SHIP CURVES'!$A$9:$Z$9,0))-INDEX(ship_curves,MATCH(AT68,'SHIP CURVES'!$A$9:$A$316,0),MATCH(CONCATENATE(AX$4,AV$6,AX$6,AX$7),'SHIP CURVES'!$A$9:$Z$9,0)))-(INDEX(terminal_curves,MATCH(AT68,'TERMINAL CURVES'!$A$4:$A$313,0),MATCH(AX$5,'TERMINAL CURVES'!$A$4:$N$4,0))-INDEX(terminal_curves,MATCH(AT68,'TERMINAL CURVES'!$A$4:$A$313,0),MATCH(AV$6,'TERMINAL CURVES'!$A$4:$N$4,0)))*IF(AN68=0,0,AP68/AN68)))*-AN68</f>
        <v>-12693056.693240076</v>
      </c>
      <c r="AY68" s="343">
        <f t="shared" si="22"/>
        <v>-14540892.338097099</v>
      </c>
      <c r="AZ68" s="338">
        <f>(-AP68/((HLOOKUP(AX$5,port_specs,2,0)/(365.25))*(AT69-AT68)))*(INDEX(fixed_capacity_charge,MATCH(AT68,PORTS!$H$11:$H$317,0),MATCH(AX$5,PORTS!$H$11:$N$11,0))+INDEX(variable_om_charge,MATCH(AT68,PORTS!$H$318:$H$625,0),MATCH(AX$5,PORTS!$H$318:$N$318,0)))</f>
        <v>-965163.15237758204</v>
      </c>
      <c r="BA68" s="232">
        <f t="shared" si="23"/>
        <v>-15506055.49047468</v>
      </c>
      <c r="BB68" s="241">
        <f t="shared" si="24"/>
        <v>100754.09675422683</v>
      </c>
      <c r="BC68" s="408"/>
      <c r="BD68" s="338">
        <f>+PORTS!I62+PORTS!I370</f>
        <v>965163.15237758204</v>
      </c>
    </row>
    <row r="69" spans="1:56" x14ac:dyDescent="0.2">
      <c r="A69" s="186">
        <f t="shared" si="25"/>
        <v>38261</v>
      </c>
      <c r="B69" s="215">
        <f>+IF(AND($A69&gt;=$C$8,$A69&lt;=$C$9),1,0)*PORTS!$I$5/(365.25)*(A70-A69)</f>
        <v>5339105.9818476336</v>
      </c>
      <c r="C69" s="351">
        <f t="shared" si="5"/>
        <v>0</v>
      </c>
      <c r="D69">
        <f t="shared" si="6"/>
        <v>2004</v>
      </c>
      <c r="E69" s="186">
        <f t="shared" si="26"/>
        <v>38261</v>
      </c>
      <c r="F69" s="215">
        <f t="shared" si="7"/>
        <v>0</v>
      </c>
      <c r="G69" s="191">
        <f t="shared" si="8"/>
        <v>0</v>
      </c>
      <c r="H69" s="218">
        <f t="shared" si="9"/>
        <v>0</v>
      </c>
      <c r="I69" s="118">
        <f t="shared" si="10"/>
        <v>0</v>
      </c>
      <c r="J69" s="215">
        <f t="shared" si="2"/>
        <v>0</v>
      </c>
      <c r="K69" s="202"/>
      <c r="L69" s="186">
        <f t="shared" si="27"/>
        <v>38261</v>
      </c>
      <c r="M69" s="400">
        <f>+J69*(VLOOKUP(L69,CURVECALC!$C$6:$J$312,4,0)+N$5)</f>
        <v>0</v>
      </c>
      <c r="N69" s="208">
        <f>-F69*INDEX(ship_curves,MATCH(L69,'SHIP CURVES'!$A$9:$A$316,0),MATCH(CONCATENATE(P$4,P$5,P$6,P$7),'SHIP CURVES'!$A$9:$AZ$9,0))</f>
        <v>0</v>
      </c>
      <c r="O69" s="209">
        <f>-H69*INDEX(port_processing_fee,MATCH(L69,PORTS!$H$626:$H$933,0),MATCH(P$5,PORTS!$H$626:$Z$626,0))</f>
        <v>0</v>
      </c>
      <c r="P69" s="405">
        <f>(((VLOOKUP(L69,curvecalc,4,0))*IF(F69=0,0,J69/F69)-INDEX(ship_curves,MATCH(L69,'SHIP CURVES'!$A$9:$A$316,0),MATCH(CONCATENATE(P$4,P$5,P$6,P$7),'SHIP CURVES'!$A$9:$Z$9,0))-INDEX(terminal_curves,MATCH(L69,'TERMINAL CURVES'!$A$4:$A$313,0),MATCH(P$5,'TERMINAL CURVES'!$A$4:$N$4,0))*IF(F69=0,0,H69/F69))-(N$8)*((N$7-$N$5)-(INDEX(ship_curves,MATCH(L69,'SHIP CURVES'!$A$9:$A$316,0),MATCH(CONCATENATE(P$4,P$5,P$6,P$7),'SHIP CURVES'!$A$9:$Z$9,0))-INDEX(ship_curves,MATCH(L69,'SHIP CURVES'!$A$9:$A$316,0),MATCH(CONCATENATE(P$4,N$6,P$6,P$7),'SHIP CURVES'!$A$9:$Z$9,0)))-(INDEX(terminal_curves,MATCH(L69,'TERMINAL CURVES'!$A$4:$A$313,0),MATCH(P$5,'TERMINAL CURVES'!$A$4:$N$4,0))-INDEX(terminal_curves,MATCH(L69,'TERMINAL CURVES'!$A$4:$A$313,0),MATCH(N$6,'TERMINAL CURVES'!$A$4:$N$4,0)))*IF(F69=0,0,H69/F69)))*-F69</f>
        <v>0</v>
      </c>
      <c r="Q69" s="403">
        <f t="shared" si="11"/>
        <v>0</v>
      </c>
      <c r="R69" s="338">
        <f>(-H69/((HLOOKUP(P$5,port_specs,2,0)/(365.25))*(L70-L69)))*(INDEX(fixed_capacity_charge,MATCH(L69,PORTS!$H$11:$H$317,0),MATCH(P$5,PORTS!$H$11:$N$11,0))+INDEX(variable_om_charge,MATCH(L69,PORTS!$H$318:$H$625,0),MATCH(P$5,PORTS!$H$318:$N$318,0)))</f>
        <v>0</v>
      </c>
      <c r="S69" s="232">
        <f t="shared" si="12"/>
        <v>0</v>
      </c>
      <c r="T69" s="241">
        <f t="shared" si="13"/>
        <v>0</v>
      </c>
      <c r="U69" s="431"/>
      <c r="V69" s="186">
        <f t="shared" si="28"/>
        <v>38261</v>
      </c>
      <c r="W69" s="215">
        <f t="shared" si="14"/>
        <v>0</v>
      </c>
      <c r="X69" s="191">
        <f t="shared" si="15"/>
        <v>0</v>
      </c>
      <c r="Y69" s="218">
        <f>+IF(AND(X$8&lt;=V69,X$9&gt;=V69),+MIN($B69-SUMIF($H$17:X$17,Y$17,$H69:X69),((INDEX(ROUTE_PER_DAY_BY_SHIP,MATCH(CONCATENATE(X$4,X$5,X$7),ROUTE_PER_DAY_ROUTES,0),MATCH(X$6,ROUTE_PER_DAY_SHIPS,0))*(V70-V69))-(INDEX(ROUTE_PER_DAY_BY_SHIP,MATCH(CONCATENATE(X$4,X$5,X$7),ROUTE_PER_DAY_ROUTES,0),MATCH(X$6,ROUTE_PER_DAY_SHIPS,0))*(V70-V69))*HLOOKUP(X$6,SHIPS,7,0)*INDEX(LADEN_VOYAGE_DAYS,MATCH(CONCATENATE(X$4,X$5,X$7),LADEN_VOYAGE_ROUTES,0),MATCH(X$6,LADEN_VOYAGE_SHIPS,0)))),0)</f>
        <v>0</v>
      </c>
      <c r="Z69" s="118">
        <f t="shared" si="16"/>
        <v>0</v>
      </c>
      <c r="AA69" s="215">
        <f t="shared" si="3"/>
        <v>0</v>
      </c>
      <c r="AB69" s="202"/>
      <c r="AC69" s="186">
        <f t="shared" si="29"/>
        <v>38261</v>
      </c>
      <c r="AD69" s="232">
        <f>+AA69*(VLOOKUP(AC69,CURVECALC!$C$6:$J$312,4,0)+AE$5)</f>
        <v>0</v>
      </c>
      <c r="AE69" s="208">
        <f>-W69*INDEX(ship_curves,MATCH(AC69,'SHIP CURVES'!$A$9:$A$316,0),MATCH(CONCATENATE(AG$4,AG$5,AG$6,AG$7),'SHIP CURVES'!$A$9:$AZ$9,0))</f>
        <v>0</v>
      </c>
      <c r="AF69" s="209">
        <f>-Y69*INDEX(port_processing_fee,MATCH(AC69,PORTS!$H$626:$H$933,0),MATCH(AG$5,PORTS!$H$626:$Z$626,0))</f>
        <v>0</v>
      </c>
      <c r="AG69" s="405">
        <f>(((VLOOKUP(AC69,curvecalc,4,0))*IF(W69=0,0,AA69/W69)-INDEX(ship_curves,MATCH(AC69,'SHIP CURVES'!$A$9:$A$316,0),MATCH(CONCATENATE(AG$4,AG$5,AG$6,AG$7),'SHIP CURVES'!$A$9:$Z$9,0))-INDEX(terminal_curves,MATCH(AC69,'TERMINAL CURVES'!$A$4:$A$313,0),MATCH(AG$5,'TERMINAL CURVES'!$A$4:$N$4,0))*IF(W69=0,0,Y69/W69))-(AE$8)*((AE$7-$N$5)-(INDEX(ship_curves,MATCH(AC69,'SHIP CURVES'!$A$9:$A$316,0),MATCH(CONCATENATE(AG$4,AG$5,AG$6,AG$7),'SHIP CURVES'!$A$9:$Z$9,0))-INDEX(ship_curves,MATCH(AC69,'SHIP CURVES'!$A$9:$A$316,0),MATCH(CONCATENATE(AG$4,AE$6,AG$6,AG$7),'SHIP CURVES'!$A$9:$Z$9,0)))-(INDEX(terminal_curves,MATCH(AC69,'TERMINAL CURVES'!$A$4:$A$313,0),MATCH(AG$5,'TERMINAL CURVES'!$A$4:$N$4,0))-INDEX(terminal_curves,MATCH(AC69,'TERMINAL CURVES'!$A$4:$A$313,0),MATCH(AE$6,'TERMINAL CURVES'!$A$4:$N$4,0)))*IF(W69=0,0,Y69/W69)))*-W69</f>
        <v>0</v>
      </c>
      <c r="AH69" s="343">
        <f t="shared" si="17"/>
        <v>0</v>
      </c>
      <c r="AI69" s="338">
        <f>(-Y69/((HLOOKUP(AG$5,port_specs,2,0)/(365.25))*(AC70-AC69)))*(INDEX(fixed_capacity_charge,MATCH(AC69,PORTS!$H$11:$H$317,0),MATCH(AG$5,PORTS!$H$11:$N$11,0))+INDEX(variable_om_charge,MATCH(AC69,PORTS!$H$318:$H$625,0),MATCH(AG$5,PORTS!$H$318:$N$318,0)))</f>
        <v>0</v>
      </c>
      <c r="AJ69" s="232">
        <f t="shared" si="18"/>
        <v>0</v>
      </c>
      <c r="AK69" s="241">
        <f t="shared" si="19"/>
        <v>0</v>
      </c>
      <c r="AM69" s="186">
        <f t="shared" si="30"/>
        <v>38261</v>
      </c>
      <c r="AN69" s="215">
        <f t="shared" si="20"/>
        <v>5395761.4773599124</v>
      </c>
      <c r="AO69" s="191">
        <f t="shared" si="21"/>
        <v>-56655.495512278751</v>
      </c>
      <c r="AP69" s="218">
        <f>+IF(AND(AO$8&lt;=AM69,AO$9&gt;=AM69),+MIN($B69-SUMIF($H$17:AO$17,AP$17,$H69:AO69),((INDEX(ROUTE_PER_DAY_BY_SHIP,MATCH(CONCATENATE(AO$4,AO$5,AO$7),ROUTE_PER_DAY_ROUTES,0),MATCH(AO$6,ROUTE_PER_DAY_SHIPS,0))*(AM70-AM69))-(INDEX(ROUTE_PER_DAY_BY_SHIP,MATCH(CONCATENATE(AO$4,AO$5,AO$7),ROUTE_PER_DAY_ROUTES,0),MATCH(AO$6,ROUTE_PER_DAY_SHIPS,0))*(AM70-AM69))*HLOOKUP(AO$6,SHIPS,7,0)*INDEX(LADEN_VOYAGE_DAYS,MATCH(CONCATENATE(AO$4,AO$5,AO$7),LADEN_VOYAGE_ROUTES,0),MATCH(AO$6,LADEN_VOYAGE_SHIPS,0)))),0)</f>
        <v>5339105.9818476336</v>
      </c>
      <c r="AQ69" s="118">
        <f>-(AP69)*PORTS!$I$6</f>
        <v>-133477.64954619083</v>
      </c>
      <c r="AR69" s="215">
        <f t="shared" si="4"/>
        <v>5205628.3323014425</v>
      </c>
      <c r="AS69" s="202"/>
      <c r="AT69" s="186">
        <f t="shared" si="31"/>
        <v>38261</v>
      </c>
      <c r="AU69" s="232">
        <f>+AR69*(VLOOKUP(AT69,CURVECALC!$C$6:$J$312,4,0)+AV$5)</f>
        <v>16225943.511783596</v>
      </c>
      <c r="AV69" s="208">
        <f>-AN69*INDEX(ship_curves,MATCH(AT69,'SHIP CURVES'!$A$9:$A$316,0),MATCH(CONCATENATE(AX$4,AX$5,AX$6,AX$7),'SHIP CURVES'!$A$9:$AZ$9,0))</f>
        <v>-1760914.7586215618</v>
      </c>
      <c r="AW69" s="209">
        <f>-AP69*INDEX(port_processing_fee,MATCH(AT69,PORTS!$H$626:$H$933,0),MATCH(AX$5,PORTS!$H$626:$Z$626,0))</f>
        <v>-149142.50936031167</v>
      </c>
      <c r="AX69" s="405">
        <f>(((VLOOKUP(AT69,curvecalc,4,0))*IF(AN69=0,0,AR69/AN69)-INDEX(ship_curves,MATCH(AT69,'SHIP CURVES'!$A$9:$A$316,0),MATCH(CONCATENATE(AX$4,AX$5,AX$6,AX$7),'SHIP CURVES'!$A$9:$Z$9,0))-INDEX(terminal_curves,MATCH(AT69,'TERMINAL CURVES'!$A$4:$A$313,0),MATCH(AX$5,'TERMINAL CURVES'!$A$4:$N$4,0))*IF(AN69=0,0,AP69/AN69))-(AV$8)*((AV$7-$N$5)-(INDEX(ship_curves,MATCH(AT69,'SHIP CURVES'!$A$9:$A$316,0),MATCH(CONCATENATE(AX$4,AX$5,AX$6,AX$7),'SHIP CURVES'!$A$9:$Z$9,0))-INDEX(ship_curves,MATCH(AT69,'SHIP CURVES'!$A$9:$A$316,0),MATCH(CONCATENATE(AX$4,AV$6,AX$6,AX$7),'SHIP CURVES'!$A$9:$Z$9,0)))-(INDEX(terminal_curves,MATCH(AT69,'TERMINAL CURVES'!$A$4:$A$313,0),MATCH(AX$5,'TERMINAL CURVES'!$A$4:$N$4,0))-INDEX(terminal_curves,MATCH(AT69,'TERMINAL CURVES'!$A$4:$A$313,0),MATCH(AV$6,'TERMINAL CURVES'!$A$4:$N$4,0)))*IF(AN69=0,0,AP69/AN69)))*-AN69</f>
        <v>-13246110.549172413</v>
      </c>
      <c r="AY69" s="343">
        <f t="shared" si="22"/>
        <v>-15156167.817154286</v>
      </c>
      <c r="AZ69" s="338">
        <f>(-AP69/((HLOOKUP(AX$5,port_specs,2,0)/(365.25))*(AT70-AT69)))*(INDEX(fixed_capacity_charge,MATCH(AT69,PORTS!$H$11:$H$317,0),MATCH(AX$5,PORTS!$H$11:$N$11,0))+INDEX(variable_om_charge,MATCH(AT69,PORTS!$H$318:$H$625,0),MATCH(AX$5,PORTS!$H$318:$N$318,0)))</f>
        <v>-965663.12798327906</v>
      </c>
      <c r="BA69" s="232">
        <f t="shared" si="23"/>
        <v>-16121830.945137566</v>
      </c>
      <c r="BB69" s="241">
        <f t="shared" si="24"/>
        <v>104112.56664603017</v>
      </c>
      <c r="BC69" s="408"/>
      <c r="BD69" s="338">
        <f>+PORTS!I63+PORTS!I371</f>
        <v>965663.12798327906</v>
      </c>
    </row>
    <row r="70" spans="1:56" x14ac:dyDescent="0.2">
      <c r="A70" s="186">
        <f t="shared" si="25"/>
        <v>38292</v>
      </c>
      <c r="B70" s="215">
        <f>+IF(AND($A70&gt;=$C$8,$A70&lt;=$C$9),1,0)*PORTS!$I$5/(365.25)*(A71-A70)</f>
        <v>5166876.756626742</v>
      </c>
      <c r="C70" s="351">
        <f t="shared" si="5"/>
        <v>0</v>
      </c>
      <c r="D70">
        <f t="shared" si="6"/>
        <v>2004</v>
      </c>
      <c r="E70" s="186">
        <f t="shared" si="26"/>
        <v>38292</v>
      </c>
      <c r="F70" s="215">
        <f t="shared" si="7"/>
        <v>0</v>
      </c>
      <c r="G70" s="191">
        <f t="shared" si="8"/>
        <v>0</v>
      </c>
      <c r="H70" s="218">
        <f t="shared" si="9"/>
        <v>0</v>
      </c>
      <c r="I70" s="118">
        <f t="shared" si="10"/>
        <v>0</v>
      </c>
      <c r="J70" s="215">
        <f t="shared" si="2"/>
        <v>0</v>
      </c>
      <c r="K70" s="202"/>
      <c r="L70" s="186">
        <f t="shared" si="27"/>
        <v>38292</v>
      </c>
      <c r="M70" s="400">
        <f>+J70*(VLOOKUP(L70,CURVECALC!$C$6:$J$312,4,0)+N$5)</f>
        <v>0</v>
      </c>
      <c r="N70" s="208">
        <f>-F70*INDEX(ship_curves,MATCH(L70,'SHIP CURVES'!$A$9:$A$316,0),MATCH(CONCATENATE(P$4,P$5,P$6,P$7),'SHIP CURVES'!$A$9:$AZ$9,0))</f>
        <v>0</v>
      </c>
      <c r="O70" s="209">
        <f>-H70*INDEX(port_processing_fee,MATCH(L70,PORTS!$H$626:$H$933,0),MATCH(P$5,PORTS!$H$626:$Z$626,0))</f>
        <v>0</v>
      </c>
      <c r="P70" s="405">
        <f>(((VLOOKUP(L70,curvecalc,4,0))*IF(F70=0,0,J70/F70)-INDEX(ship_curves,MATCH(L70,'SHIP CURVES'!$A$9:$A$316,0),MATCH(CONCATENATE(P$4,P$5,P$6,P$7),'SHIP CURVES'!$A$9:$Z$9,0))-INDEX(terminal_curves,MATCH(L70,'TERMINAL CURVES'!$A$4:$A$313,0),MATCH(P$5,'TERMINAL CURVES'!$A$4:$N$4,0))*IF(F70=0,0,H70/F70))-(N$8)*((N$7-$N$5)-(INDEX(ship_curves,MATCH(L70,'SHIP CURVES'!$A$9:$A$316,0),MATCH(CONCATENATE(P$4,P$5,P$6,P$7),'SHIP CURVES'!$A$9:$Z$9,0))-INDEX(ship_curves,MATCH(L70,'SHIP CURVES'!$A$9:$A$316,0),MATCH(CONCATENATE(P$4,N$6,P$6,P$7),'SHIP CURVES'!$A$9:$Z$9,0)))-(INDEX(terminal_curves,MATCH(L70,'TERMINAL CURVES'!$A$4:$A$313,0),MATCH(P$5,'TERMINAL CURVES'!$A$4:$N$4,0))-INDEX(terminal_curves,MATCH(L70,'TERMINAL CURVES'!$A$4:$A$313,0),MATCH(N$6,'TERMINAL CURVES'!$A$4:$N$4,0)))*IF(F70=0,0,H70/F70)))*-F70</f>
        <v>0</v>
      </c>
      <c r="Q70" s="403">
        <f t="shared" si="11"/>
        <v>0</v>
      </c>
      <c r="R70" s="338">
        <f>(-H70/((HLOOKUP(P$5,port_specs,2,0)/(365.25))*(L71-L70)))*(INDEX(fixed_capacity_charge,MATCH(L70,PORTS!$H$11:$H$317,0),MATCH(P$5,PORTS!$H$11:$N$11,0))+INDEX(variable_om_charge,MATCH(L70,PORTS!$H$318:$H$625,0),MATCH(P$5,PORTS!$H$318:$N$318,0)))</f>
        <v>0</v>
      </c>
      <c r="S70" s="232">
        <f t="shared" si="12"/>
        <v>0</v>
      </c>
      <c r="T70" s="241">
        <f t="shared" si="13"/>
        <v>0</v>
      </c>
      <c r="U70" s="431"/>
      <c r="V70" s="186">
        <f t="shared" si="28"/>
        <v>38292</v>
      </c>
      <c r="W70" s="215">
        <f t="shared" si="14"/>
        <v>0</v>
      </c>
      <c r="X70" s="191">
        <f t="shared" si="15"/>
        <v>0</v>
      </c>
      <c r="Y70" s="218">
        <f>+IF(AND(X$8&lt;=V70,X$9&gt;=V70),+MIN($B70-SUMIF($H$17:X$17,Y$17,$H70:X70),((INDEX(ROUTE_PER_DAY_BY_SHIP,MATCH(CONCATENATE(X$4,X$5,X$7),ROUTE_PER_DAY_ROUTES,0),MATCH(X$6,ROUTE_PER_DAY_SHIPS,0))*(V71-V70))-(INDEX(ROUTE_PER_DAY_BY_SHIP,MATCH(CONCATENATE(X$4,X$5,X$7),ROUTE_PER_DAY_ROUTES,0),MATCH(X$6,ROUTE_PER_DAY_SHIPS,0))*(V71-V70))*HLOOKUP(X$6,SHIPS,7,0)*INDEX(LADEN_VOYAGE_DAYS,MATCH(CONCATENATE(X$4,X$5,X$7),LADEN_VOYAGE_ROUTES,0),MATCH(X$6,LADEN_VOYAGE_SHIPS,0)))),0)</f>
        <v>0</v>
      </c>
      <c r="Z70" s="118">
        <f t="shared" si="16"/>
        <v>0</v>
      </c>
      <c r="AA70" s="215">
        <f t="shared" si="3"/>
        <v>0</v>
      </c>
      <c r="AB70" s="202"/>
      <c r="AC70" s="186">
        <f t="shared" si="29"/>
        <v>38292</v>
      </c>
      <c r="AD70" s="232">
        <f>+AA70*(VLOOKUP(AC70,CURVECALC!$C$6:$J$312,4,0)+AE$5)</f>
        <v>0</v>
      </c>
      <c r="AE70" s="208">
        <f>-W70*INDEX(ship_curves,MATCH(AC70,'SHIP CURVES'!$A$9:$A$316,0),MATCH(CONCATENATE(AG$4,AG$5,AG$6,AG$7),'SHIP CURVES'!$A$9:$AZ$9,0))</f>
        <v>0</v>
      </c>
      <c r="AF70" s="209">
        <f>-Y70*INDEX(port_processing_fee,MATCH(AC70,PORTS!$H$626:$H$933,0),MATCH(AG$5,PORTS!$H$626:$Z$626,0))</f>
        <v>0</v>
      </c>
      <c r="AG70" s="405">
        <f>(((VLOOKUP(AC70,curvecalc,4,0))*IF(W70=0,0,AA70/W70)-INDEX(ship_curves,MATCH(AC70,'SHIP CURVES'!$A$9:$A$316,0),MATCH(CONCATENATE(AG$4,AG$5,AG$6,AG$7),'SHIP CURVES'!$A$9:$Z$9,0))-INDEX(terminal_curves,MATCH(AC70,'TERMINAL CURVES'!$A$4:$A$313,0),MATCH(AG$5,'TERMINAL CURVES'!$A$4:$N$4,0))*IF(W70=0,0,Y70/W70))-(AE$8)*((AE$7-$N$5)-(INDEX(ship_curves,MATCH(AC70,'SHIP CURVES'!$A$9:$A$316,0),MATCH(CONCATENATE(AG$4,AG$5,AG$6,AG$7),'SHIP CURVES'!$A$9:$Z$9,0))-INDEX(ship_curves,MATCH(AC70,'SHIP CURVES'!$A$9:$A$316,0),MATCH(CONCATENATE(AG$4,AE$6,AG$6,AG$7),'SHIP CURVES'!$A$9:$Z$9,0)))-(INDEX(terminal_curves,MATCH(AC70,'TERMINAL CURVES'!$A$4:$A$313,0),MATCH(AG$5,'TERMINAL CURVES'!$A$4:$N$4,0))-INDEX(terminal_curves,MATCH(AC70,'TERMINAL CURVES'!$A$4:$A$313,0),MATCH(AE$6,'TERMINAL CURVES'!$A$4:$N$4,0)))*IF(W70=0,0,Y70/W70)))*-W70</f>
        <v>0</v>
      </c>
      <c r="AH70" s="343">
        <f t="shared" si="17"/>
        <v>0</v>
      </c>
      <c r="AI70" s="338">
        <f>(-Y70/((HLOOKUP(AG$5,port_specs,2,0)/(365.25))*(AC71-AC70)))*(INDEX(fixed_capacity_charge,MATCH(AC70,PORTS!$H$11:$H$317,0),MATCH(AG$5,PORTS!$H$11:$N$11,0))+INDEX(variable_om_charge,MATCH(AC70,PORTS!$H$318:$H$625,0),MATCH(AG$5,PORTS!$H$318:$N$318,0)))</f>
        <v>0</v>
      </c>
      <c r="AJ70" s="232">
        <f t="shared" si="18"/>
        <v>0</v>
      </c>
      <c r="AK70" s="241">
        <f t="shared" si="19"/>
        <v>0</v>
      </c>
      <c r="AM70" s="186">
        <f t="shared" si="30"/>
        <v>38292</v>
      </c>
      <c r="AN70" s="215">
        <f t="shared" si="20"/>
        <v>5221704.655509592</v>
      </c>
      <c r="AO70" s="191">
        <f t="shared" si="21"/>
        <v>-54827.898882850073</v>
      </c>
      <c r="AP70" s="218">
        <f>+IF(AND(AO$8&lt;=AM70,AO$9&gt;=AM70),+MIN($B70-SUMIF($H$17:AO$17,AP$17,$H70:AO70),((INDEX(ROUTE_PER_DAY_BY_SHIP,MATCH(CONCATENATE(AO$4,AO$5,AO$7),ROUTE_PER_DAY_ROUTES,0),MATCH(AO$6,ROUTE_PER_DAY_SHIPS,0))*(AM71-AM70))-(INDEX(ROUTE_PER_DAY_BY_SHIP,MATCH(CONCATENATE(AO$4,AO$5,AO$7),ROUTE_PER_DAY_ROUTES,0),MATCH(AO$6,ROUTE_PER_DAY_SHIPS,0))*(AM71-AM70))*HLOOKUP(AO$6,SHIPS,7,0)*INDEX(LADEN_VOYAGE_DAYS,MATCH(CONCATENATE(AO$4,AO$5,AO$7),LADEN_VOYAGE_ROUTES,0),MATCH(AO$6,LADEN_VOYAGE_SHIPS,0)))),0)</f>
        <v>5166876.756626742</v>
      </c>
      <c r="AQ70" s="118">
        <f>-(AP70)*PORTS!$I$6</f>
        <v>-129171.91891566856</v>
      </c>
      <c r="AR70" s="215">
        <f t="shared" si="4"/>
        <v>5037704.8377110735</v>
      </c>
      <c r="AS70" s="202"/>
      <c r="AT70" s="186">
        <f t="shared" si="31"/>
        <v>38292</v>
      </c>
      <c r="AU70" s="232">
        <f>+AR70*(VLOOKUP(AT70,CURVECALC!$C$6:$J$312,4,0)+AV$5)</f>
        <v>16226447.282267367</v>
      </c>
      <c r="AV70" s="208">
        <f>-AN70*INDEX(ship_curves,MATCH(AT70,'SHIP CURVES'!$A$9:$A$316,0),MATCH(CONCATENATE(AX$4,AX$5,AX$6,AX$7),'SHIP CURVES'!$A$9:$AZ$9,0))</f>
        <v>-1704568.6918749094</v>
      </c>
      <c r="AW70" s="209">
        <f>-AP70*INDEX(port_processing_fee,MATCH(AT70,PORTS!$H$626:$H$933,0),MATCH(AX$5,PORTS!$H$626:$Z$626,0))</f>
        <v>-144481.8059428019</v>
      </c>
      <c r="AX70" s="405">
        <f>(((VLOOKUP(AT70,curvecalc,4,0))*IF(AN70=0,0,AR70/AN70)-INDEX(ship_curves,MATCH(AT70,'SHIP CURVES'!$A$9:$A$316,0),MATCH(CONCATENATE(AX$4,AX$5,AX$6,AX$7),'SHIP CURVES'!$A$9:$Z$9,0))-INDEX(terminal_curves,MATCH(AT70,'TERMINAL CURVES'!$A$4:$A$313,0),MATCH(AX$5,'TERMINAL CURVES'!$A$4:$N$4,0))*IF(AN70=0,0,AP70/AN70))-(AV$8)*((AV$7-$N$5)-(INDEX(ship_curves,MATCH(AT70,'SHIP CURVES'!$A$9:$A$316,0),MATCH(CONCATENATE(AX$4,AX$5,AX$6,AX$7),'SHIP CURVES'!$A$9:$Z$9,0))-INDEX(ship_curves,MATCH(AT70,'SHIP CURVES'!$A$9:$A$316,0),MATCH(CONCATENATE(AX$4,AV$6,AX$6,AX$7),'SHIP CURVES'!$A$9:$Z$9,0)))-(INDEX(terminal_curves,MATCH(AT70,'TERMINAL CURVES'!$A$4:$A$313,0),MATCH(AX$5,'TERMINAL CURVES'!$A$4:$N$4,0))-INDEX(terminal_curves,MATCH(AT70,'TERMINAL CURVES'!$A$4:$A$313,0),MATCH(AV$6,'TERMINAL CURVES'!$A$4:$N$4,0)))*IF(AN70=0,0,AP70/AN70)))*-AN70</f>
        <v>-13310479.063298535</v>
      </c>
      <c r="AY70" s="343">
        <f t="shared" si="22"/>
        <v>-15159529.561116247</v>
      </c>
      <c r="AZ70" s="338">
        <f>(-AP70/((HLOOKUP(AX$5,port_specs,2,0)/(365.25))*(AT71-AT70)))*(INDEX(fixed_capacity_charge,MATCH(AT70,PORTS!$H$11:$H$317,0),MATCH(AX$5,PORTS!$H$11:$N$11,0))+INDEX(variable_om_charge,MATCH(AT70,PORTS!$H$318:$H$625,0),MATCH(AX$5,PORTS!$H$318:$N$318,0)))</f>
        <v>-966163.62439689878</v>
      </c>
      <c r="BA70" s="232">
        <f t="shared" si="23"/>
        <v>-16125693.185513146</v>
      </c>
      <c r="BB70" s="241">
        <f t="shared" si="24"/>
        <v>100754.09675422125</v>
      </c>
      <c r="BC70" s="408"/>
      <c r="BD70" s="338">
        <f>+PORTS!I64+PORTS!I372</f>
        <v>966163.62439689878</v>
      </c>
    </row>
    <row r="71" spans="1:56" x14ac:dyDescent="0.2">
      <c r="A71" s="186">
        <f t="shared" si="25"/>
        <v>38322</v>
      </c>
      <c r="B71" s="215">
        <f>+IF(AND($A71&gt;=$C$8,$A71&lt;=$C$9),1,0)*PORTS!$I$5/(365.25)*(A72-A71)</f>
        <v>5339105.9818476336</v>
      </c>
      <c r="C71" s="351">
        <f t="shared" si="5"/>
        <v>0</v>
      </c>
      <c r="D71">
        <f t="shared" si="6"/>
        <v>2004</v>
      </c>
      <c r="E71" s="186">
        <f t="shared" si="26"/>
        <v>38322</v>
      </c>
      <c r="F71" s="215">
        <f t="shared" si="7"/>
        <v>0</v>
      </c>
      <c r="G71" s="191">
        <f t="shared" si="8"/>
        <v>0</v>
      </c>
      <c r="H71" s="218">
        <f t="shared" si="9"/>
        <v>0</v>
      </c>
      <c r="I71" s="118">
        <f t="shared" si="10"/>
        <v>0</v>
      </c>
      <c r="J71" s="215">
        <f t="shared" si="2"/>
        <v>0</v>
      </c>
      <c r="K71" s="202"/>
      <c r="L71" s="186">
        <f t="shared" si="27"/>
        <v>38322</v>
      </c>
      <c r="M71" s="400">
        <f>+J71*(VLOOKUP(L71,CURVECALC!$C$6:$J$312,4,0)+N$5)</f>
        <v>0</v>
      </c>
      <c r="N71" s="208">
        <f>-F71*INDEX(ship_curves,MATCH(L71,'SHIP CURVES'!$A$9:$A$316,0),MATCH(CONCATENATE(P$4,P$5,P$6,P$7),'SHIP CURVES'!$A$9:$AZ$9,0))</f>
        <v>0</v>
      </c>
      <c r="O71" s="209">
        <f>-H71*INDEX(port_processing_fee,MATCH(L71,PORTS!$H$626:$H$933,0),MATCH(P$5,PORTS!$H$626:$Z$626,0))</f>
        <v>0</v>
      </c>
      <c r="P71" s="405">
        <f>(((VLOOKUP(L71,curvecalc,4,0))*IF(F71=0,0,J71/F71)-INDEX(ship_curves,MATCH(L71,'SHIP CURVES'!$A$9:$A$316,0),MATCH(CONCATENATE(P$4,P$5,P$6,P$7),'SHIP CURVES'!$A$9:$Z$9,0))-INDEX(terminal_curves,MATCH(L71,'TERMINAL CURVES'!$A$4:$A$313,0),MATCH(P$5,'TERMINAL CURVES'!$A$4:$N$4,0))*IF(F71=0,0,H71/F71))-(N$8)*((N$7-$N$5)-(INDEX(ship_curves,MATCH(L71,'SHIP CURVES'!$A$9:$A$316,0),MATCH(CONCATENATE(P$4,P$5,P$6,P$7),'SHIP CURVES'!$A$9:$Z$9,0))-INDEX(ship_curves,MATCH(L71,'SHIP CURVES'!$A$9:$A$316,0),MATCH(CONCATENATE(P$4,N$6,P$6,P$7),'SHIP CURVES'!$A$9:$Z$9,0)))-(INDEX(terminal_curves,MATCH(L71,'TERMINAL CURVES'!$A$4:$A$313,0),MATCH(P$5,'TERMINAL CURVES'!$A$4:$N$4,0))-INDEX(terminal_curves,MATCH(L71,'TERMINAL CURVES'!$A$4:$A$313,0),MATCH(N$6,'TERMINAL CURVES'!$A$4:$N$4,0)))*IF(F71=0,0,H71/F71)))*-F71</f>
        <v>0</v>
      </c>
      <c r="Q71" s="403">
        <f t="shared" si="11"/>
        <v>0</v>
      </c>
      <c r="R71" s="338">
        <f>(-H71/((HLOOKUP(P$5,port_specs,2,0)/(365.25))*(L72-L71)))*(INDEX(fixed_capacity_charge,MATCH(L71,PORTS!$H$11:$H$317,0),MATCH(P$5,PORTS!$H$11:$N$11,0))+INDEX(variable_om_charge,MATCH(L71,PORTS!$H$318:$H$625,0),MATCH(P$5,PORTS!$H$318:$N$318,0)))</f>
        <v>0</v>
      </c>
      <c r="S71" s="232">
        <f t="shared" si="12"/>
        <v>0</v>
      </c>
      <c r="T71" s="241">
        <f t="shared" si="13"/>
        <v>0</v>
      </c>
      <c r="U71" s="431"/>
      <c r="V71" s="186">
        <f t="shared" si="28"/>
        <v>38322</v>
      </c>
      <c r="W71" s="215">
        <f t="shared" si="14"/>
        <v>0</v>
      </c>
      <c r="X71" s="191">
        <f t="shared" si="15"/>
        <v>0</v>
      </c>
      <c r="Y71" s="218">
        <f>+IF(AND(X$8&lt;=V71,X$9&gt;=V71),+MIN($B71-SUMIF($H$17:X$17,Y$17,$H71:X71),((INDEX(ROUTE_PER_DAY_BY_SHIP,MATCH(CONCATENATE(X$4,X$5,X$7),ROUTE_PER_DAY_ROUTES,0),MATCH(X$6,ROUTE_PER_DAY_SHIPS,0))*(V72-V71))-(INDEX(ROUTE_PER_DAY_BY_SHIP,MATCH(CONCATENATE(X$4,X$5,X$7),ROUTE_PER_DAY_ROUTES,0),MATCH(X$6,ROUTE_PER_DAY_SHIPS,0))*(V72-V71))*HLOOKUP(X$6,SHIPS,7,0)*INDEX(LADEN_VOYAGE_DAYS,MATCH(CONCATENATE(X$4,X$5,X$7),LADEN_VOYAGE_ROUTES,0),MATCH(X$6,LADEN_VOYAGE_SHIPS,0)))),0)</f>
        <v>0</v>
      </c>
      <c r="Z71" s="118">
        <f t="shared" si="16"/>
        <v>0</v>
      </c>
      <c r="AA71" s="215">
        <f t="shared" si="3"/>
        <v>0</v>
      </c>
      <c r="AB71" s="202"/>
      <c r="AC71" s="186">
        <f t="shared" si="29"/>
        <v>38322</v>
      </c>
      <c r="AD71" s="232">
        <f>+AA71*(VLOOKUP(AC71,CURVECALC!$C$6:$J$312,4,0)+AE$5)</f>
        <v>0</v>
      </c>
      <c r="AE71" s="208">
        <f>-W71*INDEX(ship_curves,MATCH(AC71,'SHIP CURVES'!$A$9:$A$316,0),MATCH(CONCATENATE(AG$4,AG$5,AG$6,AG$7),'SHIP CURVES'!$A$9:$AZ$9,0))</f>
        <v>0</v>
      </c>
      <c r="AF71" s="209">
        <f>-Y71*INDEX(port_processing_fee,MATCH(AC71,PORTS!$H$626:$H$933,0),MATCH(AG$5,PORTS!$H$626:$Z$626,0))</f>
        <v>0</v>
      </c>
      <c r="AG71" s="405">
        <f>(((VLOOKUP(AC71,curvecalc,4,0))*IF(W71=0,0,AA71/W71)-INDEX(ship_curves,MATCH(AC71,'SHIP CURVES'!$A$9:$A$316,0),MATCH(CONCATENATE(AG$4,AG$5,AG$6,AG$7),'SHIP CURVES'!$A$9:$Z$9,0))-INDEX(terminal_curves,MATCH(AC71,'TERMINAL CURVES'!$A$4:$A$313,0),MATCH(AG$5,'TERMINAL CURVES'!$A$4:$N$4,0))*IF(W71=0,0,Y71/W71))-(AE$8)*((AE$7-$N$5)-(INDEX(ship_curves,MATCH(AC71,'SHIP CURVES'!$A$9:$A$316,0),MATCH(CONCATENATE(AG$4,AG$5,AG$6,AG$7),'SHIP CURVES'!$A$9:$Z$9,0))-INDEX(ship_curves,MATCH(AC71,'SHIP CURVES'!$A$9:$A$316,0),MATCH(CONCATENATE(AG$4,AE$6,AG$6,AG$7),'SHIP CURVES'!$A$9:$Z$9,0)))-(INDEX(terminal_curves,MATCH(AC71,'TERMINAL CURVES'!$A$4:$A$313,0),MATCH(AG$5,'TERMINAL CURVES'!$A$4:$N$4,0))-INDEX(terminal_curves,MATCH(AC71,'TERMINAL CURVES'!$A$4:$A$313,0),MATCH(AE$6,'TERMINAL CURVES'!$A$4:$N$4,0)))*IF(W71=0,0,Y71/W71)))*-W71</f>
        <v>0</v>
      </c>
      <c r="AH71" s="343">
        <f t="shared" si="17"/>
        <v>0</v>
      </c>
      <c r="AI71" s="338">
        <f>(-Y71/((HLOOKUP(AG$5,port_specs,2,0)/(365.25))*(AC72-AC71)))*(INDEX(fixed_capacity_charge,MATCH(AC71,PORTS!$H$11:$H$317,0),MATCH(AG$5,PORTS!$H$11:$N$11,0))+INDEX(variable_om_charge,MATCH(AC71,PORTS!$H$318:$H$625,0),MATCH(AG$5,PORTS!$H$318:$N$318,0)))</f>
        <v>0</v>
      </c>
      <c r="AJ71" s="232">
        <f t="shared" si="18"/>
        <v>0</v>
      </c>
      <c r="AK71" s="241">
        <f t="shared" si="19"/>
        <v>0</v>
      </c>
      <c r="AM71" s="186">
        <f t="shared" si="30"/>
        <v>38322</v>
      </c>
      <c r="AN71" s="215">
        <f t="shared" si="20"/>
        <v>5395761.4773599124</v>
      </c>
      <c r="AO71" s="191">
        <f t="shared" si="21"/>
        <v>-56655.495512278751</v>
      </c>
      <c r="AP71" s="218">
        <f>+IF(AND(AO$8&lt;=AM71,AO$9&gt;=AM71),+MIN($B71-SUMIF($H$17:AO$17,AP$17,$H71:AO71),((INDEX(ROUTE_PER_DAY_BY_SHIP,MATCH(CONCATENATE(AO$4,AO$5,AO$7),ROUTE_PER_DAY_ROUTES,0),MATCH(AO$6,ROUTE_PER_DAY_SHIPS,0))*(AM72-AM71))-(INDEX(ROUTE_PER_DAY_BY_SHIP,MATCH(CONCATENATE(AO$4,AO$5,AO$7),ROUTE_PER_DAY_ROUTES,0),MATCH(AO$6,ROUTE_PER_DAY_SHIPS,0))*(AM72-AM71))*HLOOKUP(AO$6,SHIPS,7,0)*INDEX(LADEN_VOYAGE_DAYS,MATCH(CONCATENATE(AO$4,AO$5,AO$7),LADEN_VOYAGE_ROUTES,0),MATCH(AO$6,LADEN_VOYAGE_SHIPS,0)))),0)</f>
        <v>5339105.9818476336</v>
      </c>
      <c r="AQ71" s="118">
        <f>-(AP71)*PORTS!$I$6</f>
        <v>-133477.64954619083</v>
      </c>
      <c r="AR71" s="215">
        <f t="shared" si="4"/>
        <v>5205628.3323014425</v>
      </c>
      <c r="AS71" s="202"/>
      <c r="AT71" s="186">
        <f t="shared" si="31"/>
        <v>38322</v>
      </c>
      <c r="AU71" s="232">
        <f>+AR71*(VLOOKUP(AT71,CURVECALC!$C$6:$J$312,4,0)+AV$5)</f>
        <v>17298302.948237695</v>
      </c>
      <c r="AV71" s="208">
        <f>-AN71*INDEX(ship_curves,MATCH(AT71,'SHIP CURVES'!$A$9:$A$316,0),MATCH(CONCATENATE(AX$4,AX$5,AX$6,AX$7),'SHIP CURVES'!$A$9:$AZ$9,0))</f>
        <v>-1761861.5231066865</v>
      </c>
      <c r="AW71" s="209">
        <f>-AP71*INDEX(port_processing_fee,MATCH(AT71,PORTS!$H$626:$H$933,0),MATCH(AX$5,PORTS!$H$626:$Z$626,0))</f>
        <v>-149453.38475145874</v>
      </c>
      <c r="AX71" s="405">
        <f>(((VLOOKUP(AT71,curvecalc,4,0))*IF(AN71=0,0,AR71/AN71)-INDEX(ship_curves,MATCH(AT71,'SHIP CURVES'!$A$9:$A$316,0),MATCH(CONCATENATE(AX$4,AX$5,AX$6,AX$7),'SHIP CURVES'!$A$9:$Z$9,0))-INDEX(terminal_curves,MATCH(AT71,'TERMINAL CURVES'!$A$4:$A$313,0),MATCH(AX$5,'TERMINAL CURVES'!$A$4:$N$4,0))*IF(AN71=0,0,AP71/AN71))-(AV$8)*((AV$7-$N$5)-(INDEX(ship_curves,MATCH(AT71,'SHIP CURVES'!$A$9:$A$316,0),MATCH(CONCATENATE(AX$4,AX$5,AX$6,AX$7),'SHIP CURVES'!$A$9:$Z$9,0))-INDEX(ship_curves,MATCH(AT71,'SHIP CURVES'!$A$9:$A$316,0),MATCH(CONCATENATE(AX$4,AV$6,AX$6,AX$7),'SHIP CURVES'!$A$9:$Z$9,0)))-(INDEX(terminal_curves,MATCH(AT71,'TERMINAL CURVES'!$A$4:$A$313,0),MATCH(AX$5,'TERMINAL CURVES'!$A$4:$N$4,0))-INDEX(terminal_curves,MATCH(AT71,'TERMINAL CURVES'!$A$4:$A$313,0),MATCH(AV$6,'TERMINAL CURVES'!$A$4:$N$4,0)))*IF(AN71=0,0,AP71/AN71)))*-AN71</f>
        <v>-14316210.831572572</v>
      </c>
      <c r="AY71" s="343">
        <f t="shared" si="22"/>
        <v>-16227525.739430716</v>
      </c>
      <c r="AZ71" s="338">
        <f>(-AP71/((HLOOKUP(AX$5,port_specs,2,0)/(365.25))*(AT72-AT71)))*(INDEX(fixed_capacity_charge,MATCH(AT71,PORTS!$H$11:$H$317,0),MATCH(AX$5,PORTS!$H$11:$N$11,0))+INDEX(variable_om_charge,MATCH(AT71,PORTS!$H$318:$H$625,0),MATCH(AX$5,PORTS!$H$318:$N$318,0)))</f>
        <v>-966664.64216094941</v>
      </c>
      <c r="BA71" s="232">
        <f t="shared" si="23"/>
        <v>-17194190.381591666</v>
      </c>
      <c r="BB71" s="241">
        <f t="shared" si="24"/>
        <v>104112.56664602831</v>
      </c>
      <c r="BC71" s="408"/>
      <c r="BD71" s="338">
        <f>+PORTS!I65+PORTS!I373</f>
        <v>966664.64216094941</v>
      </c>
    </row>
    <row r="72" spans="1:56" x14ac:dyDescent="0.2">
      <c r="A72" s="186">
        <f t="shared" si="25"/>
        <v>38353</v>
      </c>
      <c r="B72" s="215">
        <f>+IF(AND($A72&gt;=$C$8,$A72&lt;=$C$9),1,0)*PORTS!$I$5/(365.25)*(A73-A72)</f>
        <v>5339105.9818476336</v>
      </c>
      <c r="C72" s="351">
        <f t="shared" si="5"/>
        <v>0</v>
      </c>
      <c r="D72">
        <f t="shared" si="6"/>
        <v>2005</v>
      </c>
      <c r="E72" s="186">
        <f t="shared" si="26"/>
        <v>38353</v>
      </c>
      <c r="F72" s="215">
        <f t="shared" si="7"/>
        <v>0</v>
      </c>
      <c r="G72" s="191">
        <f t="shared" si="8"/>
        <v>0</v>
      </c>
      <c r="H72" s="218">
        <f t="shared" si="9"/>
        <v>0</v>
      </c>
      <c r="I72" s="118">
        <f t="shared" si="10"/>
        <v>0</v>
      </c>
      <c r="J72" s="215">
        <f t="shared" si="2"/>
        <v>0</v>
      </c>
      <c r="K72" s="202"/>
      <c r="L72" s="186">
        <f t="shared" si="27"/>
        <v>38353</v>
      </c>
      <c r="M72" s="400">
        <f>+J72*(VLOOKUP(L72,CURVECALC!$C$6:$J$312,4,0)+N$5)</f>
        <v>0</v>
      </c>
      <c r="N72" s="208">
        <f>-F72*INDEX(ship_curves,MATCH(L72,'SHIP CURVES'!$A$9:$A$316,0),MATCH(CONCATENATE(P$4,P$5,P$6,P$7),'SHIP CURVES'!$A$9:$AZ$9,0))</f>
        <v>0</v>
      </c>
      <c r="O72" s="209">
        <f>-H72*INDEX(port_processing_fee,MATCH(L72,PORTS!$H$626:$H$933,0),MATCH(P$5,PORTS!$H$626:$Z$626,0))</f>
        <v>0</v>
      </c>
      <c r="P72" s="405">
        <f>(((VLOOKUP(L72,curvecalc,4,0))*IF(F72=0,0,J72/F72)-INDEX(ship_curves,MATCH(L72,'SHIP CURVES'!$A$9:$A$316,0),MATCH(CONCATENATE(P$4,P$5,P$6,P$7),'SHIP CURVES'!$A$9:$Z$9,0))-INDEX(terminal_curves,MATCH(L72,'TERMINAL CURVES'!$A$4:$A$313,0),MATCH(P$5,'TERMINAL CURVES'!$A$4:$N$4,0))*IF(F72=0,0,H72/F72))-(N$8)*((N$7-$N$5)-(INDEX(ship_curves,MATCH(L72,'SHIP CURVES'!$A$9:$A$316,0),MATCH(CONCATENATE(P$4,P$5,P$6,P$7),'SHIP CURVES'!$A$9:$Z$9,0))-INDEX(ship_curves,MATCH(L72,'SHIP CURVES'!$A$9:$A$316,0),MATCH(CONCATENATE(P$4,N$6,P$6,P$7),'SHIP CURVES'!$A$9:$Z$9,0)))-(INDEX(terminal_curves,MATCH(L72,'TERMINAL CURVES'!$A$4:$A$313,0),MATCH(P$5,'TERMINAL CURVES'!$A$4:$N$4,0))-INDEX(terminal_curves,MATCH(L72,'TERMINAL CURVES'!$A$4:$A$313,0),MATCH(N$6,'TERMINAL CURVES'!$A$4:$N$4,0)))*IF(F72=0,0,H72/F72)))*-F72</f>
        <v>0</v>
      </c>
      <c r="Q72" s="403">
        <f t="shared" si="11"/>
        <v>0</v>
      </c>
      <c r="R72" s="338">
        <f>(-H72/((HLOOKUP(P$5,port_specs,2,0)/(365.25))*(L73-L72)))*(INDEX(fixed_capacity_charge,MATCH(L72,PORTS!$H$11:$H$317,0),MATCH(P$5,PORTS!$H$11:$N$11,0))+INDEX(variable_om_charge,MATCH(L72,PORTS!$H$318:$H$625,0),MATCH(P$5,PORTS!$H$318:$N$318,0)))</f>
        <v>0</v>
      </c>
      <c r="S72" s="232">
        <f t="shared" si="12"/>
        <v>0</v>
      </c>
      <c r="T72" s="241">
        <f t="shared" si="13"/>
        <v>0</v>
      </c>
      <c r="U72" s="431"/>
      <c r="V72" s="186">
        <f t="shared" si="28"/>
        <v>38353</v>
      </c>
      <c r="W72" s="215">
        <f t="shared" si="14"/>
        <v>0</v>
      </c>
      <c r="X72" s="191">
        <f t="shared" si="15"/>
        <v>0</v>
      </c>
      <c r="Y72" s="218">
        <f>+IF(AND(X$8&lt;=V72,X$9&gt;=V72),+MIN($B72-SUMIF($H$17:X$17,Y$17,$H72:X72),((INDEX(ROUTE_PER_DAY_BY_SHIP,MATCH(CONCATENATE(X$4,X$5,X$7),ROUTE_PER_DAY_ROUTES,0),MATCH(X$6,ROUTE_PER_DAY_SHIPS,0))*(V73-V72))-(INDEX(ROUTE_PER_DAY_BY_SHIP,MATCH(CONCATENATE(X$4,X$5,X$7),ROUTE_PER_DAY_ROUTES,0),MATCH(X$6,ROUTE_PER_DAY_SHIPS,0))*(V73-V72))*HLOOKUP(X$6,SHIPS,7,0)*INDEX(LADEN_VOYAGE_DAYS,MATCH(CONCATENATE(X$4,X$5,X$7),LADEN_VOYAGE_ROUTES,0),MATCH(X$6,LADEN_VOYAGE_SHIPS,0)))),0)</f>
        <v>0</v>
      </c>
      <c r="Z72" s="118">
        <f t="shared" si="16"/>
        <v>0</v>
      </c>
      <c r="AA72" s="215">
        <f t="shared" si="3"/>
        <v>0</v>
      </c>
      <c r="AB72" s="202"/>
      <c r="AC72" s="186">
        <f t="shared" si="29"/>
        <v>38353</v>
      </c>
      <c r="AD72" s="232">
        <f>+AA72*(VLOOKUP(AC72,CURVECALC!$C$6:$J$312,4,0)+AE$5)</f>
        <v>0</v>
      </c>
      <c r="AE72" s="208">
        <f>-W72*INDEX(ship_curves,MATCH(AC72,'SHIP CURVES'!$A$9:$A$316,0),MATCH(CONCATENATE(AG$4,AG$5,AG$6,AG$7),'SHIP CURVES'!$A$9:$AZ$9,0))</f>
        <v>0</v>
      </c>
      <c r="AF72" s="209">
        <f>-Y72*INDEX(port_processing_fee,MATCH(AC72,PORTS!$H$626:$H$933,0),MATCH(AG$5,PORTS!$H$626:$Z$626,0))</f>
        <v>0</v>
      </c>
      <c r="AG72" s="405">
        <f>(((VLOOKUP(AC72,curvecalc,4,0))*IF(W72=0,0,AA72/W72)-INDEX(ship_curves,MATCH(AC72,'SHIP CURVES'!$A$9:$A$316,0),MATCH(CONCATENATE(AG$4,AG$5,AG$6,AG$7),'SHIP CURVES'!$A$9:$Z$9,0))-INDEX(terminal_curves,MATCH(AC72,'TERMINAL CURVES'!$A$4:$A$313,0),MATCH(AG$5,'TERMINAL CURVES'!$A$4:$N$4,0))*IF(W72=0,0,Y72/W72))-(AE$8)*((AE$7-$N$5)-(INDEX(ship_curves,MATCH(AC72,'SHIP CURVES'!$A$9:$A$316,0),MATCH(CONCATENATE(AG$4,AG$5,AG$6,AG$7),'SHIP CURVES'!$A$9:$Z$9,0))-INDEX(ship_curves,MATCH(AC72,'SHIP CURVES'!$A$9:$A$316,0),MATCH(CONCATENATE(AG$4,AE$6,AG$6,AG$7),'SHIP CURVES'!$A$9:$Z$9,0)))-(INDEX(terminal_curves,MATCH(AC72,'TERMINAL CURVES'!$A$4:$A$313,0),MATCH(AG$5,'TERMINAL CURVES'!$A$4:$N$4,0))-INDEX(terminal_curves,MATCH(AC72,'TERMINAL CURVES'!$A$4:$A$313,0),MATCH(AE$6,'TERMINAL CURVES'!$A$4:$N$4,0)))*IF(W72=0,0,Y72/W72)))*-W72</f>
        <v>0</v>
      </c>
      <c r="AH72" s="343">
        <f t="shared" si="17"/>
        <v>0</v>
      </c>
      <c r="AI72" s="338">
        <f>(-Y72/((HLOOKUP(AG$5,port_specs,2,0)/(365.25))*(AC73-AC72)))*(INDEX(fixed_capacity_charge,MATCH(AC72,PORTS!$H$11:$H$317,0),MATCH(AG$5,PORTS!$H$11:$N$11,0))+INDEX(variable_om_charge,MATCH(AC72,PORTS!$H$318:$H$625,0),MATCH(AG$5,PORTS!$H$318:$N$318,0)))</f>
        <v>0</v>
      </c>
      <c r="AJ72" s="232">
        <f t="shared" si="18"/>
        <v>0</v>
      </c>
      <c r="AK72" s="241">
        <f t="shared" si="19"/>
        <v>0</v>
      </c>
      <c r="AM72" s="186">
        <f t="shared" si="30"/>
        <v>38353</v>
      </c>
      <c r="AN72" s="215">
        <f t="shared" si="20"/>
        <v>5395761.4773599124</v>
      </c>
      <c r="AO72" s="191">
        <f t="shared" si="21"/>
        <v>-56655.495512278751</v>
      </c>
      <c r="AP72" s="218">
        <f>+IF(AND(AO$8&lt;=AM72,AO$9&gt;=AM72),+MIN($B72-SUMIF($H$17:AO$17,AP$17,$H72:AO72),((INDEX(ROUTE_PER_DAY_BY_SHIP,MATCH(CONCATENATE(AO$4,AO$5,AO$7),ROUTE_PER_DAY_ROUTES,0),MATCH(AO$6,ROUTE_PER_DAY_SHIPS,0))*(AM73-AM72))-(INDEX(ROUTE_PER_DAY_BY_SHIP,MATCH(CONCATENATE(AO$4,AO$5,AO$7),ROUTE_PER_DAY_ROUTES,0),MATCH(AO$6,ROUTE_PER_DAY_SHIPS,0))*(AM73-AM72))*HLOOKUP(AO$6,SHIPS,7,0)*INDEX(LADEN_VOYAGE_DAYS,MATCH(CONCATENATE(AO$4,AO$5,AO$7),LADEN_VOYAGE_ROUTES,0),MATCH(AO$6,LADEN_VOYAGE_SHIPS,0)))),0)</f>
        <v>5339105.9818476336</v>
      </c>
      <c r="AQ72" s="118">
        <f>-(AP72)*PORTS!$I$6</f>
        <v>-133477.64954619083</v>
      </c>
      <c r="AR72" s="215">
        <f t="shared" si="4"/>
        <v>5205628.3323014425</v>
      </c>
      <c r="AS72" s="202"/>
      <c r="AT72" s="186">
        <f t="shared" si="31"/>
        <v>38353</v>
      </c>
      <c r="AU72" s="232">
        <f>+AR72*(VLOOKUP(AT72,CURVECALC!$C$6:$J$312,4,0)+AV$5)</f>
        <v>17876127.693123154</v>
      </c>
      <c r="AV72" s="208">
        <f>-AN72*INDEX(ship_curves,MATCH(AT72,'SHIP CURVES'!$A$9:$A$316,0),MATCH(CONCATENATE(AX$4,AX$5,AX$6,AX$7),'SHIP CURVES'!$A$9:$AZ$9,0))</f>
        <v>-1762336.385181875</v>
      </c>
      <c r="AW72" s="209">
        <f>-AP72*INDEX(port_processing_fee,MATCH(AT72,PORTS!$H$626:$H$933,0),MATCH(AX$5,PORTS!$H$626:$Z$626,0))</f>
        <v>-149609.06536057484</v>
      </c>
      <c r="AX72" s="405">
        <f>(((VLOOKUP(AT72,curvecalc,4,0))*IF(AN72=0,0,AR72/AN72)-INDEX(ship_curves,MATCH(AT72,'SHIP CURVES'!$A$9:$A$316,0),MATCH(CONCATENATE(AX$4,AX$5,AX$6,AX$7),'SHIP CURVES'!$A$9:$Z$9,0))-INDEX(terminal_curves,MATCH(AT72,'TERMINAL CURVES'!$A$4:$A$313,0),MATCH(AX$5,'TERMINAL CURVES'!$A$4:$N$4,0))*IF(AN72=0,0,AP72/AN72))-(AV$8)*((AV$7-$N$5)-(INDEX(ship_curves,MATCH(AT72,'SHIP CURVES'!$A$9:$A$316,0),MATCH(CONCATENATE(AX$4,AX$5,AX$6,AX$7),'SHIP CURVES'!$A$9:$Z$9,0))-INDEX(ship_curves,MATCH(AT72,'SHIP CURVES'!$A$9:$A$316,0),MATCH(CONCATENATE(AX$4,AV$6,AX$6,AX$7),'SHIP CURVES'!$A$9:$Z$9,0)))-(INDEX(terminal_curves,MATCH(AT72,'TERMINAL CURVES'!$A$4:$A$313,0),MATCH(AX$5,'TERMINAL CURVES'!$A$4:$N$4,0))-INDEX(terminal_curves,MATCH(AT72,'TERMINAL CURVES'!$A$4:$A$313,0),MATCH(AV$6,'TERMINAL CURVES'!$A$4:$N$4,0)))*IF(AN72=0,0,AP72/AN72)))*-AN72</f>
        <v>-14892903.49411617</v>
      </c>
      <c r="AY72" s="343">
        <f t="shared" si="22"/>
        <v>-16804848.944658618</v>
      </c>
      <c r="AZ72" s="338">
        <f>(-AP72/((HLOOKUP(AX$5,port_specs,2,0)/(365.25))*(AT73-AT72)))*(INDEX(fixed_capacity_charge,MATCH(AT72,PORTS!$H$11:$H$317,0),MATCH(AX$5,PORTS!$H$11:$N$11,0))+INDEX(variable_om_charge,MATCH(AT72,PORTS!$H$318:$H$625,0),MATCH(AX$5,PORTS!$H$318:$N$318,0)))</f>
        <v>-967166.18181850412</v>
      </c>
      <c r="BA72" s="232">
        <f t="shared" si="23"/>
        <v>-17772015.126477122</v>
      </c>
      <c r="BB72" s="241">
        <f t="shared" si="24"/>
        <v>104112.56664603204</v>
      </c>
      <c r="BC72" s="408"/>
      <c r="BD72" s="338">
        <f>+PORTS!I66+PORTS!I374</f>
        <v>967166.18181850412</v>
      </c>
    </row>
    <row r="73" spans="1:56" x14ac:dyDescent="0.2">
      <c r="A73" s="186">
        <f t="shared" si="25"/>
        <v>38384</v>
      </c>
      <c r="B73" s="215">
        <f>+IF(AND($A73&gt;=$C$8,$A73&lt;=$C$9),1,0)*PORTS!$I$5/(365.25)*(A74-A73)</f>
        <v>4822418.3061849596</v>
      </c>
      <c r="C73" s="351">
        <f t="shared" si="5"/>
        <v>0</v>
      </c>
      <c r="D73">
        <f t="shared" si="6"/>
        <v>2005</v>
      </c>
      <c r="E73" s="186">
        <f t="shared" si="26"/>
        <v>38384</v>
      </c>
      <c r="F73" s="215">
        <f t="shared" si="7"/>
        <v>0</v>
      </c>
      <c r="G73" s="191">
        <f t="shared" si="8"/>
        <v>0</v>
      </c>
      <c r="H73" s="218">
        <f t="shared" si="9"/>
        <v>0</v>
      </c>
      <c r="I73" s="118">
        <f t="shared" si="10"/>
        <v>0</v>
      </c>
      <c r="J73" s="215">
        <f t="shared" si="2"/>
        <v>0</v>
      </c>
      <c r="K73" s="202"/>
      <c r="L73" s="186">
        <f t="shared" si="27"/>
        <v>38384</v>
      </c>
      <c r="M73" s="400">
        <f>+J73*(VLOOKUP(L73,CURVECALC!$C$6:$J$312,4,0)+N$5)</f>
        <v>0</v>
      </c>
      <c r="N73" s="208">
        <f>-F73*INDEX(ship_curves,MATCH(L73,'SHIP CURVES'!$A$9:$A$316,0),MATCH(CONCATENATE(P$4,P$5,P$6,P$7),'SHIP CURVES'!$A$9:$AZ$9,0))</f>
        <v>0</v>
      </c>
      <c r="O73" s="209">
        <f>-H73*INDEX(port_processing_fee,MATCH(L73,PORTS!$H$626:$H$933,0),MATCH(P$5,PORTS!$H$626:$Z$626,0))</f>
        <v>0</v>
      </c>
      <c r="P73" s="405">
        <f>(((VLOOKUP(L73,curvecalc,4,0))*IF(F73=0,0,J73/F73)-INDEX(ship_curves,MATCH(L73,'SHIP CURVES'!$A$9:$A$316,0),MATCH(CONCATENATE(P$4,P$5,P$6,P$7),'SHIP CURVES'!$A$9:$Z$9,0))-INDEX(terminal_curves,MATCH(L73,'TERMINAL CURVES'!$A$4:$A$313,0),MATCH(P$5,'TERMINAL CURVES'!$A$4:$N$4,0))*IF(F73=0,0,H73/F73))-(N$8)*((N$7-$N$5)-(INDEX(ship_curves,MATCH(L73,'SHIP CURVES'!$A$9:$A$316,0),MATCH(CONCATENATE(P$4,P$5,P$6,P$7),'SHIP CURVES'!$A$9:$Z$9,0))-INDEX(ship_curves,MATCH(L73,'SHIP CURVES'!$A$9:$A$316,0),MATCH(CONCATENATE(P$4,N$6,P$6,P$7),'SHIP CURVES'!$A$9:$Z$9,0)))-(INDEX(terminal_curves,MATCH(L73,'TERMINAL CURVES'!$A$4:$A$313,0),MATCH(P$5,'TERMINAL CURVES'!$A$4:$N$4,0))-INDEX(terminal_curves,MATCH(L73,'TERMINAL CURVES'!$A$4:$A$313,0),MATCH(N$6,'TERMINAL CURVES'!$A$4:$N$4,0)))*IF(F73=0,0,H73/F73)))*-F73</f>
        <v>0</v>
      </c>
      <c r="Q73" s="403">
        <f t="shared" si="11"/>
        <v>0</v>
      </c>
      <c r="R73" s="338">
        <f>(-H73/((HLOOKUP(P$5,port_specs,2,0)/(365.25))*(L74-L73)))*(INDEX(fixed_capacity_charge,MATCH(L73,PORTS!$H$11:$H$317,0),MATCH(P$5,PORTS!$H$11:$N$11,0))+INDEX(variable_om_charge,MATCH(L73,PORTS!$H$318:$H$625,0),MATCH(P$5,PORTS!$H$318:$N$318,0)))</f>
        <v>0</v>
      </c>
      <c r="S73" s="232">
        <f t="shared" si="12"/>
        <v>0</v>
      </c>
      <c r="T73" s="241">
        <f t="shared" si="13"/>
        <v>0</v>
      </c>
      <c r="U73" s="431"/>
      <c r="V73" s="186">
        <f t="shared" si="28"/>
        <v>38384</v>
      </c>
      <c r="W73" s="215">
        <f t="shared" si="14"/>
        <v>0</v>
      </c>
      <c r="X73" s="191">
        <f t="shared" si="15"/>
        <v>0</v>
      </c>
      <c r="Y73" s="218">
        <f>+IF(AND(X$8&lt;=V73,X$9&gt;=V73),+MIN($B73-SUMIF($H$17:X$17,Y$17,$H73:X73),((INDEX(ROUTE_PER_DAY_BY_SHIP,MATCH(CONCATENATE(X$4,X$5,X$7),ROUTE_PER_DAY_ROUTES,0),MATCH(X$6,ROUTE_PER_DAY_SHIPS,0))*(V74-V73))-(INDEX(ROUTE_PER_DAY_BY_SHIP,MATCH(CONCATENATE(X$4,X$5,X$7),ROUTE_PER_DAY_ROUTES,0),MATCH(X$6,ROUTE_PER_DAY_SHIPS,0))*(V74-V73))*HLOOKUP(X$6,SHIPS,7,0)*INDEX(LADEN_VOYAGE_DAYS,MATCH(CONCATENATE(X$4,X$5,X$7),LADEN_VOYAGE_ROUTES,0),MATCH(X$6,LADEN_VOYAGE_SHIPS,0)))),0)</f>
        <v>0</v>
      </c>
      <c r="Z73" s="118">
        <f t="shared" si="16"/>
        <v>0</v>
      </c>
      <c r="AA73" s="215">
        <f t="shared" si="3"/>
        <v>0</v>
      </c>
      <c r="AB73" s="202"/>
      <c r="AC73" s="186">
        <f t="shared" si="29"/>
        <v>38384</v>
      </c>
      <c r="AD73" s="232">
        <f>+AA73*(VLOOKUP(AC73,CURVECALC!$C$6:$J$312,4,0)+AE$5)</f>
        <v>0</v>
      </c>
      <c r="AE73" s="208">
        <f>-W73*INDEX(ship_curves,MATCH(AC73,'SHIP CURVES'!$A$9:$A$316,0),MATCH(CONCATENATE(AG$4,AG$5,AG$6,AG$7),'SHIP CURVES'!$A$9:$AZ$9,0))</f>
        <v>0</v>
      </c>
      <c r="AF73" s="209">
        <f>-Y73*INDEX(port_processing_fee,MATCH(AC73,PORTS!$H$626:$H$933,0),MATCH(AG$5,PORTS!$H$626:$Z$626,0))</f>
        <v>0</v>
      </c>
      <c r="AG73" s="405">
        <f>(((VLOOKUP(AC73,curvecalc,4,0))*IF(W73=0,0,AA73/W73)-INDEX(ship_curves,MATCH(AC73,'SHIP CURVES'!$A$9:$A$316,0),MATCH(CONCATENATE(AG$4,AG$5,AG$6,AG$7),'SHIP CURVES'!$A$9:$Z$9,0))-INDEX(terminal_curves,MATCH(AC73,'TERMINAL CURVES'!$A$4:$A$313,0),MATCH(AG$5,'TERMINAL CURVES'!$A$4:$N$4,0))*IF(W73=0,0,Y73/W73))-(AE$8)*((AE$7-$N$5)-(INDEX(ship_curves,MATCH(AC73,'SHIP CURVES'!$A$9:$A$316,0),MATCH(CONCATENATE(AG$4,AG$5,AG$6,AG$7),'SHIP CURVES'!$A$9:$Z$9,0))-INDEX(ship_curves,MATCH(AC73,'SHIP CURVES'!$A$9:$A$316,0),MATCH(CONCATENATE(AG$4,AE$6,AG$6,AG$7),'SHIP CURVES'!$A$9:$Z$9,0)))-(INDEX(terminal_curves,MATCH(AC73,'TERMINAL CURVES'!$A$4:$A$313,0),MATCH(AG$5,'TERMINAL CURVES'!$A$4:$N$4,0))-INDEX(terminal_curves,MATCH(AC73,'TERMINAL CURVES'!$A$4:$A$313,0),MATCH(AE$6,'TERMINAL CURVES'!$A$4:$N$4,0)))*IF(W73=0,0,Y73/W73)))*-W73</f>
        <v>0</v>
      </c>
      <c r="AH73" s="343">
        <f t="shared" si="17"/>
        <v>0</v>
      </c>
      <c r="AI73" s="338">
        <f>(-Y73/((HLOOKUP(AG$5,port_specs,2,0)/(365.25))*(AC74-AC73)))*(INDEX(fixed_capacity_charge,MATCH(AC73,PORTS!$H$11:$H$317,0),MATCH(AG$5,PORTS!$H$11:$N$11,0))+INDEX(variable_om_charge,MATCH(AC73,PORTS!$H$318:$H$625,0),MATCH(AG$5,PORTS!$H$318:$N$318,0)))</f>
        <v>0</v>
      </c>
      <c r="AJ73" s="232">
        <f t="shared" si="18"/>
        <v>0</v>
      </c>
      <c r="AK73" s="241">
        <f t="shared" si="19"/>
        <v>0</v>
      </c>
      <c r="AM73" s="186">
        <f t="shared" si="30"/>
        <v>38384</v>
      </c>
      <c r="AN73" s="215">
        <f t="shared" si="20"/>
        <v>4873591.0118089532</v>
      </c>
      <c r="AO73" s="191">
        <f t="shared" si="21"/>
        <v>-51172.70562399365</v>
      </c>
      <c r="AP73" s="218">
        <f>+IF(AND(AO$8&lt;=AM73,AO$9&gt;=AM73),+MIN($B73-SUMIF($H$17:AO$17,AP$17,$H73:AO73),((INDEX(ROUTE_PER_DAY_BY_SHIP,MATCH(CONCATENATE(AO$4,AO$5,AO$7),ROUTE_PER_DAY_ROUTES,0),MATCH(AO$6,ROUTE_PER_DAY_SHIPS,0))*(AM74-AM73))-(INDEX(ROUTE_PER_DAY_BY_SHIP,MATCH(CONCATENATE(AO$4,AO$5,AO$7),ROUTE_PER_DAY_ROUTES,0),MATCH(AO$6,ROUTE_PER_DAY_SHIPS,0))*(AM74-AM73))*HLOOKUP(AO$6,SHIPS,7,0)*INDEX(LADEN_VOYAGE_DAYS,MATCH(CONCATENATE(AO$4,AO$5,AO$7),LADEN_VOYAGE_ROUTES,0),MATCH(AO$6,LADEN_VOYAGE_SHIPS,0)))),0)</f>
        <v>4822418.3061849596</v>
      </c>
      <c r="AQ73" s="118">
        <f>-(AP73)*PORTS!$I$6</f>
        <v>-120560.457654624</v>
      </c>
      <c r="AR73" s="215">
        <f t="shared" si="4"/>
        <v>4701857.8485303354</v>
      </c>
      <c r="AS73" s="202"/>
      <c r="AT73" s="186">
        <f t="shared" si="31"/>
        <v>38384</v>
      </c>
      <c r="AU73" s="232">
        <f>+AR73*(VLOOKUP(AT73,CURVECALC!$C$6:$J$312,4,0)+AV$5)</f>
        <v>15572553.194332469</v>
      </c>
      <c r="AV73" s="208">
        <f>-AN73*INDEX(ship_curves,MATCH(AT73,'SHIP CURVES'!$A$9:$A$316,0),MATCH(CONCATENATE(AX$4,AX$5,AX$6,AX$7),'SHIP CURVES'!$A$9:$AZ$9,0))</f>
        <v>-1592217.5039834031</v>
      </c>
      <c r="AW73" s="209">
        <f>-AP73*INDEX(port_processing_fee,MATCH(AT73,PORTS!$H$626:$H$933,0),MATCH(AX$5,PORTS!$H$626:$Z$626,0))</f>
        <v>-135271.5299301864</v>
      </c>
      <c r="AX73" s="405">
        <f>(((VLOOKUP(AT73,curvecalc,4,0))*IF(AN73=0,0,AR73/AN73)-INDEX(ship_curves,MATCH(AT73,'SHIP CURVES'!$A$9:$A$316,0),MATCH(CONCATENATE(AX$4,AX$5,AX$6,AX$7),'SHIP CURVES'!$A$9:$Z$9,0))-INDEX(terminal_curves,MATCH(AT73,'TERMINAL CURVES'!$A$4:$A$313,0),MATCH(AX$5,'TERMINAL CURVES'!$A$4:$N$4,0))*IF(AN73=0,0,AP73/AN73))-(AV$8)*((AV$7-$N$5)-(INDEX(ship_curves,MATCH(AT73,'SHIP CURVES'!$A$9:$A$316,0),MATCH(CONCATENATE(AX$4,AX$5,AX$6,AX$7),'SHIP CURVES'!$A$9:$Z$9,0))-INDEX(ship_curves,MATCH(AT73,'SHIP CURVES'!$A$9:$A$316,0),MATCH(CONCATENATE(AX$4,AV$6,AX$6,AX$7),'SHIP CURVES'!$A$9:$Z$9,0)))-(INDEX(terminal_curves,MATCH(AT73,'TERMINAL CURVES'!$A$4:$A$313,0),MATCH(AX$5,'TERMINAL CURVES'!$A$4:$N$4,0))-INDEX(terminal_curves,MATCH(AT73,'TERMINAL CURVES'!$A$4:$A$313,0),MATCH(AV$6,'TERMINAL CURVES'!$A$4:$N$4,0)))*IF(AN73=0,0,AP73/AN73)))*-AN73</f>
        <v>-12783358.759535072</v>
      </c>
      <c r="AY73" s="343">
        <f t="shared" si="22"/>
        <v>-14510847.793448662</v>
      </c>
      <c r="AZ73" s="338">
        <f>(-AP73/((HLOOKUP(AX$5,port_specs,2,0)/(365.25))*(AT74-AT73)))*(INDEX(fixed_capacity_charge,MATCH(AT73,PORTS!$H$11:$H$317,0),MATCH(AX$5,PORTS!$H$11:$N$11,0))+INDEX(variable_om_charge,MATCH(AT73,PORTS!$H$318:$H$625,0),MATCH(AX$5,PORTS!$H$318:$N$318,0)))</f>
        <v>-967668.24391320231</v>
      </c>
      <c r="BA73" s="232">
        <f t="shared" si="23"/>
        <v>-15478516.037361864</v>
      </c>
      <c r="BB73" s="241">
        <f t="shared" si="24"/>
        <v>94037.156970605254</v>
      </c>
      <c r="BC73" s="408"/>
      <c r="BD73" s="338">
        <f>+PORTS!I67+PORTS!I375</f>
        <v>967668.24391320231</v>
      </c>
    </row>
    <row r="74" spans="1:56" x14ac:dyDescent="0.2">
      <c r="A74" s="186">
        <f t="shared" si="25"/>
        <v>38412</v>
      </c>
      <c r="B74" s="215">
        <f>+IF(AND($A74&gt;=$C$8,$A74&lt;=$C$9),1,0)*PORTS!$I$5/(365.25)*(A75-A74)</f>
        <v>5339105.9818476336</v>
      </c>
      <c r="C74" s="351">
        <f t="shared" si="5"/>
        <v>0</v>
      </c>
      <c r="D74">
        <f t="shared" si="6"/>
        <v>2005</v>
      </c>
      <c r="E74" s="186">
        <f t="shared" si="26"/>
        <v>38412</v>
      </c>
      <c r="F74" s="215">
        <f t="shared" si="7"/>
        <v>0</v>
      </c>
      <c r="G74" s="191">
        <f t="shared" si="8"/>
        <v>0</v>
      </c>
      <c r="H74" s="218">
        <f t="shared" si="9"/>
        <v>0</v>
      </c>
      <c r="I74" s="118">
        <f t="shared" si="10"/>
        <v>0</v>
      </c>
      <c r="J74" s="215">
        <f t="shared" si="2"/>
        <v>0</v>
      </c>
      <c r="K74" s="202"/>
      <c r="L74" s="186">
        <f t="shared" si="27"/>
        <v>38412</v>
      </c>
      <c r="M74" s="400">
        <f>+J74*(VLOOKUP(L74,CURVECALC!$C$6:$J$312,4,0)+N$5)</f>
        <v>0</v>
      </c>
      <c r="N74" s="208">
        <f>-F74*INDEX(ship_curves,MATCH(L74,'SHIP CURVES'!$A$9:$A$316,0),MATCH(CONCATENATE(P$4,P$5,P$6,P$7),'SHIP CURVES'!$A$9:$AZ$9,0))</f>
        <v>0</v>
      </c>
      <c r="O74" s="209">
        <f>-H74*INDEX(port_processing_fee,MATCH(L74,PORTS!$H$626:$H$933,0),MATCH(P$5,PORTS!$H$626:$Z$626,0))</f>
        <v>0</v>
      </c>
      <c r="P74" s="405">
        <f>(((VLOOKUP(L74,curvecalc,4,0))*IF(F74=0,0,J74/F74)-INDEX(ship_curves,MATCH(L74,'SHIP CURVES'!$A$9:$A$316,0),MATCH(CONCATENATE(P$4,P$5,P$6,P$7),'SHIP CURVES'!$A$9:$Z$9,0))-INDEX(terminal_curves,MATCH(L74,'TERMINAL CURVES'!$A$4:$A$313,0),MATCH(P$5,'TERMINAL CURVES'!$A$4:$N$4,0))*IF(F74=0,0,H74/F74))-(N$8)*((N$7-$N$5)-(INDEX(ship_curves,MATCH(L74,'SHIP CURVES'!$A$9:$A$316,0),MATCH(CONCATENATE(P$4,P$5,P$6,P$7),'SHIP CURVES'!$A$9:$Z$9,0))-INDEX(ship_curves,MATCH(L74,'SHIP CURVES'!$A$9:$A$316,0),MATCH(CONCATENATE(P$4,N$6,P$6,P$7),'SHIP CURVES'!$A$9:$Z$9,0)))-(INDEX(terminal_curves,MATCH(L74,'TERMINAL CURVES'!$A$4:$A$313,0),MATCH(P$5,'TERMINAL CURVES'!$A$4:$N$4,0))-INDEX(terminal_curves,MATCH(L74,'TERMINAL CURVES'!$A$4:$A$313,0),MATCH(N$6,'TERMINAL CURVES'!$A$4:$N$4,0)))*IF(F74=0,0,H74/F74)))*-F74</f>
        <v>0</v>
      </c>
      <c r="Q74" s="403">
        <f t="shared" si="11"/>
        <v>0</v>
      </c>
      <c r="R74" s="338">
        <f>(-H74/((HLOOKUP(P$5,port_specs,2,0)/(365.25))*(L75-L74)))*(INDEX(fixed_capacity_charge,MATCH(L74,PORTS!$H$11:$H$317,0),MATCH(P$5,PORTS!$H$11:$N$11,0))+INDEX(variable_om_charge,MATCH(L74,PORTS!$H$318:$H$625,0),MATCH(P$5,PORTS!$H$318:$N$318,0)))</f>
        <v>0</v>
      </c>
      <c r="S74" s="232">
        <f t="shared" si="12"/>
        <v>0</v>
      </c>
      <c r="T74" s="241">
        <f t="shared" si="13"/>
        <v>0</v>
      </c>
      <c r="U74" s="431"/>
      <c r="V74" s="186">
        <f t="shared" si="28"/>
        <v>38412</v>
      </c>
      <c r="W74" s="215">
        <f t="shared" si="14"/>
        <v>0</v>
      </c>
      <c r="X74" s="191">
        <f t="shared" si="15"/>
        <v>0</v>
      </c>
      <c r="Y74" s="218">
        <f>+IF(AND(X$8&lt;=V74,X$9&gt;=V74),+MIN($B74-SUMIF($H$17:X$17,Y$17,$H74:X74),((INDEX(ROUTE_PER_DAY_BY_SHIP,MATCH(CONCATENATE(X$4,X$5,X$7),ROUTE_PER_DAY_ROUTES,0),MATCH(X$6,ROUTE_PER_DAY_SHIPS,0))*(V75-V74))-(INDEX(ROUTE_PER_DAY_BY_SHIP,MATCH(CONCATENATE(X$4,X$5,X$7),ROUTE_PER_DAY_ROUTES,0),MATCH(X$6,ROUTE_PER_DAY_SHIPS,0))*(V75-V74))*HLOOKUP(X$6,SHIPS,7,0)*INDEX(LADEN_VOYAGE_DAYS,MATCH(CONCATENATE(X$4,X$5,X$7),LADEN_VOYAGE_ROUTES,0),MATCH(X$6,LADEN_VOYAGE_SHIPS,0)))),0)</f>
        <v>0</v>
      </c>
      <c r="Z74" s="118">
        <f t="shared" si="16"/>
        <v>0</v>
      </c>
      <c r="AA74" s="215">
        <f t="shared" si="3"/>
        <v>0</v>
      </c>
      <c r="AB74" s="202"/>
      <c r="AC74" s="186">
        <f t="shared" si="29"/>
        <v>38412</v>
      </c>
      <c r="AD74" s="232">
        <f>+AA74*(VLOOKUP(AC74,CURVECALC!$C$6:$J$312,4,0)+AE$5)</f>
        <v>0</v>
      </c>
      <c r="AE74" s="208">
        <f>-W74*INDEX(ship_curves,MATCH(AC74,'SHIP CURVES'!$A$9:$A$316,0),MATCH(CONCATENATE(AG$4,AG$5,AG$6,AG$7),'SHIP CURVES'!$A$9:$AZ$9,0))</f>
        <v>0</v>
      </c>
      <c r="AF74" s="209">
        <f>-Y74*INDEX(port_processing_fee,MATCH(AC74,PORTS!$H$626:$H$933,0),MATCH(AG$5,PORTS!$H$626:$Z$626,0))</f>
        <v>0</v>
      </c>
      <c r="AG74" s="405">
        <f>(((VLOOKUP(AC74,curvecalc,4,0))*IF(W74=0,0,AA74/W74)-INDEX(ship_curves,MATCH(AC74,'SHIP CURVES'!$A$9:$A$316,0),MATCH(CONCATENATE(AG$4,AG$5,AG$6,AG$7),'SHIP CURVES'!$A$9:$Z$9,0))-INDEX(terminal_curves,MATCH(AC74,'TERMINAL CURVES'!$A$4:$A$313,0),MATCH(AG$5,'TERMINAL CURVES'!$A$4:$N$4,0))*IF(W74=0,0,Y74/W74))-(AE$8)*((AE$7-$N$5)-(INDEX(ship_curves,MATCH(AC74,'SHIP CURVES'!$A$9:$A$316,0),MATCH(CONCATENATE(AG$4,AG$5,AG$6,AG$7),'SHIP CURVES'!$A$9:$Z$9,0))-INDEX(ship_curves,MATCH(AC74,'SHIP CURVES'!$A$9:$A$316,0),MATCH(CONCATENATE(AG$4,AE$6,AG$6,AG$7),'SHIP CURVES'!$A$9:$Z$9,0)))-(INDEX(terminal_curves,MATCH(AC74,'TERMINAL CURVES'!$A$4:$A$313,0),MATCH(AG$5,'TERMINAL CURVES'!$A$4:$N$4,0))-INDEX(terminal_curves,MATCH(AC74,'TERMINAL CURVES'!$A$4:$A$313,0),MATCH(AE$6,'TERMINAL CURVES'!$A$4:$N$4,0)))*IF(W74=0,0,Y74/W74)))*-W74</f>
        <v>0</v>
      </c>
      <c r="AH74" s="343">
        <f t="shared" si="17"/>
        <v>0</v>
      </c>
      <c r="AI74" s="338">
        <f>(-Y74/((HLOOKUP(AG$5,port_specs,2,0)/(365.25))*(AC75-AC74)))*(INDEX(fixed_capacity_charge,MATCH(AC74,PORTS!$H$11:$H$317,0),MATCH(AG$5,PORTS!$H$11:$N$11,0))+INDEX(variable_om_charge,MATCH(AC74,PORTS!$H$318:$H$625,0),MATCH(AG$5,PORTS!$H$318:$N$318,0)))</f>
        <v>0</v>
      </c>
      <c r="AJ74" s="232">
        <f t="shared" si="18"/>
        <v>0</v>
      </c>
      <c r="AK74" s="241">
        <f t="shared" si="19"/>
        <v>0</v>
      </c>
      <c r="AM74" s="186">
        <f t="shared" si="30"/>
        <v>38412</v>
      </c>
      <c r="AN74" s="215">
        <f t="shared" si="20"/>
        <v>5395761.4773599124</v>
      </c>
      <c r="AO74" s="191">
        <f t="shared" si="21"/>
        <v>-56655.495512278751</v>
      </c>
      <c r="AP74" s="218">
        <f>+IF(AND(AO$8&lt;=AM74,AO$9&gt;=AM74),+MIN($B74-SUMIF($H$17:AO$17,AP$17,$H74:AO74),((INDEX(ROUTE_PER_DAY_BY_SHIP,MATCH(CONCATENATE(AO$4,AO$5,AO$7),ROUTE_PER_DAY_ROUTES,0),MATCH(AO$6,ROUTE_PER_DAY_SHIPS,0))*(AM75-AM74))-(INDEX(ROUTE_PER_DAY_BY_SHIP,MATCH(CONCATENATE(AO$4,AO$5,AO$7),ROUTE_PER_DAY_ROUTES,0),MATCH(AO$6,ROUTE_PER_DAY_SHIPS,0))*(AM75-AM74))*HLOOKUP(AO$6,SHIPS,7,0)*INDEX(LADEN_VOYAGE_DAYS,MATCH(CONCATENATE(AO$4,AO$5,AO$7),LADEN_VOYAGE_ROUTES,0),MATCH(AO$6,LADEN_VOYAGE_SHIPS,0)))),0)</f>
        <v>5339105.9818476336</v>
      </c>
      <c r="AQ74" s="118">
        <f>-(AP74)*PORTS!$I$6</f>
        <v>-133477.64954619083</v>
      </c>
      <c r="AR74" s="215">
        <f t="shared" si="4"/>
        <v>5205628.3323014425</v>
      </c>
      <c r="AS74" s="202"/>
      <c r="AT74" s="186">
        <f t="shared" si="31"/>
        <v>38412</v>
      </c>
      <c r="AU74" s="232">
        <f>+AR74*(VLOOKUP(AT74,CURVECALC!$C$6:$J$312,4,0)+AV$5)</f>
        <v>16543486.840053985</v>
      </c>
      <c r="AV74" s="208">
        <f>-AN74*INDEX(ship_curves,MATCH(AT74,'SHIP CURVES'!$A$9:$A$316,0),MATCH(CONCATENATE(AX$4,AX$5,AX$6,AX$7),'SHIP CURVES'!$A$9:$AZ$9,0))</f>
        <v>-1763289.0792812551</v>
      </c>
      <c r="AW74" s="209">
        <f>-AP74*INDEX(port_processing_fee,MATCH(AT74,PORTS!$H$626:$H$933,0),MATCH(AX$5,PORTS!$H$626:$Z$626,0))</f>
        <v>-149920.91324963479</v>
      </c>
      <c r="AX74" s="405">
        <f>(((VLOOKUP(AT74,curvecalc,4,0))*IF(AN74=0,0,AR74/AN74)-INDEX(ship_curves,MATCH(AT74,'SHIP CURVES'!$A$9:$A$316,0),MATCH(CONCATENATE(AX$4,AX$5,AX$6,AX$7),'SHIP CURVES'!$A$9:$Z$9,0))-INDEX(terminal_curves,MATCH(AT74,'TERMINAL CURVES'!$A$4:$A$313,0),MATCH(AX$5,'TERMINAL CURVES'!$A$4:$N$4,0))*IF(AN74=0,0,AP74/AN74))-(AV$8)*((AV$7-$N$5)-(INDEX(ship_curves,MATCH(AT74,'SHIP CURVES'!$A$9:$A$316,0),MATCH(CONCATENATE(AX$4,AX$5,AX$6,AX$7),'SHIP CURVES'!$A$9:$Z$9,0))-INDEX(ship_curves,MATCH(AT74,'SHIP CURVES'!$A$9:$A$316,0),MATCH(CONCATENATE(AX$4,AV$6,AX$6,AX$7),'SHIP CURVES'!$A$9:$Z$9,0)))-(INDEX(terminal_curves,MATCH(AT74,'TERMINAL CURVES'!$A$4:$A$313,0),MATCH(AX$5,'TERMINAL CURVES'!$A$4:$N$4,0))-INDEX(terminal_curves,MATCH(AT74,'TERMINAL CURVES'!$A$4:$A$313,0),MATCH(AV$6,'TERMINAL CURVES'!$A$4:$N$4,0)))*IF(AN74=0,0,AP74/AN74)))*-AN74</f>
        <v>-13557993.451887816</v>
      </c>
      <c r="AY74" s="343">
        <f t="shared" si="22"/>
        <v>-15471203.444418706</v>
      </c>
      <c r="AZ74" s="338">
        <f>(-AP74/((HLOOKUP(AX$5,port_specs,2,0)/(365.25))*(AT75-AT74)))*(INDEX(fixed_capacity_charge,MATCH(AT74,PORTS!$H$11:$H$317,0),MATCH(AX$5,PORTS!$H$11:$N$11,0))+INDEX(variable_om_charge,MATCH(AT74,PORTS!$H$318:$H$625,0),MATCH(AX$5,PORTS!$H$318:$N$318,0)))</f>
        <v>-968170.82898924896</v>
      </c>
      <c r="BA74" s="232">
        <f t="shared" si="23"/>
        <v>-16439374.273407955</v>
      </c>
      <c r="BB74" s="241">
        <f t="shared" si="24"/>
        <v>104112.56664603017</v>
      </c>
      <c r="BC74" s="408"/>
      <c r="BD74" s="338">
        <f>+PORTS!I68+PORTS!I376</f>
        <v>968170.82898924896</v>
      </c>
    </row>
    <row r="75" spans="1:56" x14ac:dyDescent="0.2">
      <c r="A75" s="186">
        <f t="shared" si="25"/>
        <v>38443</v>
      </c>
      <c r="B75" s="215">
        <f>+IF(AND($A75&gt;=$C$8,$A75&lt;=$C$9),1,0)*PORTS!$I$5/(365.25)*(A76-A75)</f>
        <v>5166876.756626742</v>
      </c>
      <c r="C75" s="351">
        <f t="shared" si="5"/>
        <v>0</v>
      </c>
      <c r="D75">
        <f t="shared" si="6"/>
        <v>2005</v>
      </c>
      <c r="E75" s="186">
        <f t="shared" si="26"/>
        <v>38443</v>
      </c>
      <c r="F75" s="215">
        <f t="shared" si="7"/>
        <v>0</v>
      </c>
      <c r="G75" s="191">
        <f t="shared" si="8"/>
        <v>0</v>
      </c>
      <c r="H75" s="218">
        <f t="shared" si="9"/>
        <v>0</v>
      </c>
      <c r="I75" s="118">
        <f t="shared" si="10"/>
        <v>0</v>
      </c>
      <c r="J75" s="215">
        <f t="shared" si="2"/>
        <v>0</v>
      </c>
      <c r="K75" s="202"/>
      <c r="L75" s="186">
        <f t="shared" si="27"/>
        <v>38443</v>
      </c>
      <c r="M75" s="400">
        <f>+J75*(VLOOKUP(L75,CURVECALC!$C$6:$J$312,4,0)+N$5)</f>
        <v>0</v>
      </c>
      <c r="N75" s="208">
        <f>-F75*INDEX(ship_curves,MATCH(L75,'SHIP CURVES'!$A$9:$A$316,0),MATCH(CONCATENATE(P$4,P$5,P$6,P$7),'SHIP CURVES'!$A$9:$AZ$9,0))</f>
        <v>0</v>
      </c>
      <c r="O75" s="209">
        <f>-H75*INDEX(port_processing_fee,MATCH(L75,PORTS!$H$626:$H$933,0),MATCH(P$5,PORTS!$H$626:$Z$626,0))</f>
        <v>0</v>
      </c>
      <c r="P75" s="405">
        <f>(((VLOOKUP(L75,curvecalc,4,0))*IF(F75=0,0,J75/F75)-INDEX(ship_curves,MATCH(L75,'SHIP CURVES'!$A$9:$A$316,0),MATCH(CONCATENATE(P$4,P$5,P$6,P$7),'SHIP CURVES'!$A$9:$Z$9,0))-INDEX(terminal_curves,MATCH(L75,'TERMINAL CURVES'!$A$4:$A$313,0),MATCH(P$5,'TERMINAL CURVES'!$A$4:$N$4,0))*IF(F75=0,0,H75/F75))-(N$8)*((N$7-$N$5)-(INDEX(ship_curves,MATCH(L75,'SHIP CURVES'!$A$9:$A$316,0),MATCH(CONCATENATE(P$4,P$5,P$6,P$7),'SHIP CURVES'!$A$9:$Z$9,0))-INDEX(ship_curves,MATCH(L75,'SHIP CURVES'!$A$9:$A$316,0),MATCH(CONCATENATE(P$4,N$6,P$6,P$7),'SHIP CURVES'!$A$9:$Z$9,0)))-(INDEX(terminal_curves,MATCH(L75,'TERMINAL CURVES'!$A$4:$A$313,0),MATCH(P$5,'TERMINAL CURVES'!$A$4:$N$4,0))-INDEX(terminal_curves,MATCH(L75,'TERMINAL CURVES'!$A$4:$A$313,0),MATCH(N$6,'TERMINAL CURVES'!$A$4:$N$4,0)))*IF(F75=0,0,H75/F75)))*-F75</f>
        <v>0</v>
      </c>
      <c r="Q75" s="403">
        <f t="shared" si="11"/>
        <v>0</v>
      </c>
      <c r="R75" s="338">
        <f>(-H75/((HLOOKUP(P$5,port_specs,2,0)/(365.25))*(L76-L75)))*(INDEX(fixed_capacity_charge,MATCH(L75,PORTS!$H$11:$H$317,0),MATCH(P$5,PORTS!$H$11:$N$11,0))+INDEX(variable_om_charge,MATCH(L75,PORTS!$H$318:$H$625,0),MATCH(P$5,PORTS!$H$318:$N$318,0)))</f>
        <v>0</v>
      </c>
      <c r="S75" s="232">
        <f t="shared" si="12"/>
        <v>0</v>
      </c>
      <c r="T75" s="241">
        <f t="shared" si="13"/>
        <v>0</v>
      </c>
      <c r="U75" s="431"/>
      <c r="V75" s="186">
        <f t="shared" si="28"/>
        <v>38443</v>
      </c>
      <c r="W75" s="215">
        <f t="shared" si="14"/>
        <v>0</v>
      </c>
      <c r="X75" s="191">
        <f t="shared" si="15"/>
        <v>0</v>
      </c>
      <c r="Y75" s="218">
        <f>+IF(AND(X$8&lt;=V75,X$9&gt;=V75),+MIN($B75-SUMIF($H$17:X$17,Y$17,$H75:X75),((INDEX(ROUTE_PER_DAY_BY_SHIP,MATCH(CONCATENATE(X$4,X$5,X$7),ROUTE_PER_DAY_ROUTES,0),MATCH(X$6,ROUTE_PER_DAY_SHIPS,0))*(V76-V75))-(INDEX(ROUTE_PER_DAY_BY_SHIP,MATCH(CONCATENATE(X$4,X$5,X$7),ROUTE_PER_DAY_ROUTES,0),MATCH(X$6,ROUTE_PER_DAY_SHIPS,0))*(V76-V75))*HLOOKUP(X$6,SHIPS,7,0)*INDEX(LADEN_VOYAGE_DAYS,MATCH(CONCATENATE(X$4,X$5,X$7),LADEN_VOYAGE_ROUTES,0),MATCH(X$6,LADEN_VOYAGE_SHIPS,0)))),0)</f>
        <v>0</v>
      </c>
      <c r="Z75" s="118">
        <f t="shared" si="16"/>
        <v>0</v>
      </c>
      <c r="AA75" s="215">
        <f t="shared" si="3"/>
        <v>0</v>
      </c>
      <c r="AB75" s="202"/>
      <c r="AC75" s="186">
        <f t="shared" si="29"/>
        <v>38443</v>
      </c>
      <c r="AD75" s="232">
        <f>+AA75*(VLOOKUP(AC75,CURVECALC!$C$6:$J$312,4,0)+AE$5)</f>
        <v>0</v>
      </c>
      <c r="AE75" s="208">
        <f>-W75*INDEX(ship_curves,MATCH(AC75,'SHIP CURVES'!$A$9:$A$316,0),MATCH(CONCATENATE(AG$4,AG$5,AG$6,AG$7),'SHIP CURVES'!$A$9:$AZ$9,0))</f>
        <v>0</v>
      </c>
      <c r="AF75" s="209">
        <f>-Y75*INDEX(port_processing_fee,MATCH(AC75,PORTS!$H$626:$H$933,0),MATCH(AG$5,PORTS!$H$626:$Z$626,0))</f>
        <v>0</v>
      </c>
      <c r="AG75" s="405">
        <f>(((VLOOKUP(AC75,curvecalc,4,0))*IF(W75=0,0,AA75/W75)-INDEX(ship_curves,MATCH(AC75,'SHIP CURVES'!$A$9:$A$316,0),MATCH(CONCATENATE(AG$4,AG$5,AG$6,AG$7),'SHIP CURVES'!$A$9:$Z$9,0))-INDEX(terminal_curves,MATCH(AC75,'TERMINAL CURVES'!$A$4:$A$313,0),MATCH(AG$5,'TERMINAL CURVES'!$A$4:$N$4,0))*IF(W75=0,0,Y75/W75))-(AE$8)*((AE$7-$N$5)-(INDEX(ship_curves,MATCH(AC75,'SHIP CURVES'!$A$9:$A$316,0),MATCH(CONCATENATE(AG$4,AG$5,AG$6,AG$7),'SHIP CURVES'!$A$9:$Z$9,0))-INDEX(ship_curves,MATCH(AC75,'SHIP CURVES'!$A$9:$A$316,0),MATCH(CONCATENATE(AG$4,AE$6,AG$6,AG$7),'SHIP CURVES'!$A$9:$Z$9,0)))-(INDEX(terminal_curves,MATCH(AC75,'TERMINAL CURVES'!$A$4:$A$313,0),MATCH(AG$5,'TERMINAL CURVES'!$A$4:$N$4,0))-INDEX(terminal_curves,MATCH(AC75,'TERMINAL CURVES'!$A$4:$A$313,0),MATCH(AE$6,'TERMINAL CURVES'!$A$4:$N$4,0)))*IF(W75=0,0,Y75/W75)))*-W75</f>
        <v>0</v>
      </c>
      <c r="AH75" s="343">
        <f t="shared" si="17"/>
        <v>0</v>
      </c>
      <c r="AI75" s="338">
        <f>(-Y75/((HLOOKUP(AG$5,port_specs,2,0)/(365.25))*(AC76-AC75)))*(INDEX(fixed_capacity_charge,MATCH(AC75,PORTS!$H$11:$H$317,0),MATCH(AG$5,PORTS!$H$11:$N$11,0))+INDEX(variable_om_charge,MATCH(AC75,PORTS!$H$318:$H$625,0),MATCH(AG$5,PORTS!$H$318:$N$318,0)))</f>
        <v>0</v>
      </c>
      <c r="AJ75" s="232">
        <f t="shared" si="18"/>
        <v>0</v>
      </c>
      <c r="AK75" s="241">
        <f t="shared" si="19"/>
        <v>0</v>
      </c>
      <c r="AM75" s="186">
        <f t="shared" si="30"/>
        <v>38443</v>
      </c>
      <c r="AN75" s="215">
        <f t="shared" si="20"/>
        <v>5221704.655509592</v>
      </c>
      <c r="AO75" s="191">
        <f t="shared" si="21"/>
        <v>-54827.898882850073</v>
      </c>
      <c r="AP75" s="218">
        <f>+IF(AND(AO$8&lt;=AM75,AO$9&gt;=AM75),+MIN($B75-SUMIF($H$17:AO$17,AP$17,$H75:AO75),((INDEX(ROUTE_PER_DAY_BY_SHIP,MATCH(CONCATENATE(AO$4,AO$5,AO$7),ROUTE_PER_DAY_ROUTES,0),MATCH(AO$6,ROUTE_PER_DAY_SHIPS,0))*(AM76-AM75))-(INDEX(ROUTE_PER_DAY_BY_SHIP,MATCH(CONCATENATE(AO$4,AO$5,AO$7),ROUTE_PER_DAY_ROUTES,0),MATCH(AO$6,ROUTE_PER_DAY_SHIPS,0))*(AM76-AM75))*HLOOKUP(AO$6,SHIPS,7,0)*INDEX(LADEN_VOYAGE_DAYS,MATCH(CONCATENATE(AO$4,AO$5,AO$7),LADEN_VOYAGE_ROUTES,0),MATCH(AO$6,LADEN_VOYAGE_SHIPS,0)))),0)</f>
        <v>5166876.756626742</v>
      </c>
      <c r="AQ75" s="118">
        <f>-(AP75)*PORTS!$I$6</f>
        <v>-129171.91891566856</v>
      </c>
      <c r="AR75" s="215">
        <f t="shared" si="4"/>
        <v>5037704.8377110735</v>
      </c>
      <c r="AS75" s="202"/>
      <c r="AT75" s="186">
        <f t="shared" si="31"/>
        <v>38443</v>
      </c>
      <c r="AU75" s="232">
        <f>+AR75*(VLOOKUP(AT75,CURVECALC!$C$6:$J$312,4,0)+AV$5)</f>
        <v>15334773.525992511</v>
      </c>
      <c r="AV75" s="208">
        <f>-AN75*INDEX(ship_curves,MATCH(AT75,'SHIP CURVES'!$A$9:$A$316,0),MATCH(CONCATENATE(AX$4,AX$5,AX$6,AX$7),'SHIP CURVES'!$A$9:$AZ$9,0))</f>
        <v>-1706871.208482394</v>
      </c>
      <c r="AW75" s="209">
        <f>-AP75*INDEX(port_processing_fee,MATCH(AT75,PORTS!$H$626:$H$933,0),MATCH(AX$5,PORTS!$H$626:$Z$626,0))</f>
        <v>-145235.88471058369</v>
      </c>
      <c r="AX75" s="405">
        <f>(((VLOOKUP(AT75,curvecalc,4,0))*IF(AN75=0,0,AR75/AN75)-INDEX(ship_curves,MATCH(AT75,'SHIP CURVES'!$A$9:$A$316,0),MATCH(CONCATENATE(AX$4,AX$5,AX$6,AX$7),'SHIP CURVES'!$A$9:$Z$9,0))-INDEX(terminal_curves,MATCH(AT75,'TERMINAL CURVES'!$A$4:$A$313,0),MATCH(AX$5,'TERMINAL CURVES'!$A$4:$N$4,0))*IF(AN75=0,0,AP75/AN75))-(AV$8)*((AV$7-$N$5)-(INDEX(ship_curves,MATCH(AT75,'SHIP CURVES'!$A$9:$A$316,0),MATCH(CONCATENATE(AX$4,AX$5,AX$6,AX$7),'SHIP CURVES'!$A$9:$Z$9,0))-INDEX(ship_curves,MATCH(AT75,'SHIP CURVES'!$A$9:$A$316,0),MATCH(CONCATENATE(AX$4,AV$6,AX$6,AX$7),'SHIP CURVES'!$A$9:$Z$9,0)))-(INDEX(terminal_curves,MATCH(AT75,'TERMINAL CURVES'!$A$4:$A$313,0),MATCH(AX$5,'TERMINAL CURVES'!$A$4:$N$4,0))-INDEX(terminal_curves,MATCH(AT75,'TERMINAL CURVES'!$A$4:$A$313,0),MATCH(AV$6,'TERMINAL CURVES'!$A$4:$N$4,0)))*IF(AN75=0,0,AP75/AN75)))*-AN75</f>
        <v>-12413238.398453895</v>
      </c>
      <c r="AY75" s="343">
        <f t="shared" si="22"/>
        <v>-14265345.491646873</v>
      </c>
      <c r="AZ75" s="338">
        <f>(-AP75/((HLOOKUP(AX$5,port_specs,2,0)/(365.25))*(AT76-AT75)))*(INDEX(fixed_capacity_charge,MATCH(AT75,PORTS!$H$11:$H$317,0),MATCH(AX$5,PORTS!$H$11:$N$11,0))+INDEX(variable_om_charge,MATCH(AT75,PORTS!$H$318:$H$625,0),MATCH(AX$5,PORTS!$H$318:$N$318,0)))</f>
        <v>-968673.93759141653</v>
      </c>
      <c r="BA75" s="232">
        <f t="shared" si="23"/>
        <v>-15234019.42923829</v>
      </c>
      <c r="BB75" s="241">
        <f t="shared" si="24"/>
        <v>100754.09675422125</v>
      </c>
      <c r="BC75" s="408"/>
      <c r="BD75" s="338">
        <f>+PORTS!I69+PORTS!I377</f>
        <v>968673.93759141653</v>
      </c>
    </row>
    <row r="76" spans="1:56" x14ac:dyDescent="0.2">
      <c r="A76" s="186">
        <f t="shared" si="25"/>
        <v>38473</v>
      </c>
      <c r="B76" s="215">
        <f>+IF(AND($A76&gt;=$C$8,$A76&lt;=$C$9),1,0)*PORTS!$I$5/(365.25)*(A77-A76)</f>
        <v>5339105.9818476336</v>
      </c>
      <c r="C76" s="351">
        <f t="shared" si="5"/>
        <v>0</v>
      </c>
      <c r="D76">
        <f t="shared" si="6"/>
        <v>2005</v>
      </c>
      <c r="E76" s="186">
        <f t="shared" si="26"/>
        <v>38473</v>
      </c>
      <c r="F76" s="215">
        <f t="shared" si="7"/>
        <v>0</v>
      </c>
      <c r="G76" s="191">
        <f t="shared" si="8"/>
        <v>0</v>
      </c>
      <c r="H76" s="218">
        <f t="shared" si="9"/>
        <v>0</v>
      </c>
      <c r="I76" s="118">
        <f t="shared" si="10"/>
        <v>0</v>
      </c>
      <c r="J76" s="215">
        <f t="shared" si="2"/>
        <v>0</v>
      </c>
      <c r="K76" s="202"/>
      <c r="L76" s="186">
        <f t="shared" si="27"/>
        <v>38473</v>
      </c>
      <c r="M76" s="400">
        <f>+J76*(VLOOKUP(L76,CURVECALC!$C$6:$J$312,4,0)+N$5)</f>
        <v>0</v>
      </c>
      <c r="N76" s="208">
        <f>-F76*INDEX(ship_curves,MATCH(L76,'SHIP CURVES'!$A$9:$A$316,0),MATCH(CONCATENATE(P$4,P$5,P$6,P$7),'SHIP CURVES'!$A$9:$AZ$9,0))</f>
        <v>0</v>
      </c>
      <c r="O76" s="209">
        <f>-H76*INDEX(port_processing_fee,MATCH(L76,PORTS!$H$626:$H$933,0),MATCH(P$5,PORTS!$H$626:$Z$626,0))</f>
        <v>0</v>
      </c>
      <c r="P76" s="405">
        <f>(((VLOOKUP(L76,curvecalc,4,0))*IF(F76=0,0,J76/F76)-INDEX(ship_curves,MATCH(L76,'SHIP CURVES'!$A$9:$A$316,0),MATCH(CONCATENATE(P$4,P$5,P$6,P$7),'SHIP CURVES'!$A$9:$Z$9,0))-INDEX(terminal_curves,MATCH(L76,'TERMINAL CURVES'!$A$4:$A$313,0),MATCH(P$5,'TERMINAL CURVES'!$A$4:$N$4,0))*IF(F76=0,0,H76/F76))-(N$8)*((N$7-$N$5)-(INDEX(ship_curves,MATCH(L76,'SHIP CURVES'!$A$9:$A$316,0),MATCH(CONCATENATE(P$4,P$5,P$6,P$7),'SHIP CURVES'!$A$9:$Z$9,0))-INDEX(ship_curves,MATCH(L76,'SHIP CURVES'!$A$9:$A$316,0),MATCH(CONCATENATE(P$4,N$6,P$6,P$7),'SHIP CURVES'!$A$9:$Z$9,0)))-(INDEX(terminal_curves,MATCH(L76,'TERMINAL CURVES'!$A$4:$A$313,0),MATCH(P$5,'TERMINAL CURVES'!$A$4:$N$4,0))-INDEX(terminal_curves,MATCH(L76,'TERMINAL CURVES'!$A$4:$A$313,0),MATCH(N$6,'TERMINAL CURVES'!$A$4:$N$4,0)))*IF(F76=0,0,H76/F76)))*-F76</f>
        <v>0</v>
      </c>
      <c r="Q76" s="403">
        <f t="shared" si="11"/>
        <v>0</v>
      </c>
      <c r="R76" s="338">
        <f>(-H76/((HLOOKUP(P$5,port_specs,2,0)/(365.25))*(L77-L76)))*(INDEX(fixed_capacity_charge,MATCH(L76,PORTS!$H$11:$H$317,0),MATCH(P$5,PORTS!$H$11:$N$11,0))+INDEX(variable_om_charge,MATCH(L76,PORTS!$H$318:$H$625,0),MATCH(P$5,PORTS!$H$318:$N$318,0)))</f>
        <v>0</v>
      </c>
      <c r="S76" s="232">
        <f t="shared" si="12"/>
        <v>0</v>
      </c>
      <c r="T76" s="241">
        <f t="shared" si="13"/>
        <v>0</v>
      </c>
      <c r="U76" s="431"/>
      <c r="V76" s="186">
        <f t="shared" si="28"/>
        <v>38473</v>
      </c>
      <c r="W76" s="215">
        <f t="shared" si="14"/>
        <v>0</v>
      </c>
      <c r="X76" s="191">
        <f t="shared" si="15"/>
        <v>0</v>
      </c>
      <c r="Y76" s="218">
        <f>+IF(AND(X$8&lt;=V76,X$9&gt;=V76),+MIN($B76-SUMIF($H$17:X$17,Y$17,$H76:X76),((INDEX(ROUTE_PER_DAY_BY_SHIP,MATCH(CONCATENATE(X$4,X$5,X$7),ROUTE_PER_DAY_ROUTES,0),MATCH(X$6,ROUTE_PER_DAY_SHIPS,0))*(V77-V76))-(INDEX(ROUTE_PER_DAY_BY_SHIP,MATCH(CONCATENATE(X$4,X$5,X$7),ROUTE_PER_DAY_ROUTES,0),MATCH(X$6,ROUTE_PER_DAY_SHIPS,0))*(V77-V76))*HLOOKUP(X$6,SHIPS,7,0)*INDEX(LADEN_VOYAGE_DAYS,MATCH(CONCATENATE(X$4,X$5,X$7),LADEN_VOYAGE_ROUTES,0),MATCH(X$6,LADEN_VOYAGE_SHIPS,0)))),0)</f>
        <v>0</v>
      </c>
      <c r="Z76" s="118">
        <f t="shared" si="16"/>
        <v>0</v>
      </c>
      <c r="AA76" s="215">
        <f t="shared" si="3"/>
        <v>0</v>
      </c>
      <c r="AB76" s="202"/>
      <c r="AC76" s="186">
        <f t="shared" si="29"/>
        <v>38473</v>
      </c>
      <c r="AD76" s="232">
        <f>+AA76*(VLOOKUP(AC76,CURVECALC!$C$6:$J$312,4,0)+AE$5)</f>
        <v>0</v>
      </c>
      <c r="AE76" s="208">
        <f>-W76*INDEX(ship_curves,MATCH(AC76,'SHIP CURVES'!$A$9:$A$316,0),MATCH(CONCATENATE(AG$4,AG$5,AG$6,AG$7),'SHIP CURVES'!$A$9:$AZ$9,0))</f>
        <v>0</v>
      </c>
      <c r="AF76" s="209">
        <f>-Y76*INDEX(port_processing_fee,MATCH(AC76,PORTS!$H$626:$H$933,0),MATCH(AG$5,PORTS!$H$626:$Z$626,0))</f>
        <v>0</v>
      </c>
      <c r="AG76" s="405">
        <f>(((VLOOKUP(AC76,curvecalc,4,0))*IF(W76=0,0,AA76/W76)-INDEX(ship_curves,MATCH(AC76,'SHIP CURVES'!$A$9:$A$316,0),MATCH(CONCATENATE(AG$4,AG$5,AG$6,AG$7),'SHIP CURVES'!$A$9:$Z$9,0))-INDEX(terminal_curves,MATCH(AC76,'TERMINAL CURVES'!$A$4:$A$313,0),MATCH(AG$5,'TERMINAL CURVES'!$A$4:$N$4,0))*IF(W76=0,0,Y76/W76))-(AE$8)*((AE$7-$N$5)-(INDEX(ship_curves,MATCH(AC76,'SHIP CURVES'!$A$9:$A$316,0),MATCH(CONCATENATE(AG$4,AG$5,AG$6,AG$7),'SHIP CURVES'!$A$9:$Z$9,0))-INDEX(ship_curves,MATCH(AC76,'SHIP CURVES'!$A$9:$A$316,0),MATCH(CONCATENATE(AG$4,AE$6,AG$6,AG$7),'SHIP CURVES'!$A$9:$Z$9,0)))-(INDEX(terminal_curves,MATCH(AC76,'TERMINAL CURVES'!$A$4:$A$313,0),MATCH(AG$5,'TERMINAL CURVES'!$A$4:$N$4,0))-INDEX(terminal_curves,MATCH(AC76,'TERMINAL CURVES'!$A$4:$A$313,0),MATCH(AE$6,'TERMINAL CURVES'!$A$4:$N$4,0)))*IF(W76=0,0,Y76/W76)))*-W76</f>
        <v>0</v>
      </c>
      <c r="AH76" s="343">
        <f t="shared" si="17"/>
        <v>0</v>
      </c>
      <c r="AI76" s="338">
        <f>(-Y76/((HLOOKUP(AG$5,port_specs,2,0)/(365.25))*(AC77-AC76)))*(INDEX(fixed_capacity_charge,MATCH(AC76,PORTS!$H$11:$H$317,0),MATCH(AG$5,PORTS!$H$11:$N$11,0))+INDEX(variable_om_charge,MATCH(AC76,PORTS!$H$318:$H$625,0),MATCH(AG$5,PORTS!$H$318:$N$318,0)))</f>
        <v>0</v>
      </c>
      <c r="AJ76" s="232">
        <f t="shared" si="18"/>
        <v>0</v>
      </c>
      <c r="AK76" s="241">
        <f t="shared" si="19"/>
        <v>0</v>
      </c>
      <c r="AM76" s="186">
        <f t="shared" si="30"/>
        <v>38473</v>
      </c>
      <c r="AN76" s="215">
        <f t="shared" si="20"/>
        <v>5395761.4773599124</v>
      </c>
      <c r="AO76" s="191">
        <f t="shared" si="21"/>
        <v>-56655.495512278751</v>
      </c>
      <c r="AP76" s="218">
        <f>+IF(AND(AO$8&lt;=AM76,AO$9&gt;=AM76),+MIN($B76-SUMIF($H$17:AO$17,AP$17,$H76:AO76),((INDEX(ROUTE_PER_DAY_BY_SHIP,MATCH(CONCATENATE(AO$4,AO$5,AO$7),ROUTE_PER_DAY_ROUTES,0),MATCH(AO$6,ROUTE_PER_DAY_SHIPS,0))*(AM77-AM76))-(INDEX(ROUTE_PER_DAY_BY_SHIP,MATCH(CONCATENATE(AO$4,AO$5,AO$7),ROUTE_PER_DAY_ROUTES,0),MATCH(AO$6,ROUTE_PER_DAY_SHIPS,0))*(AM77-AM76))*HLOOKUP(AO$6,SHIPS,7,0)*INDEX(LADEN_VOYAGE_DAYS,MATCH(CONCATENATE(AO$4,AO$5,AO$7),LADEN_VOYAGE_ROUTES,0),MATCH(AO$6,LADEN_VOYAGE_SHIPS,0)))),0)</f>
        <v>5339105.9818476336</v>
      </c>
      <c r="AQ76" s="118">
        <f>-(AP76)*PORTS!$I$6</f>
        <v>-133477.64954619083</v>
      </c>
      <c r="AR76" s="215">
        <f t="shared" si="4"/>
        <v>5205628.3323014425</v>
      </c>
      <c r="AS76" s="202"/>
      <c r="AT76" s="186">
        <f t="shared" si="31"/>
        <v>38473</v>
      </c>
      <c r="AU76" s="232">
        <f>+AR76*(VLOOKUP(AT76,CURVECALC!$C$6:$J$312,4,0)+AV$5)</f>
        <v>15778259.475205673</v>
      </c>
      <c r="AV76" s="208">
        <f>-AN76*INDEX(ship_curves,MATCH(AT76,'SHIP CURVES'!$A$9:$A$316,0),MATCH(CONCATENATE(AX$4,AX$5,AX$6,AX$7),'SHIP CURVES'!$A$9:$AZ$9,0))</f>
        <v>-1764245.7470743395</v>
      </c>
      <c r="AW76" s="209">
        <f>-AP76*INDEX(port_processing_fee,MATCH(AT76,PORTS!$H$626:$H$933,0),MATCH(AX$5,PORTS!$H$626:$Z$626,0))</f>
        <v>-150233.41116017356</v>
      </c>
      <c r="AX76" s="405">
        <f>(((VLOOKUP(AT76,curvecalc,4,0))*IF(AN76=0,0,AR76/AN76)-INDEX(ship_curves,MATCH(AT76,'SHIP CURVES'!$A$9:$A$316,0),MATCH(CONCATENATE(AX$4,AX$5,AX$6,AX$7),'SHIP CURVES'!$A$9:$Z$9,0))-INDEX(terminal_curves,MATCH(AT76,'TERMINAL CURVES'!$A$4:$A$313,0),MATCH(AX$5,'TERMINAL CURVES'!$A$4:$N$4,0))*IF(AN76=0,0,AP76/AN76))-(AV$8)*((AV$7-$N$5)-(INDEX(ship_curves,MATCH(AT76,'SHIP CURVES'!$A$9:$A$316,0),MATCH(CONCATENATE(AX$4,AX$5,AX$6,AX$7),'SHIP CURVES'!$A$9:$Z$9,0))-INDEX(ship_curves,MATCH(AT76,'SHIP CURVES'!$A$9:$A$316,0),MATCH(CONCATENATE(AX$4,AV$6,AX$6,AX$7),'SHIP CURVES'!$A$9:$Z$9,0)))-(INDEX(terminal_curves,MATCH(AT76,'TERMINAL CURVES'!$A$4:$A$313,0),MATCH(AX$5,'TERMINAL CURVES'!$A$4:$N$4,0))-INDEX(terminal_curves,MATCH(AT76,'TERMINAL CURVES'!$A$4:$A$313,0),MATCH(AV$6,'TERMINAL CURVES'!$A$4:$N$4,0)))*IF(AN76=0,0,AP76/AN76)))*-AN76</f>
        <v>-12790490.180060085</v>
      </c>
      <c r="AY76" s="343">
        <f t="shared" si="22"/>
        <v>-14704969.338294597</v>
      </c>
      <c r="AZ76" s="338">
        <f>(-AP76/((HLOOKUP(AX$5,port_specs,2,0)/(365.25))*(AT77-AT76)))*(INDEX(fixed_capacity_charge,MATCH(AT76,PORTS!$H$11:$H$317,0),MATCH(AX$5,PORTS!$H$11:$N$11,0))+INDEX(variable_om_charge,MATCH(AT76,PORTS!$H$318:$H$625,0),MATCH(AX$5,PORTS!$H$318:$N$318,0)))</f>
        <v>-969177.57026504469</v>
      </c>
      <c r="BA76" s="232">
        <f t="shared" si="23"/>
        <v>-15674146.908559643</v>
      </c>
      <c r="BB76" s="241">
        <f t="shared" si="24"/>
        <v>104112.56664603017</v>
      </c>
      <c r="BC76" s="408"/>
      <c r="BD76" s="338">
        <f>+PORTS!I70+PORTS!I378</f>
        <v>969177.57026504469</v>
      </c>
    </row>
    <row r="77" spans="1:56" x14ac:dyDescent="0.2">
      <c r="A77" s="186">
        <f t="shared" si="25"/>
        <v>38504</v>
      </c>
      <c r="B77" s="215">
        <f>+IF(AND($A77&gt;=$C$8,$A77&lt;=$C$9),1,0)*PORTS!$I$5/(365.25)*(A78-A77)</f>
        <v>5166876.756626742</v>
      </c>
      <c r="C77" s="351">
        <f t="shared" si="5"/>
        <v>0</v>
      </c>
      <c r="D77">
        <f t="shared" si="6"/>
        <v>2005</v>
      </c>
      <c r="E77" s="186">
        <f t="shared" si="26"/>
        <v>38504</v>
      </c>
      <c r="F77" s="215">
        <f t="shared" si="7"/>
        <v>0</v>
      </c>
      <c r="G77" s="191">
        <f t="shared" si="8"/>
        <v>0</v>
      </c>
      <c r="H77" s="218">
        <f t="shared" si="9"/>
        <v>0</v>
      </c>
      <c r="I77" s="118">
        <f t="shared" si="10"/>
        <v>0</v>
      </c>
      <c r="J77" s="215">
        <f t="shared" si="2"/>
        <v>0</v>
      </c>
      <c r="K77" s="202"/>
      <c r="L77" s="186">
        <f t="shared" si="27"/>
        <v>38504</v>
      </c>
      <c r="M77" s="400">
        <f>+J77*(VLOOKUP(L77,CURVECALC!$C$6:$J$312,4,0)+N$5)</f>
        <v>0</v>
      </c>
      <c r="N77" s="208">
        <f>-F77*INDEX(ship_curves,MATCH(L77,'SHIP CURVES'!$A$9:$A$316,0),MATCH(CONCATENATE(P$4,P$5,P$6,P$7),'SHIP CURVES'!$A$9:$AZ$9,0))</f>
        <v>0</v>
      </c>
      <c r="O77" s="209">
        <f>-H77*INDEX(port_processing_fee,MATCH(L77,PORTS!$H$626:$H$933,0),MATCH(P$5,PORTS!$H$626:$Z$626,0))</f>
        <v>0</v>
      </c>
      <c r="P77" s="405">
        <f>(((VLOOKUP(L77,curvecalc,4,0))*IF(F77=0,0,J77/F77)-INDEX(ship_curves,MATCH(L77,'SHIP CURVES'!$A$9:$A$316,0),MATCH(CONCATENATE(P$4,P$5,P$6,P$7),'SHIP CURVES'!$A$9:$Z$9,0))-INDEX(terminal_curves,MATCH(L77,'TERMINAL CURVES'!$A$4:$A$313,0),MATCH(P$5,'TERMINAL CURVES'!$A$4:$N$4,0))*IF(F77=0,0,H77/F77))-(N$8)*((N$7-$N$5)-(INDEX(ship_curves,MATCH(L77,'SHIP CURVES'!$A$9:$A$316,0),MATCH(CONCATENATE(P$4,P$5,P$6,P$7),'SHIP CURVES'!$A$9:$Z$9,0))-INDEX(ship_curves,MATCH(L77,'SHIP CURVES'!$A$9:$A$316,0),MATCH(CONCATENATE(P$4,N$6,P$6,P$7),'SHIP CURVES'!$A$9:$Z$9,0)))-(INDEX(terminal_curves,MATCH(L77,'TERMINAL CURVES'!$A$4:$A$313,0),MATCH(P$5,'TERMINAL CURVES'!$A$4:$N$4,0))-INDEX(terminal_curves,MATCH(L77,'TERMINAL CURVES'!$A$4:$A$313,0),MATCH(N$6,'TERMINAL CURVES'!$A$4:$N$4,0)))*IF(F77=0,0,H77/F77)))*-F77</f>
        <v>0</v>
      </c>
      <c r="Q77" s="403">
        <f t="shared" si="11"/>
        <v>0</v>
      </c>
      <c r="R77" s="338">
        <f>(-H77/((HLOOKUP(P$5,port_specs,2,0)/(365.25))*(L78-L77)))*(INDEX(fixed_capacity_charge,MATCH(L77,PORTS!$H$11:$H$317,0),MATCH(P$5,PORTS!$H$11:$N$11,0))+INDEX(variable_om_charge,MATCH(L77,PORTS!$H$318:$H$625,0),MATCH(P$5,PORTS!$H$318:$N$318,0)))</f>
        <v>0</v>
      </c>
      <c r="S77" s="232">
        <f t="shared" si="12"/>
        <v>0</v>
      </c>
      <c r="T77" s="241">
        <f t="shared" si="13"/>
        <v>0</v>
      </c>
      <c r="U77" s="431"/>
      <c r="V77" s="186">
        <f t="shared" si="28"/>
        <v>38504</v>
      </c>
      <c r="W77" s="215">
        <f t="shared" si="14"/>
        <v>0</v>
      </c>
      <c r="X77" s="191">
        <f t="shared" si="15"/>
        <v>0</v>
      </c>
      <c r="Y77" s="218">
        <f>+IF(AND(X$8&lt;=V77,X$9&gt;=V77),+MIN($B77-SUMIF($H$17:X$17,Y$17,$H77:X77),((INDEX(ROUTE_PER_DAY_BY_SHIP,MATCH(CONCATENATE(X$4,X$5,X$7),ROUTE_PER_DAY_ROUTES,0),MATCH(X$6,ROUTE_PER_DAY_SHIPS,0))*(V78-V77))-(INDEX(ROUTE_PER_DAY_BY_SHIP,MATCH(CONCATENATE(X$4,X$5,X$7),ROUTE_PER_DAY_ROUTES,0),MATCH(X$6,ROUTE_PER_DAY_SHIPS,0))*(V78-V77))*HLOOKUP(X$6,SHIPS,7,0)*INDEX(LADEN_VOYAGE_DAYS,MATCH(CONCATENATE(X$4,X$5,X$7),LADEN_VOYAGE_ROUTES,0),MATCH(X$6,LADEN_VOYAGE_SHIPS,0)))),0)</f>
        <v>0</v>
      </c>
      <c r="Z77" s="118">
        <f t="shared" si="16"/>
        <v>0</v>
      </c>
      <c r="AA77" s="215">
        <f t="shared" si="3"/>
        <v>0</v>
      </c>
      <c r="AB77" s="202"/>
      <c r="AC77" s="186">
        <f t="shared" si="29"/>
        <v>38504</v>
      </c>
      <c r="AD77" s="232">
        <f>+AA77*(VLOOKUP(AC77,CURVECALC!$C$6:$J$312,4,0)+AE$5)</f>
        <v>0</v>
      </c>
      <c r="AE77" s="208">
        <f>-W77*INDEX(ship_curves,MATCH(AC77,'SHIP CURVES'!$A$9:$A$316,0),MATCH(CONCATENATE(AG$4,AG$5,AG$6,AG$7),'SHIP CURVES'!$A$9:$AZ$9,0))</f>
        <v>0</v>
      </c>
      <c r="AF77" s="209">
        <f>-Y77*INDEX(port_processing_fee,MATCH(AC77,PORTS!$H$626:$H$933,0),MATCH(AG$5,PORTS!$H$626:$Z$626,0))</f>
        <v>0</v>
      </c>
      <c r="AG77" s="405">
        <f>(((VLOOKUP(AC77,curvecalc,4,0))*IF(W77=0,0,AA77/W77)-INDEX(ship_curves,MATCH(AC77,'SHIP CURVES'!$A$9:$A$316,0),MATCH(CONCATENATE(AG$4,AG$5,AG$6,AG$7),'SHIP CURVES'!$A$9:$Z$9,0))-INDEX(terminal_curves,MATCH(AC77,'TERMINAL CURVES'!$A$4:$A$313,0),MATCH(AG$5,'TERMINAL CURVES'!$A$4:$N$4,0))*IF(W77=0,0,Y77/W77))-(AE$8)*((AE$7-$N$5)-(INDEX(ship_curves,MATCH(AC77,'SHIP CURVES'!$A$9:$A$316,0),MATCH(CONCATENATE(AG$4,AG$5,AG$6,AG$7),'SHIP CURVES'!$A$9:$Z$9,0))-INDEX(ship_curves,MATCH(AC77,'SHIP CURVES'!$A$9:$A$316,0),MATCH(CONCATENATE(AG$4,AE$6,AG$6,AG$7),'SHIP CURVES'!$A$9:$Z$9,0)))-(INDEX(terminal_curves,MATCH(AC77,'TERMINAL CURVES'!$A$4:$A$313,0),MATCH(AG$5,'TERMINAL CURVES'!$A$4:$N$4,0))-INDEX(terminal_curves,MATCH(AC77,'TERMINAL CURVES'!$A$4:$A$313,0),MATCH(AE$6,'TERMINAL CURVES'!$A$4:$N$4,0)))*IF(W77=0,0,Y77/W77)))*-W77</f>
        <v>0</v>
      </c>
      <c r="AH77" s="343">
        <f t="shared" si="17"/>
        <v>0</v>
      </c>
      <c r="AI77" s="338">
        <f>(-Y77/((HLOOKUP(AG$5,port_specs,2,0)/(365.25))*(AC78-AC77)))*(INDEX(fixed_capacity_charge,MATCH(AC77,PORTS!$H$11:$H$317,0),MATCH(AG$5,PORTS!$H$11:$N$11,0))+INDEX(variable_om_charge,MATCH(AC77,PORTS!$H$318:$H$625,0),MATCH(AG$5,PORTS!$H$318:$N$318,0)))</f>
        <v>0</v>
      </c>
      <c r="AJ77" s="232">
        <f t="shared" si="18"/>
        <v>0</v>
      </c>
      <c r="AK77" s="241">
        <f t="shared" si="19"/>
        <v>0</v>
      </c>
      <c r="AM77" s="186">
        <f t="shared" si="30"/>
        <v>38504</v>
      </c>
      <c r="AN77" s="215">
        <f t="shared" si="20"/>
        <v>5221704.655509592</v>
      </c>
      <c r="AO77" s="191">
        <f t="shared" si="21"/>
        <v>-54827.898882850073</v>
      </c>
      <c r="AP77" s="218">
        <f>+IF(AND(AO$8&lt;=AM77,AO$9&gt;=AM77),+MIN($B77-SUMIF($H$17:AO$17,AP$17,$H77:AO77),((INDEX(ROUTE_PER_DAY_BY_SHIP,MATCH(CONCATENATE(AO$4,AO$5,AO$7),ROUTE_PER_DAY_ROUTES,0),MATCH(AO$6,ROUTE_PER_DAY_SHIPS,0))*(AM78-AM77))-(INDEX(ROUTE_PER_DAY_BY_SHIP,MATCH(CONCATENATE(AO$4,AO$5,AO$7),ROUTE_PER_DAY_ROUTES,0),MATCH(AO$6,ROUTE_PER_DAY_SHIPS,0))*(AM78-AM77))*HLOOKUP(AO$6,SHIPS,7,0)*INDEX(LADEN_VOYAGE_DAYS,MATCH(CONCATENATE(AO$4,AO$5,AO$7),LADEN_VOYAGE_ROUTES,0),MATCH(AO$6,LADEN_VOYAGE_SHIPS,0)))),0)</f>
        <v>5166876.756626742</v>
      </c>
      <c r="AQ77" s="118">
        <f>-(AP77)*PORTS!$I$6</f>
        <v>-129171.91891566856</v>
      </c>
      <c r="AR77" s="215">
        <f t="shared" si="4"/>
        <v>5037704.8377110735</v>
      </c>
      <c r="AS77" s="202"/>
      <c r="AT77" s="186">
        <f t="shared" si="31"/>
        <v>38504</v>
      </c>
      <c r="AU77" s="232">
        <f>+AR77*(VLOOKUP(AT77,CURVECALC!$C$6:$J$312,4,0)+AV$5)</f>
        <v>15430489.917909019</v>
      </c>
      <c r="AV77" s="208">
        <f>-AN77*INDEX(ship_curves,MATCH(AT77,'SHIP CURVES'!$A$9:$A$316,0),MATCH(CONCATENATE(AX$4,AX$5,AX$6,AX$7),'SHIP CURVES'!$A$9:$AZ$9,0))</f>
        <v>-1707798.9447898006</v>
      </c>
      <c r="AW77" s="209">
        <f>-AP77*INDEX(port_processing_fee,MATCH(AT77,PORTS!$H$626:$H$933,0),MATCH(AX$5,PORTS!$H$626:$Z$626,0))</f>
        <v>-145538.6170614181</v>
      </c>
      <c r="AX77" s="405">
        <f>(((VLOOKUP(AT77,curvecalc,4,0))*IF(AN77=0,0,AR77/AN77)-INDEX(ship_curves,MATCH(AT77,'SHIP CURVES'!$A$9:$A$316,0),MATCH(CONCATENATE(AX$4,AX$5,AX$6,AX$7),'SHIP CURVES'!$A$9:$Z$9,0))-INDEX(terminal_curves,MATCH(AT77,'TERMINAL CURVES'!$A$4:$A$313,0),MATCH(AX$5,'TERMINAL CURVES'!$A$4:$N$4,0))*IF(AN77=0,0,AP77/AN77))-(AV$8)*((AV$7-$N$5)-(INDEX(ship_curves,MATCH(AT77,'SHIP CURVES'!$A$9:$A$316,0),MATCH(CONCATENATE(AX$4,AX$5,AX$6,AX$7),'SHIP CURVES'!$A$9:$Z$9,0))-INDEX(ship_curves,MATCH(AT77,'SHIP CURVES'!$A$9:$A$316,0),MATCH(CONCATENATE(AX$4,AV$6,AX$6,AX$7),'SHIP CURVES'!$A$9:$Z$9,0)))-(INDEX(terminal_curves,MATCH(AT77,'TERMINAL CURVES'!$A$4:$A$313,0),MATCH(AX$5,'TERMINAL CURVES'!$A$4:$N$4,0))-INDEX(terminal_curves,MATCH(AT77,'TERMINAL CURVES'!$A$4:$A$313,0),MATCH(AV$6,'TERMINAL CURVES'!$A$4:$N$4,0)))*IF(AN77=0,0,AP77/AN77)))*-AN77</f>
        <v>-12506716.531747535</v>
      </c>
      <c r="AY77" s="343">
        <f t="shared" si="22"/>
        <v>-14360054.093598753</v>
      </c>
      <c r="AZ77" s="338">
        <f>(-AP77/((HLOOKUP(AX$5,port_specs,2,0)/(365.25))*(AT78-AT77)))*(INDEX(fixed_capacity_charge,MATCH(AT77,PORTS!$H$11:$H$317,0),MATCH(AX$5,PORTS!$H$11:$N$11,0))+INDEX(variable_om_charge,MATCH(AT77,PORTS!$H$318:$H$625,0),MATCH(AX$5,PORTS!$H$318:$N$318,0)))</f>
        <v>-969681.72755604121</v>
      </c>
      <c r="BA77" s="232">
        <f t="shared" si="23"/>
        <v>-15329735.821154794</v>
      </c>
      <c r="BB77" s="241">
        <f t="shared" si="24"/>
        <v>100754.09675422497</v>
      </c>
      <c r="BC77" s="408"/>
      <c r="BD77" s="338">
        <f>+PORTS!I71+PORTS!I379</f>
        <v>969681.72755604121</v>
      </c>
    </row>
    <row r="78" spans="1:56" x14ac:dyDescent="0.2">
      <c r="A78" s="186">
        <f t="shared" si="25"/>
        <v>38534</v>
      </c>
      <c r="B78" s="215">
        <f>+IF(AND($A78&gt;=$C$8,$A78&lt;=$C$9),1,0)*PORTS!$I$5/(365.25)*(A79-A78)</f>
        <v>5339105.9818476336</v>
      </c>
      <c r="C78" s="351">
        <f t="shared" si="5"/>
        <v>0</v>
      </c>
      <c r="D78">
        <f t="shared" si="6"/>
        <v>2005</v>
      </c>
      <c r="E78" s="186">
        <f t="shared" si="26"/>
        <v>38534</v>
      </c>
      <c r="F78" s="215">
        <f t="shared" si="7"/>
        <v>0</v>
      </c>
      <c r="G78" s="191">
        <f t="shared" si="8"/>
        <v>0</v>
      </c>
      <c r="H78" s="218">
        <f t="shared" si="9"/>
        <v>0</v>
      </c>
      <c r="I78" s="118">
        <f t="shared" si="10"/>
        <v>0</v>
      </c>
      <c r="J78" s="215">
        <f t="shared" si="2"/>
        <v>0</v>
      </c>
      <c r="K78" s="202"/>
      <c r="L78" s="186">
        <f t="shared" si="27"/>
        <v>38534</v>
      </c>
      <c r="M78" s="400">
        <f>+J78*(VLOOKUP(L78,CURVECALC!$C$6:$J$312,4,0)+N$5)</f>
        <v>0</v>
      </c>
      <c r="N78" s="208">
        <f>-F78*INDEX(ship_curves,MATCH(L78,'SHIP CURVES'!$A$9:$A$316,0),MATCH(CONCATENATE(P$4,P$5,P$6,P$7),'SHIP CURVES'!$A$9:$AZ$9,0))</f>
        <v>0</v>
      </c>
      <c r="O78" s="209">
        <f>-H78*INDEX(port_processing_fee,MATCH(L78,PORTS!$H$626:$H$933,0),MATCH(P$5,PORTS!$H$626:$Z$626,0))</f>
        <v>0</v>
      </c>
      <c r="P78" s="405">
        <f>(((VLOOKUP(L78,curvecalc,4,0))*IF(F78=0,0,J78/F78)-INDEX(ship_curves,MATCH(L78,'SHIP CURVES'!$A$9:$A$316,0),MATCH(CONCATENATE(P$4,P$5,P$6,P$7),'SHIP CURVES'!$A$9:$Z$9,0))-INDEX(terminal_curves,MATCH(L78,'TERMINAL CURVES'!$A$4:$A$313,0),MATCH(P$5,'TERMINAL CURVES'!$A$4:$N$4,0))*IF(F78=0,0,H78/F78))-(N$8)*((N$7-$N$5)-(INDEX(ship_curves,MATCH(L78,'SHIP CURVES'!$A$9:$A$316,0),MATCH(CONCATENATE(P$4,P$5,P$6,P$7),'SHIP CURVES'!$A$9:$Z$9,0))-INDEX(ship_curves,MATCH(L78,'SHIP CURVES'!$A$9:$A$316,0),MATCH(CONCATENATE(P$4,N$6,P$6,P$7),'SHIP CURVES'!$A$9:$Z$9,0)))-(INDEX(terminal_curves,MATCH(L78,'TERMINAL CURVES'!$A$4:$A$313,0),MATCH(P$5,'TERMINAL CURVES'!$A$4:$N$4,0))-INDEX(terminal_curves,MATCH(L78,'TERMINAL CURVES'!$A$4:$A$313,0),MATCH(N$6,'TERMINAL CURVES'!$A$4:$N$4,0)))*IF(F78=0,0,H78/F78)))*-F78</f>
        <v>0</v>
      </c>
      <c r="Q78" s="403">
        <f t="shared" si="11"/>
        <v>0</v>
      </c>
      <c r="R78" s="338">
        <f>(-H78/((HLOOKUP(P$5,port_specs,2,0)/(365.25))*(L79-L78)))*(INDEX(fixed_capacity_charge,MATCH(L78,PORTS!$H$11:$H$317,0),MATCH(P$5,PORTS!$H$11:$N$11,0))+INDEX(variable_om_charge,MATCH(L78,PORTS!$H$318:$H$625,0),MATCH(P$5,PORTS!$H$318:$N$318,0)))</f>
        <v>0</v>
      </c>
      <c r="S78" s="232">
        <f t="shared" si="12"/>
        <v>0</v>
      </c>
      <c r="T78" s="241">
        <f t="shared" si="13"/>
        <v>0</v>
      </c>
      <c r="U78" s="431"/>
      <c r="V78" s="186">
        <f t="shared" si="28"/>
        <v>38534</v>
      </c>
      <c r="W78" s="215">
        <f t="shared" si="14"/>
        <v>0</v>
      </c>
      <c r="X78" s="191">
        <f t="shared" si="15"/>
        <v>0</v>
      </c>
      <c r="Y78" s="218">
        <f>+IF(AND(X$8&lt;=V78,X$9&gt;=V78),+MIN($B78-SUMIF($H$17:X$17,Y$17,$H78:X78),((INDEX(ROUTE_PER_DAY_BY_SHIP,MATCH(CONCATENATE(X$4,X$5,X$7),ROUTE_PER_DAY_ROUTES,0),MATCH(X$6,ROUTE_PER_DAY_SHIPS,0))*(V79-V78))-(INDEX(ROUTE_PER_DAY_BY_SHIP,MATCH(CONCATENATE(X$4,X$5,X$7),ROUTE_PER_DAY_ROUTES,0),MATCH(X$6,ROUTE_PER_DAY_SHIPS,0))*(V79-V78))*HLOOKUP(X$6,SHIPS,7,0)*INDEX(LADEN_VOYAGE_DAYS,MATCH(CONCATENATE(X$4,X$5,X$7),LADEN_VOYAGE_ROUTES,0),MATCH(X$6,LADEN_VOYAGE_SHIPS,0)))),0)</f>
        <v>0</v>
      </c>
      <c r="Z78" s="118">
        <f t="shared" si="16"/>
        <v>0</v>
      </c>
      <c r="AA78" s="215">
        <f t="shared" si="3"/>
        <v>0</v>
      </c>
      <c r="AB78" s="202"/>
      <c r="AC78" s="186">
        <f t="shared" si="29"/>
        <v>38534</v>
      </c>
      <c r="AD78" s="232">
        <f>+AA78*(VLOOKUP(AC78,CURVECALC!$C$6:$J$312,4,0)+AE$5)</f>
        <v>0</v>
      </c>
      <c r="AE78" s="208">
        <f>-W78*INDEX(ship_curves,MATCH(AC78,'SHIP CURVES'!$A$9:$A$316,0),MATCH(CONCATENATE(AG$4,AG$5,AG$6,AG$7),'SHIP CURVES'!$A$9:$AZ$9,0))</f>
        <v>0</v>
      </c>
      <c r="AF78" s="209">
        <f>-Y78*INDEX(port_processing_fee,MATCH(AC78,PORTS!$H$626:$H$933,0),MATCH(AG$5,PORTS!$H$626:$Z$626,0))</f>
        <v>0</v>
      </c>
      <c r="AG78" s="405">
        <f>(((VLOOKUP(AC78,curvecalc,4,0))*IF(W78=0,0,AA78/W78)-INDEX(ship_curves,MATCH(AC78,'SHIP CURVES'!$A$9:$A$316,0),MATCH(CONCATENATE(AG$4,AG$5,AG$6,AG$7),'SHIP CURVES'!$A$9:$Z$9,0))-INDEX(terminal_curves,MATCH(AC78,'TERMINAL CURVES'!$A$4:$A$313,0),MATCH(AG$5,'TERMINAL CURVES'!$A$4:$N$4,0))*IF(W78=0,0,Y78/W78))-(AE$8)*((AE$7-$N$5)-(INDEX(ship_curves,MATCH(AC78,'SHIP CURVES'!$A$9:$A$316,0),MATCH(CONCATENATE(AG$4,AG$5,AG$6,AG$7),'SHIP CURVES'!$A$9:$Z$9,0))-INDEX(ship_curves,MATCH(AC78,'SHIP CURVES'!$A$9:$A$316,0),MATCH(CONCATENATE(AG$4,AE$6,AG$6,AG$7),'SHIP CURVES'!$A$9:$Z$9,0)))-(INDEX(terminal_curves,MATCH(AC78,'TERMINAL CURVES'!$A$4:$A$313,0),MATCH(AG$5,'TERMINAL CURVES'!$A$4:$N$4,0))-INDEX(terminal_curves,MATCH(AC78,'TERMINAL CURVES'!$A$4:$A$313,0),MATCH(AE$6,'TERMINAL CURVES'!$A$4:$N$4,0)))*IF(W78=0,0,Y78/W78)))*-W78</f>
        <v>0</v>
      </c>
      <c r="AH78" s="343">
        <f t="shared" si="17"/>
        <v>0</v>
      </c>
      <c r="AI78" s="338">
        <f>(-Y78/((HLOOKUP(AG$5,port_specs,2,0)/(365.25))*(AC79-AC78)))*(INDEX(fixed_capacity_charge,MATCH(AC78,PORTS!$H$11:$H$317,0),MATCH(AG$5,PORTS!$H$11:$N$11,0))+INDEX(variable_om_charge,MATCH(AC78,PORTS!$H$318:$H$625,0),MATCH(AG$5,PORTS!$H$318:$N$318,0)))</f>
        <v>0</v>
      </c>
      <c r="AJ78" s="232">
        <f t="shared" si="18"/>
        <v>0</v>
      </c>
      <c r="AK78" s="241">
        <f t="shared" si="19"/>
        <v>0</v>
      </c>
      <c r="AM78" s="186">
        <f t="shared" si="30"/>
        <v>38534</v>
      </c>
      <c r="AN78" s="215">
        <f t="shared" si="20"/>
        <v>5395761.4773599124</v>
      </c>
      <c r="AO78" s="191">
        <f t="shared" si="21"/>
        <v>-56655.495512278751</v>
      </c>
      <c r="AP78" s="218">
        <f>+IF(AND(AO$8&lt;=AM78,AO$9&gt;=AM78),+MIN($B78-SUMIF($H$17:AO$17,AP$17,$H78:AO78),((INDEX(ROUTE_PER_DAY_BY_SHIP,MATCH(CONCATENATE(AO$4,AO$5,AO$7),ROUTE_PER_DAY_ROUTES,0),MATCH(AO$6,ROUTE_PER_DAY_SHIPS,0))*(AM79-AM78))-(INDEX(ROUTE_PER_DAY_BY_SHIP,MATCH(CONCATENATE(AO$4,AO$5,AO$7),ROUTE_PER_DAY_ROUTES,0),MATCH(AO$6,ROUTE_PER_DAY_SHIPS,0))*(AM79-AM78))*HLOOKUP(AO$6,SHIPS,7,0)*INDEX(LADEN_VOYAGE_DAYS,MATCH(CONCATENATE(AO$4,AO$5,AO$7),LADEN_VOYAGE_ROUTES,0),MATCH(AO$6,LADEN_VOYAGE_SHIPS,0)))),0)</f>
        <v>5339105.9818476336</v>
      </c>
      <c r="AQ78" s="118">
        <f>-(AP78)*PORTS!$I$6</f>
        <v>-133477.64954619083</v>
      </c>
      <c r="AR78" s="215">
        <f t="shared" si="4"/>
        <v>5205628.3323014425</v>
      </c>
      <c r="AS78" s="202"/>
      <c r="AT78" s="186">
        <f t="shared" si="31"/>
        <v>38534</v>
      </c>
      <c r="AU78" s="232">
        <f>+AR78*(VLOOKUP(AT78,CURVECALC!$C$6:$J$312,4,0)+AV$5)</f>
        <v>15944839.581839319</v>
      </c>
      <c r="AV78" s="208">
        <f>-AN78*INDEX(ship_curves,MATCH(AT78,'SHIP CURVES'!$A$9:$A$316,0),MATCH(CONCATENATE(AX$4,AX$5,AX$6,AX$7),'SHIP CURVES'!$A$9:$AZ$9,0))</f>
        <v>-1765206.4051354327</v>
      </c>
      <c r="AW78" s="209">
        <f>-AP78*INDEX(port_processing_fee,MATCH(AT78,PORTS!$H$626:$H$933,0),MATCH(AX$5,PORTS!$H$626:$Z$626,0))</f>
        <v>-150546.56044710788</v>
      </c>
      <c r="AX78" s="405">
        <f>(((VLOOKUP(AT78,curvecalc,4,0))*IF(AN78=0,0,AR78/AN78)-INDEX(ship_curves,MATCH(AT78,'SHIP CURVES'!$A$9:$A$316,0),MATCH(CONCATENATE(AX$4,AX$5,AX$6,AX$7),'SHIP CURVES'!$A$9:$Z$9,0))-INDEX(terminal_curves,MATCH(AT78,'TERMINAL CURVES'!$A$4:$A$313,0),MATCH(AX$5,'TERMINAL CURVES'!$A$4:$N$4,0))*IF(AN78=0,0,AP78/AN78))-(AV$8)*((AV$7-$N$5)-(INDEX(ship_curves,MATCH(AT78,'SHIP CURVES'!$A$9:$A$316,0),MATCH(CONCATENATE(AX$4,AX$5,AX$6,AX$7),'SHIP CURVES'!$A$9:$Z$9,0))-INDEX(ship_curves,MATCH(AT78,'SHIP CURVES'!$A$9:$A$316,0),MATCH(CONCATENATE(AX$4,AV$6,AX$6,AX$7),'SHIP CURVES'!$A$9:$Z$9,0)))-(INDEX(terminal_curves,MATCH(AT78,'TERMINAL CURVES'!$A$4:$A$313,0),MATCH(AX$5,'TERMINAL CURVES'!$A$4:$N$4,0))-INDEX(terminal_curves,MATCH(AT78,'TERMINAL CURVES'!$A$4:$A$313,0),MATCH(AV$6,'TERMINAL CURVES'!$A$4:$N$4,0)))*IF(AN78=0,0,AP78/AN78)))*-AN78</f>
        <v>-12954787.639599865</v>
      </c>
      <c r="AY78" s="343">
        <f t="shared" si="22"/>
        <v>-14870540.605182406</v>
      </c>
      <c r="AZ78" s="338">
        <f>(-AP78/((HLOOKUP(AX$5,port_specs,2,0)/(365.25))*(AT79-AT78)))*(INDEX(fixed_capacity_charge,MATCH(AT78,PORTS!$H$11:$H$317,0),MATCH(AX$5,PORTS!$H$11:$N$11,0))+INDEX(variable_om_charge,MATCH(AT78,PORTS!$H$318:$H$625,0),MATCH(AX$5,PORTS!$H$318:$N$318,0)))</f>
        <v>-970186.41001088254</v>
      </c>
      <c r="BA78" s="232">
        <f t="shared" si="23"/>
        <v>-15840727.015193287</v>
      </c>
      <c r="BB78" s="241">
        <f t="shared" si="24"/>
        <v>104112.56664603204</v>
      </c>
      <c r="BC78" s="408"/>
      <c r="BD78" s="338">
        <f>+PORTS!I72+PORTS!I380</f>
        <v>970186.41001088254</v>
      </c>
    </row>
    <row r="79" spans="1:56" x14ac:dyDescent="0.2">
      <c r="A79" s="186">
        <f t="shared" si="25"/>
        <v>38565</v>
      </c>
      <c r="B79" s="215">
        <f>+IF(AND($A79&gt;=$C$8,$A79&lt;=$C$9),1,0)*PORTS!$I$5/(365.25)*(A80-A79)</f>
        <v>5339105.9818476336</v>
      </c>
      <c r="C79" s="351">
        <f t="shared" si="5"/>
        <v>0</v>
      </c>
      <c r="D79">
        <f t="shared" si="6"/>
        <v>2005</v>
      </c>
      <c r="E79" s="186">
        <f t="shared" si="26"/>
        <v>38565</v>
      </c>
      <c r="F79" s="215">
        <f t="shared" si="7"/>
        <v>0</v>
      </c>
      <c r="G79" s="191">
        <f t="shared" si="8"/>
        <v>0</v>
      </c>
      <c r="H79" s="218">
        <f t="shared" si="9"/>
        <v>0</v>
      </c>
      <c r="I79" s="118">
        <f t="shared" si="10"/>
        <v>0</v>
      </c>
      <c r="J79" s="215">
        <f t="shared" si="2"/>
        <v>0</v>
      </c>
      <c r="K79" s="202"/>
      <c r="L79" s="186">
        <f t="shared" si="27"/>
        <v>38565</v>
      </c>
      <c r="M79" s="400">
        <f>+J79*(VLOOKUP(L79,CURVECALC!$C$6:$J$312,4,0)+N$5)</f>
        <v>0</v>
      </c>
      <c r="N79" s="208">
        <f>-F79*INDEX(ship_curves,MATCH(L79,'SHIP CURVES'!$A$9:$A$316,0),MATCH(CONCATENATE(P$4,P$5,P$6,P$7),'SHIP CURVES'!$A$9:$AZ$9,0))</f>
        <v>0</v>
      </c>
      <c r="O79" s="209">
        <f>-H79*INDEX(port_processing_fee,MATCH(L79,PORTS!$H$626:$H$933,0),MATCH(P$5,PORTS!$H$626:$Z$626,0))</f>
        <v>0</v>
      </c>
      <c r="P79" s="405">
        <f>(((VLOOKUP(L79,curvecalc,4,0))*IF(F79=0,0,J79/F79)-INDEX(ship_curves,MATCH(L79,'SHIP CURVES'!$A$9:$A$316,0),MATCH(CONCATENATE(P$4,P$5,P$6,P$7),'SHIP CURVES'!$A$9:$Z$9,0))-INDEX(terminal_curves,MATCH(L79,'TERMINAL CURVES'!$A$4:$A$313,0),MATCH(P$5,'TERMINAL CURVES'!$A$4:$N$4,0))*IF(F79=0,0,H79/F79))-(N$8)*((N$7-$N$5)-(INDEX(ship_curves,MATCH(L79,'SHIP CURVES'!$A$9:$A$316,0),MATCH(CONCATENATE(P$4,P$5,P$6,P$7),'SHIP CURVES'!$A$9:$Z$9,0))-INDEX(ship_curves,MATCH(L79,'SHIP CURVES'!$A$9:$A$316,0),MATCH(CONCATENATE(P$4,N$6,P$6,P$7),'SHIP CURVES'!$A$9:$Z$9,0)))-(INDEX(terminal_curves,MATCH(L79,'TERMINAL CURVES'!$A$4:$A$313,0),MATCH(P$5,'TERMINAL CURVES'!$A$4:$N$4,0))-INDEX(terminal_curves,MATCH(L79,'TERMINAL CURVES'!$A$4:$A$313,0),MATCH(N$6,'TERMINAL CURVES'!$A$4:$N$4,0)))*IF(F79=0,0,H79/F79)))*-F79</f>
        <v>0</v>
      </c>
      <c r="Q79" s="403">
        <f t="shared" si="11"/>
        <v>0</v>
      </c>
      <c r="R79" s="338">
        <f>(-H79/((HLOOKUP(P$5,port_specs,2,0)/(365.25))*(L80-L79)))*(INDEX(fixed_capacity_charge,MATCH(L79,PORTS!$H$11:$H$317,0),MATCH(P$5,PORTS!$H$11:$N$11,0))+INDEX(variable_om_charge,MATCH(L79,PORTS!$H$318:$H$625,0),MATCH(P$5,PORTS!$H$318:$N$318,0)))</f>
        <v>0</v>
      </c>
      <c r="S79" s="232">
        <f t="shared" si="12"/>
        <v>0</v>
      </c>
      <c r="T79" s="241">
        <f t="shared" si="13"/>
        <v>0</v>
      </c>
      <c r="U79" s="431"/>
      <c r="V79" s="186">
        <f t="shared" si="28"/>
        <v>38565</v>
      </c>
      <c r="W79" s="215">
        <f t="shared" si="14"/>
        <v>0</v>
      </c>
      <c r="X79" s="191">
        <f t="shared" si="15"/>
        <v>0</v>
      </c>
      <c r="Y79" s="218">
        <f>+IF(AND(X$8&lt;=V79,X$9&gt;=V79),+MIN($B79-SUMIF($H$17:X$17,Y$17,$H79:X79),((INDEX(ROUTE_PER_DAY_BY_SHIP,MATCH(CONCATENATE(X$4,X$5,X$7),ROUTE_PER_DAY_ROUTES,0),MATCH(X$6,ROUTE_PER_DAY_SHIPS,0))*(V80-V79))-(INDEX(ROUTE_PER_DAY_BY_SHIP,MATCH(CONCATENATE(X$4,X$5,X$7),ROUTE_PER_DAY_ROUTES,0),MATCH(X$6,ROUTE_PER_DAY_SHIPS,0))*(V80-V79))*HLOOKUP(X$6,SHIPS,7,0)*INDEX(LADEN_VOYAGE_DAYS,MATCH(CONCATENATE(X$4,X$5,X$7),LADEN_VOYAGE_ROUTES,0),MATCH(X$6,LADEN_VOYAGE_SHIPS,0)))),0)</f>
        <v>0</v>
      </c>
      <c r="Z79" s="118">
        <f t="shared" si="16"/>
        <v>0</v>
      </c>
      <c r="AA79" s="215">
        <f t="shared" si="3"/>
        <v>0</v>
      </c>
      <c r="AB79" s="202"/>
      <c r="AC79" s="186">
        <f t="shared" si="29"/>
        <v>38565</v>
      </c>
      <c r="AD79" s="232">
        <f>+AA79*(VLOOKUP(AC79,CURVECALC!$C$6:$J$312,4,0)+AE$5)</f>
        <v>0</v>
      </c>
      <c r="AE79" s="208">
        <f>-W79*INDEX(ship_curves,MATCH(AC79,'SHIP CURVES'!$A$9:$A$316,0),MATCH(CONCATENATE(AG$4,AG$5,AG$6,AG$7),'SHIP CURVES'!$A$9:$AZ$9,0))</f>
        <v>0</v>
      </c>
      <c r="AF79" s="209">
        <f>-Y79*INDEX(port_processing_fee,MATCH(AC79,PORTS!$H$626:$H$933,0),MATCH(AG$5,PORTS!$H$626:$Z$626,0))</f>
        <v>0</v>
      </c>
      <c r="AG79" s="405">
        <f>(((VLOOKUP(AC79,curvecalc,4,0))*IF(W79=0,0,AA79/W79)-INDEX(ship_curves,MATCH(AC79,'SHIP CURVES'!$A$9:$A$316,0),MATCH(CONCATENATE(AG$4,AG$5,AG$6,AG$7),'SHIP CURVES'!$A$9:$Z$9,0))-INDEX(terminal_curves,MATCH(AC79,'TERMINAL CURVES'!$A$4:$A$313,0),MATCH(AG$5,'TERMINAL CURVES'!$A$4:$N$4,0))*IF(W79=0,0,Y79/W79))-(AE$8)*((AE$7-$N$5)-(INDEX(ship_curves,MATCH(AC79,'SHIP CURVES'!$A$9:$A$316,0),MATCH(CONCATENATE(AG$4,AG$5,AG$6,AG$7),'SHIP CURVES'!$A$9:$Z$9,0))-INDEX(ship_curves,MATCH(AC79,'SHIP CURVES'!$A$9:$A$316,0),MATCH(CONCATENATE(AG$4,AE$6,AG$6,AG$7),'SHIP CURVES'!$A$9:$Z$9,0)))-(INDEX(terminal_curves,MATCH(AC79,'TERMINAL CURVES'!$A$4:$A$313,0),MATCH(AG$5,'TERMINAL CURVES'!$A$4:$N$4,0))-INDEX(terminal_curves,MATCH(AC79,'TERMINAL CURVES'!$A$4:$A$313,0),MATCH(AE$6,'TERMINAL CURVES'!$A$4:$N$4,0)))*IF(W79=0,0,Y79/W79)))*-W79</f>
        <v>0</v>
      </c>
      <c r="AH79" s="343">
        <f t="shared" si="17"/>
        <v>0</v>
      </c>
      <c r="AI79" s="338">
        <f>(-Y79/((HLOOKUP(AG$5,port_specs,2,0)/(365.25))*(AC80-AC79)))*(INDEX(fixed_capacity_charge,MATCH(AC79,PORTS!$H$11:$H$317,0),MATCH(AG$5,PORTS!$H$11:$N$11,0))+INDEX(variable_om_charge,MATCH(AC79,PORTS!$H$318:$H$625,0),MATCH(AG$5,PORTS!$H$318:$N$318,0)))</f>
        <v>0</v>
      </c>
      <c r="AJ79" s="232">
        <f t="shared" si="18"/>
        <v>0</v>
      </c>
      <c r="AK79" s="241">
        <f t="shared" si="19"/>
        <v>0</v>
      </c>
      <c r="AM79" s="186">
        <f t="shared" si="30"/>
        <v>38565</v>
      </c>
      <c r="AN79" s="215">
        <f t="shared" si="20"/>
        <v>5395761.4773599124</v>
      </c>
      <c r="AO79" s="191">
        <f t="shared" si="21"/>
        <v>-56655.495512278751</v>
      </c>
      <c r="AP79" s="218">
        <f>+IF(AND(AO$8&lt;=AM79,AO$9&gt;=AM79),+MIN($B79-SUMIF($H$17:AO$17,AP$17,$H79:AO79),((INDEX(ROUTE_PER_DAY_BY_SHIP,MATCH(CONCATENATE(AO$4,AO$5,AO$7),ROUTE_PER_DAY_ROUTES,0),MATCH(AO$6,ROUTE_PER_DAY_SHIPS,0))*(AM80-AM79))-(INDEX(ROUTE_PER_DAY_BY_SHIP,MATCH(CONCATENATE(AO$4,AO$5,AO$7),ROUTE_PER_DAY_ROUTES,0),MATCH(AO$6,ROUTE_PER_DAY_SHIPS,0))*(AM80-AM79))*HLOOKUP(AO$6,SHIPS,7,0)*INDEX(LADEN_VOYAGE_DAYS,MATCH(CONCATENATE(AO$4,AO$5,AO$7),LADEN_VOYAGE_ROUTES,0),MATCH(AO$6,LADEN_VOYAGE_SHIPS,0)))),0)</f>
        <v>5339105.9818476336</v>
      </c>
      <c r="AQ79" s="118">
        <f>-(AP79)*PORTS!$I$6</f>
        <v>-133477.64954619083</v>
      </c>
      <c r="AR79" s="215">
        <f t="shared" si="4"/>
        <v>5205628.3323014425</v>
      </c>
      <c r="AS79" s="202"/>
      <c r="AT79" s="186">
        <f t="shared" si="31"/>
        <v>38565</v>
      </c>
      <c r="AU79" s="232">
        <f>+AR79*(VLOOKUP(AT79,CURVECALC!$C$6:$J$312,4,0)+AV$5)</f>
        <v>16257177.281777406</v>
      </c>
      <c r="AV79" s="208">
        <f>-AN79*INDEX(ship_curves,MATCH(AT79,'SHIP CURVES'!$A$9:$A$316,0),MATCH(CONCATENATE(AX$4,AX$5,AX$6,AX$7),'SHIP CURVES'!$A$9:$AZ$9,0))</f>
        <v>-1765688.2357148479</v>
      </c>
      <c r="AW79" s="209">
        <f>-AP79*INDEX(port_processing_fee,MATCH(AT79,PORTS!$H$626:$H$933,0),MATCH(AX$5,PORTS!$H$626:$Z$626,0))</f>
        <v>-150703.37978090695</v>
      </c>
      <c r="AX79" s="405">
        <f>(((VLOOKUP(AT79,curvecalc,4,0))*IF(AN79=0,0,AR79/AN79)-INDEX(ship_curves,MATCH(AT79,'SHIP CURVES'!$A$9:$A$316,0),MATCH(CONCATENATE(AX$4,AX$5,AX$6,AX$7),'SHIP CURVES'!$A$9:$Z$9,0))-INDEX(terminal_curves,MATCH(AT79,'TERMINAL CURVES'!$A$4:$A$313,0),MATCH(AX$5,'TERMINAL CURVES'!$A$4:$N$4,0))*IF(AN79=0,0,AP79/AN79))-(AV$8)*((AV$7-$N$5)-(INDEX(ship_curves,MATCH(AT79,'SHIP CURVES'!$A$9:$A$316,0),MATCH(CONCATENATE(AX$4,AX$5,AX$6,AX$7),'SHIP CURVES'!$A$9:$Z$9,0))-INDEX(ship_curves,MATCH(AT79,'SHIP CURVES'!$A$9:$A$316,0),MATCH(CONCATENATE(AX$4,AV$6,AX$6,AX$7),'SHIP CURVES'!$A$9:$Z$9,0)))-(INDEX(terminal_curves,MATCH(AT79,'TERMINAL CURVES'!$A$4:$A$313,0),MATCH(AX$5,'TERMINAL CURVES'!$A$4:$N$4,0))-INDEX(terminal_curves,MATCH(AT79,'TERMINAL CURVES'!$A$4:$A$313,0),MATCH(AV$6,'TERMINAL CURVES'!$A$4:$N$4,0)))*IF(AN79=0,0,AP79/AN79)))*-AN79</f>
        <v>-13265981.481459005</v>
      </c>
      <c r="AY79" s="343">
        <f t="shared" si="22"/>
        <v>-15182373.096954759</v>
      </c>
      <c r="AZ79" s="338">
        <f>(-AP79/((HLOOKUP(AX$5,port_specs,2,0)/(365.25))*(AT80-AT79)))*(INDEX(fixed_capacity_charge,MATCH(AT79,PORTS!$H$11:$H$317,0),MATCH(AX$5,PORTS!$H$11:$N$11,0))+INDEX(variable_om_charge,MATCH(AT79,PORTS!$H$318:$H$625,0),MATCH(AX$5,PORTS!$H$318:$N$318,0)))</f>
        <v>-970691.6181766144</v>
      </c>
      <c r="BA79" s="232">
        <f t="shared" si="23"/>
        <v>-16153064.715131374</v>
      </c>
      <c r="BB79" s="241">
        <f t="shared" si="24"/>
        <v>104112.56664603204</v>
      </c>
      <c r="BC79" s="408"/>
      <c r="BD79" s="338">
        <f>+PORTS!I73+PORTS!I381</f>
        <v>970691.6181766144</v>
      </c>
    </row>
    <row r="80" spans="1:56" x14ac:dyDescent="0.2">
      <c r="A80" s="186">
        <f t="shared" si="25"/>
        <v>38596</v>
      </c>
      <c r="B80" s="215">
        <f>+IF(AND($A80&gt;=$C$8,$A80&lt;=$C$9),1,0)*PORTS!$I$5/(365.25)*(A81-A80)</f>
        <v>5166876.756626742</v>
      </c>
      <c r="C80" s="351">
        <f t="shared" si="5"/>
        <v>0</v>
      </c>
      <c r="D80">
        <f t="shared" si="6"/>
        <v>2005</v>
      </c>
      <c r="E80" s="186">
        <f t="shared" si="26"/>
        <v>38596</v>
      </c>
      <c r="F80" s="215">
        <f t="shared" si="7"/>
        <v>0</v>
      </c>
      <c r="G80" s="191">
        <f t="shared" si="8"/>
        <v>0</v>
      </c>
      <c r="H80" s="218">
        <f t="shared" si="9"/>
        <v>0</v>
      </c>
      <c r="I80" s="118">
        <f t="shared" si="10"/>
        <v>0</v>
      </c>
      <c r="J80" s="215">
        <f t="shared" si="2"/>
        <v>0</v>
      </c>
      <c r="K80" s="202"/>
      <c r="L80" s="186">
        <f t="shared" si="27"/>
        <v>38596</v>
      </c>
      <c r="M80" s="400">
        <f>+J80*(VLOOKUP(L80,CURVECALC!$C$6:$J$312,4,0)+N$5)</f>
        <v>0</v>
      </c>
      <c r="N80" s="208">
        <f>-F80*INDEX(ship_curves,MATCH(L80,'SHIP CURVES'!$A$9:$A$316,0),MATCH(CONCATENATE(P$4,P$5,P$6,P$7),'SHIP CURVES'!$A$9:$AZ$9,0))</f>
        <v>0</v>
      </c>
      <c r="O80" s="209">
        <f>-H80*INDEX(port_processing_fee,MATCH(L80,PORTS!$H$626:$H$933,0),MATCH(P$5,PORTS!$H$626:$Z$626,0))</f>
        <v>0</v>
      </c>
      <c r="P80" s="405">
        <f>(((VLOOKUP(L80,curvecalc,4,0))*IF(F80=0,0,J80/F80)-INDEX(ship_curves,MATCH(L80,'SHIP CURVES'!$A$9:$A$316,0),MATCH(CONCATENATE(P$4,P$5,P$6,P$7),'SHIP CURVES'!$A$9:$Z$9,0))-INDEX(terminal_curves,MATCH(L80,'TERMINAL CURVES'!$A$4:$A$313,0),MATCH(P$5,'TERMINAL CURVES'!$A$4:$N$4,0))*IF(F80=0,0,H80/F80))-(N$8)*((N$7-$N$5)-(INDEX(ship_curves,MATCH(L80,'SHIP CURVES'!$A$9:$A$316,0),MATCH(CONCATENATE(P$4,P$5,P$6,P$7),'SHIP CURVES'!$A$9:$Z$9,0))-INDEX(ship_curves,MATCH(L80,'SHIP CURVES'!$A$9:$A$316,0),MATCH(CONCATENATE(P$4,N$6,P$6,P$7),'SHIP CURVES'!$A$9:$Z$9,0)))-(INDEX(terminal_curves,MATCH(L80,'TERMINAL CURVES'!$A$4:$A$313,0),MATCH(P$5,'TERMINAL CURVES'!$A$4:$N$4,0))-INDEX(terminal_curves,MATCH(L80,'TERMINAL CURVES'!$A$4:$A$313,0),MATCH(N$6,'TERMINAL CURVES'!$A$4:$N$4,0)))*IF(F80=0,0,H80/F80)))*-F80</f>
        <v>0</v>
      </c>
      <c r="Q80" s="403">
        <f t="shared" si="11"/>
        <v>0</v>
      </c>
      <c r="R80" s="338">
        <f>(-H80/((HLOOKUP(P$5,port_specs,2,0)/(365.25))*(L81-L80)))*(INDEX(fixed_capacity_charge,MATCH(L80,PORTS!$H$11:$H$317,0),MATCH(P$5,PORTS!$H$11:$N$11,0))+INDEX(variable_om_charge,MATCH(L80,PORTS!$H$318:$H$625,0),MATCH(P$5,PORTS!$H$318:$N$318,0)))</f>
        <v>0</v>
      </c>
      <c r="S80" s="232">
        <f t="shared" si="12"/>
        <v>0</v>
      </c>
      <c r="T80" s="241">
        <f t="shared" si="13"/>
        <v>0</v>
      </c>
      <c r="U80" s="431"/>
      <c r="V80" s="186">
        <f t="shared" si="28"/>
        <v>38596</v>
      </c>
      <c r="W80" s="215">
        <f t="shared" si="14"/>
        <v>0</v>
      </c>
      <c r="X80" s="191">
        <f t="shared" si="15"/>
        <v>0</v>
      </c>
      <c r="Y80" s="218">
        <f>+IF(AND(X$8&lt;=V80,X$9&gt;=V80),+MIN($B80-SUMIF($H$17:X$17,Y$17,$H80:X80),((INDEX(ROUTE_PER_DAY_BY_SHIP,MATCH(CONCATENATE(X$4,X$5,X$7),ROUTE_PER_DAY_ROUTES,0),MATCH(X$6,ROUTE_PER_DAY_SHIPS,0))*(V81-V80))-(INDEX(ROUTE_PER_DAY_BY_SHIP,MATCH(CONCATENATE(X$4,X$5,X$7),ROUTE_PER_DAY_ROUTES,0),MATCH(X$6,ROUTE_PER_DAY_SHIPS,0))*(V81-V80))*HLOOKUP(X$6,SHIPS,7,0)*INDEX(LADEN_VOYAGE_DAYS,MATCH(CONCATENATE(X$4,X$5,X$7),LADEN_VOYAGE_ROUTES,0),MATCH(X$6,LADEN_VOYAGE_SHIPS,0)))),0)</f>
        <v>0</v>
      </c>
      <c r="Z80" s="118">
        <f t="shared" si="16"/>
        <v>0</v>
      </c>
      <c r="AA80" s="215">
        <f t="shared" si="3"/>
        <v>0</v>
      </c>
      <c r="AB80" s="202"/>
      <c r="AC80" s="186">
        <f t="shared" si="29"/>
        <v>38596</v>
      </c>
      <c r="AD80" s="232">
        <f>+AA80*(VLOOKUP(AC80,CURVECALC!$C$6:$J$312,4,0)+AE$5)</f>
        <v>0</v>
      </c>
      <c r="AE80" s="208">
        <f>-W80*INDEX(ship_curves,MATCH(AC80,'SHIP CURVES'!$A$9:$A$316,0),MATCH(CONCATENATE(AG$4,AG$5,AG$6,AG$7),'SHIP CURVES'!$A$9:$AZ$9,0))</f>
        <v>0</v>
      </c>
      <c r="AF80" s="209">
        <f>-Y80*INDEX(port_processing_fee,MATCH(AC80,PORTS!$H$626:$H$933,0),MATCH(AG$5,PORTS!$H$626:$Z$626,0))</f>
        <v>0</v>
      </c>
      <c r="AG80" s="405">
        <f>(((VLOOKUP(AC80,curvecalc,4,0))*IF(W80=0,0,AA80/W80)-INDEX(ship_curves,MATCH(AC80,'SHIP CURVES'!$A$9:$A$316,0),MATCH(CONCATENATE(AG$4,AG$5,AG$6,AG$7),'SHIP CURVES'!$A$9:$Z$9,0))-INDEX(terminal_curves,MATCH(AC80,'TERMINAL CURVES'!$A$4:$A$313,0),MATCH(AG$5,'TERMINAL CURVES'!$A$4:$N$4,0))*IF(W80=0,0,Y80/W80))-(AE$8)*((AE$7-$N$5)-(INDEX(ship_curves,MATCH(AC80,'SHIP CURVES'!$A$9:$A$316,0),MATCH(CONCATENATE(AG$4,AG$5,AG$6,AG$7),'SHIP CURVES'!$A$9:$Z$9,0))-INDEX(ship_curves,MATCH(AC80,'SHIP CURVES'!$A$9:$A$316,0),MATCH(CONCATENATE(AG$4,AE$6,AG$6,AG$7),'SHIP CURVES'!$A$9:$Z$9,0)))-(INDEX(terminal_curves,MATCH(AC80,'TERMINAL CURVES'!$A$4:$A$313,0),MATCH(AG$5,'TERMINAL CURVES'!$A$4:$N$4,0))-INDEX(terminal_curves,MATCH(AC80,'TERMINAL CURVES'!$A$4:$A$313,0),MATCH(AE$6,'TERMINAL CURVES'!$A$4:$N$4,0)))*IF(W80=0,0,Y80/W80)))*-W80</f>
        <v>0</v>
      </c>
      <c r="AH80" s="343">
        <f t="shared" si="17"/>
        <v>0</v>
      </c>
      <c r="AI80" s="338">
        <f>(-Y80/((HLOOKUP(AG$5,port_specs,2,0)/(365.25))*(AC81-AC80)))*(INDEX(fixed_capacity_charge,MATCH(AC80,PORTS!$H$11:$H$317,0),MATCH(AG$5,PORTS!$H$11:$N$11,0))+INDEX(variable_om_charge,MATCH(AC80,PORTS!$H$318:$H$625,0),MATCH(AG$5,PORTS!$H$318:$N$318,0)))</f>
        <v>0</v>
      </c>
      <c r="AJ80" s="232">
        <f t="shared" si="18"/>
        <v>0</v>
      </c>
      <c r="AK80" s="241">
        <f t="shared" si="19"/>
        <v>0</v>
      </c>
      <c r="AM80" s="186">
        <f t="shared" si="30"/>
        <v>38596</v>
      </c>
      <c r="AN80" s="215">
        <f t="shared" si="20"/>
        <v>5221704.655509592</v>
      </c>
      <c r="AO80" s="191">
        <f t="shared" si="21"/>
        <v>-54827.898882850073</v>
      </c>
      <c r="AP80" s="218">
        <f>+IF(AND(AO$8&lt;=AM80,AO$9&gt;=AM80),+MIN($B80-SUMIF($H$17:AO$17,AP$17,$H80:AO80),((INDEX(ROUTE_PER_DAY_BY_SHIP,MATCH(CONCATENATE(AO$4,AO$5,AO$7),ROUTE_PER_DAY_ROUTES,0),MATCH(AO$6,ROUTE_PER_DAY_SHIPS,0))*(AM81-AM80))-(INDEX(ROUTE_PER_DAY_BY_SHIP,MATCH(CONCATENATE(AO$4,AO$5,AO$7),ROUTE_PER_DAY_ROUTES,0),MATCH(AO$6,ROUTE_PER_DAY_SHIPS,0))*(AM81-AM80))*HLOOKUP(AO$6,SHIPS,7,0)*INDEX(LADEN_VOYAGE_DAYS,MATCH(CONCATENATE(AO$4,AO$5,AO$7),LADEN_VOYAGE_ROUTES,0),MATCH(AO$6,LADEN_VOYAGE_SHIPS,0)))),0)</f>
        <v>5166876.756626742</v>
      </c>
      <c r="AQ80" s="118">
        <f>-(AP80)*PORTS!$I$6</f>
        <v>-129171.91891566856</v>
      </c>
      <c r="AR80" s="215">
        <f t="shared" si="4"/>
        <v>5037704.8377110735</v>
      </c>
      <c r="AS80" s="202"/>
      <c r="AT80" s="186">
        <f t="shared" si="31"/>
        <v>38596</v>
      </c>
      <c r="AU80" s="232">
        <f>+AR80*(VLOOKUP(AT80,CURVECALC!$C$6:$J$312,4,0)+AV$5)</f>
        <v>15672299.75011915</v>
      </c>
      <c r="AV80" s="208">
        <f>-AN80*INDEX(ship_curves,MATCH(AT80,'SHIP CURVES'!$A$9:$A$316,0),MATCH(CONCATENATE(AX$4,AX$5,AX$6,AX$7),'SHIP CURVES'!$A$9:$AZ$9,0))</f>
        <v>-1709197.8097819062</v>
      </c>
      <c r="AW80" s="209">
        <f>-AP80*INDEX(port_processing_fee,MATCH(AT80,PORTS!$H$626:$H$933,0),MATCH(AX$5,PORTS!$H$626:$Z$626,0))</f>
        <v>-145993.8991627536</v>
      </c>
      <c r="AX80" s="405">
        <f>(((VLOOKUP(AT80,curvecalc,4,0))*IF(AN80=0,0,AR80/AN80)-INDEX(ship_curves,MATCH(AT80,'SHIP CURVES'!$A$9:$A$316,0),MATCH(CONCATENATE(AX$4,AX$5,AX$6,AX$7),'SHIP CURVES'!$A$9:$Z$9,0))-INDEX(terminal_curves,MATCH(AT80,'TERMINAL CURVES'!$A$4:$A$313,0),MATCH(AX$5,'TERMINAL CURVES'!$A$4:$N$4,0))*IF(AN80=0,0,AP80/AN80))-(AV$8)*((AV$7-$N$5)-(INDEX(ship_curves,MATCH(AT80,'SHIP CURVES'!$A$9:$A$316,0),MATCH(CONCATENATE(AX$4,AX$5,AX$6,AX$7),'SHIP CURVES'!$A$9:$Z$9,0))-INDEX(ship_curves,MATCH(AT80,'SHIP CURVES'!$A$9:$A$316,0),MATCH(CONCATENATE(AX$4,AV$6,AX$6,AX$7),'SHIP CURVES'!$A$9:$Z$9,0)))-(INDEX(terminal_curves,MATCH(AT80,'TERMINAL CURVES'!$A$4:$A$313,0),MATCH(AX$5,'TERMINAL CURVES'!$A$4:$N$4,0))-INDEX(terminal_curves,MATCH(AT80,'TERMINAL CURVES'!$A$4:$A$313,0),MATCH(AV$6,'TERMINAL CURVES'!$A$4:$N$4,0)))*IF(AN80=0,0,AP80/AN80)))*-AN80</f>
        <v>-12745156.591819417</v>
      </c>
      <c r="AY80" s="343">
        <f t="shared" si="22"/>
        <v>-14600348.300764076</v>
      </c>
      <c r="AZ80" s="338">
        <f>(-AP80/((HLOOKUP(AX$5,port_specs,2,0)/(365.25))*(AT81-AT80)))*(INDEX(fixed_capacity_charge,MATCH(AT80,PORTS!$H$11:$H$317,0),MATCH(AX$5,PORTS!$H$11:$N$11,0))+INDEX(variable_om_charge,MATCH(AT80,PORTS!$H$318:$H$625,0),MATCH(AX$5,PORTS!$H$318:$N$318,0)))</f>
        <v>-971197.35260085203</v>
      </c>
      <c r="BA80" s="232">
        <f t="shared" si="23"/>
        <v>-15571545.653364928</v>
      </c>
      <c r="BB80" s="241">
        <f t="shared" si="24"/>
        <v>100754.09675422125</v>
      </c>
      <c r="BC80" s="408"/>
      <c r="BD80" s="338">
        <f>+PORTS!I74+PORTS!I382</f>
        <v>971197.35260085203</v>
      </c>
    </row>
    <row r="81" spans="1:56" x14ac:dyDescent="0.2">
      <c r="A81" s="186">
        <f t="shared" si="25"/>
        <v>38626</v>
      </c>
      <c r="B81" s="215">
        <f>+IF(AND($A81&gt;=$C$8,$A81&lt;=$C$9),1,0)*PORTS!$I$5/(365.25)*(A82-A81)</f>
        <v>5339105.9818476336</v>
      </c>
      <c r="C81" s="351">
        <f t="shared" si="5"/>
        <v>0</v>
      </c>
      <c r="D81">
        <f t="shared" si="6"/>
        <v>2005</v>
      </c>
      <c r="E81" s="186">
        <f t="shared" si="26"/>
        <v>38626</v>
      </c>
      <c r="F81" s="215">
        <f t="shared" si="7"/>
        <v>0</v>
      </c>
      <c r="G81" s="191">
        <f t="shared" si="8"/>
        <v>0</v>
      </c>
      <c r="H81" s="218">
        <f t="shared" si="9"/>
        <v>0</v>
      </c>
      <c r="I81" s="118">
        <f t="shared" si="10"/>
        <v>0</v>
      </c>
      <c r="J81" s="215">
        <f t="shared" si="2"/>
        <v>0</v>
      </c>
      <c r="K81" s="202"/>
      <c r="L81" s="186">
        <f t="shared" si="27"/>
        <v>38626</v>
      </c>
      <c r="M81" s="400">
        <f>+J81*(VLOOKUP(L81,CURVECALC!$C$6:$J$312,4,0)+N$5)</f>
        <v>0</v>
      </c>
      <c r="N81" s="208">
        <f>-F81*INDEX(ship_curves,MATCH(L81,'SHIP CURVES'!$A$9:$A$316,0),MATCH(CONCATENATE(P$4,P$5,P$6,P$7),'SHIP CURVES'!$A$9:$AZ$9,0))</f>
        <v>0</v>
      </c>
      <c r="O81" s="209">
        <f>-H81*INDEX(port_processing_fee,MATCH(L81,PORTS!$H$626:$H$933,0),MATCH(P$5,PORTS!$H$626:$Z$626,0))</f>
        <v>0</v>
      </c>
      <c r="P81" s="405">
        <f>(((VLOOKUP(L81,curvecalc,4,0))*IF(F81=0,0,J81/F81)-INDEX(ship_curves,MATCH(L81,'SHIP CURVES'!$A$9:$A$316,0),MATCH(CONCATENATE(P$4,P$5,P$6,P$7),'SHIP CURVES'!$A$9:$Z$9,0))-INDEX(terminal_curves,MATCH(L81,'TERMINAL CURVES'!$A$4:$A$313,0),MATCH(P$5,'TERMINAL CURVES'!$A$4:$N$4,0))*IF(F81=0,0,H81/F81))-(N$8)*((N$7-$N$5)-(INDEX(ship_curves,MATCH(L81,'SHIP CURVES'!$A$9:$A$316,0),MATCH(CONCATENATE(P$4,P$5,P$6,P$7),'SHIP CURVES'!$A$9:$Z$9,0))-INDEX(ship_curves,MATCH(L81,'SHIP CURVES'!$A$9:$A$316,0),MATCH(CONCATENATE(P$4,N$6,P$6,P$7),'SHIP CURVES'!$A$9:$Z$9,0)))-(INDEX(terminal_curves,MATCH(L81,'TERMINAL CURVES'!$A$4:$A$313,0),MATCH(P$5,'TERMINAL CURVES'!$A$4:$N$4,0))-INDEX(terminal_curves,MATCH(L81,'TERMINAL CURVES'!$A$4:$A$313,0),MATCH(N$6,'TERMINAL CURVES'!$A$4:$N$4,0)))*IF(F81=0,0,H81/F81)))*-F81</f>
        <v>0</v>
      </c>
      <c r="Q81" s="403">
        <f t="shared" si="11"/>
        <v>0</v>
      </c>
      <c r="R81" s="338">
        <f>(-H81/((HLOOKUP(P$5,port_specs,2,0)/(365.25))*(L82-L81)))*(INDEX(fixed_capacity_charge,MATCH(L81,PORTS!$H$11:$H$317,0),MATCH(P$5,PORTS!$H$11:$N$11,0))+INDEX(variable_om_charge,MATCH(L81,PORTS!$H$318:$H$625,0),MATCH(P$5,PORTS!$H$318:$N$318,0)))</f>
        <v>0</v>
      </c>
      <c r="S81" s="232">
        <f t="shared" si="12"/>
        <v>0</v>
      </c>
      <c r="T81" s="241">
        <f t="shared" si="13"/>
        <v>0</v>
      </c>
      <c r="U81" s="431"/>
      <c r="V81" s="186">
        <f t="shared" si="28"/>
        <v>38626</v>
      </c>
      <c r="W81" s="215">
        <f t="shared" si="14"/>
        <v>0</v>
      </c>
      <c r="X81" s="191">
        <f t="shared" si="15"/>
        <v>0</v>
      </c>
      <c r="Y81" s="218">
        <f>+IF(AND(X$8&lt;=V81,X$9&gt;=V81),+MIN($B81-SUMIF($H$17:X$17,Y$17,$H81:X81),((INDEX(ROUTE_PER_DAY_BY_SHIP,MATCH(CONCATENATE(X$4,X$5,X$7),ROUTE_PER_DAY_ROUTES,0),MATCH(X$6,ROUTE_PER_DAY_SHIPS,0))*(V82-V81))-(INDEX(ROUTE_PER_DAY_BY_SHIP,MATCH(CONCATENATE(X$4,X$5,X$7),ROUTE_PER_DAY_ROUTES,0),MATCH(X$6,ROUTE_PER_DAY_SHIPS,0))*(V82-V81))*HLOOKUP(X$6,SHIPS,7,0)*INDEX(LADEN_VOYAGE_DAYS,MATCH(CONCATENATE(X$4,X$5,X$7),LADEN_VOYAGE_ROUTES,0),MATCH(X$6,LADEN_VOYAGE_SHIPS,0)))),0)</f>
        <v>0</v>
      </c>
      <c r="Z81" s="118">
        <f t="shared" si="16"/>
        <v>0</v>
      </c>
      <c r="AA81" s="215">
        <f t="shared" si="3"/>
        <v>0</v>
      </c>
      <c r="AB81" s="202"/>
      <c r="AC81" s="186">
        <f t="shared" si="29"/>
        <v>38626</v>
      </c>
      <c r="AD81" s="232">
        <f>+AA81*(VLOOKUP(AC81,CURVECALC!$C$6:$J$312,4,0)+AE$5)</f>
        <v>0</v>
      </c>
      <c r="AE81" s="208">
        <f>-W81*INDEX(ship_curves,MATCH(AC81,'SHIP CURVES'!$A$9:$A$316,0),MATCH(CONCATENATE(AG$4,AG$5,AG$6,AG$7),'SHIP CURVES'!$A$9:$AZ$9,0))</f>
        <v>0</v>
      </c>
      <c r="AF81" s="209">
        <f>-Y81*INDEX(port_processing_fee,MATCH(AC81,PORTS!$H$626:$H$933,0),MATCH(AG$5,PORTS!$H$626:$Z$626,0))</f>
        <v>0</v>
      </c>
      <c r="AG81" s="405">
        <f>(((VLOOKUP(AC81,curvecalc,4,0))*IF(W81=0,0,AA81/W81)-INDEX(ship_curves,MATCH(AC81,'SHIP CURVES'!$A$9:$A$316,0),MATCH(CONCATENATE(AG$4,AG$5,AG$6,AG$7),'SHIP CURVES'!$A$9:$Z$9,0))-INDEX(terminal_curves,MATCH(AC81,'TERMINAL CURVES'!$A$4:$A$313,0),MATCH(AG$5,'TERMINAL CURVES'!$A$4:$N$4,0))*IF(W81=0,0,Y81/W81))-(AE$8)*((AE$7-$N$5)-(INDEX(ship_curves,MATCH(AC81,'SHIP CURVES'!$A$9:$A$316,0),MATCH(CONCATENATE(AG$4,AG$5,AG$6,AG$7),'SHIP CURVES'!$A$9:$Z$9,0))-INDEX(ship_curves,MATCH(AC81,'SHIP CURVES'!$A$9:$A$316,0),MATCH(CONCATENATE(AG$4,AE$6,AG$6,AG$7),'SHIP CURVES'!$A$9:$Z$9,0)))-(INDEX(terminal_curves,MATCH(AC81,'TERMINAL CURVES'!$A$4:$A$313,0),MATCH(AG$5,'TERMINAL CURVES'!$A$4:$N$4,0))-INDEX(terminal_curves,MATCH(AC81,'TERMINAL CURVES'!$A$4:$A$313,0),MATCH(AE$6,'TERMINAL CURVES'!$A$4:$N$4,0)))*IF(W81=0,0,Y81/W81)))*-W81</f>
        <v>0</v>
      </c>
      <c r="AH81" s="343">
        <f t="shared" si="17"/>
        <v>0</v>
      </c>
      <c r="AI81" s="338">
        <f>(-Y81/((HLOOKUP(AG$5,port_specs,2,0)/(365.25))*(AC82-AC81)))*(INDEX(fixed_capacity_charge,MATCH(AC81,PORTS!$H$11:$H$317,0),MATCH(AG$5,PORTS!$H$11:$N$11,0))+INDEX(variable_om_charge,MATCH(AC81,PORTS!$H$318:$H$625,0),MATCH(AG$5,PORTS!$H$318:$N$318,0)))</f>
        <v>0</v>
      </c>
      <c r="AJ81" s="232">
        <f t="shared" si="18"/>
        <v>0</v>
      </c>
      <c r="AK81" s="241">
        <f t="shared" si="19"/>
        <v>0</v>
      </c>
      <c r="AM81" s="186">
        <f t="shared" si="30"/>
        <v>38626</v>
      </c>
      <c r="AN81" s="215">
        <f t="shared" si="20"/>
        <v>5395761.4773599124</v>
      </c>
      <c r="AO81" s="191">
        <f t="shared" si="21"/>
        <v>-56655.495512278751</v>
      </c>
      <c r="AP81" s="218">
        <f>+IF(AND(AO$8&lt;=AM81,AO$9&gt;=AM81),+MIN($B81-SUMIF($H$17:AO$17,AP$17,$H81:AO81),((INDEX(ROUTE_PER_DAY_BY_SHIP,MATCH(CONCATENATE(AO$4,AO$5,AO$7),ROUTE_PER_DAY_ROUTES,0),MATCH(AO$6,ROUTE_PER_DAY_SHIPS,0))*(AM82-AM81))-(INDEX(ROUTE_PER_DAY_BY_SHIP,MATCH(CONCATENATE(AO$4,AO$5,AO$7),ROUTE_PER_DAY_ROUTES,0),MATCH(AO$6,ROUTE_PER_DAY_SHIPS,0))*(AM82-AM81))*HLOOKUP(AO$6,SHIPS,7,0)*INDEX(LADEN_VOYAGE_DAYS,MATCH(CONCATENATE(AO$4,AO$5,AO$7),LADEN_VOYAGE_ROUTES,0),MATCH(AO$6,LADEN_VOYAGE_SHIPS,0)))),0)</f>
        <v>5339105.9818476336</v>
      </c>
      <c r="AQ81" s="118">
        <f>-(AP81)*PORTS!$I$6</f>
        <v>-133477.64954619083</v>
      </c>
      <c r="AR81" s="215">
        <f t="shared" si="4"/>
        <v>5205628.3323014425</v>
      </c>
      <c r="AS81" s="202"/>
      <c r="AT81" s="186">
        <f t="shared" si="31"/>
        <v>38626</v>
      </c>
      <c r="AU81" s="232">
        <f>+AR81*(VLOOKUP(AT81,CURVECALC!$C$6:$J$312,4,0)+AV$5)</f>
        <v>16288411.051771216</v>
      </c>
      <c r="AV81" s="208">
        <f>-AN81*INDEX(ship_curves,MATCH(AT81,'SHIP CURVES'!$A$9:$A$316,0),MATCH(CONCATENATE(AX$4,AX$5,AX$6,AX$7),'SHIP CURVES'!$A$9:$AZ$9,0))</f>
        <v>-1766654.9104060775</v>
      </c>
      <c r="AW81" s="209">
        <f>-AP81*INDEX(port_processing_fee,MATCH(AT81,PORTS!$H$626:$H$933,0),MATCH(AX$5,PORTS!$H$626:$Z$626,0))</f>
        <v>-151017.50867908308</v>
      </c>
      <c r="AX81" s="405">
        <f>(((VLOOKUP(AT81,curvecalc,4,0))*IF(AN81=0,0,AR81/AN81)-INDEX(ship_curves,MATCH(AT81,'SHIP CURVES'!$A$9:$A$316,0),MATCH(CONCATENATE(AX$4,AX$5,AX$6,AX$7),'SHIP CURVES'!$A$9:$Z$9,0))-INDEX(terminal_curves,MATCH(AT81,'TERMINAL CURVES'!$A$4:$A$313,0),MATCH(AX$5,'TERMINAL CURVES'!$A$4:$N$4,0))*IF(AN81=0,0,AP81/AN81))-(AV$8)*((AV$7-$N$5)-(INDEX(ship_curves,MATCH(AT81,'SHIP CURVES'!$A$9:$A$316,0),MATCH(CONCATENATE(AX$4,AX$5,AX$6,AX$7),'SHIP CURVES'!$A$9:$Z$9,0))-INDEX(ship_curves,MATCH(AT81,'SHIP CURVES'!$A$9:$A$316,0),MATCH(CONCATENATE(AX$4,AV$6,AX$6,AX$7),'SHIP CURVES'!$A$9:$Z$9,0)))-(INDEX(terminal_curves,MATCH(AT81,'TERMINAL CURVES'!$A$4:$A$313,0),MATCH(AX$5,'TERMINAL CURVES'!$A$4:$N$4,0))-INDEX(terminal_curves,MATCH(AT81,'TERMINAL CURVES'!$A$4:$A$313,0),MATCH(AV$6,'TERMINAL CURVES'!$A$4:$N$4,0)))*IF(AN81=0,0,AP81/AN81)))*-AN81</f>
        <v>-13294922.452208245</v>
      </c>
      <c r="AY81" s="343">
        <f t="shared" si="22"/>
        <v>-15212594.871293405</v>
      </c>
      <c r="AZ81" s="338">
        <f>(-AP81/((HLOOKUP(AX$5,port_specs,2,0)/(365.25))*(AT82-AT81)))*(INDEX(fixed_capacity_charge,MATCH(AT81,PORTS!$H$11:$H$317,0),MATCH(AX$5,PORTS!$H$11:$N$11,0))+INDEX(variable_om_charge,MATCH(AT81,PORTS!$H$318:$H$625,0),MATCH(AX$5,PORTS!$H$318:$N$318,0)))</f>
        <v>-971703.61383178178</v>
      </c>
      <c r="BA81" s="232">
        <f t="shared" si="23"/>
        <v>-16184298.485125188</v>
      </c>
      <c r="BB81" s="241">
        <f t="shared" si="24"/>
        <v>104112.56664602831</v>
      </c>
      <c r="BC81" s="408"/>
      <c r="BD81" s="338">
        <f>+PORTS!I75+PORTS!I383</f>
        <v>971703.61383178178</v>
      </c>
    </row>
    <row r="82" spans="1:56" x14ac:dyDescent="0.2">
      <c r="A82" s="186">
        <f t="shared" si="25"/>
        <v>38657</v>
      </c>
      <c r="B82" s="215">
        <f>+IF(AND($A82&gt;=$C$8,$A82&lt;=$C$9),1,0)*PORTS!$I$5/(365.25)*(A83-A82)</f>
        <v>5166876.756626742</v>
      </c>
      <c r="C82" s="351">
        <f t="shared" si="5"/>
        <v>0</v>
      </c>
      <c r="D82">
        <f t="shared" si="6"/>
        <v>2005</v>
      </c>
      <c r="E82" s="186">
        <f t="shared" si="26"/>
        <v>38657</v>
      </c>
      <c r="F82" s="215">
        <f t="shared" si="7"/>
        <v>0</v>
      </c>
      <c r="G82" s="191">
        <f t="shared" si="8"/>
        <v>0</v>
      </c>
      <c r="H82" s="218">
        <f t="shared" si="9"/>
        <v>0</v>
      </c>
      <c r="I82" s="118">
        <f t="shared" si="10"/>
        <v>0</v>
      </c>
      <c r="J82" s="215">
        <f t="shared" si="2"/>
        <v>0</v>
      </c>
      <c r="K82" s="202"/>
      <c r="L82" s="186">
        <f t="shared" si="27"/>
        <v>38657</v>
      </c>
      <c r="M82" s="400">
        <f>+J82*(VLOOKUP(L82,CURVECALC!$C$6:$J$312,4,0)+N$5)</f>
        <v>0</v>
      </c>
      <c r="N82" s="208">
        <f>-F82*INDEX(ship_curves,MATCH(L82,'SHIP CURVES'!$A$9:$A$316,0),MATCH(CONCATENATE(P$4,P$5,P$6,P$7),'SHIP CURVES'!$A$9:$AZ$9,0))</f>
        <v>0</v>
      </c>
      <c r="O82" s="209">
        <f>-H82*INDEX(port_processing_fee,MATCH(L82,PORTS!$H$626:$H$933,0),MATCH(P$5,PORTS!$H$626:$Z$626,0))</f>
        <v>0</v>
      </c>
      <c r="P82" s="405">
        <f>(((VLOOKUP(L82,curvecalc,4,0))*IF(F82=0,0,J82/F82)-INDEX(ship_curves,MATCH(L82,'SHIP CURVES'!$A$9:$A$316,0),MATCH(CONCATENATE(P$4,P$5,P$6,P$7),'SHIP CURVES'!$A$9:$Z$9,0))-INDEX(terminal_curves,MATCH(L82,'TERMINAL CURVES'!$A$4:$A$313,0),MATCH(P$5,'TERMINAL CURVES'!$A$4:$N$4,0))*IF(F82=0,0,H82/F82))-(N$8)*((N$7-$N$5)-(INDEX(ship_curves,MATCH(L82,'SHIP CURVES'!$A$9:$A$316,0),MATCH(CONCATENATE(P$4,P$5,P$6,P$7),'SHIP CURVES'!$A$9:$Z$9,0))-INDEX(ship_curves,MATCH(L82,'SHIP CURVES'!$A$9:$A$316,0),MATCH(CONCATENATE(P$4,N$6,P$6,P$7),'SHIP CURVES'!$A$9:$Z$9,0)))-(INDEX(terminal_curves,MATCH(L82,'TERMINAL CURVES'!$A$4:$A$313,0),MATCH(P$5,'TERMINAL CURVES'!$A$4:$N$4,0))-INDEX(terminal_curves,MATCH(L82,'TERMINAL CURVES'!$A$4:$A$313,0),MATCH(N$6,'TERMINAL CURVES'!$A$4:$N$4,0)))*IF(F82=0,0,H82/F82)))*-F82</f>
        <v>0</v>
      </c>
      <c r="Q82" s="403">
        <f t="shared" si="11"/>
        <v>0</v>
      </c>
      <c r="R82" s="338">
        <f>(-H82/((HLOOKUP(P$5,port_specs,2,0)/(365.25))*(L83-L82)))*(INDEX(fixed_capacity_charge,MATCH(L82,PORTS!$H$11:$H$317,0),MATCH(P$5,PORTS!$H$11:$N$11,0))+INDEX(variable_om_charge,MATCH(L82,PORTS!$H$318:$H$625,0),MATCH(P$5,PORTS!$H$318:$N$318,0)))</f>
        <v>0</v>
      </c>
      <c r="S82" s="232">
        <f t="shared" si="12"/>
        <v>0</v>
      </c>
      <c r="T82" s="241">
        <f t="shared" si="13"/>
        <v>0</v>
      </c>
      <c r="U82" s="431"/>
      <c r="V82" s="186">
        <f t="shared" si="28"/>
        <v>38657</v>
      </c>
      <c r="W82" s="215">
        <f t="shared" si="14"/>
        <v>0</v>
      </c>
      <c r="X82" s="191">
        <f t="shared" si="15"/>
        <v>0</v>
      </c>
      <c r="Y82" s="218">
        <f>+IF(AND(X$8&lt;=V82,X$9&gt;=V82),+MIN($B82-SUMIF($H$17:X$17,Y$17,$H82:X82),((INDEX(ROUTE_PER_DAY_BY_SHIP,MATCH(CONCATENATE(X$4,X$5,X$7),ROUTE_PER_DAY_ROUTES,0),MATCH(X$6,ROUTE_PER_DAY_SHIPS,0))*(V83-V82))-(INDEX(ROUTE_PER_DAY_BY_SHIP,MATCH(CONCATENATE(X$4,X$5,X$7),ROUTE_PER_DAY_ROUTES,0),MATCH(X$6,ROUTE_PER_DAY_SHIPS,0))*(V83-V82))*HLOOKUP(X$6,SHIPS,7,0)*INDEX(LADEN_VOYAGE_DAYS,MATCH(CONCATENATE(X$4,X$5,X$7),LADEN_VOYAGE_ROUTES,0),MATCH(X$6,LADEN_VOYAGE_SHIPS,0)))),0)</f>
        <v>0</v>
      </c>
      <c r="Z82" s="118">
        <f t="shared" si="16"/>
        <v>0</v>
      </c>
      <c r="AA82" s="215">
        <f t="shared" ref="AA82:AA145" si="32">+Y82+Z82</f>
        <v>0</v>
      </c>
      <c r="AB82" s="202"/>
      <c r="AC82" s="186">
        <f t="shared" si="29"/>
        <v>38657</v>
      </c>
      <c r="AD82" s="232">
        <f>+AA82*(VLOOKUP(AC82,CURVECALC!$C$6:$J$312,4,0)+AE$5)</f>
        <v>0</v>
      </c>
      <c r="AE82" s="208">
        <f>-W82*INDEX(ship_curves,MATCH(AC82,'SHIP CURVES'!$A$9:$A$316,0),MATCH(CONCATENATE(AG$4,AG$5,AG$6,AG$7),'SHIP CURVES'!$A$9:$AZ$9,0))</f>
        <v>0</v>
      </c>
      <c r="AF82" s="209">
        <f>-Y82*INDEX(port_processing_fee,MATCH(AC82,PORTS!$H$626:$H$933,0),MATCH(AG$5,PORTS!$H$626:$Z$626,0))</f>
        <v>0</v>
      </c>
      <c r="AG82" s="405">
        <f>(((VLOOKUP(AC82,curvecalc,4,0))*IF(W82=0,0,AA82/W82)-INDEX(ship_curves,MATCH(AC82,'SHIP CURVES'!$A$9:$A$316,0),MATCH(CONCATENATE(AG$4,AG$5,AG$6,AG$7),'SHIP CURVES'!$A$9:$Z$9,0))-INDEX(terminal_curves,MATCH(AC82,'TERMINAL CURVES'!$A$4:$A$313,0),MATCH(AG$5,'TERMINAL CURVES'!$A$4:$N$4,0))*IF(W82=0,0,Y82/W82))-(AE$8)*((AE$7-$N$5)-(INDEX(ship_curves,MATCH(AC82,'SHIP CURVES'!$A$9:$A$316,0),MATCH(CONCATENATE(AG$4,AG$5,AG$6,AG$7),'SHIP CURVES'!$A$9:$Z$9,0))-INDEX(ship_curves,MATCH(AC82,'SHIP CURVES'!$A$9:$A$316,0),MATCH(CONCATENATE(AG$4,AE$6,AG$6,AG$7),'SHIP CURVES'!$A$9:$Z$9,0)))-(INDEX(terminal_curves,MATCH(AC82,'TERMINAL CURVES'!$A$4:$A$313,0),MATCH(AG$5,'TERMINAL CURVES'!$A$4:$N$4,0))-INDEX(terminal_curves,MATCH(AC82,'TERMINAL CURVES'!$A$4:$A$313,0),MATCH(AE$6,'TERMINAL CURVES'!$A$4:$N$4,0)))*IF(W82=0,0,Y82/W82)))*-W82</f>
        <v>0</v>
      </c>
      <c r="AH82" s="343">
        <f t="shared" si="17"/>
        <v>0</v>
      </c>
      <c r="AI82" s="338">
        <f>(-Y82/((HLOOKUP(AG$5,port_specs,2,0)/(365.25))*(AC83-AC82)))*(INDEX(fixed_capacity_charge,MATCH(AC82,PORTS!$H$11:$H$317,0),MATCH(AG$5,PORTS!$H$11:$N$11,0))+INDEX(variable_om_charge,MATCH(AC82,PORTS!$H$318:$H$625,0),MATCH(AG$5,PORTS!$H$318:$N$318,0)))</f>
        <v>0</v>
      </c>
      <c r="AJ82" s="232">
        <f t="shared" si="18"/>
        <v>0</v>
      </c>
      <c r="AK82" s="241">
        <f t="shared" si="19"/>
        <v>0</v>
      </c>
      <c r="AM82" s="186">
        <f t="shared" si="30"/>
        <v>38657</v>
      </c>
      <c r="AN82" s="215">
        <f t="shared" si="20"/>
        <v>5221704.655509592</v>
      </c>
      <c r="AO82" s="191">
        <f t="shared" si="21"/>
        <v>-54827.898882850073</v>
      </c>
      <c r="AP82" s="218">
        <f>+IF(AND(AO$8&lt;=AM82,AO$9&gt;=AM82),+MIN($B82-SUMIF($H$17:AO$17,AP$17,$H82:AO82),((INDEX(ROUTE_PER_DAY_BY_SHIP,MATCH(CONCATENATE(AO$4,AO$5,AO$7),ROUTE_PER_DAY_ROUTES,0),MATCH(AO$6,ROUTE_PER_DAY_SHIPS,0))*(AM83-AM82))-(INDEX(ROUTE_PER_DAY_BY_SHIP,MATCH(CONCATENATE(AO$4,AO$5,AO$7),ROUTE_PER_DAY_ROUTES,0),MATCH(AO$6,ROUTE_PER_DAY_SHIPS,0))*(AM83-AM82))*HLOOKUP(AO$6,SHIPS,7,0)*INDEX(LADEN_VOYAGE_DAYS,MATCH(CONCATENATE(AO$4,AO$5,AO$7),LADEN_VOYAGE_ROUTES,0),MATCH(AO$6,LADEN_VOYAGE_SHIPS,0)))),0)</f>
        <v>5166876.756626742</v>
      </c>
      <c r="AQ82" s="118">
        <f>-(AP82)*PORTS!$I$6</f>
        <v>-129171.91891566856</v>
      </c>
      <c r="AR82" s="215">
        <f t="shared" ref="AR82:AR145" si="33">+AP82+AQ82</f>
        <v>5037704.8377110735</v>
      </c>
      <c r="AS82" s="202"/>
      <c r="AT82" s="186">
        <f t="shared" si="31"/>
        <v>38657</v>
      </c>
      <c r="AU82" s="232">
        <f>+AR82*(VLOOKUP(AT82,CURVECALC!$C$6:$J$312,4,0)+AV$5)</f>
        <v>16261711.216131346</v>
      </c>
      <c r="AV82" s="208">
        <f>-AN82*INDEX(ship_curves,MATCH(AT82,'SHIP CURVES'!$A$9:$A$316,0),MATCH(CONCATENATE(AX$4,AX$5,AX$6,AX$7),'SHIP CURVES'!$A$9:$AZ$9,0))</f>
        <v>-1710135.2503594898</v>
      </c>
      <c r="AW82" s="209">
        <f>-AP82*INDEX(port_processing_fee,MATCH(AT82,PORTS!$H$626:$H$933,0),MATCH(AX$5,PORTS!$H$626:$Z$626,0))</f>
        <v>-146298.21153286169</v>
      </c>
      <c r="AX82" s="405">
        <f>(((VLOOKUP(AT82,curvecalc,4,0))*IF(AN82=0,0,AR82/AN82)-INDEX(ship_curves,MATCH(AT82,'SHIP CURVES'!$A$9:$A$316,0),MATCH(CONCATENATE(AX$4,AX$5,AX$6,AX$7),'SHIP CURVES'!$A$9:$Z$9,0))-INDEX(terminal_curves,MATCH(AT82,'TERMINAL CURVES'!$A$4:$A$313,0),MATCH(AX$5,'TERMINAL CURVES'!$A$4:$N$4,0))*IF(AN82=0,0,AP82/AN82))-(AV$8)*((AV$7-$N$5)-(INDEX(ship_curves,MATCH(AT82,'SHIP CURVES'!$A$9:$A$316,0),MATCH(CONCATENATE(AX$4,AX$5,AX$6,AX$7),'SHIP CURVES'!$A$9:$Z$9,0))-INDEX(ship_curves,MATCH(AT82,'SHIP CURVES'!$A$9:$A$316,0),MATCH(CONCATENATE(AX$4,AV$6,AX$6,AX$7),'SHIP CURVES'!$A$9:$Z$9,0)))-(INDEX(terminal_curves,MATCH(AT82,'TERMINAL CURVES'!$A$4:$A$313,0),MATCH(AX$5,'TERMINAL CURVES'!$A$4:$N$4,0))-INDEX(terminal_curves,MATCH(AT82,'TERMINAL CURVES'!$A$4:$A$313,0),MATCH(AV$6,'TERMINAL CURVES'!$A$4:$N$4,0)))*IF(AN82=0,0,AP82/AN82)))*-AN82</f>
        <v>-13332313.255066611</v>
      </c>
      <c r="AY82" s="343">
        <f t="shared" si="22"/>
        <v>-15188746.716958962</v>
      </c>
      <c r="AZ82" s="338">
        <f>(-AP82/((HLOOKUP(AX$5,port_specs,2,0)/(365.25))*(AT83-AT82)))*(INDEX(fixed_capacity_charge,MATCH(AT82,PORTS!$H$11:$H$317,0),MATCH(AX$5,PORTS!$H$11:$N$11,0))+INDEX(variable_om_charge,MATCH(AT82,PORTS!$H$318:$H$625,0),MATCH(AX$5,PORTS!$H$318:$N$318,0)))</f>
        <v>-972210.40241816035</v>
      </c>
      <c r="BA82" s="232">
        <f t="shared" si="23"/>
        <v>-16160957.119377123</v>
      </c>
      <c r="BB82" s="241">
        <f t="shared" si="24"/>
        <v>100754.09675422311</v>
      </c>
      <c r="BC82" s="408"/>
      <c r="BD82" s="338">
        <f>+PORTS!I76+PORTS!I384</f>
        <v>972210.40241816035</v>
      </c>
    </row>
    <row r="83" spans="1:56" x14ac:dyDescent="0.2">
      <c r="A83" s="186">
        <f t="shared" si="25"/>
        <v>38687</v>
      </c>
      <c r="B83" s="215">
        <f>+IF(AND($A83&gt;=$C$8,$A83&lt;=$C$9),1,0)*PORTS!$I$5/(365.25)*(A84-A83)</f>
        <v>5339105.9818476336</v>
      </c>
      <c r="C83" s="351">
        <f t="shared" ref="C83:C146" si="34">+B83-(SUMIF($F$17:$IV$17,$H$17,$F83:$IV83))</f>
        <v>0</v>
      </c>
      <c r="D83">
        <f t="shared" ref="D83:D146" si="35">+YEAR(E83)</f>
        <v>2005</v>
      </c>
      <c r="E83" s="186">
        <f t="shared" si="26"/>
        <v>38687</v>
      </c>
      <c r="F83" s="215">
        <f t="shared" ref="F83:F146" si="36">+IF(AND(G$8&lt;=E83,G$9&gt;=E83),INDEX(ROUTE_PER_DAY_BY_SHIP,MATCH(CONCATENATE(G$4,G$5,G$7),ROUTE_PER_DAY_ROUTES,0),MATCH(G$6,ROUTE_PER_DAY_SHIPS,0))*(E84-E83),0)</f>
        <v>0</v>
      </c>
      <c r="G83" s="191">
        <f t="shared" ref="G83:G146" si="37">-F83*HLOOKUP(G$6,SHIPS,7,0)*INDEX(LADEN_VOYAGE_DAYS,MATCH(CONCATENATE(G$4,G$5,G$7),LADEN_VOYAGE_ROUTES,0),MATCH(G$6,LADEN_VOYAGE_SHIPS,0))</f>
        <v>0</v>
      </c>
      <c r="H83" s="218">
        <f t="shared" ref="H83:H146" si="38">SUM(F83:G83)</f>
        <v>0</v>
      </c>
      <c r="I83" s="118">
        <f t="shared" ref="I83:I146" si="39">-(H83)*HLOOKUP(G$5,TERMINAL_CHARGES,3,0)</f>
        <v>0</v>
      </c>
      <c r="J83" s="215">
        <f t="shared" ref="J83:J146" si="40">+H83+I83</f>
        <v>0</v>
      </c>
      <c r="K83" s="202"/>
      <c r="L83" s="186">
        <f t="shared" si="27"/>
        <v>38687</v>
      </c>
      <c r="M83" s="400">
        <f>+J83*(VLOOKUP(L83,CURVECALC!$C$6:$J$312,4,0)+N$5)</f>
        <v>0</v>
      </c>
      <c r="N83" s="208">
        <f>-F83*INDEX(ship_curves,MATCH(L83,'SHIP CURVES'!$A$9:$A$316,0),MATCH(CONCATENATE(P$4,P$5,P$6,P$7),'SHIP CURVES'!$A$9:$AZ$9,0))</f>
        <v>0</v>
      </c>
      <c r="O83" s="209">
        <f>-H83*INDEX(port_processing_fee,MATCH(L83,PORTS!$H$626:$H$933,0),MATCH(P$5,PORTS!$H$626:$Z$626,0))</f>
        <v>0</v>
      </c>
      <c r="P83" s="405">
        <f>(((VLOOKUP(L83,curvecalc,4,0))*IF(F83=0,0,J83/F83)-INDEX(ship_curves,MATCH(L83,'SHIP CURVES'!$A$9:$A$316,0),MATCH(CONCATENATE(P$4,P$5,P$6,P$7),'SHIP CURVES'!$A$9:$Z$9,0))-INDEX(terminal_curves,MATCH(L83,'TERMINAL CURVES'!$A$4:$A$313,0),MATCH(P$5,'TERMINAL CURVES'!$A$4:$N$4,0))*IF(F83=0,0,H83/F83))-(N$8)*((N$7-$N$5)-(INDEX(ship_curves,MATCH(L83,'SHIP CURVES'!$A$9:$A$316,0),MATCH(CONCATENATE(P$4,P$5,P$6,P$7),'SHIP CURVES'!$A$9:$Z$9,0))-INDEX(ship_curves,MATCH(L83,'SHIP CURVES'!$A$9:$A$316,0),MATCH(CONCATENATE(P$4,N$6,P$6,P$7),'SHIP CURVES'!$A$9:$Z$9,0)))-(INDEX(terminal_curves,MATCH(L83,'TERMINAL CURVES'!$A$4:$A$313,0),MATCH(P$5,'TERMINAL CURVES'!$A$4:$N$4,0))-INDEX(terminal_curves,MATCH(L83,'TERMINAL CURVES'!$A$4:$A$313,0),MATCH(N$6,'TERMINAL CURVES'!$A$4:$N$4,0)))*IF(F83=0,0,H83/F83)))*-F83</f>
        <v>0</v>
      </c>
      <c r="Q83" s="403">
        <f t="shared" ref="Q83:Q146" si="41">SUM(N83:P83)</f>
        <v>0</v>
      </c>
      <c r="R83" s="338">
        <f>(-H83/((HLOOKUP(P$5,port_specs,2,0)/(365.25))*(L84-L83)))*(INDEX(fixed_capacity_charge,MATCH(L83,PORTS!$H$11:$H$317,0),MATCH(P$5,PORTS!$H$11:$N$11,0))+INDEX(variable_om_charge,MATCH(L83,PORTS!$H$318:$H$625,0),MATCH(P$5,PORTS!$H$318:$N$318,0)))</f>
        <v>0</v>
      </c>
      <c r="S83" s="232">
        <f t="shared" ref="S83:S146" si="42">+R83+Q83</f>
        <v>0</v>
      </c>
      <c r="T83" s="241">
        <f t="shared" ref="T83:T146" si="43">+S83+M83</f>
        <v>0</v>
      </c>
      <c r="V83" s="186">
        <f t="shared" si="28"/>
        <v>38687</v>
      </c>
      <c r="W83" s="215">
        <f t="shared" ref="W83:W146" si="44">+Y83/(1-HLOOKUP(X$6,SHIPS,7,0)*INDEX(LADEN_VOYAGE_DAYS,MATCH(CONCATENATE(X$4,X$5),LADEN_VOYAGE_ROUTES,0),MATCH(X$6,LADEN_VOYAGE_SHIPS,0)))</f>
        <v>0</v>
      </c>
      <c r="X83" s="191">
        <f t="shared" ref="X83:X146" si="45">+Y83-W83</f>
        <v>0</v>
      </c>
      <c r="Y83" s="218">
        <f>+IF(AND(X$8&lt;=V83,X$9&gt;=V83),+MIN($B83-SUMIF($H$17:X$17,Y$17,$H83:X83),((INDEX(ROUTE_PER_DAY_BY_SHIP,MATCH(CONCATENATE(X$4,X$5,X$7),ROUTE_PER_DAY_ROUTES,0),MATCH(X$6,ROUTE_PER_DAY_SHIPS,0))*(V84-V83))-(INDEX(ROUTE_PER_DAY_BY_SHIP,MATCH(CONCATENATE(X$4,X$5,X$7),ROUTE_PER_DAY_ROUTES,0),MATCH(X$6,ROUTE_PER_DAY_SHIPS,0))*(V84-V83))*HLOOKUP(X$6,SHIPS,7,0)*INDEX(LADEN_VOYAGE_DAYS,MATCH(CONCATENATE(X$4,X$5,X$7),LADEN_VOYAGE_ROUTES,0),MATCH(X$6,LADEN_VOYAGE_SHIPS,0)))),0)</f>
        <v>0</v>
      </c>
      <c r="Z83" s="118">
        <f t="shared" ref="Z83:Z146" si="46">-(Y83)*HLOOKUP(X$5,TERMINAL_CHARGES,3,0)</f>
        <v>0</v>
      </c>
      <c r="AA83" s="215">
        <f t="shared" si="32"/>
        <v>0</v>
      </c>
      <c r="AB83" s="202"/>
      <c r="AC83" s="186">
        <f t="shared" si="29"/>
        <v>38687</v>
      </c>
      <c r="AD83" s="232">
        <f>+AA83*(VLOOKUP(AC83,CURVECALC!$C$6:$J$312,4,0)+AE$5)</f>
        <v>0</v>
      </c>
      <c r="AE83" s="208">
        <f>-W83*INDEX(ship_curves,MATCH(AC83,'SHIP CURVES'!$A$9:$A$316,0),MATCH(CONCATENATE(AG$4,AG$5,AG$6,AG$7),'SHIP CURVES'!$A$9:$AZ$9,0))</f>
        <v>0</v>
      </c>
      <c r="AF83" s="209">
        <f>-Y83*INDEX(port_processing_fee,MATCH(AC83,PORTS!$H$626:$H$933,0),MATCH(AG$5,PORTS!$H$626:$Z$626,0))</f>
        <v>0</v>
      </c>
      <c r="AG83" s="405">
        <f>(((VLOOKUP(AC83,curvecalc,4,0))*IF(W83=0,0,AA83/W83)-INDEX(ship_curves,MATCH(AC83,'SHIP CURVES'!$A$9:$A$316,0),MATCH(CONCATENATE(AG$4,AG$5,AG$6,AG$7),'SHIP CURVES'!$A$9:$Z$9,0))-INDEX(terminal_curves,MATCH(AC83,'TERMINAL CURVES'!$A$4:$A$313,0),MATCH(AG$5,'TERMINAL CURVES'!$A$4:$N$4,0))*IF(W83=0,0,Y83/W83))-(AE$8)*((AE$7-$N$5)-(INDEX(ship_curves,MATCH(AC83,'SHIP CURVES'!$A$9:$A$316,0),MATCH(CONCATENATE(AG$4,AG$5,AG$6,AG$7),'SHIP CURVES'!$A$9:$Z$9,0))-INDEX(ship_curves,MATCH(AC83,'SHIP CURVES'!$A$9:$A$316,0),MATCH(CONCATENATE(AG$4,AE$6,AG$6,AG$7),'SHIP CURVES'!$A$9:$Z$9,0)))-(INDEX(terminal_curves,MATCH(AC83,'TERMINAL CURVES'!$A$4:$A$313,0),MATCH(AG$5,'TERMINAL CURVES'!$A$4:$N$4,0))-INDEX(terminal_curves,MATCH(AC83,'TERMINAL CURVES'!$A$4:$A$313,0),MATCH(AE$6,'TERMINAL CURVES'!$A$4:$N$4,0)))*IF(W83=0,0,Y83/W83)))*-W83</f>
        <v>0</v>
      </c>
      <c r="AH83" s="343">
        <f t="shared" ref="AH83:AH146" si="47">SUM(AE83:AG83)</f>
        <v>0</v>
      </c>
      <c r="AI83" s="338">
        <f>(-Y83/((HLOOKUP(AG$5,port_specs,2,0)/(365.25))*(AC84-AC83)))*(INDEX(fixed_capacity_charge,MATCH(AC83,PORTS!$H$11:$H$317,0),MATCH(AG$5,PORTS!$H$11:$N$11,0))+INDEX(variable_om_charge,MATCH(AC83,PORTS!$H$318:$H$625,0),MATCH(AG$5,PORTS!$H$318:$N$318,0)))</f>
        <v>0</v>
      </c>
      <c r="AJ83" s="232">
        <f t="shared" ref="AJ83:AJ146" si="48">+AI83+AH83</f>
        <v>0</v>
      </c>
      <c r="AK83" s="241">
        <f t="shared" ref="AK83:AK146" si="49">+AJ83+AD83</f>
        <v>0</v>
      </c>
      <c r="AM83" s="186">
        <f t="shared" si="30"/>
        <v>38687</v>
      </c>
      <c r="AN83" s="215">
        <f t="shared" ref="AN83:AN146" si="50">+AP83/(1-HLOOKUP(AO$6,SHIPS,7,0)*INDEX(LADEN_VOYAGE_DAYS,MATCH(CONCATENATE(AO$4,AO$5),LADEN_VOYAGE_ROUTES,0),MATCH(AO$6,LADEN_VOYAGE_SHIPS,0)))</f>
        <v>5395761.4773599124</v>
      </c>
      <c r="AO83" s="191">
        <f t="shared" ref="AO83:AO146" si="51">+AP83-AN83</f>
        <v>-56655.495512278751</v>
      </c>
      <c r="AP83" s="218">
        <f>+IF(AND(AO$8&lt;=AM83,AO$9&gt;=AM83),+MIN($B83-SUMIF($H$17:AO$17,AP$17,$H83:AO83),((INDEX(ROUTE_PER_DAY_BY_SHIP,MATCH(CONCATENATE(AO$4,AO$5,AO$7),ROUTE_PER_DAY_ROUTES,0),MATCH(AO$6,ROUTE_PER_DAY_SHIPS,0))*(AM84-AM83))-(INDEX(ROUTE_PER_DAY_BY_SHIP,MATCH(CONCATENATE(AO$4,AO$5,AO$7),ROUTE_PER_DAY_ROUTES,0),MATCH(AO$6,ROUTE_PER_DAY_SHIPS,0))*(AM84-AM83))*HLOOKUP(AO$6,SHIPS,7,0)*INDEX(LADEN_VOYAGE_DAYS,MATCH(CONCATENATE(AO$4,AO$5,AO$7),LADEN_VOYAGE_ROUTES,0),MATCH(AO$6,LADEN_VOYAGE_SHIPS,0)))),0)</f>
        <v>5339105.9818476336</v>
      </c>
      <c r="AQ83" s="118">
        <f>-(AP83)*PORTS!$I$6</f>
        <v>-133477.64954619083</v>
      </c>
      <c r="AR83" s="215">
        <f t="shared" si="33"/>
        <v>5205628.3323014425</v>
      </c>
      <c r="AS83" s="202"/>
      <c r="AT83" s="186">
        <f t="shared" si="31"/>
        <v>38687</v>
      </c>
      <c r="AU83" s="232">
        <f>+AR83*(VLOOKUP(AT83,CURVECALC!$C$6:$J$312,4,0)+AV$5)</f>
        <v>17319125.461566899</v>
      </c>
      <c r="AV83" s="208">
        <f>-AN83*INDEX(ship_curves,MATCH(AT83,'SHIP CURVES'!$A$9:$A$316,0),MATCH(CONCATENATE(AX$4,AX$5,AX$6,AX$7),'SHIP CURVES'!$A$9:$AZ$9,0))</f>
        <v>-1767625.6171041578</v>
      </c>
      <c r="AW83" s="209">
        <f>-AP83*INDEX(port_processing_fee,MATCH(AT83,PORTS!$H$626:$H$933,0),MATCH(AX$5,PORTS!$H$626:$Z$626,0))</f>
        <v>-151332.2923533154</v>
      </c>
      <c r="AX83" s="405">
        <f>(((VLOOKUP(AT83,curvecalc,4,0))*IF(AN83=0,0,AR83/AN83)-INDEX(ship_curves,MATCH(AT83,'SHIP CURVES'!$A$9:$A$316,0),MATCH(CONCATENATE(AX$4,AX$5,AX$6,AX$7),'SHIP CURVES'!$A$9:$Z$9,0))-INDEX(terminal_curves,MATCH(AT83,'TERMINAL CURVES'!$A$4:$A$313,0),MATCH(AX$5,'TERMINAL CURVES'!$A$4:$N$4,0))*IF(AN83=0,0,AP83/AN83))-(AV$8)*((AV$7-$N$5)-(INDEX(ship_curves,MATCH(AT83,'SHIP CURVES'!$A$9:$A$316,0),MATCH(CONCATENATE(AX$4,AX$5,AX$6,AX$7),'SHIP CURVES'!$A$9:$Z$9,0))-INDEX(ship_curves,MATCH(AT83,'SHIP CURVES'!$A$9:$A$316,0),MATCH(CONCATENATE(AX$4,AV$6,AX$6,AX$7),'SHIP CURVES'!$A$9:$Z$9,0)))-(INDEX(terminal_curves,MATCH(AT83,'TERMINAL CURVES'!$A$4:$A$313,0),MATCH(AX$5,'TERMINAL CURVES'!$A$4:$N$4,0))-INDEX(terminal_curves,MATCH(AT83,'TERMINAL CURVES'!$A$4:$A$313,0),MATCH(AV$6,'TERMINAL CURVES'!$A$4:$N$4,0)))*IF(AN83=0,0,AP83/AN83)))*-AN83</f>
        <v>-14323337.26655408</v>
      </c>
      <c r="AY83" s="343">
        <f t="shared" ref="AY83:AY146" si="52">SUM(AV83:AX83)</f>
        <v>-16242295.176011553</v>
      </c>
      <c r="AZ83" s="338">
        <f>(-AP83/((HLOOKUP(AX$5,port_specs,2,0)/(365.25))*(AT84-AT83)))*(INDEX(fixed_capacity_charge,MATCH(AT83,PORTS!$H$11:$H$317,0),MATCH(AX$5,PORTS!$H$11:$N$11,0))+INDEX(variable_om_charge,MATCH(AT83,PORTS!$H$318:$H$625,0),MATCH(AX$5,PORTS!$H$318:$N$318,0)))</f>
        <v>-972717.71890931646</v>
      </c>
      <c r="BA83" s="232">
        <f t="shared" ref="BA83:BA146" si="53">+AZ83+AY83</f>
        <v>-17215012.894920871</v>
      </c>
      <c r="BB83" s="241">
        <f t="shared" ref="BB83:BB146" si="54">+BA83+AU83</f>
        <v>104112.56664602831</v>
      </c>
      <c r="BC83" s="408"/>
      <c r="BD83" s="338">
        <f>+PORTS!I77+PORTS!I385</f>
        <v>972717.71890931646</v>
      </c>
    </row>
    <row r="84" spans="1:56" x14ac:dyDescent="0.2">
      <c r="A84" s="186">
        <f t="shared" ref="A84:A147" si="55">+DATE(YEAR(A83),MONTH(A83)+1,1)</f>
        <v>38718</v>
      </c>
      <c r="B84" s="215">
        <f>+IF(AND($A84&gt;=$C$8,$A84&lt;=$C$9),1,0)*PORTS!$I$5/(365.25)*(A85-A84)</f>
        <v>5339105.9818476336</v>
      </c>
      <c r="C84" s="351">
        <f t="shared" si="34"/>
        <v>0</v>
      </c>
      <c r="D84">
        <f t="shared" si="35"/>
        <v>2006</v>
      </c>
      <c r="E84" s="186">
        <f t="shared" ref="E84:E147" si="56">+DATE(YEAR(E83),MONTH(E83)+1,1)</f>
        <v>38718</v>
      </c>
      <c r="F84" s="215">
        <f t="shared" si="36"/>
        <v>0</v>
      </c>
      <c r="G84" s="191">
        <f t="shared" si="37"/>
        <v>0</v>
      </c>
      <c r="H84" s="218">
        <f t="shared" si="38"/>
        <v>0</v>
      </c>
      <c r="I84" s="118">
        <f t="shared" si="39"/>
        <v>0</v>
      </c>
      <c r="J84" s="215">
        <f t="shared" si="40"/>
        <v>0</v>
      </c>
      <c r="K84" s="202"/>
      <c r="L84" s="186">
        <f t="shared" ref="L84:L147" si="57">+DATE(YEAR(L83),MONTH(L83)+1,1)</f>
        <v>38718</v>
      </c>
      <c r="M84" s="400">
        <f>+J84*(VLOOKUP(L84,CURVECALC!$C$6:$J$312,4,0)+N$5)</f>
        <v>0</v>
      </c>
      <c r="N84" s="208">
        <f>-F84*INDEX(ship_curves,MATCH(L84,'SHIP CURVES'!$A$9:$A$316,0),MATCH(CONCATENATE(P$4,P$5,P$6,P$7),'SHIP CURVES'!$A$9:$AZ$9,0))</f>
        <v>0</v>
      </c>
      <c r="O84" s="209">
        <f>-H84*INDEX(port_processing_fee,MATCH(L84,PORTS!$H$626:$H$933,0),MATCH(P$5,PORTS!$H$626:$Z$626,0))</f>
        <v>0</v>
      </c>
      <c r="P84" s="405">
        <f>(((VLOOKUP(L84,curvecalc,4,0))*IF(F84=0,0,J84/F84)-INDEX(ship_curves,MATCH(L84,'SHIP CURVES'!$A$9:$A$316,0),MATCH(CONCATENATE(P$4,P$5,P$6,P$7),'SHIP CURVES'!$A$9:$Z$9,0))-INDEX(terminal_curves,MATCH(L84,'TERMINAL CURVES'!$A$4:$A$313,0),MATCH(P$5,'TERMINAL CURVES'!$A$4:$N$4,0))*IF(F84=0,0,H84/F84))-(N$8)*((N$7-$N$5)-(INDEX(ship_curves,MATCH(L84,'SHIP CURVES'!$A$9:$A$316,0),MATCH(CONCATENATE(P$4,P$5,P$6,P$7),'SHIP CURVES'!$A$9:$Z$9,0))-INDEX(ship_curves,MATCH(L84,'SHIP CURVES'!$A$9:$A$316,0),MATCH(CONCATENATE(P$4,N$6,P$6,P$7),'SHIP CURVES'!$A$9:$Z$9,0)))-(INDEX(terminal_curves,MATCH(L84,'TERMINAL CURVES'!$A$4:$A$313,0),MATCH(P$5,'TERMINAL CURVES'!$A$4:$N$4,0))-INDEX(terminal_curves,MATCH(L84,'TERMINAL CURVES'!$A$4:$A$313,0),MATCH(N$6,'TERMINAL CURVES'!$A$4:$N$4,0)))*IF(F84=0,0,H84/F84)))*-F84</f>
        <v>0</v>
      </c>
      <c r="Q84" s="403">
        <f t="shared" si="41"/>
        <v>0</v>
      </c>
      <c r="R84" s="338">
        <f>(-H84/((HLOOKUP(P$5,port_specs,2,0)/(365.25))*(L85-L84)))*(INDEX(fixed_capacity_charge,MATCH(L84,PORTS!$H$11:$H$317,0),MATCH(P$5,PORTS!$H$11:$N$11,0))+INDEX(variable_om_charge,MATCH(L84,PORTS!$H$318:$H$625,0),MATCH(P$5,PORTS!$H$318:$N$318,0)))</f>
        <v>0</v>
      </c>
      <c r="S84" s="232">
        <f t="shared" si="42"/>
        <v>0</v>
      </c>
      <c r="T84" s="241">
        <f t="shared" si="43"/>
        <v>0</v>
      </c>
      <c r="V84" s="186">
        <f t="shared" ref="V84:V147" si="58">+DATE(YEAR(V83),MONTH(V83)+1,1)</f>
        <v>38718</v>
      </c>
      <c r="W84" s="215">
        <f t="shared" si="44"/>
        <v>0</v>
      </c>
      <c r="X84" s="191">
        <f t="shared" si="45"/>
        <v>0</v>
      </c>
      <c r="Y84" s="218">
        <f>+IF(AND(X$8&lt;=V84,X$9&gt;=V84),+MIN($B84-SUMIF($H$17:X$17,Y$17,$H84:X84),((INDEX(ROUTE_PER_DAY_BY_SHIP,MATCH(CONCATENATE(X$4,X$5,X$7),ROUTE_PER_DAY_ROUTES,0),MATCH(X$6,ROUTE_PER_DAY_SHIPS,0))*(V85-V84))-(INDEX(ROUTE_PER_DAY_BY_SHIP,MATCH(CONCATENATE(X$4,X$5,X$7),ROUTE_PER_DAY_ROUTES,0),MATCH(X$6,ROUTE_PER_DAY_SHIPS,0))*(V85-V84))*HLOOKUP(X$6,SHIPS,7,0)*INDEX(LADEN_VOYAGE_DAYS,MATCH(CONCATENATE(X$4,X$5,X$7),LADEN_VOYAGE_ROUTES,0),MATCH(X$6,LADEN_VOYAGE_SHIPS,0)))),0)</f>
        <v>0</v>
      </c>
      <c r="Z84" s="118">
        <f t="shared" si="46"/>
        <v>0</v>
      </c>
      <c r="AA84" s="215">
        <f t="shared" si="32"/>
        <v>0</v>
      </c>
      <c r="AB84" s="202"/>
      <c r="AC84" s="186">
        <f t="shared" ref="AC84:AC147" si="59">+DATE(YEAR(AC83),MONTH(AC83)+1,1)</f>
        <v>38718</v>
      </c>
      <c r="AD84" s="232">
        <f>+AA84*(VLOOKUP(AC84,CURVECALC!$C$6:$J$312,4,0)+AE$5)</f>
        <v>0</v>
      </c>
      <c r="AE84" s="208">
        <f>-W84*INDEX(ship_curves,MATCH(AC84,'SHIP CURVES'!$A$9:$A$316,0),MATCH(CONCATENATE(AG$4,AG$5,AG$6,AG$7),'SHIP CURVES'!$A$9:$AZ$9,0))</f>
        <v>0</v>
      </c>
      <c r="AF84" s="209">
        <f>-Y84*INDEX(port_processing_fee,MATCH(AC84,PORTS!$H$626:$H$933,0),MATCH(AG$5,PORTS!$H$626:$Z$626,0))</f>
        <v>0</v>
      </c>
      <c r="AG84" s="405">
        <f>(((VLOOKUP(AC84,curvecalc,4,0))*IF(W84=0,0,AA84/W84)-INDEX(ship_curves,MATCH(AC84,'SHIP CURVES'!$A$9:$A$316,0),MATCH(CONCATENATE(AG$4,AG$5,AG$6,AG$7),'SHIP CURVES'!$A$9:$Z$9,0))-INDEX(terminal_curves,MATCH(AC84,'TERMINAL CURVES'!$A$4:$A$313,0),MATCH(AG$5,'TERMINAL CURVES'!$A$4:$N$4,0))*IF(W84=0,0,Y84/W84))-(AE$8)*((AE$7-$N$5)-(INDEX(ship_curves,MATCH(AC84,'SHIP CURVES'!$A$9:$A$316,0),MATCH(CONCATENATE(AG$4,AG$5,AG$6,AG$7),'SHIP CURVES'!$A$9:$Z$9,0))-INDEX(ship_curves,MATCH(AC84,'SHIP CURVES'!$A$9:$A$316,0),MATCH(CONCATENATE(AG$4,AE$6,AG$6,AG$7),'SHIP CURVES'!$A$9:$Z$9,0)))-(INDEX(terminal_curves,MATCH(AC84,'TERMINAL CURVES'!$A$4:$A$313,0),MATCH(AG$5,'TERMINAL CURVES'!$A$4:$N$4,0))-INDEX(terminal_curves,MATCH(AC84,'TERMINAL CURVES'!$A$4:$A$313,0),MATCH(AE$6,'TERMINAL CURVES'!$A$4:$N$4,0)))*IF(W84=0,0,Y84/W84)))*-W84</f>
        <v>0</v>
      </c>
      <c r="AH84" s="343">
        <f t="shared" si="47"/>
        <v>0</v>
      </c>
      <c r="AI84" s="338">
        <f>(-Y84/((HLOOKUP(AG$5,port_specs,2,0)/(365.25))*(AC85-AC84)))*(INDEX(fixed_capacity_charge,MATCH(AC84,PORTS!$H$11:$H$317,0),MATCH(AG$5,PORTS!$H$11:$N$11,0))+INDEX(variable_om_charge,MATCH(AC84,PORTS!$H$318:$H$625,0),MATCH(AG$5,PORTS!$H$318:$N$318,0)))</f>
        <v>0</v>
      </c>
      <c r="AJ84" s="232">
        <f t="shared" si="48"/>
        <v>0</v>
      </c>
      <c r="AK84" s="241">
        <f t="shared" si="49"/>
        <v>0</v>
      </c>
      <c r="AM84" s="186">
        <f t="shared" ref="AM84:AM147" si="60">+DATE(YEAR(AM83),MONTH(AM83)+1,1)</f>
        <v>38718</v>
      </c>
      <c r="AN84" s="215">
        <f t="shared" si="50"/>
        <v>5395761.4773599124</v>
      </c>
      <c r="AO84" s="191">
        <f t="shared" si="51"/>
        <v>-56655.495512278751</v>
      </c>
      <c r="AP84" s="218">
        <f>+IF(AND(AO$8&lt;=AM84,AO$9&gt;=AM84),+MIN($B84-SUMIF($H$17:AO$17,AP$17,$H84:AO84),((INDEX(ROUTE_PER_DAY_BY_SHIP,MATCH(CONCATENATE(AO$4,AO$5,AO$7),ROUTE_PER_DAY_ROUTES,0),MATCH(AO$6,ROUTE_PER_DAY_SHIPS,0))*(AM85-AM84))-(INDEX(ROUTE_PER_DAY_BY_SHIP,MATCH(CONCATENATE(AO$4,AO$5,AO$7),ROUTE_PER_DAY_ROUTES,0),MATCH(AO$6,ROUTE_PER_DAY_SHIPS,0))*(AM85-AM84))*HLOOKUP(AO$6,SHIPS,7,0)*INDEX(LADEN_VOYAGE_DAYS,MATCH(CONCATENATE(AO$4,AO$5,AO$7),LADEN_VOYAGE_ROUTES,0),MATCH(AO$6,LADEN_VOYAGE_SHIPS,0)))),0)</f>
        <v>5339105.9818476336</v>
      </c>
      <c r="AQ84" s="118">
        <f>-(AP84)*PORTS!$I$6</f>
        <v>-133477.64954619083</v>
      </c>
      <c r="AR84" s="215">
        <f t="shared" si="33"/>
        <v>5205628.3323014425</v>
      </c>
      <c r="AS84" s="202"/>
      <c r="AT84" s="186">
        <f t="shared" ref="AT84:AT147" si="61">+DATE(YEAR(AT83),MONTH(AT83)+1,1)</f>
        <v>38718</v>
      </c>
      <c r="AU84" s="232">
        <f>+AR84*(VLOOKUP(AT84,CURVECALC!$C$6:$J$312,4,0)+AV$5)</f>
        <v>17964623.374772277</v>
      </c>
      <c r="AV84" s="208">
        <f>-AN84*INDEX(ship_curves,MATCH(AT84,'SHIP CURVES'!$A$9:$A$316,0),MATCH(CONCATENATE(AX$4,AX$5,AX$6,AX$7),'SHIP CURVES'!$A$9:$AZ$9,0))</f>
        <v>-1768112.4877085073</v>
      </c>
      <c r="AW84" s="209">
        <f>-AP84*INDEX(port_processing_fee,MATCH(AT84,PORTS!$H$626:$H$933,0),MATCH(AX$5,PORTS!$H$626:$Z$626,0))</f>
        <v>-151489.93015785009</v>
      </c>
      <c r="AX84" s="405">
        <f>(((VLOOKUP(AT84,curvecalc,4,0))*IF(AN84=0,0,AR84/AN84)-INDEX(ship_curves,MATCH(AT84,'SHIP CURVES'!$A$9:$A$316,0),MATCH(CONCATENATE(AX$4,AX$5,AX$6,AX$7),'SHIP CURVES'!$A$9:$Z$9,0))-INDEX(terminal_curves,MATCH(AT84,'TERMINAL CURVES'!$A$4:$A$313,0),MATCH(AX$5,'TERMINAL CURVES'!$A$4:$N$4,0))*IF(AN84=0,0,AP84/AN84))-(AV$8)*((AV$7-$N$5)-(INDEX(ship_curves,MATCH(AT84,'SHIP CURVES'!$A$9:$A$316,0),MATCH(CONCATENATE(AX$4,AX$5,AX$6,AX$7),'SHIP CURVES'!$A$9:$Z$9,0))-INDEX(ship_curves,MATCH(AT84,'SHIP CURVES'!$A$9:$A$316,0),MATCH(CONCATENATE(AX$4,AV$6,AX$6,AX$7),'SHIP CURVES'!$A$9:$Z$9,0)))-(INDEX(terminal_curves,MATCH(AT84,'TERMINAL CURVES'!$A$4:$A$313,0),MATCH(AX$5,'TERMINAL CURVES'!$A$4:$N$4,0))-INDEX(terminal_curves,MATCH(AT84,'TERMINAL CURVES'!$A$4:$A$313,0),MATCH(AV$6,'TERMINAL CURVES'!$A$4:$N$4,0)))*IF(AN84=0,0,AP84/AN84)))*-AN84</f>
        <v>-14967682.826404741</v>
      </c>
      <c r="AY84" s="343">
        <f t="shared" si="52"/>
        <v>-16887285.2442711</v>
      </c>
      <c r="AZ84" s="338">
        <f>(-AP84/((HLOOKUP(AX$5,port_specs,2,0)/(365.25))*(AT85-AT84)))*(INDEX(fixed_capacity_charge,MATCH(AT84,PORTS!$H$11:$H$317,0),MATCH(AX$5,PORTS!$H$11:$N$11,0))+INDEX(variable_om_charge,MATCH(AT84,PORTS!$H$318:$H$625,0),MATCH(AX$5,PORTS!$H$318:$N$318,0)))</f>
        <v>-973225.56385515071</v>
      </c>
      <c r="BA84" s="232">
        <f t="shared" si="53"/>
        <v>-17860510.808126248</v>
      </c>
      <c r="BB84" s="241">
        <f t="shared" si="54"/>
        <v>104112.56664602831</v>
      </c>
      <c r="BC84" s="408"/>
      <c r="BD84" s="338">
        <f>+PORTS!I78+PORTS!I386</f>
        <v>973225.56385515071</v>
      </c>
    </row>
    <row r="85" spans="1:56" x14ac:dyDescent="0.2">
      <c r="A85" s="186">
        <f t="shared" si="55"/>
        <v>38749</v>
      </c>
      <c r="B85" s="215">
        <f>+IF(AND($A85&gt;=$C$8,$A85&lt;=$C$9),1,0)*PORTS!$I$5/(365.25)*(A86-A85)</f>
        <v>4822418.3061849596</v>
      </c>
      <c r="C85" s="351">
        <f t="shared" si="34"/>
        <v>0</v>
      </c>
      <c r="D85">
        <f t="shared" si="35"/>
        <v>2006</v>
      </c>
      <c r="E85" s="186">
        <f t="shared" si="56"/>
        <v>38749</v>
      </c>
      <c r="F85" s="215">
        <f t="shared" si="36"/>
        <v>0</v>
      </c>
      <c r="G85" s="191">
        <f t="shared" si="37"/>
        <v>0</v>
      </c>
      <c r="H85" s="218">
        <f t="shared" si="38"/>
        <v>0</v>
      </c>
      <c r="I85" s="118">
        <f t="shared" si="39"/>
        <v>0</v>
      </c>
      <c r="J85" s="215">
        <f t="shared" si="40"/>
        <v>0</v>
      </c>
      <c r="K85" s="202"/>
      <c r="L85" s="186">
        <f t="shared" si="57"/>
        <v>38749</v>
      </c>
      <c r="M85" s="400">
        <f>+J85*(VLOOKUP(L85,CURVECALC!$C$6:$J$312,4,0)+N$5)</f>
        <v>0</v>
      </c>
      <c r="N85" s="208">
        <f>-F85*INDEX(ship_curves,MATCH(L85,'SHIP CURVES'!$A$9:$A$316,0),MATCH(CONCATENATE(P$4,P$5,P$6,P$7),'SHIP CURVES'!$A$9:$AZ$9,0))</f>
        <v>0</v>
      </c>
      <c r="O85" s="209">
        <f>-H85*INDEX(port_processing_fee,MATCH(L85,PORTS!$H$626:$H$933,0),MATCH(P$5,PORTS!$H$626:$Z$626,0))</f>
        <v>0</v>
      </c>
      <c r="P85" s="405">
        <f>(((VLOOKUP(L85,curvecalc,4,0))*IF(F85=0,0,J85/F85)-INDEX(ship_curves,MATCH(L85,'SHIP CURVES'!$A$9:$A$316,0),MATCH(CONCATENATE(P$4,P$5,P$6,P$7),'SHIP CURVES'!$A$9:$Z$9,0))-INDEX(terminal_curves,MATCH(L85,'TERMINAL CURVES'!$A$4:$A$313,0),MATCH(P$5,'TERMINAL CURVES'!$A$4:$N$4,0))*IF(F85=0,0,H85/F85))-(N$8)*((N$7-$N$5)-(INDEX(ship_curves,MATCH(L85,'SHIP CURVES'!$A$9:$A$316,0),MATCH(CONCATENATE(P$4,P$5,P$6,P$7),'SHIP CURVES'!$A$9:$Z$9,0))-INDEX(ship_curves,MATCH(L85,'SHIP CURVES'!$A$9:$A$316,0),MATCH(CONCATENATE(P$4,N$6,P$6,P$7),'SHIP CURVES'!$A$9:$Z$9,0)))-(INDEX(terminal_curves,MATCH(L85,'TERMINAL CURVES'!$A$4:$A$313,0),MATCH(P$5,'TERMINAL CURVES'!$A$4:$N$4,0))-INDEX(terminal_curves,MATCH(L85,'TERMINAL CURVES'!$A$4:$A$313,0),MATCH(N$6,'TERMINAL CURVES'!$A$4:$N$4,0)))*IF(F85=0,0,H85/F85)))*-F85</f>
        <v>0</v>
      </c>
      <c r="Q85" s="403">
        <f t="shared" si="41"/>
        <v>0</v>
      </c>
      <c r="R85" s="338">
        <f>(-H85/((HLOOKUP(P$5,port_specs,2,0)/(365.25))*(L86-L85)))*(INDEX(fixed_capacity_charge,MATCH(L85,PORTS!$H$11:$H$317,0),MATCH(P$5,PORTS!$H$11:$N$11,0))+INDEX(variable_om_charge,MATCH(L85,PORTS!$H$318:$H$625,0),MATCH(P$5,PORTS!$H$318:$N$318,0)))</f>
        <v>0</v>
      </c>
      <c r="S85" s="232">
        <f t="shared" si="42"/>
        <v>0</v>
      </c>
      <c r="T85" s="241">
        <f t="shared" si="43"/>
        <v>0</v>
      </c>
      <c r="V85" s="186">
        <f t="shared" si="58"/>
        <v>38749</v>
      </c>
      <c r="W85" s="215">
        <f t="shared" si="44"/>
        <v>0</v>
      </c>
      <c r="X85" s="191">
        <f t="shared" si="45"/>
        <v>0</v>
      </c>
      <c r="Y85" s="218">
        <f>+IF(AND(X$8&lt;=V85,X$9&gt;=V85),+MIN($B85-SUMIF($H$17:X$17,Y$17,$H85:X85),((INDEX(ROUTE_PER_DAY_BY_SHIP,MATCH(CONCATENATE(X$4,X$5,X$7),ROUTE_PER_DAY_ROUTES,0),MATCH(X$6,ROUTE_PER_DAY_SHIPS,0))*(V86-V85))-(INDEX(ROUTE_PER_DAY_BY_SHIP,MATCH(CONCATENATE(X$4,X$5,X$7),ROUTE_PER_DAY_ROUTES,0),MATCH(X$6,ROUTE_PER_DAY_SHIPS,0))*(V86-V85))*HLOOKUP(X$6,SHIPS,7,0)*INDEX(LADEN_VOYAGE_DAYS,MATCH(CONCATENATE(X$4,X$5,X$7),LADEN_VOYAGE_ROUTES,0),MATCH(X$6,LADEN_VOYAGE_SHIPS,0)))),0)</f>
        <v>0</v>
      </c>
      <c r="Z85" s="118">
        <f t="shared" si="46"/>
        <v>0</v>
      </c>
      <c r="AA85" s="215">
        <f t="shared" si="32"/>
        <v>0</v>
      </c>
      <c r="AB85" s="202"/>
      <c r="AC85" s="186">
        <f t="shared" si="59"/>
        <v>38749</v>
      </c>
      <c r="AD85" s="232">
        <f>+AA85*(VLOOKUP(AC85,CURVECALC!$C$6:$J$312,4,0)+AE$5)</f>
        <v>0</v>
      </c>
      <c r="AE85" s="208">
        <f>-W85*INDEX(ship_curves,MATCH(AC85,'SHIP CURVES'!$A$9:$A$316,0),MATCH(CONCATENATE(AG$4,AG$5,AG$6,AG$7),'SHIP CURVES'!$A$9:$AZ$9,0))</f>
        <v>0</v>
      </c>
      <c r="AF85" s="209">
        <f>-Y85*INDEX(port_processing_fee,MATCH(AC85,PORTS!$H$626:$H$933,0),MATCH(AG$5,PORTS!$H$626:$Z$626,0))</f>
        <v>0</v>
      </c>
      <c r="AG85" s="405">
        <f>(((VLOOKUP(AC85,curvecalc,4,0))*IF(W85=0,0,AA85/W85)-INDEX(ship_curves,MATCH(AC85,'SHIP CURVES'!$A$9:$A$316,0),MATCH(CONCATENATE(AG$4,AG$5,AG$6,AG$7),'SHIP CURVES'!$A$9:$Z$9,0))-INDEX(terminal_curves,MATCH(AC85,'TERMINAL CURVES'!$A$4:$A$313,0),MATCH(AG$5,'TERMINAL CURVES'!$A$4:$N$4,0))*IF(W85=0,0,Y85/W85))-(AE$8)*((AE$7-$N$5)-(INDEX(ship_curves,MATCH(AC85,'SHIP CURVES'!$A$9:$A$316,0),MATCH(CONCATENATE(AG$4,AG$5,AG$6,AG$7),'SHIP CURVES'!$A$9:$Z$9,0))-INDEX(ship_curves,MATCH(AC85,'SHIP CURVES'!$A$9:$A$316,0),MATCH(CONCATENATE(AG$4,AE$6,AG$6,AG$7),'SHIP CURVES'!$A$9:$Z$9,0)))-(INDEX(terminal_curves,MATCH(AC85,'TERMINAL CURVES'!$A$4:$A$313,0),MATCH(AG$5,'TERMINAL CURVES'!$A$4:$N$4,0))-INDEX(terminal_curves,MATCH(AC85,'TERMINAL CURVES'!$A$4:$A$313,0),MATCH(AE$6,'TERMINAL CURVES'!$A$4:$N$4,0)))*IF(W85=0,0,Y85/W85)))*-W85</f>
        <v>0</v>
      </c>
      <c r="AH85" s="343">
        <f t="shared" si="47"/>
        <v>0</v>
      </c>
      <c r="AI85" s="338">
        <f>(-Y85/((HLOOKUP(AG$5,port_specs,2,0)/(365.25))*(AC86-AC85)))*(INDEX(fixed_capacity_charge,MATCH(AC85,PORTS!$H$11:$H$317,0),MATCH(AG$5,PORTS!$H$11:$N$11,0))+INDEX(variable_om_charge,MATCH(AC85,PORTS!$H$318:$H$625,0),MATCH(AG$5,PORTS!$H$318:$N$318,0)))</f>
        <v>0</v>
      </c>
      <c r="AJ85" s="232">
        <f t="shared" si="48"/>
        <v>0</v>
      </c>
      <c r="AK85" s="241">
        <f t="shared" si="49"/>
        <v>0</v>
      </c>
      <c r="AM85" s="186">
        <f t="shared" si="60"/>
        <v>38749</v>
      </c>
      <c r="AN85" s="215">
        <f t="shared" si="50"/>
        <v>4873591.0118089532</v>
      </c>
      <c r="AO85" s="191">
        <f t="shared" si="51"/>
        <v>-51172.70562399365</v>
      </c>
      <c r="AP85" s="218">
        <f>+IF(AND(AO$8&lt;=AM85,AO$9&gt;=AM85),+MIN($B85-SUMIF($H$17:AO$17,AP$17,$H85:AO85),((INDEX(ROUTE_PER_DAY_BY_SHIP,MATCH(CONCATENATE(AO$4,AO$5,AO$7),ROUTE_PER_DAY_ROUTES,0),MATCH(AO$6,ROUTE_PER_DAY_SHIPS,0))*(AM86-AM85))-(INDEX(ROUTE_PER_DAY_BY_SHIP,MATCH(CONCATENATE(AO$4,AO$5,AO$7),ROUTE_PER_DAY_ROUTES,0),MATCH(AO$6,ROUTE_PER_DAY_SHIPS,0))*(AM86-AM85))*HLOOKUP(AO$6,SHIPS,7,0)*INDEX(LADEN_VOYAGE_DAYS,MATCH(CONCATENATE(AO$4,AO$5,AO$7),LADEN_VOYAGE_ROUTES,0),MATCH(AO$6,LADEN_VOYAGE_SHIPS,0)))),0)</f>
        <v>4822418.3061849596</v>
      </c>
      <c r="AQ85" s="118">
        <f>-(AP85)*PORTS!$I$6</f>
        <v>-120560.457654624</v>
      </c>
      <c r="AR85" s="215">
        <f t="shared" si="33"/>
        <v>4701857.8485303354</v>
      </c>
      <c r="AS85" s="202"/>
      <c r="AT85" s="186">
        <f t="shared" si="61"/>
        <v>38749</v>
      </c>
      <c r="AU85" s="232">
        <f>+AR85*(VLOOKUP(AT85,CURVECALC!$C$6:$J$312,4,0)+AV$5)</f>
        <v>15671292.209151609</v>
      </c>
      <c r="AV85" s="208">
        <f>-AN85*INDEX(ship_curves,MATCH(AT85,'SHIP CURVES'!$A$9:$A$316,0),MATCH(CONCATENATE(AX$4,AX$5,AX$6,AX$7),'SHIP CURVES'!$A$9:$AZ$9,0))</f>
        <v>-1597445.4978562989</v>
      </c>
      <c r="AW85" s="209">
        <f>-AP85*INDEX(port_processing_fee,MATCH(AT85,PORTS!$H$626:$H$933,0),MATCH(AX$5,PORTS!$H$626:$Z$626,0))</f>
        <v>-136972.14518438943</v>
      </c>
      <c r="AX85" s="405">
        <f>(((VLOOKUP(AT85,curvecalc,4,0))*IF(AN85=0,0,AR85/AN85)-INDEX(ship_curves,MATCH(AT85,'SHIP CURVES'!$A$9:$A$316,0),MATCH(CONCATENATE(AX$4,AX$5,AX$6,AX$7),'SHIP CURVES'!$A$9:$Z$9,0))-INDEX(terminal_curves,MATCH(AT85,'TERMINAL CURVES'!$A$4:$A$313,0),MATCH(AX$5,'TERMINAL CURVES'!$A$4:$N$4,0))*IF(AN85=0,0,AP85/AN85))-(AV$8)*((AV$7-$N$5)-(INDEX(ship_curves,MATCH(AT85,'SHIP CURVES'!$A$9:$A$316,0),MATCH(CONCATENATE(AX$4,AX$5,AX$6,AX$7),'SHIP CURVES'!$A$9:$Z$9,0))-INDEX(ship_curves,MATCH(AT85,'SHIP CURVES'!$A$9:$A$316,0),MATCH(CONCATENATE(AX$4,AV$6,AX$6,AX$7),'SHIP CURVES'!$A$9:$Z$9,0)))-(INDEX(terminal_curves,MATCH(AT85,'TERMINAL CURVES'!$A$4:$A$313,0),MATCH(AX$5,'TERMINAL CURVES'!$A$4:$N$4,0))-INDEX(terminal_curves,MATCH(AT85,'TERMINAL CURVES'!$A$4:$A$313,0),MATCH(AV$6,'TERMINAL CURVES'!$A$4:$N$4,0)))*IF(AN85=0,0,AP85/AN85)))*-AN85</f>
        <v>-12869103.471334176</v>
      </c>
      <c r="AY85" s="343">
        <f t="shared" si="52"/>
        <v>-14603521.114374865</v>
      </c>
      <c r="AZ85" s="338">
        <f>(-AP85/((HLOOKUP(AX$5,port_specs,2,0)/(365.25))*(AT86-AT85)))*(INDEX(fixed_capacity_charge,MATCH(AT85,PORTS!$H$11:$H$317,0),MATCH(AX$5,PORTS!$H$11:$N$11,0))+INDEX(variable_om_charge,MATCH(AT85,PORTS!$H$318:$H$625,0),MATCH(AX$5,PORTS!$H$318:$N$318,0)))</f>
        <v>-973733.93780613691</v>
      </c>
      <c r="BA85" s="232">
        <f t="shared" si="53"/>
        <v>-15577255.052181002</v>
      </c>
      <c r="BB85" s="241">
        <f t="shared" si="54"/>
        <v>94037.156970607117</v>
      </c>
      <c r="BC85" s="408"/>
      <c r="BD85" s="338">
        <f>+PORTS!I79+PORTS!I387</f>
        <v>973733.93780613691</v>
      </c>
    </row>
    <row r="86" spans="1:56" x14ac:dyDescent="0.2">
      <c r="A86" s="186">
        <f t="shared" si="55"/>
        <v>38777</v>
      </c>
      <c r="B86" s="215">
        <f>+IF(AND($A86&gt;=$C$8,$A86&lt;=$C$9),1,0)*PORTS!$I$5/(365.25)*(A87-A86)</f>
        <v>5339105.9818476336</v>
      </c>
      <c r="C86" s="351">
        <f t="shared" si="34"/>
        <v>0</v>
      </c>
      <c r="D86">
        <f t="shared" si="35"/>
        <v>2006</v>
      </c>
      <c r="E86" s="186">
        <f t="shared" si="56"/>
        <v>38777</v>
      </c>
      <c r="F86" s="215">
        <f t="shared" si="36"/>
        <v>0</v>
      </c>
      <c r="G86" s="191">
        <f t="shared" si="37"/>
        <v>0</v>
      </c>
      <c r="H86" s="218">
        <f t="shared" si="38"/>
        <v>0</v>
      </c>
      <c r="I86" s="118">
        <f t="shared" si="39"/>
        <v>0</v>
      </c>
      <c r="J86" s="215">
        <f t="shared" si="40"/>
        <v>0</v>
      </c>
      <c r="K86" s="202"/>
      <c r="L86" s="186">
        <f t="shared" si="57"/>
        <v>38777</v>
      </c>
      <c r="M86" s="400">
        <f>+J86*(VLOOKUP(L86,CURVECALC!$C$6:$J$312,4,0)+N$5)</f>
        <v>0</v>
      </c>
      <c r="N86" s="208">
        <f>-F86*INDEX(ship_curves,MATCH(L86,'SHIP CURVES'!$A$9:$A$316,0),MATCH(CONCATENATE(P$4,P$5,P$6,P$7),'SHIP CURVES'!$A$9:$AZ$9,0))</f>
        <v>0</v>
      </c>
      <c r="O86" s="209">
        <f>-H86*INDEX(port_processing_fee,MATCH(L86,PORTS!$H$626:$H$933,0),MATCH(P$5,PORTS!$H$626:$Z$626,0))</f>
        <v>0</v>
      </c>
      <c r="P86" s="405">
        <f>(((VLOOKUP(L86,curvecalc,4,0))*IF(F86=0,0,J86/F86)-INDEX(ship_curves,MATCH(L86,'SHIP CURVES'!$A$9:$A$316,0),MATCH(CONCATENATE(P$4,P$5,P$6,P$7),'SHIP CURVES'!$A$9:$Z$9,0))-INDEX(terminal_curves,MATCH(L86,'TERMINAL CURVES'!$A$4:$A$313,0),MATCH(P$5,'TERMINAL CURVES'!$A$4:$N$4,0))*IF(F86=0,0,H86/F86))-(N$8)*((N$7-$N$5)-(INDEX(ship_curves,MATCH(L86,'SHIP CURVES'!$A$9:$A$316,0),MATCH(CONCATENATE(P$4,P$5,P$6,P$7),'SHIP CURVES'!$A$9:$Z$9,0))-INDEX(ship_curves,MATCH(L86,'SHIP CURVES'!$A$9:$A$316,0),MATCH(CONCATENATE(P$4,N$6,P$6,P$7),'SHIP CURVES'!$A$9:$Z$9,0)))-(INDEX(terminal_curves,MATCH(L86,'TERMINAL CURVES'!$A$4:$A$313,0),MATCH(P$5,'TERMINAL CURVES'!$A$4:$N$4,0))-INDEX(terminal_curves,MATCH(L86,'TERMINAL CURVES'!$A$4:$A$313,0),MATCH(N$6,'TERMINAL CURVES'!$A$4:$N$4,0)))*IF(F86=0,0,H86/F86)))*-F86</f>
        <v>0</v>
      </c>
      <c r="Q86" s="403">
        <f t="shared" si="41"/>
        <v>0</v>
      </c>
      <c r="R86" s="338">
        <f>(-H86/((HLOOKUP(P$5,port_specs,2,0)/(365.25))*(L87-L86)))*(INDEX(fixed_capacity_charge,MATCH(L86,PORTS!$H$11:$H$317,0),MATCH(P$5,PORTS!$H$11:$N$11,0))+INDEX(variable_om_charge,MATCH(L86,PORTS!$H$318:$H$625,0),MATCH(P$5,PORTS!$H$318:$N$318,0)))</f>
        <v>0</v>
      </c>
      <c r="S86" s="232">
        <f t="shared" si="42"/>
        <v>0</v>
      </c>
      <c r="T86" s="241">
        <f t="shared" si="43"/>
        <v>0</v>
      </c>
      <c r="V86" s="186">
        <f t="shared" si="58"/>
        <v>38777</v>
      </c>
      <c r="W86" s="215">
        <f t="shared" si="44"/>
        <v>0</v>
      </c>
      <c r="X86" s="191">
        <f t="shared" si="45"/>
        <v>0</v>
      </c>
      <c r="Y86" s="218">
        <f>+IF(AND(X$8&lt;=V86,X$9&gt;=V86),+MIN($B86-SUMIF($H$17:X$17,Y$17,$H86:X86),((INDEX(ROUTE_PER_DAY_BY_SHIP,MATCH(CONCATENATE(X$4,X$5,X$7),ROUTE_PER_DAY_ROUTES,0),MATCH(X$6,ROUTE_PER_DAY_SHIPS,0))*(V87-V86))-(INDEX(ROUTE_PER_DAY_BY_SHIP,MATCH(CONCATENATE(X$4,X$5,X$7),ROUTE_PER_DAY_ROUTES,0),MATCH(X$6,ROUTE_PER_DAY_SHIPS,0))*(V87-V86))*HLOOKUP(X$6,SHIPS,7,0)*INDEX(LADEN_VOYAGE_DAYS,MATCH(CONCATENATE(X$4,X$5,X$7),LADEN_VOYAGE_ROUTES,0),MATCH(X$6,LADEN_VOYAGE_SHIPS,0)))),0)</f>
        <v>0</v>
      </c>
      <c r="Z86" s="118">
        <f t="shared" si="46"/>
        <v>0</v>
      </c>
      <c r="AA86" s="215">
        <f t="shared" si="32"/>
        <v>0</v>
      </c>
      <c r="AB86" s="202"/>
      <c r="AC86" s="186">
        <f t="shared" si="59"/>
        <v>38777</v>
      </c>
      <c r="AD86" s="232">
        <f>+AA86*(VLOOKUP(AC86,CURVECALC!$C$6:$J$312,4,0)+AE$5)</f>
        <v>0</v>
      </c>
      <c r="AE86" s="208">
        <f>-W86*INDEX(ship_curves,MATCH(AC86,'SHIP CURVES'!$A$9:$A$316,0),MATCH(CONCATENATE(AG$4,AG$5,AG$6,AG$7),'SHIP CURVES'!$A$9:$AZ$9,0))</f>
        <v>0</v>
      </c>
      <c r="AF86" s="209">
        <f>-Y86*INDEX(port_processing_fee,MATCH(AC86,PORTS!$H$626:$H$933,0),MATCH(AG$5,PORTS!$H$626:$Z$626,0))</f>
        <v>0</v>
      </c>
      <c r="AG86" s="405">
        <f>(((VLOOKUP(AC86,curvecalc,4,0))*IF(W86=0,0,AA86/W86)-INDEX(ship_curves,MATCH(AC86,'SHIP CURVES'!$A$9:$A$316,0),MATCH(CONCATENATE(AG$4,AG$5,AG$6,AG$7),'SHIP CURVES'!$A$9:$Z$9,0))-INDEX(terminal_curves,MATCH(AC86,'TERMINAL CURVES'!$A$4:$A$313,0),MATCH(AG$5,'TERMINAL CURVES'!$A$4:$N$4,0))*IF(W86=0,0,Y86/W86))-(AE$8)*((AE$7-$N$5)-(INDEX(ship_curves,MATCH(AC86,'SHIP CURVES'!$A$9:$A$316,0),MATCH(CONCATENATE(AG$4,AG$5,AG$6,AG$7),'SHIP CURVES'!$A$9:$Z$9,0))-INDEX(ship_curves,MATCH(AC86,'SHIP CURVES'!$A$9:$A$316,0),MATCH(CONCATENATE(AG$4,AE$6,AG$6,AG$7),'SHIP CURVES'!$A$9:$Z$9,0)))-(INDEX(terminal_curves,MATCH(AC86,'TERMINAL CURVES'!$A$4:$A$313,0),MATCH(AG$5,'TERMINAL CURVES'!$A$4:$N$4,0))-INDEX(terminal_curves,MATCH(AC86,'TERMINAL CURVES'!$A$4:$A$313,0),MATCH(AE$6,'TERMINAL CURVES'!$A$4:$N$4,0)))*IF(W86=0,0,Y86/W86)))*-W86</f>
        <v>0</v>
      </c>
      <c r="AH86" s="343">
        <f t="shared" si="47"/>
        <v>0</v>
      </c>
      <c r="AI86" s="338">
        <f>(-Y86/((HLOOKUP(AG$5,port_specs,2,0)/(365.25))*(AC87-AC86)))*(INDEX(fixed_capacity_charge,MATCH(AC86,PORTS!$H$11:$H$317,0),MATCH(AG$5,PORTS!$H$11:$N$11,0))+INDEX(variable_om_charge,MATCH(AC86,PORTS!$H$318:$H$625,0),MATCH(AG$5,PORTS!$H$318:$N$318,0)))</f>
        <v>0</v>
      </c>
      <c r="AJ86" s="232">
        <f t="shared" si="48"/>
        <v>0</v>
      </c>
      <c r="AK86" s="241">
        <f t="shared" si="49"/>
        <v>0</v>
      </c>
      <c r="AM86" s="186">
        <f t="shared" si="60"/>
        <v>38777</v>
      </c>
      <c r="AN86" s="215">
        <f t="shared" si="50"/>
        <v>5395761.4773599124</v>
      </c>
      <c r="AO86" s="191">
        <f t="shared" si="51"/>
        <v>-56655.495512278751</v>
      </c>
      <c r="AP86" s="218">
        <f>+IF(AND(AO$8&lt;=AM86,AO$9&gt;=AM86),+MIN($B86-SUMIF($H$17:AO$17,AP$17,$H86:AO86),((INDEX(ROUTE_PER_DAY_BY_SHIP,MATCH(CONCATENATE(AO$4,AO$5,AO$7),ROUTE_PER_DAY_ROUTES,0),MATCH(AO$6,ROUTE_PER_DAY_SHIPS,0))*(AM87-AM86))-(INDEX(ROUTE_PER_DAY_BY_SHIP,MATCH(CONCATENATE(AO$4,AO$5,AO$7),ROUTE_PER_DAY_ROUTES,0),MATCH(AO$6,ROUTE_PER_DAY_SHIPS,0))*(AM87-AM86))*HLOOKUP(AO$6,SHIPS,7,0)*INDEX(LADEN_VOYAGE_DAYS,MATCH(CONCATENATE(AO$4,AO$5,AO$7),LADEN_VOYAGE_ROUTES,0),MATCH(AO$6,LADEN_VOYAGE_SHIPS,0)))),0)</f>
        <v>5339105.9818476336</v>
      </c>
      <c r="AQ86" s="118">
        <f>-(AP86)*PORTS!$I$6</f>
        <v>-133477.64954619083</v>
      </c>
      <c r="AR86" s="215">
        <f t="shared" si="33"/>
        <v>5205628.3323014425</v>
      </c>
      <c r="AS86" s="202"/>
      <c r="AT86" s="186">
        <f t="shared" si="61"/>
        <v>38777</v>
      </c>
      <c r="AU86" s="232">
        <f>+AR86*(VLOOKUP(AT86,CURVECALC!$C$6:$J$312,4,0)+AV$5)</f>
        <v>16668421.920029219</v>
      </c>
      <c r="AV86" s="208">
        <f>-AN86*INDEX(ship_curves,MATCH(AT86,'SHIP CURVES'!$A$9:$A$316,0),MATCH(CONCATENATE(AX$4,AX$5,AX$6,AX$7),'SHIP CURVES'!$A$9:$AZ$9,0))</f>
        <v>-1769089.2739716382</v>
      </c>
      <c r="AW86" s="209">
        <f>-AP86*INDEX(port_processing_fee,MATCH(AT86,PORTS!$H$626:$H$933,0),MATCH(AX$5,PORTS!$H$626:$Z$626,0))</f>
        <v>-151805.6985561066</v>
      </c>
      <c r="AX86" s="405">
        <f>(((VLOOKUP(AT86,curvecalc,4,0))*IF(AN86=0,0,AR86/AN86)-INDEX(ship_curves,MATCH(AT86,'SHIP CURVES'!$A$9:$A$316,0),MATCH(CONCATENATE(AX$4,AX$5,AX$6,AX$7),'SHIP CURVES'!$A$9:$Z$9,0))-INDEX(terminal_curves,MATCH(AT86,'TERMINAL CURVES'!$A$4:$A$313,0),MATCH(AX$5,'TERMINAL CURVES'!$A$4:$N$4,0))*IF(AN86=0,0,AP86/AN86))-(AV$8)*((AV$7-$N$5)-(INDEX(ship_curves,MATCH(AT86,'SHIP CURVES'!$A$9:$A$316,0),MATCH(CONCATENATE(AX$4,AX$5,AX$6,AX$7),'SHIP CURVES'!$A$9:$Z$9,0))-INDEX(ship_curves,MATCH(AT86,'SHIP CURVES'!$A$9:$A$316,0),MATCH(CONCATENATE(AX$4,AV$6,AX$6,AX$7),'SHIP CURVES'!$A$9:$Z$9,0)))-(INDEX(terminal_curves,MATCH(AT86,'TERMINAL CURVES'!$A$4:$A$313,0),MATCH(AX$5,'TERMINAL CURVES'!$A$4:$N$4,0))-INDEX(terminal_curves,MATCH(AT86,'TERMINAL CURVES'!$A$4:$A$313,0),MATCH(AV$6,'TERMINAL CURVES'!$A$4:$N$4,0)))*IF(AN86=0,0,AP86/AN86)))*-AN86</f>
        <v>-13669171.539542122</v>
      </c>
      <c r="AY86" s="343">
        <f t="shared" si="52"/>
        <v>-15590066.512069866</v>
      </c>
      <c r="AZ86" s="338">
        <f>(-AP86/((HLOOKUP(AX$5,port_specs,2,0)/(365.25))*(AT87-AT86)))*(INDEX(fixed_capacity_charge,MATCH(AT86,PORTS!$H$11:$H$317,0),MATCH(AX$5,PORTS!$H$11:$N$11,0))+INDEX(variable_om_charge,MATCH(AT86,PORTS!$H$318:$H$625,0),MATCH(AX$5,PORTS!$H$318:$N$318,0)))</f>
        <v>-974242.84131332207</v>
      </c>
      <c r="BA86" s="232">
        <f t="shared" si="53"/>
        <v>-16564309.353383187</v>
      </c>
      <c r="BB86" s="241">
        <f t="shared" si="54"/>
        <v>104112.56664603204</v>
      </c>
      <c r="BC86" s="408"/>
      <c r="BD86" s="338">
        <f>+PORTS!I80+PORTS!I388</f>
        <v>974242.84131332207</v>
      </c>
    </row>
    <row r="87" spans="1:56" x14ac:dyDescent="0.2">
      <c r="A87" s="186">
        <f t="shared" si="55"/>
        <v>38808</v>
      </c>
      <c r="B87" s="215">
        <f>+IF(AND($A87&gt;=$C$8,$A87&lt;=$C$9),1,0)*PORTS!$I$5/(365.25)*(A88-A87)</f>
        <v>5166876.756626742</v>
      </c>
      <c r="C87" s="351">
        <f t="shared" si="34"/>
        <v>0</v>
      </c>
      <c r="D87">
        <f t="shared" si="35"/>
        <v>2006</v>
      </c>
      <c r="E87" s="186">
        <f t="shared" si="56"/>
        <v>38808</v>
      </c>
      <c r="F87" s="215">
        <f t="shared" si="36"/>
        <v>0</v>
      </c>
      <c r="G87" s="191">
        <f t="shared" si="37"/>
        <v>0</v>
      </c>
      <c r="H87" s="218">
        <f t="shared" si="38"/>
        <v>0</v>
      </c>
      <c r="I87" s="118">
        <f t="shared" si="39"/>
        <v>0</v>
      </c>
      <c r="J87" s="215">
        <f t="shared" si="40"/>
        <v>0</v>
      </c>
      <c r="K87" s="202"/>
      <c r="L87" s="186">
        <f t="shared" si="57"/>
        <v>38808</v>
      </c>
      <c r="M87" s="400">
        <f>+J87*(VLOOKUP(L87,CURVECALC!$C$6:$J$312,4,0)+N$5)</f>
        <v>0</v>
      </c>
      <c r="N87" s="208">
        <f>-F87*INDEX(ship_curves,MATCH(L87,'SHIP CURVES'!$A$9:$A$316,0),MATCH(CONCATENATE(P$4,P$5,P$6,P$7),'SHIP CURVES'!$A$9:$AZ$9,0))</f>
        <v>0</v>
      </c>
      <c r="O87" s="209">
        <f>-H87*INDEX(port_processing_fee,MATCH(L87,PORTS!$H$626:$H$933,0),MATCH(P$5,PORTS!$H$626:$Z$626,0))</f>
        <v>0</v>
      </c>
      <c r="P87" s="405">
        <f>(((VLOOKUP(L87,curvecalc,4,0))*IF(F87=0,0,J87/F87)-INDEX(ship_curves,MATCH(L87,'SHIP CURVES'!$A$9:$A$316,0),MATCH(CONCATENATE(P$4,P$5,P$6,P$7),'SHIP CURVES'!$A$9:$Z$9,0))-INDEX(terminal_curves,MATCH(L87,'TERMINAL CURVES'!$A$4:$A$313,0),MATCH(P$5,'TERMINAL CURVES'!$A$4:$N$4,0))*IF(F87=0,0,H87/F87))-(N$8)*((N$7-$N$5)-(INDEX(ship_curves,MATCH(L87,'SHIP CURVES'!$A$9:$A$316,0),MATCH(CONCATENATE(P$4,P$5,P$6,P$7),'SHIP CURVES'!$A$9:$Z$9,0))-INDEX(ship_curves,MATCH(L87,'SHIP CURVES'!$A$9:$A$316,0),MATCH(CONCATENATE(P$4,N$6,P$6,P$7),'SHIP CURVES'!$A$9:$Z$9,0)))-(INDEX(terminal_curves,MATCH(L87,'TERMINAL CURVES'!$A$4:$A$313,0),MATCH(P$5,'TERMINAL CURVES'!$A$4:$N$4,0))-INDEX(terminal_curves,MATCH(L87,'TERMINAL CURVES'!$A$4:$A$313,0),MATCH(N$6,'TERMINAL CURVES'!$A$4:$N$4,0)))*IF(F87=0,0,H87/F87)))*-F87</f>
        <v>0</v>
      </c>
      <c r="Q87" s="403">
        <f t="shared" si="41"/>
        <v>0</v>
      </c>
      <c r="R87" s="338">
        <f>(-H87/((HLOOKUP(P$5,port_specs,2,0)/(365.25))*(L88-L87)))*(INDEX(fixed_capacity_charge,MATCH(L87,PORTS!$H$11:$H$317,0),MATCH(P$5,PORTS!$H$11:$N$11,0))+INDEX(variable_om_charge,MATCH(L87,PORTS!$H$318:$H$625,0),MATCH(P$5,PORTS!$H$318:$N$318,0)))</f>
        <v>0</v>
      </c>
      <c r="S87" s="232">
        <f t="shared" si="42"/>
        <v>0</v>
      </c>
      <c r="T87" s="241">
        <f t="shared" si="43"/>
        <v>0</v>
      </c>
      <c r="V87" s="186">
        <f t="shared" si="58"/>
        <v>38808</v>
      </c>
      <c r="W87" s="215">
        <f t="shared" si="44"/>
        <v>0</v>
      </c>
      <c r="X87" s="191">
        <f t="shared" si="45"/>
        <v>0</v>
      </c>
      <c r="Y87" s="218">
        <f>+IF(AND(X$8&lt;=V87,X$9&gt;=V87),+MIN($B87-SUMIF($H$17:X$17,Y$17,$H87:X87),((INDEX(ROUTE_PER_DAY_BY_SHIP,MATCH(CONCATENATE(X$4,X$5,X$7),ROUTE_PER_DAY_ROUTES,0),MATCH(X$6,ROUTE_PER_DAY_SHIPS,0))*(V88-V87))-(INDEX(ROUTE_PER_DAY_BY_SHIP,MATCH(CONCATENATE(X$4,X$5,X$7),ROUTE_PER_DAY_ROUTES,0),MATCH(X$6,ROUTE_PER_DAY_SHIPS,0))*(V88-V87))*HLOOKUP(X$6,SHIPS,7,0)*INDEX(LADEN_VOYAGE_DAYS,MATCH(CONCATENATE(X$4,X$5,X$7),LADEN_VOYAGE_ROUTES,0),MATCH(X$6,LADEN_VOYAGE_SHIPS,0)))),0)</f>
        <v>0</v>
      </c>
      <c r="Z87" s="118">
        <f t="shared" si="46"/>
        <v>0</v>
      </c>
      <c r="AA87" s="215">
        <f t="shared" si="32"/>
        <v>0</v>
      </c>
      <c r="AB87" s="202"/>
      <c r="AC87" s="186">
        <f t="shared" si="59"/>
        <v>38808</v>
      </c>
      <c r="AD87" s="232">
        <f>+AA87*(VLOOKUP(AC87,CURVECALC!$C$6:$J$312,4,0)+AE$5)</f>
        <v>0</v>
      </c>
      <c r="AE87" s="208">
        <f>-W87*INDEX(ship_curves,MATCH(AC87,'SHIP CURVES'!$A$9:$A$316,0),MATCH(CONCATENATE(AG$4,AG$5,AG$6,AG$7),'SHIP CURVES'!$A$9:$AZ$9,0))</f>
        <v>0</v>
      </c>
      <c r="AF87" s="209">
        <f>-Y87*INDEX(port_processing_fee,MATCH(AC87,PORTS!$H$626:$H$933,0),MATCH(AG$5,PORTS!$H$626:$Z$626,0))</f>
        <v>0</v>
      </c>
      <c r="AG87" s="405">
        <f>(((VLOOKUP(AC87,curvecalc,4,0))*IF(W87=0,0,AA87/W87)-INDEX(ship_curves,MATCH(AC87,'SHIP CURVES'!$A$9:$A$316,0),MATCH(CONCATENATE(AG$4,AG$5,AG$6,AG$7),'SHIP CURVES'!$A$9:$Z$9,0))-INDEX(terminal_curves,MATCH(AC87,'TERMINAL CURVES'!$A$4:$A$313,0),MATCH(AG$5,'TERMINAL CURVES'!$A$4:$N$4,0))*IF(W87=0,0,Y87/W87))-(AE$8)*((AE$7-$N$5)-(INDEX(ship_curves,MATCH(AC87,'SHIP CURVES'!$A$9:$A$316,0),MATCH(CONCATENATE(AG$4,AG$5,AG$6,AG$7),'SHIP CURVES'!$A$9:$Z$9,0))-INDEX(ship_curves,MATCH(AC87,'SHIP CURVES'!$A$9:$A$316,0),MATCH(CONCATENATE(AG$4,AE$6,AG$6,AG$7),'SHIP CURVES'!$A$9:$Z$9,0)))-(INDEX(terminal_curves,MATCH(AC87,'TERMINAL CURVES'!$A$4:$A$313,0),MATCH(AG$5,'TERMINAL CURVES'!$A$4:$N$4,0))-INDEX(terminal_curves,MATCH(AC87,'TERMINAL CURVES'!$A$4:$A$313,0),MATCH(AE$6,'TERMINAL CURVES'!$A$4:$N$4,0)))*IF(W87=0,0,Y87/W87)))*-W87</f>
        <v>0</v>
      </c>
      <c r="AH87" s="343">
        <f t="shared" si="47"/>
        <v>0</v>
      </c>
      <c r="AI87" s="338">
        <f>(-Y87/((HLOOKUP(AG$5,port_specs,2,0)/(365.25))*(AC88-AC87)))*(INDEX(fixed_capacity_charge,MATCH(AC87,PORTS!$H$11:$H$317,0),MATCH(AG$5,PORTS!$H$11:$N$11,0))+INDEX(variable_om_charge,MATCH(AC87,PORTS!$H$318:$H$625,0),MATCH(AG$5,PORTS!$H$318:$N$318,0)))</f>
        <v>0</v>
      </c>
      <c r="AJ87" s="232">
        <f t="shared" si="48"/>
        <v>0</v>
      </c>
      <c r="AK87" s="241">
        <f t="shared" si="49"/>
        <v>0</v>
      </c>
      <c r="AM87" s="186">
        <f t="shared" si="60"/>
        <v>38808</v>
      </c>
      <c r="AN87" s="215">
        <f t="shared" si="50"/>
        <v>5221704.655509592</v>
      </c>
      <c r="AO87" s="191">
        <f t="shared" si="51"/>
        <v>-54827.898882850073</v>
      </c>
      <c r="AP87" s="218">
        <f>+IF(AND(AO$8&lt;=AM87,AO$9&gt;=AM87),+MIN($B87-SUMIF($H$17:AO$17,AP$17,$H87:AO87),((INDEX(ROUTE_PER_DAY_BY_SHIP,MATCH(CONCATENATE(AO$4,AO$5,AO$7),ROUTE_PER_DAY_ROUTES,0),MATCH(AO$6,ROUTE_PER_DAY_SHIPS,0))*(AM88-AM87))-(INDEX(ROUTE_PER_DAY_BY_SHIP,MATCH(CONCATENATE(AO$4,AO$5,AO$7),ROUTE_PER_DAY_ROUTES,0),MATCH(AO$6,ROUTE_PER_DAY_SHIPS,0))*(AM88-AM87))*HLOOKUP(AO$6,SHIPS,7,0)*INDEX(LADEN_VOYAGE_DAYS,MATCH(CONCATENATE(AO$4,AO$5,AO$7),LADEN_VOYAGE_ROUTES,0),MATCH(AO$6,LADEN_VOYAGE_SHIPS,0)))),0)</f>
        <v>5166876.756626742</v>
      </c>
      <c r="AQ87" s="118">
        <f>-(AP87)*PORTS!$I$6</f>
        <v>-129171.91891566856</v>
      </c>
      <c r="AR87" s="215">
        <f t="shared" si="33"/>
        <v>5037704.8377110735</v>
      </c>
      <c r="AS87" s="202"/>
      <c r="AT87" s="186">
        <f t="shared" si="61"/>
        <v>38808</v>
      </c>
      <c r="AU87" s="232">
        <f>+AR87*(VLOOKUP(AT87,CURVECALC!$C$6:$J$312,4,0)+AV$5)</f>
        <v>15470791.556610707</v>
      </c>
      <c r="AV87" s="208">
        <f>-AN87*INDEX(ship_curves,MATCH(AT87,'SHIP CURVES'!$A$9:$A$316,0),MATCH(CONCATENATE(AX$4,AX$5,AX$6,AX$7),'SHIP CURVES'!$A$9:$AZ$9,0))</f>
        <v>-1712495.9940591564</v>
      </c>
      <c r="AW87" s="209">
        <f>-AP87*INDEX(port_processing_fee,MATCH(AT87,PORTS!$H$626:$H$933,0),MATCH(AX$5,PORTS!$H$626:$Z$626,0))</f>
        <v>-147061.77047622824</v>
      </c>
      <c r="AX87" s="405">
        <f>(((VLOOKUP(AT87,curvecalc,4,0))*IF(AN87=0,0,AR87/AN87)-INDEX(ship_curves,MATCH(AT87,'SHIP CURVES'!$A$9:$A$316,0),MATCH(CONCATENATE(AX$4,AX$5,AX$6,AX$7),'SHIP CURVES'!$A$9:$Z$9,0))-INDEX(terminal_curves,MATCH(AT87,'TERMINAL CURVES'!$A$4:$A$313,0),MATCH(AX$5,'TERMINAL CURVES'!$A$4:$N$4,0))*IF(AN87=0,0,AP87/AN87))-(AV$8)*((AV$7-$N$5)-(INDEX(ship_curves,MATCH(AT87,'SHIP CURVES'!$A$9:$A$316,0),MATCH(CONCATENATE(AX$4,AX$5,AX$6,AX$7),'SHIP CURVES'!$A$9:$Z$9,0))-INDEX(ship_curves,MATCH(AT87,'SHIP CURVES'!$A$9:$A$316,0),MATCH(CONCATENATE(AX$4,AV$6,AX$6,AX$7),'SHIP CURVES'!$A$9:$Z$9,0)))-(INDEX(terminal_curves,MATCH(AT87,'TERMINAL CURVES'!$A$4:$A$313,0),MATCH(AX$5,'TERMINAL CURVES'!$A$4:$N$4,0))-INDEX(terminal_curves,MATCH(AT87,'TERMINAL CURVES'!$A$4:$A$313,0),MATCH(AV$6,'TERMINAL CURVES'!$A$4:$N$4,0)))*IF(AN87=0,0,AP87/AN87)))*-AN87</f>
        <v>-12535727.42039277</v>
      </c>
      <c r="AY87" s="343">
        <f t="shared" si="52"/>
        <v>-14395285.184928155</v>
      </c>
      <c r="AZ87" s="338">
        <f>(-AP87/((HLOOKUP(AX$5,port_specs,2,0)/(365.25))*(AT88-AT87)))*(INDEX(fixed_capacity_charge,MATCH(AT87,PORTS!$H$11:$H$317,0),MATCH(AX$5,PORTS!$H$11:$N$11,0))+INDEX(variable_om_charge,MATCH(AT87,PORTS!$H$318:$H$625,0),MATCH(AX$5,PORTS!$H$318:$N$318,0)))</f>
        <v>-974752.2749283273</v>
      </c>
      <c r="BA87" s="232">
        <f t="shared" si="53"/>
        <v>-15370037.459856482</v>
      </c>
      <c r="BB87" s="241">
        <f t="shared" si="54"/>
        <v>100754.09675422497</v>
      </c>
      <c r="BC87" s="408"/>
      <c r="BD87" s="338">
        <f>+PORTS!I81+PORTS!I389</f>
        <v>974752.2749283273</v>
      </c>
    </row>
    <row r="88" spans="1:56" x14ac:dyDescent="0.2">
      <c r="A88" s="186">
        <f t="shared" si="55"/>
        <v>38838</v>
      </c>
      <c r="B88" s="215">
        <f>+IF(AND($A88&gt;=$C$8,$A88&lt;=$C$9),1,0)*PORTS!$I$5/(365.25)*(A89-A88)</f>
        <v>5339105.9818476336</v>
      </c>
      <c r="C88" s="351">
        <f t="shared" si="34"/>
        <v>0</v>
      </c>
      <c r="D88">
        <f t="shared" si="35"/>
        <v>2006</v>
      </c>
      <c r="E88" s="186">
        <f t="shared" si="56"/>
        <v>38838</v>
      </c>
      <c r="F88" s="215">
        <f t="shared" si="36"/>
        <v>0</v>
      </c>
      <c r="G88" s="191">
        <f t="shared" si="37"/>
        <v>0</v>
      </c>
      <c r="H88" s="218">
        <f t="shared" si="38"/>
        <v>0</v>
      </c>
      <c r="I88" s="118">
        <f t="shared" si="39"/>
        <v>0</v>
      </c>
      <c r="J88" s="215">
        <f t="shared" si="40"/>
        <v>0</v>
      </c>
      <c r="K88" s="202"/>
      <c r="L88" s="186">
        <f t="shared" si="57"/>
        <v>38838</v>
      </c>
      <c r="M88" s="400">
        <f>+J88*(VLOOKUP(L88,CURVECALC!$C$6:$J$312,4,0)+N$5)</f>
        <v>0</v>
      </c>
      <c r="N88" s="208">
        <f>-F88*INDEX(ship_curves,MATCH(L88,'SHIP CURVES'!$A$9:$A$316,0),MATCH(CONCATENATE(P$4,P$5,P$6,P$7),'SHIP CURVES'!$A$9:$AZ$9,0))</f>
        <v>0</v>
      </c>
      <c r="O88" s="209">
        <f>-H88*INDEX(port_processing_fee,MATCH(L88,PORTS!$H$626:$H$933,0),MATCH(P$5,PORTS!$H$626:$Z$626,0))</f>
        <v>0</v>
      </c>
      <c r="P88" s="405">
        <f>(((VLOOKUP(L88,curvecalc,4,0))*IF(F88=0,0,J88/F88)-INDEX(ship_curves,MATCH(L88,'SHIP CURVES'!$A$9:$A$316,0),MATCH(CONCATENATE(P$4,P$5,P$6,P$7),'SHIP CURVES'!$A$9:$Z$9,0))-INDEX(terminal_curves,MATCH(L88,'TERMINAL CURVES'!$A$4:$A$313,0),MATCH(P$5,'TERMINAL CURVES'!$A$4:$N$4,0))*IF(F88=0,0,H88/F88))-(N$8)*((N$7-$N$5)-(INDEX(ship_curves,MATCH(L88,'SHIP CURVES'!$A$9:$A$316,0),MATCH(CONCATENATE(P$4,P$5,P$6,P$7),'SHIP CURVES'!$A$9:$Z$9,0))-INDEX(ship_curves,MATCH(L88,'SHIP CURVES'!$A$9:$A$316,0),MATCH(CONCATENATE(P$4,N$6,P$6,P$7),'SHIP CURVES'!$A$9:$Z$9,0)))-(INDEX(terminal_curves,MATCH(L88,'TERMINAL CURVES'!$A$4:$A$313,0),MATCH(P$5,'TERMINAL CURVES'!$A$4:$N$4,0))-INDEX(terminal_curves,MATCH(L88,'TERMINAL CURVES'!$A$4:$A$313,0),MATCH(N$6,'TERMINAL CURVES'!$A$4:$N$4,0)))*IF(F88=0,0,H88/F88)))*-F88</f>
        <v>0</v>
      </c>
      <c r="Q88" s="403">
        <f t="shared" si="41"/>
        <v>0</v>
      </c>
      <c r="R88" s="338">
        <f>(-H88/((HLOOKUP(P$5,port_specs,2,0)/(365.25))*(L89-L88)))*(INDEX(fixed_capacity_charge,MATCH(L88,PORTS!$H$11:$H$317,0),MATCH(P$5,PORTS!$H$11:$N$11,0))+INDEX(variable_om_charge,MATCH(L88,PORTS!$H$318:$H$625,0),MATCH(P$5,PORTS!$H$318:$N$318,0)))</f>
        <v>0</v>
      </c>
      <c r="S88" s="232">
        <f t="shared" si="42"/>
        <v>0</v>
      </c>
      <c r="T88" s="241">
        <f t="shared" si="43"/>
        <v>0</v>
      </c>
      <c r="V88" s="186">
        <f t="shared" si="58"/>
        <v>38838</v>
      </c>
      <c r="W88" s="215">
        <f t="shared" si="44"/>
        <v>0</v>
      </c>
      <c r="X88" s="191">
        <f t="shared" si="45"/>
        <v>0</v>
      </c>
      <c r="Y88" s="218">
        <f>+IF(AND(X$8&lt;=V88,X$9&gt;=V88),+MIN($B88-SUMIF($H$17:X$17,Y$17,$H88:X88),((INDEX(ROUTE_PER_DAY_BY_SHIP,MATCH(CONCATENATE(X$4,X$5,X$7),ROUTE_PER_DAY_ROUTES,0),MATCH(X$6,ROUTE_PER_DAY_SHIPS,0))*(V89-V88))-(INDEX(ROUTE_PER_DAY_BY_SHIP,MATCH(CONCATENATE(X$4,X$5,X$7),ROUTE_PER_DAY_ROUTES,0),MATCH(X$6,ROUTE_PER_DAY_SHIPS,0))*(V89-V88))*HLOOKUP(X$6,SHIPS,7,0)*INDEX(LADEN_VOYAGE_DAYS,MATCH(CONCATENATE(X$4,X$5,X$7),LADEN_VOYAGE_ROUTES,0),MATCH(X$6,LADEN_VOYAGE_SHIPS,0)))),0)</f>
        <v>0</v>
      </c>
      <c r="Z88" s="118">
        <f t="shared" si="46"/>
        <v>0</v>
      </c>
      <c r="AA88" s="215">
        <f t="shared" si="32"/>
        <v>0</v>
      </c>
      <c r="AB88" s="202"/>
      <c r="AC88" s="186">
        <f t="shared" si="59"/>
        <v>38838</v>
      </c>
      <c r="AD88" s="232">
        <f>+AA88*(VLOOKUP(AC88,CURVECALC!$C$6:$J$312,4,0)+AE$5)</f>
        <v>0</v>
      </c>
      <c r="AE88" s="208">
        <f>-W88*INDEX(ship_curves,MATCH(AC88,'SHIP CURVES'!$A$9:$A$316,0),MATCH(CONCATENATE(AG$4,AG$5,AG$6,AG$7),'SHIP CURVES'!$A$9:$AZ$9,0))</f>
        <v>0</v>
      </c>
      <c r="AF88" s="209">
        <f>-Y88*INDEX(port_processing_fee,MATCH(AC88,PORTS!$H$626:$H$933,0),MATCH(AG$5,PORTS!$H$626:$Z$626,0))</f>
        <v>0</v>
      </c>
      <c r="AG88" s="405">
        <f>(((VLOOKUP(AC88,curvecalc,4,0))*IF(W88=0,0,AA88/W88)-INDEX(ship_curves,MATCH(AC88,'SHIP CURVES'!$A$9:$A$316,0),MATCH(CONCATENATE(AG$4,AG$5,AG$6,AG$7),'SHIP CURVES'!$A$9:$Z$9,0))-INDEX(terminal_curves,MATCH(AC88,'TERMINAL CURVES'!$A$4:$A$313,0),MATCH(AG$5,'TERMINAL CURVES'!$A$4:$N$4,0))*IF(W88=0,0,Y88/W88))-(AE$8)*((AE$7-$N$5)-(INDEX(ship_curves,MATCH(AC88,'SHIP CURVES'!$A$9:$A$316,0),MATCH(CONCATENATE(AG$4,AG$5,AG$6,AG$7),'SHIP CURVES'!$A$9:$Z$9,0))-INDEX(ship_curves,MATCH(AC88,'SHIP CURVES'!$A$9:$A$316,0),MATCH(CONCATENATE(AG$4,AE$6,AG$6,AG$7),'SHIP CURVES'!$A$9:$Z$9,0)))-(INDEX(terminal_curves,MATCH(AC88,'TERMINAL CURVES'!$A$4:$A$313,0),MATCH(AG$5,'TERMINAL CURVES'!$A$4:$N$4,0))-INDEX(terminal_curves,MATCH(AC88,'TERMINAL CURVES'!$A$4:$A$313,0),MATCH(AE$6,'TERMINAL CURVES'!$A$4:$N$4,0)))*IF(W88=0,0,Y88/W88)))*-W88</f>
        <v>0</v>
      </c>
      <c r="AH88" s="343">
        <f t="shared" si="47"/>
        <v>0</v>
      </c>
      <c r="AI88" s="338">
        <f>(-Y88/((HLOOKUP(AG$5,port_specs,2,0)/(365.25))*(AC89-AC88)))*(INDEX(fixed_capacity_charge,MATCH(AC88,PORTS!$H$11:$H$317,0),MATCH(AG$5,PORTS!$H$11:$N$11,0))+INDEX(variable_om_charge,MATCH(AC88,PORTS!$H$318:$H$625,0),MATCH(AG$5,PORTS!$H$318:$N$318,0)))</f>
        <v>0</v>
      </c>
      <c r="AJ88" s="232">
        <f t="shared" si="48"/>
        <v>0</v>
      </c>
      <c r="AK88" s="241">
        <f t="shared" si="49"/>
        <v>0</v>
      </c>
      <c r="AM88" s="186">
        <f t="shared" si="60"/>
        <v>38838</v>
      </c>
      <c r="AN88" s="215">
        <f t="shared" si="50"/>
        <v>5395761.4773599124</v>
      </c>
      <c r="AO88" s="191">
        <f t="shared" si="51"/>
        <v>-56655.495512278751</v>
      </c>
      <c r="AP88" s="218">
        <f>+IF(AND(AO$8&lt;=AM88,AO$9&gt;=AM88),+MIN($B88-SUMIF($H$17:AO$17,AP$17,$H88:AO88),((INDEX(ROUTE_PER_DAY_BY_SHIP,MATCH(CONCATENATE(AO$4,AO$5,AO$7),ROUTE_PER_DAY_ROUTES,0),MATCH(AO$6,ROUTE_PER_DAY_SHIPS,0))*(AM89-AM88))-(INDEX(ROUTE_PER_DAY_BY_SHIP,MATCH(CONCATENATE(AO$4,AO$5,AO$7),ROUTE_PER_DAY_ROUTES,0),MATCH(AO$6,ROUTE_PER_DAY_SHIPS,0))*(AM89-AM88))*HLOOKUP(AO$6,SHIPS,7,0)*INDEX(LADEN_VOYAGE_DAYS,MATCH(CONCATENATE(AO$4,AO$5,AO$7),LADEN_VOYAGE_ROUTES,0),MATCH(AO$6,LADEN_VOYAGE_SHIPS,0)))),0)</f>
        <v>5339105.9818476336</v>
      </c>
      <c r="AQ88" s="118">
        <f>-(AP88)*PORTS!$I$6</f>
        <v>-133477.64954619083</v>
      </c>
      <c r="AR88" s="215">
        <f t="shared" si="33"/>
        <v>5205628.3323014425</v>
      </c>
      <c r="AS88" s="202"/>
      <c r="AT88" s="186">
        <f t="shared" si="61"/>
        <v>38838</v>
      </c>
      <c r="AU88" s="232">
        <f>+AR88*(VLOOKUP(AT88,CURVECALC!$C$6:$J$312,4,0)+AV$5)</f>
        <v>15924017.068510113</v>
      </c>
      <c r="AV88" s="208">
        <f>-AN88*INDEX(ship_curves,MATCH(AT88,'SHIP CURVES'!$A$9:$A$316,0),MATCH(CONCATENATE(AX$4,AX$5,AX$6,AX$7),'SHIP CURVES'!$A$9:$AZ$9,0))</f>
        <v>-1770070.1344170554</v>
      </c>
      <c r="AW88" s="209">
        <f>-AP88*INDEX(port_processing_fee,MATCH(AT88,PORTS!$H$626:$H$933,0),MATCH(AX$5,PORTS!$H$626:$Z$626,0))</f>
        <v>-152122.12514782348</v>
      </c>
      <c r="AX88" s="405">
        <f>(((VLOOKUP(AT88,curvecalc,4,0))*IF(AN88=0,0,AR88/AN88)-INDEX(ship_curves,MATCH(AT88,'SHIP CURVES'!$A$9:$A$316,0),MATCH(CONCATENATE(AX$4,AX$5,AX$6,AX$7),'SHIP CURVES'!$A$9:$Z$9,0))-INDEX(terminal_curves,MATCH(AT88,'TERMINAL CURVES'!$A$4:$A$313,0),MATCH(AX$5,'TERMINAL CURVES'!$A$4:$N$4,0))*IF(AN88=0,0,AP88/AN88))-(AV$8)*((AV$7-$N$5)-(INDEX(ship_curves,MATCH(AT88,'SHIP CURVES'!$A$9:$A$316,0),MATCH(CONCATENATE(AX$4,AX$5,AX$6,AX$7),'SHIP CURVES'!$A$9:$Z$9,0))-INDEX(ship_curves,MATCH(AT88,'SHIP CURVES'!$A$9:$A$316,0),MATCH(CONCATENATE(AX$4,AV$6,AX$6,AX$7),'SHIP CURVES'!$A$9:$Z$9,0)))-(INDEX(terminal_curves,MATCH(AT88,'TERMINAL CURVES'!$A$4:$A$313,0),MATCH(AX$5,'TERMINAL CURVES'!$A$4:$N$4,0))-INDEX(terminal_curves,MATCH(AT88,'TERMINAL CURVES'!$A$4:$A$313,0),MATCH(AV$6,'TERMINAL CURVES'!$A$4:$N$4,0)))*IF(AN88=0,0,AP88/AN88)))*-AN88</f>
        <v>-12922450.003095856</v>
      </c>
      <c r="AY88" s="343">
        <f t="shared" si="52"/>
        <v>-14844642.262660734</v>
      </c>
      <c r="AZ88" s="338">
        <f>(-AP88/((HLOOKUP(AX$5,port_specs,2,0)/(365.25))*(AT89-AT88)))*(INDEX(fixed_capacity_charge,MATCH(AT88,PORTS!$H$11:$H$317,0),MATCH(AX$5,PORTS!$H$11:$N$11,0))+INDEX(variable_om_charge,MATCH(AT88,PORTS!$H$318:$H$625,0),MATCH(AX$5,PORTS!$H$318:$N$318,0)))</f>
        <v>-975262.23920334806</v>
      </c>
      <c r="BA88" s="232">
        <f t="shared" si="53"/>
        <v>-15819904.501864083</v>
      </c>
      <c r="BB88" s="241">
        <f t="shared" si="54"/>
        <v>104112.56664603017</v>
      </c>
      <c r="BC88" s="408"/>
      <c r="BD88" s="338">
        <f>+PORTS!I82+PORTS!I390</f>
        <v>975262.23920334806</v>
      </c>
    </row>
    <row r="89" spans="1:56" x14ac:dyDescent="0.2">
      <c r="A89" s="186">
        <f t="shared" si="55"/>
        <v>38869</v>
      </c>
      <c r="B89" s="215">
        <f>+IF(AND($A89&gt;=$C$8,$A89&lt;=$C$9),1,0)*PORTS!$I$5/(365.25)*(A90-A89)</f>
        <v>5166876.756626742</v>
      </c>
      <c r="C89" s="351">
        <f t="shared" si="34"/>
        <v>0</v>
      </c>
      <c r="D89">
        <f t="shared" si="35"/>
        <v>2006</v>
      </c>
      <c r="E89" s="186">
        <f t="shared" si="56"/>
        <v>38869</v>
      </c>
      <c r="F89" s="215">
        <f t="shared" si="36"/>
        <v>0</v>
      </c>
      <c r="G89" s="191">
        <f t="shared" si="37"/>
        <v>0</v>
      </c>
      <c r="H89" s="218">
        <f t="shared" si="38"/>
        <v>0</v>
      </c>
      <c r="I89" s="118">
        <f t="shared" si="39"/>
        <v>0</v>
      </c>
      <c r="J89" s="215">
        <f t="shared" si="40"/>
        <v>0</v>
      </c>
      <c r="K89" s="202"/>
      <c r="L89" s="186">
        <f t="shared" si="57"/>
        <v>38869</v>
      </c>
      <c r="M89" s="400">
        <f>+J89*(VLOOKUP(L89,CURVECALC!$C$6:$J$312,4,0)+N$5)</f>
        <v>0</v>
      </c>
      <c r="N89" s="208">
        <f>-F89*INDEX(ship_curves,MATCH(L89,'SHIP CURVES'!$A$9:$A$316,0),MATCH(CONCATENATE(P$4,P$5,P$6,P$7),'SHIP CURVES'!$A$9:$AZ$9,0))</f>
        <v>0</v>
      </c>
      <c r="O89" s="209">
        <f>-H89*INDEX(port_processing_fee,MATCH(L89,PORTS!$H$626:$H$933,0),MATCH(P$5,PORTS!$H$626:$Z$626,0))</f>
        <v>0</v>
      </c>
      <c r="P89" s="405">
        <f>(((VLOOKUP(L89,curvecalc,4,0))*IF(F89=0,0,J89/F89)-INDEX(ship_curves,MATCH(L89,'SHIP CURVES'!$A$9:$A$316,0),MATCH(CONCATENATE(P$4,P$5,P$6,P$7),'SHIP CURVES'!$A$9:$Z$9,0))-INDEX(terminal_curves,MATCH(L89,'TERMINAL CURVES'!$A$4:$A$313,0),MATCH(P$5,'TERMINAL CURVES'!$A$4:$N$4,0))*IF(F89=0,0,H89/F89))-(N$8)*((N$7-$N$5)-(INDEX(ship_curves,MATCH(L89,'SHIP CURVES'!$A$9:$A$316,0),MATCH(CONCATENATE(P$4,P$5,P$6,P$7),'SHIP CURVES'!$A$9:$Z$9,0))-INDEX(ship_curves,MATCH(L89,'SHIP CURVES'!$A$9:$A$316,0),MATCH(CONCATENATE(P$4,N$6,P$6,P$7),'SHIP CURVES'!$A$9:$Z$9,0)))-(INDEX(terminal_curves,MATCH(L89,'TERMINAL CURVES'!$A$4:$A$313,0),MATCH(P$5,'TERMINAL CURVES'!$A$4:$N$4,0))-INDEX(terminal_curves,MATCH(L89,'TERMINAL CURVES'!$A$4:$A$313,0),MATCH(N$6,'TERMINAL CURVES'!$A$4:$N$4,0)))*IF(F89=0,0,H89/F89)))*-F89</f>
        <v>0</v>
      </c>
      <c r="Q89" s="403">
        <f t="shared" si="41"/>
        <v>0</v>
      </c>
      <c r="R89" s="338">
        <f>(-H89/((HLOOKUP(P$5,port_specs,2,0)/(365.25))*(L90-L89)))*(INDEX(fixed_capacity_charge,MATCH(L89,PORTS!$H$11:$H$317,0),MATCH(P$5,PORTS!$H$11:$N$11,0))+INDEX(variable_om_charge,MATCH(L89,PORTS!$H$318:$H$625,0),MATCH(P$5,PORTS!$H$318:$N$318,0)))</f>
        <v>0</v>
      </c>
      <c r="S89" s="232">
        <f t="shared" si="42"/>
        <v>0</v>
      </c>
      <c r="T89" s="241">
        <f t="shared" si="43"/>
        <v>0</v>
      </c>
      <c r="V89" s="186">
        <f t="shared" si="58"/>
        <v>38869</v>
      </c>
      <c r="W89" s="215">
        <f t="shared" si="44"/>
        <v>0</v>
      </c>
      <c r="X89" s="191">
        <f t="shared" si="45"/>
        <v>0</v>
      </c>
      <c r="Y89" s="218">
        <f>+IF(AND(X$8&lt;=V89,X$9&gt;=V89),+MIN($B89-SUMIF($H$17:X$17,Y$17,$H89:X89),((INDEX(ROUTE_PER_DAY_BY_SHIP,MATCH(CONCATENATE(X$4,X$5,X$7),ROUTE_PER_DAY_ROUTES,0),MATCH(X$6,ROUTE_PER_DAY_SHIPS,0))*(V90-V89))-(INDEX(ROUTE_PER_DAY_BY_SHIP,MATCH(CONCATENATE(X$4,X$5,X$7),ROUTE_PER_DAY_ROUTES,0),MATCH(X$6,ROUTE_PER_DAY_SHIPS,0))*(V90-V89))*HLOOKUP(X$6,SHIPS,7,0)*INDEX(LADEN_VOYAGE_DAYS,MATCH(CONCATENATE(X$4,X$5,X$7),LADEN_VOYAGE_ROUTES,0),MATCH(X$6,LADEN_VOYAGE_SHIPS,0)))),0)</f>
        <v>0</v>
      </c>
      <c r="Z89" s="118">
        <f t="shared" si="46"/>
        <v>0</v>
      </c>
      <c r="AA89" s="215">
        <f t="shared" si="32"/>
        <v>0</v>
      </c>
      <c r="AB89" s="202"/>
      <c r="AC89" s="186">
        <f t="shared" si="59"/>
        <v>38869</v>
      </c>
      <c r="AD89" s="232">
        <f>+AA89*(VLOOKUP(AC89,CURVECALC!$C$6:$J$312,4,0)+AE$5)</f>
        <v>0</v>
      </c>
      <c r="AE89" s="208">
        <f>-W89*INDEX(ship_curves,MATCH(AC89,'SHIP CURVES'!$A$9:$A$316,0),MATCH(CONCATENATE(AG$4,AG$5,AG$6,AG$7),'SHIP CURVES'!$A$9:$AZ$9,0))</f>
        <v>0</v>
      </c>
      <c r="AF89" s="209">
        <f>-Y89*INDEX(port_processing_fee,MATCH(AC89,PORTS!$H$626:$H$933,0),MATCH(AG$5,PORTS!$H$626:$Z$626,0))</f>
        <v>0</v>
      </c>
      <c r="AG89" s="405">
        <f>(((VLOOKUP(AC89,curvecalc,4,0))*IF(W89=0,0,AA89/W89)-INDEX(ship_curves,MATCH(AC89,'SHIP CURVES'!$A$9:$A$316,0),MATCH(CONCATENATE(AG$4,AG$5,AG$6,AG$7),'SHIP CURVES'!$A$9:$Z$9,0))-INDEX(terminal_curves,MATCH(AC89,'TERMINAL CURVES'!$A$4:$A$313,0),MATCH(AG$5,'TERMINAL CURVES'!$A$4:$N$4,0))*IF(W89=0,0,Y89/W89))-(AE$8)*((AE$7-$N$5)-(INDEX(ship_curves,MATCH(AC89,'SHIP CURVES'!$A$9:$A$316,0),MATCH(CONCATENATE(AG$4,AG$5,AG$6,AG$7),'SHIP CURVES'!$A$9:$Z$9,0))-INDEX(ship_curves,MATCH(AC89,'SHIP CURVES'!$A$9:$A$316,0),MATCH(CONCATENATE(AG$4,AE$6,AG$6,AG$7),'SHIP CURVES'!$A$9:$Z$9,0)))-(INDEX(terminal_curves,MATCH(AC89,'TERMINAL CURVES'!$A$4:$A$313,0),MATCH(AG$5,'TERMINAL CURVES'!$A$4:$N$4,0))-INDEX(terminal_curves,MATCH(AC89,'TERMINAL CURVES'!$A$4:$A$313,0),MATCH(AE$6,'TERMINAL CURVES'!$A$4:$N$4,0)))*IF(W89=0,0,Y89/W89)))*-W89</f>
        <v>0</v>
      </c>
      <c r="AH89" s="343">
        <f t="shared" si="47"/>
        <v>0</v>
      </c>
      <c r="AI89" s="338">
        <f>(-Y89/((HLOOKUP(AG$5,port_specs,2,0)/(365.25))*(AC90-AC89)))*(INDEX(fixed_capacity_charge,MATCH(AC89,PORTS!$H$11:$H$317,0),MATCH(AG$5,PORTS!$H$11:$N$11,0))+INDEX(variable_om_charge,MATCH(AC89,PORTS!$H$318:$H$625,0),MATCH(AG$5,PORTS!$H$318:$N$318,0)))</f>
        <v>0</v>
      </c>
      <c r="AJ89" s="232">
        <f t="shared" si="48"/>
        <v>0</v>
      </c>
      <c r="AK89" s="241">
        <f t="shared" si="49"/>
        <v>0</v>
      </c>
      <c r="AM89" s="186">
        <f t="shared" si="60"/>
        <v>38869</v>
      </c>
      <c r="AN89" s="215">
        <f t="shared" si="50"/>
        <v>5221704.655509592</v>
      </c>
      <c r="AO89" s="191">
        <f t="shared" si="51"/>
        <v>-54827.898882850073</v>
      </c>
      <c r="AP89" s="218">
        <f>+IF(AND(AO$8&lt;=AM89,AO$9&gt;=AM89),+MIN($B89-SUMIF($H$17:AO$17,AP$17,$H89:AO89),((INDEX(ROUTE_PER_DAY_BY_SHIP,MATCH(CONCATENATE(AO$4,AO$5,AO$7),ROUTE_PER_DAY_ROUTES,0),MATCH(AO$6,ROUTE_PER_DAY_SHIPS,0))*(AM90-AM89))-(INDEX(ROUTE_PER_DAY_BY_SHIP,MATCH(CONCATENATE(AO$4,AO$5,AO$7),ROUTE_PER_DAY_ROUTES,0),MATCH(AO$6,ROUTE_PER_DAY_SHIPS,0))*(AM90-AM89))*HLOOKUP(AO$6,SHIPS,7,0)*INDEX(LADEN_VOYAGE_DAYS,MATCH(CONCATENATE(AO$4,AO$5,AO$7),LADEN_VOYAGE_ROUTES,0),MATCH(AO$6,LADEN_VOYAGE_SHIPS,0)))),0)</f>
        <v>5166876.756626742</v>
      </c>
      <c r="AQ89" s="118">
        <f>-(AP89)*PORTS!$I$6</f>
        <v>-129171.91891566856</v>
      </c>
      <c r="AR89" s="215">
        <f t="shared" si="33"/>
        <v>5037704.8377110735</v>
      </c>
      <c r="AS89" s="202"/>
      <c r="AT89" s="186">
        <f t="shared" si="61"/>
        <v>38869</v>
      </c>
      <c r="AU89" s="232">
        <f>+AR89*(VLOOKUP(AT89,CURVECALC!$C$6:$J$312,4,0)+AV$5)</f>
        <v>15576583.35820264</v>
      </c>
      <c r="AV89" s="208">
        <f>-AN89*INDEX(ship_curves,MATCH(AT89,'SHIP CURVES'!$A$9:$A$316,0),MATCH(CONCATENATE(AX$4,AX$5,AX$6,AX$7),'SHIP CURVES'!$A$9:$AZ$9,0))</f>
        <v>-1713447.1913862647</v>
      </c>
      <c r="AW89" s="209">
        <f>-AP89*INDEX(port_processing_fee,MATCH(AT89,PORTS!$H$626:$H$933,0),MATCH(AX$5,PORTS!$H$626:$Z$626,0))</f>
        <v>-147368.30873695397</v>
      </c>
      <c r="AX89" s="405">
        <f>(((VLOOKUP(AT89,curvecalc,4,0))*IF(AN89=0,0,AR89/AN89)-INDEX(ship_curves,MATCH(AT89,'SHIP CURVES'!$A$9:$A$316,0),MATCH(CONCATENATE(AX$4,AX$5,AX$6,AX$7),'SHIP CURVES'!$A$9:$Z$9,0))-INDEX(terminal_curves,MATCH(AT89,'TERMINAL CURVES'!$A$4:$A$313,0),MATCH(AX$5,'TERMINAL CURVES'!$A$4:$N$4,0))*IF(AN89=0,0,AP89/AN89))-(AV$8)*((AV$7-$N$5)-(INDEX(ship_curves,MATCH(AT89,'SHIP CURVES'!$A$9:$A$316,0),MATCH(CONCATENATE(AX$4,AX$5,AX$6,AX$7),'SHIP CURVES'!$A$9:$Z$9,0))-INDEX(ship_curves,MATCH(AT89,'SHIP CURVES'!$A$9:$A$316,0),MATCH(CONCATENATE(AX$4,AV$6,AX$6,AX$7),'SHIP CURVES'!$A$9:$Z$9,0)))-(INDEX(terminal_curves,MATCH(AT89,'TERMINAL CURVES'!$A$4:$A$313,0),MATCH(AX$5,'TERMINAL CURVES'!$A$4:$N$4,0))-INDEX(terminal_curves,MATCH(AT89,'TERMINAL CURVES'!$A$4:$A$313,0),MATCH(AV$6,'TERMINAL CURVES'!$A$4:$N$4,0)))*IF(AN89=0,0,AP89/AN89)))*-AN89</f>
        <v>-12639241.026634045</v>
      </c>
      <c r="AY89" s="343">
        <f t="shared" si="52"/>
        <v>-14500056.526757263</v>
      </c>
      <c r="AZ89" s="338">
        <f>(-AP89/((HLOOKUP(AX$5,port_specs,2,0)/(365.25))*(AT90-AT89)))*(INDEX(fixed_capacity_charge,MATCH(AT89,PORTS!$H$11:$H$317,0),MATCH(AX$5,PORTS!$H$11:$N$11,0))+INDEX(variable_om_charge,MATCH(AT89,PORTS!$H$318:$H$625,0),MATCH(AX$5,PORTS!$H$318:$N$318,0)))</f>
        <v>-975772.73469115538</v>
      </c>
      <c r="BA89" s="232">
        <f t="shared" si="53"/>
        <v>-15475829.261448419</v>
      </c>
      <c r="BB89" s="241">
        <f t="shared" si="54"/>
        <v>100754.09675422125</v>
      </c>
      <c r="BC89" s="408"/>
      <c r="BD89" s="338">
        <f>+PORTS!I83+PORTS!I391</f>
        <v>975772.73469115538</v>
      </c>
    </row>
    <row r="90" spans="1:56" x14ac:dyDescent="0.2">
      <c r="A90" s="186">
        <f t="shared" si="55"/>
        <v>38899</v>
      </c>
      <c r="B90" s="215">
        <f>+IF(AND($A90&gt;=$C$8,$A90&lt;=$C$9),1,0)*PORTS!$I$5/(365.25)*(A91-A90)</f>
        <v>5339105.9818476336</v>
      </c>
      <c r="C90" s="351">
        <f t="shared" si="34"/>
        <v>0</v>
      </c>
      <c r="D90">
        <f t="shared" si="35"/>
        <v>2006</v>
      </c>
      <c r="E90" s="186">
        <f t="shared" si="56"/>
        <v>38899</v>
      </c>
      <c r="F90" s="215">
        <f t="shared" si="36"/>
        <v>0</v>
      </c>
      <c r="G90" s="191">
        <f t="shared" si="37"/>
        <v>0</v>
      </c>
      <c r="H90" s="218">
        <f t="shared" si="38"/>
        <v>0</v>
      </c>
      <c r="I90" s="118">
        <f t="shared" si="39"/>
        <v>0</v>
      </c>
      <c r="J90" s="215">
        <f t="shared" si="40"/>
        <v>0</v>
      </c>
      <c r="K90" s="202"/>
      <c r="L90" s="186">
        <f t="shared" si="57"/>
        <v>38899</v>
      </c>
      <c r="M90" s="400">
        <f>+J90*(VLOOKUP(L90,CURVECALC!$C$6:$J$312,4,0)+N$5)</f>
        <v>0</v>
      </c>
      <c r="N90" s="208">
        <f>-F90*INDEX(ship_curves,MATCH(L90,'SHIP CURVES'!$A$9:$A$316,0),MATCH(CONCATENATE(P$4,P$5,P$6,P$7),'SHIP CURVES'!$A$9:$AZ$9,0))</f>
        <v>0</v>
      </c>
      <c r="O90" s="209">
        <f>-H90*INDEX(port_processing_fee,MATCH(L90,PORTS!$H$626:$H$933,0),MATCH(P$5,PORTS!$H$626:$Z$626,0))</f>
        <v>0</v>
      </c>
      <c r="P90" s="405">
        <f>(((VLOOKUP(L90,curvecalc,4,0))*IF(F90=0,0,J90/F90)-INDEX(ship_curves,MATCH(L90,'SHIP CURVES'!$A$9:$A$316,0),MATCH(CONCATENATE(P$4,P$5,P$6,P$7),'SHIP CURVES'!$A$9:$Z$9,0))-INDEX(terminal_curves,MATCH(L90,'TERMINAL CURVES'!$A$4:$A$313,0),MATCH(P$5,'TERMINAL CURVES'!$A$4:$N$4,0))*IF(F90=0,0,H90/F90))-(N$8)*((N$7-$N$5)-(INDEX(ship_curves,MATCH(L90,'SHIP CURVES'!$A$9:$A$316,0),MATCH(CONCATENATE(P$4,P$5,P$6,P$7),'SHIP CURVES'!$A$9:$Z$9,0))-INDEX(ship_curves,MATCH(L90,'SHIP CURVES'!$A$9:$A$316,0),MATCH(CONCATENATE(P$4,N$6,P$6,P$7),'SHIP CURVES'!$A$9:$Z$9,0)))-(INDEX(terminal_curves,MATCH(L90,'TERMINAL CURVES'!$A$4:$A$313,0),MATCH(P$5,'TERMINAL CURVES'!$A$4:$N$4,0))-INDEX(terminal_curves,MATCH(L90,'TERMINAL CURVES'!$A$4:$A$313,0),MATCH(N$6,'TERMINAL CURVES'!$A$4:$N$4,0)))*IF(F90=0,0,H90/F90)))*-F90</f>
        <v>0</v>
      </c>
      <c r="Q90" s="403">
        <f t="shared" si="41"/>
        <v>0</v>
      </c>
      <c r="R90" s="338">
        <f>(-H90/((HLOOKUP(P$5,port_specs,2,0)/(365.25))*(L91-L90)))*(INDEX(fixed_capacity_charge,MATCH(L90,PORTS!$H$11:$H$317,0),MATCH(P$5,PORTS!$H$11:$N$11,0))+INDEX(variable_om_charge,MATCH(L90,PORTS!$H$318:$H$625,0),MATCH(P$5,PORTS!$H$318:$N$318,0)))</f>
        <v>0</v>
      </c>
      <c r="S90" s="232">
        <f t="shared" si="42"/>
        <v>0</v>
      </c>
      <c r="T90" s="241">
        <f t="shared" si="43"/>
        <v>0</v>
      </c>
      <c r="V90" s="186">
        <f t="shared" si="58"/>
        <v>38899</v>
      </c>
      <c r="W90" s="215">
        <f t="shared" si="44"/>
        <v>0</v>
      </c>
      <c r="X90" s="191">
        <f t="shared" si="45"/>
        <v>0</v>
      </c>
      <c r="Y90" s="218">
        <f>+IF(AND(X$8&lt;=V90,X$9&gt;=V90),+MIN($B90-SUMIF($H$17:X$17,Y$17,$H90:X90),((INDEX(ROUTE_PER_DAY_BY_SHIP,MATCH(CONCATENATE(X$4,X$5,X$7),ROUTE_PER_DAY_ROUTES,0),MATCH(X$6,ROUTE_PER_DAY_SHIPS,0))*(V91-V90))-(INDEX(ROUTE_PER_DAY_BY_SHIP,MATCH(CONCATENATE(X$4,X$5,X$7),ROUTE_PER_DAY_ROUTES,0),MATCH(X$6,ROUTE_PER_DAY_SHIPS,0))*(V91-V90))*HLOOKUP(X$6,SHIPS,7,0)*INDEX(LADEN_VOYAGE_DAYS,MATCH(CONCATENATE(X$4,X$5,X$7),LADEN_VOYAGE_ROUTES,0),MATCH(X$6,LADEN_VOYAGE_SHIPS,0)))),0)</f>
        <v>0</v>
      </c>
      <c r="Z90" s="118">
        <f t="shared" si="46"/>
        <v>0</v>
      </c>
      <c r="AA90" s="215">
        <f t="shared" si="32"/>
        <v>0</v>
      </c>
      <c r="AB90" s="202"/>
      <c r="AC90" s="186">
        <f t="shared" si="59"/>
        <v>38899</v>
      </c>
      <c r="AD90" s="232">
        <f>+AA90*(VLOOKUP(AC90,CURVECALC!$C$6:$J$312,4,0)+AE$5)</f>
        <v>0</v>
      </c>
      <c r="AE90" s="208">
        <f>-W90*INDEX(ship_curves,MATCH(AC90,'SHIP CURVES'!$A$9:$A$316,0),MATCH(CONCATENATE(AG$4,AG$5,AG$6,AG$7),'SHIP CURVES'!$A$9:$AZ$9,0))</f>
        <v>0</v>
      </c>
      <c r="AF90" s="209">
        <f>-Y90*INDEX(port_processing_fee,MATCH(AC90,PORTS!$H$626:$H$933,0),MATCH(AG$5,PORTS!$H$626:$Z$626,0))</f>
        <v>0</v>
      </c>
      <c r="AG90" s="405">
        <f>(((VLOOKUP(AC90,curvecalc,4,0))*IF(W90=0,0,AA90/W90)-INDEX(ship_curves,MATCH(AC90,'SHIP CURVES'!$A$9:$A$316,0),MATCH(CONCATENATE(AG$4,AG$5,AG$6,AG$7),'SHIP CURVES'!$A$9:$Z$9,0))-INDEX(terminal_curves,MATCH(AC90,'TERMINAL CURVES'!$A$4:$A$313,0),MATCH(AG$5,'TERMINAL CURVES'!$A$4:$N$4,0))*IF(W90=0,0,Y90/W90))-(AE$8)*((AE$7-$N$5)-(INDEX(ship_curves,MATCH(AC90,'SHIP CURVES'!$A$9:$A$316,0),MATCH(CONCATENATE(AG$4,AG$5,AG$6,AG$7),'SHIP CURVES'!$A$9:$Z$9,0))-INDEX(ship_curves,MATCH(AC90,'SHIP CURVES'!$A$9:$A$316,0),MATCH(CONCATENATE(AG$4,AE$6,AG$6,AG$7),'SHIP CURVES'!$A$9:$Z$9,0)))-(INDEX(terminal_curves,MATCH(AC90,'TERMINAL CURVES'!$A$4:$A$313,0),MATCH(AG$5,'TERMINAL CURVES'!$A$4:$N$4,0))-INDEX(terminal_curves,MATCH(AC90,'TERMINAL CURVES'!$A$4:$A$313,0),MATCH(AE$6,'TERMINAL CURVES'!$A$4:$N$4,0)))*IF(W90=0,0,Y90/W90)))*-W90</f>
        <v>0</v>
      </c>
      <c r="AH90" s="343">
        <f t="shared" si="47"/>
        <v>0</v>
      </c>
      <c r="AI90" s="338">
        <f>(-Y90/((HLOOKUP(AG$5,port_specs,2,0)/(365.25))*(AC91-AC90)))*(INDEX(fixed_capacity_charge,MATCH(AC90,PORTS!$H$11:$H$317,0),MATCH(AG$5,PORTS!$H$11:$N$11,0))+INDEX(variable_om_charge,MATCH(AC90,PORTS!$H$318:$H$625,0),MATCH(AG$5,PORTS!$H$318:$N$318,0)))</f>
        <v>0</v>
      </c>
      <c r="AJ90" s="232">
        <f t="shared" si="48"/>
        <v>0</v>
      </c>
      <c r="AK90" s="241">
        <f t="shared" si="49"/>
        <v>0</v>
      </c>
      <c r="AM90" s="186">
        <f t="shared" si="60"/>
        <v>38899</v>
      </c>
      <c r="AN90" s="215">
        <f t="shared" si="50"/>
        <v>5395761.4773599124</v>
      </c>
      <c r="AO90" s="191">
        <f t="shared" si="51"/>
        <v>-56655.495512278751</v>
      </c>
      <c r="AP90" s="218">
        <f>+IF(AND(AO$8&lt;=AM90,AO$9&gt;=AM90),+MIN($B90-SUMIF($H$17:AO$17,AP$17,$H90:AO90),((INDEX(ROUTE_PER_DAY_BY_SHIP,MATCH(CONCATENATE(AO$4,AO$5,AO$7),ROUTE_PER_DAY_ROUTES,0),MATCH(AO$6,ROUTE_PER_DAY_SHIPS,0))*(AM91-AM90))-(INDEX(ROUTE_PER_DAY_BY_SHIP,MATCH(CONCATENATE(AO$4,AO$5,AO$7),ROUTE_PER_DAY_ROUTES,0),MATCH(AO$6,ROUTE_PER_DAY_SHIPS,0))*(AM91-AM90))*HLOOKUP(AO$6,SHIPS,7,0)*INDEX(LADEN_VOYAGE_DAYS,MATCH(CONCATENATE(AO$4,AO$5,AO$7),LADEN_VOYAGE_ROUTES,0),MATCH(AO$6,LADEN_VOYAGE_SHIPS,0)))),0)</f>
        <v>5339105.9818476336</v>
      </c>
      <c r="AQ90" s="118">
        <f>-(AP90)*PORTS!$I$6</f>
        <v>-133477.64954619083</v>
      </c>
      <c r="AR90" s="215">
        <f t="shared" si="33"/>
        <v>5205628.3323014425</v>
      </c>
      <c r="AS90" s="202"/>
      <c r="AT90" s="186">
        <f t="shared" si="61"/>
        <v>38899</v>
      </c>
      <c r="AU90" s="232">
        <f>+AR90*(VLOOKUP(AT90,CURVECALC!$C$6:$J$312,4,0)+AV$5)</f>
        <v>16095802.80347606</v>
      </c>
      <c r="AV90" s="208">
        <f>-AN90*INDEX(ship_curves,MATCH(AT90,'SHIP CURVES'!$A$9:$A$316,0),MATCH(CONCATENATE(AX$4,AX$5,AX$6,AX$7),'SHIP CURVES'!$A$9:$AZ$9,0))</f>
        <v>-1771055.0860382023</v>
      </c>
      <c r="AW90" s="209">
        <f>-AP90*INDEX(port_processing_fee,MATCH(AT90,PORTS!$H$626:$H$933,0),MATCH(AX$5,PORTS!$H$626:$Z$626,0))</f>
        <v>-152439.21130495123</v>
      </c>
      <c r="AX90" s="405">
        <f>(((VLOOKUP(AT90,curvecalc,4,0))*IF(AN90=0,0,AR90/AN90)-INDEX(ship_curves,MATCH(AT90,'SHIP CURVES'!$A$9:$A$316,0),MATCH(CONCATENATE(AX$4,AX$5,AX$6,AX$7),'SHIP CURVES'!$A$9:$Z$9,0))-INDEX(terminal_curves,MATCH(AT90,'TERMINAL CURVES'!$A$4:$A$313,0),MATCH(AX$5,'TERMINAL CURVES'!$A$4:$N$4,0))*IF(AN90=0,0,AP90/AN90))-(AV$8)*((AV$7-$N$5)-(INDEX(ship_curves,MATCH(AT90,'SHIP CURVES'!$A$9:$A$316,0),MATCH(CONCATENATE(AX$4,AX$5,AX$6,AX$7),'SHIP CURVES'!$A$9:$Z$9,0))-INDEX(ship_curves,MATCH(AT90,'SHIP CURVES'!$A$9:$A$316,0),MATCH(CONCATENATE(AX$4,AV$6,AX$6,AX$7),'SHIP CURVES'!$A$9:$Z$9,0)))-(INDEX(terminal_curves,MATCH(AT90,'TERMINAL CURVES'!$A$4:$A$313,0),MATCH(AX$5,'TERMINAL CURVES'!$A$4:$N$4,0))-INDEX(terminal_curves,MATCH(AT90,'TERMINAL CURVES'!$A$4:$A$313,0),MATCH(AV$6,'TERMINAL CURVES'!$A$4:$N$4,0)))*IF(AN90=0,0,AP90/AN90)))*-AN90</f>
        <v>-13091912.177541779</v>
      </c>
      <c r="AY90" s="343">
        <f t="shared" si="52"/>
        <v>-15015406.474884933</v>
      </c>
      <c r="AZ90" s="338">
        <f>(-AP90/((HLOOKUP(AX$5,port_specs,2,0)/(365.25))*(AT91-AT90)))*(INDEX(fixed_capacity_charge,MATCH(AT90,PORTS!$H$11:$H$317,0),MATCH(AX$5,PORTS!$H$11:$N$11,0))+INDEX(variable_om_charge,MATCH(AT90,PORTS!$H$318:$H$625,0),MATCH(AX$5,PORTS!$H$318:$N$318,0)))</f>
        <v>-976283.76194509584</v>
      </c>
      <c r="BA90" s="232">
        <f t="shared" si="53"/>
        <v>-15991690.23683003</v>
      </c>
      <c r="BB90" s="241">
        <f t="shared" si="54"/>
        <v>104112.56664603017</v>
      </c>
      <c r="BC90" s="408"/>
      <c r="BD90" s="338">
        <f>+PORTS!I84+PORTS!I392</f>
        <v>976283.76194509584</v>
      </c>
    </row>
    <row r="91" spans="1:56" x14ac:dyDescent="0.2">
      <c r="A91" s="186">
        <f t="shared" si="55"/>
        <v>38930</v>
      </c>
      <c r="B91" s="215">
        <f>+IF(AND($A91&gt;=$C$8,$A91&lt;=$C$9),1,0)*PORTS!$I$5/(365.25)*(A92-A91)</f>
        <v>5339105.9818476336</v>
      </c>
      <c r="C91" s="351">
        <f t="shared" si="34"/>
        <v>0</v>
      </c>
      <c r="D91">
        <f t="shared" si="35"/>
        <v>2006</v>
      </c>
      <c r="E91" s="186">
        <f t="shared" si="56"/>
        <v>38930</v>
      </c>
      <c r="F91" s="215">
        <f t="shared" si="36"/>
        <v>0</v>
      </c>
      <c r="G91" s="191">
        <f t="shared" si="37"/>
        <v>0</v>
      </c>
      <c r="H91" s="218">
        <f t="shared" si="38"/>
        <v>0</v>
      </c>
      <c r="I91" s="118">
        <f t="shared" si="39"/>
        <v>0</v>
      </c>
      <c r="J91" s="215">
        <f t="shared" si="40"/>
        <v>0</v>
      </c>
      <c r="K91" s="202"/>
      <c r="L91" s="186">
        <f t="shared" si="57"/>
        <v>38930</v>
      </c>
      <c r="M91" s="400">
        <f>+J91*(VLOOKUP(L91,CURVECALC!$C$6:$J$312,4,0)+N$5)</f>
        <v>0</v>
      </c>
      <c r="N91" s="208">
        <f>-F91*INDEX(ship_curves,MATCH(L91,'SHIP CURVES'!$A$9:$A$316,0),MATCH(CONCATENATE(P$4,P$5,P$6,P$7),'SHIP CURVES'!$A$9:$AZ$9,0))</f>
        <v>0</v>
      </c>
      <c r="O91" s="209">
        <f>-H91*INDEX(port_processing_fee,MATCH(L91,PORTS!$H$626:$H$933,0),MATCH(P$5,PORTS!$H$626:$Z$626,0))</f>
        <v>0</v>
      </c>
      <c r="P91" s="405">
        <f>(((VLOOKUP(L91,curvecalc,4,0))*IF(F91=0,0,J91/F91)-INDEX(ship_curves,MATCH(L91,'SHIP CURVES'!$A$9:$A$316,0),MATCH(CONCATENATE(P$4,P$5,P$6,P$7),'SHIP CURVES'!$A$9:$Z$9,0))-INDEX(terminal_curves,MATCH(L91,'TERMINAL CURVES'!$A$4:$A$313,0),MATCH(P$5,'TERMINAL CURVES'!$A$4:$N$4,0))*IF(F91=0,0,H91/F91))-(N$8)*((N$7-$N$5)-(INDEX(ship_curves,MATCH(L91,'SHIP CURVES'!$A$9:$A$316,0),MATCH(CONCATENATE(P$4,P$5,P$6,P$7),'SHIP CURVES'!$A$9:$Z$9,0))-INDEX(ship_curves,MATCH(L91,'SHIP CURVES'!$A$9:$A$316,0),MATCH(CONCATENATE(P$4,N$6,P$6,P$7),'SHIP CURVES'!$A$9:$Z$9,0)))-(INDEX(terminal_curves,MATCH(L91,'TERMINAL CURVES'!$A$4:$A$313,0),MATCH(P$5,'TERMINAL CURVES'!$A$4:$N$4,0))-INDEX(terminal_curves,MATCH(L91,'TERMINAL CURVES'!$A$4:$A$313,0),MATCH(N$6,'TERMINAL CURVES'!$A$4:$N$4,0)))*IF(F91=0,0,H91/F91)))*-F91</f>
        <v>0</v>
      </c>
      <c r="Q91" s="403">
        <f t="shared" si="41"/>
        <v>0</v>
      </c>
      <c r="R91" s="338">
        <f>(-H91/((HLOOKUP(P$5,port_specs,2,0)/(365.25))*(L92-L91)))*(INDEX(fixed_capacity_charge,MATCH(L91,PORTS!$H$11:$H$317,0),MATCH(P$5,PORTS!$H$11:$N$11,0))+INDEX(variable_om_charge,MATCH(L91,PORTS!$H$318:$H$625,0),MATCH(P$5,PORTS!$H$318:$N$318,0)))</f>
        <v>0</v>
      </c>
      <c r="S91" s="232">
        <f t="shared" si="42"/>
        <v>0</v>
      </c>
      <c r="T91" s="241">
        <f t="shared" si="43"/>
        <v>0</v>
      </c>
      <c r="V91" s="186">
        <f t="shared" si="58"/>
        <v>38930</v>
      </c>
      <c r="W91" s="215">
        <f t="shared" si="44"/>
        <v>0</v>
      </c>
      <c r="X91" s="191">
        <f t="shared" si="45"/>
        <v>0</v>
      </c>
      <c r="Y91" s="218">
        <f>+IF(AND(X$8&lt;=V91,X$9&gt;=V91),+MIN($B91-SUMIF($H$17:X$17,Y$17,$H91:X91),((INDEX(ROUTE_PER_DAY_BY_SHIP,MATCH(CONCATENATE(X$4,X$5,X$7),ROUTE_PER_DAY_ROUTES,0),MATCH(X$6,ROUTE_PER_DAY_SHIPS,0))*(V92-V91))-(INDEX(ROUTE_PER_DAY_BY_SHIP,MATCH(CONCATENATE(X$4,X$5,X$7),ROUTE_PER_DAY_ROUTES,0),MATCH(X$6,ROUTE_PER_DAY_SHIPS,0))*(V92-V91))*HLOOKUP(X$6,SHIPS,7,0)*INDEX(LADEN_VOYAGE_DAYS,MATCH(CONCATENATE(X$4,X$5,X$7),LADEN_VOYAGE_ROUTES,0),MATCH(X$6,LADEN_VOYAGE_SHIPS,0)))),0)</f>
        <v>0</v>
      </c>
      <c r="Z91" s="118">
        <f t="shared" si="46"/>
        <v>0</v>
      </c>
      <c r="AA91" s="215">
        <f t="shared" si="32"/>
        <v>0</v>
      </c>
      <c r="AB91" s="202"/>
      <c r="AC91" s="186">
        <f t="shared" si="59"/>
        <v>38930</v>
      </c>
      <c r="AD91" s="232">
        <f>+AA91*(VLOOKUP(AC91,CURVECALC!$C$6:$J$312,4,0)+AE$5)</f>
        <v>0</v>
      </c>
      <c r="AE91" s="208">
        <f>-W91*INDEX(ship_curves,MATCH(AC91,'SHIP CURVES'!$A$9:$A$316,0),MATCH(CONCATENATE(AG$4,AG$5,AG$6,AG$7),'SHIP CURVES'!$A$9:$AZ$9,0))</f>
        <v>0</v>
      </c>
      <c r="AF91" s="209">
        <f>-Y91*INDEX(port_processing_fee,MATCH(AC91,PORTS!$H$626:$H$933,0),MATCH(AG$5,PORTS!$H$626:$Z$626,0))</f>
        <v>0</v>
      </c>
      <c r="AG91" s="405">
        <f>(((VLOOKUP(AC91,curvecalc,4,0))*IF(W91=0,0,AA91/W91)-INDEX(ship_curves,MATCH(AC91,'SHIP CURVES'!$A$9:$A$316,0),MATCH(CONCATENATE(AG$4,AG$5,AG$6,AG$7),'SHIP CURVES'!$A$9:$Z$9,0))-INDEX(terminal_curves,MATCH(AC91,'TERMINAL CURVES'!$A$4:$A$313,0),MATCH(AG$5,'TERMINAL CURVES'!$A$4:$N$4,0))*IF(W91=0,0,Y91/W91))-(AE$8)*((AE$7-$N$5)-(INDEX(ship_curves,MATCH(AC91,'SHIP CURVES'!$A$9:$A$316,0),MATCH(CONCATENATE(AG$4,AG$5,AG$6,AG$7),'SHIP CURVES'!$A$9:$Z$9,0))-INDEX(ship_curves,MATCH(AC91,'SHIP CURVES'!$A$9:$A$316,0),MATCH(CONCATENATE(AG$4,AE$6,AG$6,AG$7),'SHIP CURVES'!$A$9:$Z$9,0)))-(INDEX(terminal_curves,MATCH(AC91,'TERMINAL CURVES'!$A$4:$A$313,0),MATCH(AG$5,'TERMINAL CURVES'!$A$4:$N$4,0))-INDEX(terminal_curves,MATCH(AC91,'TERMINAL CURVES'!$A$4:$A$313,0),MATCH(AE$6,'TERMINAL CURVES'!$A$4:$N$4,0)))*IF(W91=0,0,Y91/W91)))*-W91</f>
        <v>0</v>
      </c>
      <c r="AH91" s="343">
        <f t="shared" si="47"/>
        <v>0</v>
      </c>
      <c r="AI91" s="338">
        <f>(-Y91/((HLOOKUP(AG$5,port_specs,2,0)/(365.25))*(AC92-AC91)))*(INDEX(fixed_capacity_charge,MATCH(AC91,PORTS!$H$11:$H$317,0),MATCH(AG$5,PORTS!$H$11:$N$11,0))+INDEX(variable_om_charge,MATCH(AC91,PORTS!$H$318:$H$625,0),MATCH(AG$5,PORTS!$H$318:$N$318,0)))</f>
        <v>0</v>
      </c>
      <c r="AJ91" s="232">
        <f t="shared" si="48"/>
        <v>0</v>
      </c>
      <c r="AK91" s="241">
        <f t="shared" si="49"/>
        <v>0</v>
      </c>
      <c r="AM91" s="186">
        <f t="shared" si="60"/>
        <v>38930</v>
      </c>
      <c r="AN91" s="215">
        <f t="shared" si="50"/>
        <v>5395761.4773599124</v>
      </c>
      <c r="AO91" s="191">
        <f t="shared" si="51"/>
        <v>-56655.495512278751</v>
      </c>
      <c r="AP91" s="218">
        <f>+IF(AND(AO$8&lt;=AM91,AO$9&gt;=AM91),+MIN($B91-SUMIF($H$17:AO$17,AP$17,$H91:AO91),((INDEX(ROUTE_PER_DAY_BY_SHIP,MATCH(CONCATENATE(AO$4,AO$5,AO$7),ROUTE_PER_DAY_ROUTES,0),MATCH(AO$6,ROUTE_PER_DAY_SHIPS,0))*(AM92-AM91))-(INDEX(ROUTE_PER_DAY_BY_SHIP,MATCH(CONCATENATE(AO$4,AO$5,AO$7),ROUTE_PER_DAY_ROUTES,0),MATCH(AO$6,ROUTE_PER_DAY_SHIPS,0))*(AM92-AM91))*HLOOKUP(AO$6,SHIPS,7,0)*INDEX(LADEN_VOYAGE_DAYS,MATCH(CONCATENATE(AO$4,AO$5,AO$7),LADEN_VOYAGE_ROUTES,0),MATCH(AO$6,LADEN_VOYAGE_SHIPS,0)))),0)</f>
        <v>5339105.9818476336</v>
      </c>
      <c r="AQ91" s="118">
        <f>-(AP91)*PORTS!$I$6</f>
        <v>-133477.64954619083</v>
      </c>
      <c r="AR91" s="215">
        <f t="shared" si="33"/>
        <v>5205628.3323014425</v>
      </c>
      <c r="AS91" s="202"/>
      <c r="AT91" s="186">
        <f t="shared" si="61"/>
        <v>38930</v>
      </c>
      <c r="AU91" s="232">
        <f>+AR91*(VLOOKUP(AT91,CURVECALC!$C$6:$J$312,4,0)+AV$5)</f>
        <v>16408140.503414145</v>
      </c>
      <c r="AV91" s="208">
        <f>-AN91*INDEX(ship_curves,MATCH(AT91,'SHIP CURVES'!$A$9:$A$316,0),MATCH(CONCATENATE(AX$4,AX$5,AX$6,AX$7),'SHIP CURVES'!$A$9:$AZ$9,0))</f>
        <v>-1771549.1013694978</v>
      </c>
      <c r="AW91" s="209">
        <f>-AP91*INDEX(port_processing_fee,MATCH(AT91,PORTS!$H$626:$H$933,0),MATCH(AX$5,PORTS!$H$626:$Z$626,0))</f>
        <v>-152598.00215006055</v>
      </c>
      <c r="AX91" s="405">
        <f>(((VLOOKUP(AT91,curvecalc,4,0))*IF(AN91=0,0,AR91/AN91)-INDEX(ship_curves,MATCH(AT91,'SHIP CURVES'!$A$9:$A$316,0),MATCH(CONCATENATE(AX$4,AX$5,AX$6,AX$7),'SHIP CURVES'!$A$9:$Z$9,0))-INDEX(terminal_curves,MATCH(AT91,'TERMINAL CURVES'!$A$4:$A$313,0),MATCH(AX$5,'TERMINAL CURVES'!$A$4:$N$4,0))*IF(AN91=0,0,AP91/AN91))-(AV$8)*((AV$7-$N$5)-(INDEX(ship_curves,MATCH(AT91,'SHIP CURVES'!$A$9:$A$316,0),MATCH(CONCATENATE(AX$4,AX$5,AX$6,AX$7),'SHIP CURVES'!$A$9:$Z$9,0))-INDEX(ship_curves,MATCH(AT91,'SHIP CURVES'!$A$9:$A$316,0),MATCH(CONCATENATE(AX$4,AV$6,AX$6,AX$7),'SHIP CURVES'!$A$9:$Z$9,0)))-(INDEX(terminal_curves,MATCH(AT91,'TERMINAL CURVES'!$A$4:$A$313,0),MATCH(AX$5,'TERMINAL CURVES'!$A$4:$N$4,0))-INDEX(terminal_curves,MATCH(AT91,'TERMINAL CURVES'!$A$4:$A$313,0),MATCH(AV$6,'TERMINAL CURVES'!$A$4:$N$4,0)))*IF(AN91=0,0,AP91/AN91)))*-AN91</f>
        <v>-13403085.511729462</v>
      </c>
      <c r="AY91" s="343">
        <f t="shared" si="52"/>
        <v>-15327232.615249021</v>
      </c>
      <c r="AZ91" s="338">
        <f>(-AP91/((HLOOKUP(AX$5,port_specs,2,0)/(365.25))*(AT92-AT91)))*(INDEX(fixed_capacity_charge,MATCH(AT91,PORTS!$H$11:$H$317,0),MATCH(AX$5,PORTS!$H$11:$N$11,0))+INDEX(variable_om_charge,MATCH(AT91,PORTS!$H$318:$H$625,0),MATCH(AX$5,PORTS!$H$318:$N$318,0)))</f>
        <v>-976795.32151909242</v>
      </c>
      <c r="BA91" s="232">
        <f t="shared" si="53"/>
        <v>-16304027.936768113</v>
      </c>
      <c r="BB91" s="241">
        <f t="shared" si="54"/>
        <v>104112.56664603204</v>
      </c>
      <c r="BC91" s="408"/>
      <c r="BD91" s="338">
        <f>+PORTS!I85+PORTS!I393</f>
        <v>976795.32151909242</v>
      </c>
    </row>
    <row r="92" spans="1:56" x14ac:dyDescent="0.2">
      <c r="A92" s="186">
        <f t="shared" si="55"/>
        <v>38961</v>
      </c>
      <c r="B92" s="215">
        <f>+IF(AND($A92&gt;=$C$8,$A92&lt;=$C$9),1,0)*PORTS!$I$5/(365.25)*(A93-A92)</f>
        <v>5166876.756626742</v>
      </c>
      <c r="C92" s="351">
        <f t="shared" si="34"/>
        <v>0</v>
      </c>
      <c r="D92">
        <f t="shared" si="35"/>
        <v>2006</v>
      </c>
      <c r="E92" s="186">
        <f t="shared" si="56"/>
        <v>38961</v>
      </c>
      <c r="F92" s="215">
        <f t="shared" si="36"/>
        <v>0</v>
      </c>
      <c r="G92" s="191">
        <f t="shared" si="37"/>
        <v>0</v>
      </c>
      <c r="H92" s="218">
        <f t="shared" si="38"/>
        <v>0</v>
      </c>
      <c r="I92" s="118">
        <f t="shared" si="39"/>
        <v>0</v>
      </c>
      <c r="J92" s="215">
        <f t="shared" si="40"/>
        <v>0</v>
      </c>
      <c r="K92" s="202"/>
      <c r="L92" s="186">
        <f t="shared" si="57"/>
        <v>38961</v>
      </c>
      <c r="M92" s="400">
        <f>+J92*(VLOOKUP(L92,CURVECALC!$C$6:$J$312,4,0)+N$5)</f>
        <v>0</v>
      </c>
      <c r="N92" s="208">
        <f>-F92*INDEX(ship_curves,MATCH(L92,'SHIP CURVES'!$A$9:$A$316,0),MATCH(CONCATENATE(P$4,P$5,P$6,P$7),'SHIP CURVES'!$A$9:$AZ$9,0))</f>
        <v>0</v>
      </c>
      <c r="O92" s="209">
        <f>-H92*INDEX(port_processing_fee,MATCH(L92,PORTS!$H$626:$H$933,0),MATCH(P$5,PORTS!$H$626:$Z$626,0))</f>
        <v>0</v>
      </c>
      <c r="P92" s="405">
        <f>(((VLOOKUP(L92,curvecalc,4,0))*IF(F92=0,0,J92/F92)-INDEX(ship_curves,MATCH(L92,'SHIP CURVES'!$A$9:$A$316,0),MATCH(CONCATENATE(P$4,P$5,P$6,P$7),'SHIP CURVES'!$A$9:$Z$9,0))-INDEX(terminal_curves,MATCH(L92,'TERMINAL CURVES'!$A$4:$A$313,0),MATCH(P$5,'TERMINAL CURVES'!$A$4:$N$4,0))*IF(F92=0,0,H92/F92))-(N$8)*((N$7-$N$5)-(INDEX(ship_curves,MATCH(L92,'SHIP CURVES'!$A$9:$A$316,0),MATCH(CONCATENATE(P$4,P$5,P$6,P$7),'SHIP CURVES'!$A$9:$Z$9,0))-INDEX(ship_curves,MATCH(L92,'SHIP CURVES'!$A$9:$A$316,0),MATCH(CONCATENATE(P$4,N$6,P$6,P$7),'SHIP CURVES'!$A$9:$Z$9,0)))-(INDEX(terminal_curves,MATCH(L92,'TERMINAL CURVES'!$A$4:$A$313,0),MATCH(P$5,'TERMINAL CURVES'!$A$4:$N$4,0))-INDEX(terminal_curves,MATCH(L92,'TERMINAL CURVES'!$A$4:$A$313,0),MATCH(N$6,'TERMINAL CURVES'!$A$4:$N$4,0)))*IF(F92=0,0,H92/F92)))*-F92</f>
        <v>0</v>
      </c>
      <c r="Q92" s="403">
        <f t="shared" si="41"/>
        <v>0</v>
      </c>
      <c r="R92" s="338">
        <f>(-H92/((HLOOKUP(P$5,port_specs,2,0)/(365.25))*(L93-L92)))*(INDEX(fixed_capacity_charge,MATCH(L92,PORTS!$H$11:$H$317,0),MATCH(P$5,PORTS!$H$11:$N$11,0))+INDEX(variable_om_charge,MATCH(L92,PORTS!$H$318:$H$625,0),MATCH(P$5,PORTS!$H$318:$N$318,0)))</f>
        <v>0</v>
      </c>
      <c r="S92" s="232">
        <f t="shared" si="42"/>
        <v>0</v>
      </c>
      <c r="T92" s="241">
        <f t="shared" si="43"/>
        <v>0</v>
      </c>
      <c r="V92" s="186">
        <f t="shared" si="58"/>
        <v>38961</v>
      </c>
      <c r="W92" s="215">
        <f t="shared" si="44"/>
        <v>0</v>
      </c>
      <c r="X92" s="191">
        <f t="shared" si="45"/>
        <v>0</v>
      </c>
      <c r="Y92" s="218">
        <f>+IF(AND(X$8&lt;=V92,X$9&gt;=V92),+MIN($B92-SUMIF($H$17:X$17,Y$17,$H92:X92),((INDEX(ROUTE_PER_DAY_BY_SHIP,MATCH(CONCATENATE(X$4,X$5,X$7),ROUTE_PER_DAY_ROUTES,0),MATCH(X$6,ROUTE_PER_DAY_SHIPS,0))*(V93-V92))-(INDEX(ROUTE_PER_DAY_BY_SHIP,MATCH(CONCATENATE(X$4,X$5,X$7),ROUTE_PER_DAY_ROUTES,0),MATCH(X$6,ROUTE_PER_DAY_SHIPS,0))*(V93-V92))*HLOOKUP(X$6,SHIPS,7,0)*INDEX(LADEN_VOYAGE_DAYS,MATCH(CONCATENATE(X$4,X$5,X$7),LADEN_VOYAGE_ROUTES,0),MATCH(X$6,LADEN_VOYAGE_SHIPS,0)))),0)</f>
        <v>0</v>
      </c>
      <c r="Z92" s="118">
        <f t="shared" si="46"/>
        <v>0</v>
      </c>
      <c r="AA92" s="215">
        <f t="shared" si="32"/>
        <v>0</v>
      </c>
      <c r="AB92" s="202"/>
      <c r="AC92" s="186">
        <f t="shared" si="59"/>
        <v>38961</v>
      </c>
      <c r="AD92" s="232">
        <f>+AA92*(VLOOKUP(AC92,CURVECALC!$C$6:$J$312,4,0)+AE$5)</f>
        <v>0</v>
      </c>
      <c r="AE92" s="208">
        <f>-W92*INDEX(ship_curves,MATCH(AC92,'SHIP CURVES'!$A$9:$A$316,0),MATCH(CONCATENATE(AG$4,AG$5,AG$6,AG$7),'SHIP CURVES'!$A$9:$AZ$9,0))</f>
        <v>0</v>
      </c>
      <c r="AF92" s="209">
        <f>-Y92*INDEX(port_processing_fee,MATCH(AC92,PORTS!$H$626:$H$933,0),MATCH(AG$5,PORTS!$H$626:$Z$626,0))</f>
        <v>0</v>
      </c>
      <c r="AG92" s="405">
        <f>(((VLOOKUP(AC92,curvecalc,4,0))*IF(W92=0,0,AA92/W92)-INDEX(ship_curves,MATCH(AC92,'SHIP CURVES'!$A$9:$A$316,0),MATCH(CONCATENATE(AG$4,AG$5,AG$6,AG$7),'SHIP CURVES'!$A$9:$Z$9,0))-INDEX(terminal_curves,MATCH(AC92,'TERMINAL CURVES'!$A$4:$A$313,0),MATCH(AG$5,'TERMINAL CURVES'!$A$4:$N$4,0))*IF(W92=0,0,Y92/W92))-(AE$8)*((AE$7-$N$5)-(INDEX(ship_curves,MATCH(AC92,'SHIP CURVES'!$A$9:$A$316,0),MATCH(CONCATENATE(AG$4,AG$5,AG$6,AG$7),'SHIP CURVES'!$A$9:$Z$9,0))-INDEX(ship_curves,MATCH(AC92,'SHIP CURVES'!$A$9:$A$316,0),MATCH(CONCATENATE(AG$4,AE$6,AG$6,AG$7),'SHIP CURVES'!$A$9:$Z$9,0)))-(INDEX(terminal_curves,MATCH(AC92,'TERMINAL CURVES'!$A$4:$A$313,0),MATCH(AG$5,'TERMINAL CURVES'!$A$4:$N$4,0))-INDEX(terminal_curves,MATCH(AC92,'TERMINAL CURVES'!$A$4:$A$313,0),MATCH(AE$6,'TERMINAL CURVES'!$A$4:$N$4,0)))*IF(W92=0,0,Y92/W92)))*-W92</f>
        <v>0</v>
      </c>
      <c r="AH92" s="343">
        <f t="shared" si="47"/>
        <v>0</v>
      </c>
      <c r="AI92" s="338">
        <f>(-Y92/((HLOOKUP(AG$5,port_specs,2,0)/(365.25))*(AC93-AC92)))*(INDEX(fixed_capacity_charge,MATCH(AC92,PORTS!$H$11:$H$317,0),MATCH(AG$5,PORTS!$H$11:$N$11,0))+INDEX(variable_om_charge,MATCH(AC92,PORTS!$H$318:$H$625,0),MATCH(AG$5,PORTS!$H$318:$N$318,0)))</f>
        <v>0</v>
      </c>
      <c r="AJ92" s="232">
        <f t="shared" si="48"/>
        <v>0</v>
      </c>
      <c r="AK92" s="241">
        <f t="shared" si="49"/>
        <v>0</v>
      </c>
      <c r="AM92" s="186">
        <f t="shared" si="60"/>
        <v>38961</v>
      </c>
      <c r="AN92" s="215">
        <f t="shared" si="50"/>
        <v>5221704.655509592</v>
      </c>
      <c r="AO92" s="191">
        <f t="shared" si="51"/>
        <v>-54827.898882850073</v>
      </c>
      <c r="AP92" s="218">
        <f>+IF(AND(AO$8&lt;=AM92,AO$9&gt;=AM92),+MIN($B92-SUMIF($H$17:AO$17,AP$17,$H92:AO92),((INDEX(ROUTE_PER_DAY_BY_SHIP,MATCH(CONCATENATE(AO$4,AO$5,AO$7),ROUTE_PER_DAY_ROUTES,0),MATCH(AO$6,ROUTE_PER_DAY_SHIPS,0))*(AM93-AM92))-(INDEX(ROUTE_PER_DAY_BY_SHIP,MATCH(CONCATENATE(AO$4,AO$5,AO$7),ROUTE_PER_DAY_ROUTES,0),MATCH(AO$6,ROUTE_PER_DAY_SHIPS,0))*(AM93-AM92))*HLOOKUP(AO$6,SHIPS,7,0)*INDEX(LADEN_VOYAGE_DAYS,MATCH(CONCATENATE(AO$4,AO$5,AO$7),LADEN_VOYAGE_ROUTES,0),MATCH(AO$6,LADEN_VOYAGE_SHIPS,0)))),0)</f>
        <v>5166876.756626742</v>
      </c>
      <c r="AQ92" s="118">
        <f>-(AP92)*PORTS!$I$6</f>
        <v>-129171.91891566856</v>
      </c>
      <c r="AR92" s="215">
        <f t="shared" si="33"/>
        <v>5037704.8377110735</v>
      </c>
      <c r="AS92" s="202"/>
      <c r="AT92" s="186">
        <f t="shared" si="61"/>
        <v>38961</v>
      </c>
      <c r="AU92" s="232">
        <f>+AR92*(VLOOKUP(AT92,CURVECALC!$C$6:$J$312,4,0)+AV$5)</f>
        <v>15813355.485575061</v>
      </c>
      <c r="AV92" s="208">
        <f>-AN92*INDEX(ship_curves,MATCH(AT92,'SHIP CURVES'!$A$9:$A$316,0),MATCH(CONCATENATE(AX$4,AX$5,AX$6,AX$7),'SHIP CURVES'!$A$9:$AZ$9,0))</f>
        <v>-1714881.4315155486</v>
      </c>
      <c r="AW92" s="209">
        <f>-AP92*INDEX(port_processing_fee,MATCH(AT92,PORTS!$H$626:$H$933,0),MATCH(AX$5,PORTS!$H$626:$Z$626,0))</f>
        <v>-147829.31458287113</v>
      </c>
      <c r="AX92" s="405">
        <f>(((VLOOKUP(AT92,curvecalc,4,0))*IF(AN92=0,0,AR92/AN92)-INDEX(ship_curves,MATCH(AT92,'SHIP CURVES'!$A$9:$A$316,0),MATCH(CONCATENATE(AX$4,AX$5,AX$6,AX$7),'SHIP CURVES'!$A$9:$Z$9,0))-INDEX(terminal_curves,MATCH(AT92,'TERMINAL CURVES'!$A$4:$A$313,0),MATCH(AX$5,'TERMINAL CURVES'!$A$4:$N$4,0))*IF(AN92=0,0,AP92/AN92))-(AV$8)*((AV$7-$N$5)-(INDEX(ship_curves,MATCH(AT92,'SHIP CURVES'!$A$9:$A$316,0),MATCH(CONCATENATE(AX$4,AX$5,AX$6,AX$7),'SHIP CURVES'!$A$9:$Z$9,0))-INDEX(ship_curves,MATCH(AT92,'SHIP CURVES'!$A$9:$A$316,0),MATCH(CONCATENATE(AX$4,AV$6,AX$6,AX$7),'SHIP CURVES'!$A$9:$Z$9,0)))-(INDEX(terminal_curves,MATCH(AT92,'TERMINAL CURVES'!$A$4:$A$313,0),MATCH(AX$5,'TERMINAL CURVES'!$A$4:$N$4,0))-INDEX(terminal_curves,MATCH(AT92,'TERMINAL CURVES'!$A$4:$A$313,0),MATCH(AV$6,'TERMINAL CURVES'!$A$4:$N$4,0)))*IF(AN92=0,0,AP92/AN92)))*-AN92</f>
        <v>-12872583.228754772</v>
      </c>
      <c r="AY92" s="343">
        <f t="shared" si="52"/>
        <v>-14735293.974853192</v>
      </c>
      <c r="AZ92" s="338">
        <f>(-AP92/((HLOOKUP(AX$5,port_specs,2,0)/(365.25))*(AT93-AT92)))*(INDEX(fixed_capacity_charge,MATCH(AT92,PORTS!$H$11:$H$317,0),MATCH(AX$5,PORTS!$H$11:$N$11,0))+INDEX(variable_om_charge,MATCH(AT92,PORTS!$H$318:$H$625,0),MATCH(AX$5,PORTS!$H$318:$N$318,0)))</f>
        <v>-977307.41396764526</v>
      </c>
      <c r="BA92" s="232">
        <f t="shared" si="53"/>
        <v>-15712601.388820836</v>
      </c>
      <c r="BB92" s="241">
        <f t="shared" si="54"/>
        <v>100754.09675422497</v>
      </c>
      <c r="BC92" s="408"/>
      <c r="BD92" s="338">
        <f>+PORTS!I86+PORTS!I394</f>
        <v>977307.41396764526</v>
      </c>
    </row>
    <row r="93" spans="1:56" x14ac:dyDescent="0.2">
      <c r="A93" s="186">
        <f t="shared" si="55"/>
        <v>38991</v>
      </c>
      <c r="B93" s="215">
        <f>+IF(AND($A93&gt;=$C$8,$A93&lt;=$C$9),1,0)*PORTS!$I$5/(365.25)*(A94-A93)</f>
        <v>5339105.9818476336</v>
      </c>
      <c r="C93" s="351">
        <f t="shared" si="34"/>
        <v>0</v>
      </c>
      <c r="D93">
        <f t="shared" si="35"/>
        <v>2006</v>
      </c>
      <c r="E93" s="186">
        <f t="shared" si="56"/>
        <v>38991</v>
      </c>
      <c r="F93" s="215">
        <f t="shared" si="36"/>
        <v>0</v>
      </c>
      <c r="G93" s="191">
        <f t="shared" si="37"/>
        <v>0</v>
      </c>
      <c r="H93" s="218">
        <f t="shared" si="38"/>
        <v>0</v>
      </c>
      <c r="I93" s="118">
        <f t="shared" si="39"/>
        <v>0</v>
      </c>
      <c r="J93" s="215">
        <f t="shared" si="40"/>
        <v>0</v>
      </c>
      <c r="K93" s="202"/>
      <c r="L93" s="186">
        <f t="shared" si="57"/>
        <v>38991</v>
      </c>
      <c r="M93" s="400">
        <f>+J93*(VLOOKUP(L93,CURVECALC!$C$6:$J$312,4,0)+N$5)</f>
        <v>0</v>
      </c>
      <c r="N93" s="208">
        <f>-F93*INDEX(ship_curves,MATCH(L93,'SHIP CURVES'!$A$9:$A$316,0),MATCH(CONCATENATE(P$4,P$5,P$6,P$7),'SHIP CURVES'!$A$9:$AZ$9,0))</f>
        <v>0</v>
      </c>
      <c r="O93" s="209">
        <f>-H93*INDEX(port_processing_fee,MATCH(L93,PORTS!$H$626:$H$933,0),MATCH(P$5,PORTS!$H$626:$Z$626,0))</f>
        <v>0</v>
      </c>
      <c r="P93" s="405">
        <f>(((VLOOKUP(L93,curvecalc,4,0))*IF(F93=0,0,J93/F93)-INDEX(ship_curves,MATCH(L93,'SHIP CURVES'!$A$9:$A$316,0),MATCH(CONCATENATE(P$4,P$5,P$6,P$7),'SHIP CURVES'!$A$9:$Z$9,0))-INDEX(terminal_curves,MATCH(L93,'TERMINAL CURVES'!$A$4:$A$313,0),MATCH(P$5,'TERMINAL CURVES'!$A$4:$N$4,0))*IF(F93=0,0,H93/F93))-(N$8)*((N$7-$N$5)-(INDEX(ship_curves,MATCH(L93,'SHIP CURVES'!$A$9:$A$316,0),MATCH(CONCATENATE(P$4,P$5,P$6,P$7),'SHIP CURVES'!$A$9:$Z$9,0))-INDEX(ship_curves,MATCH(L93,'SHIP CURVES'!$A$9:$A$316,0),MATCH(CONCATENATE(P$4,N$6,P$6,P$7),'SHIP CURVES'!$A$9:$Z$9,0)))-(INDEX(terminal_curves,MATCH(L93,'TERMINAL CURVES'!$A$4:$A$313,0),MATCH(P$5,'TERMINAL CURVES'!$A$4:$N$4,0))-INDEX(terminal_curves,MATCH(L93,'TERMINAL CURVES'!$A$4:$A$313,0),MATCH(N$6,'TERMINAL CURVES'!$A$4:$N$4,0)))*IF(F93=0,0,H93/F93)))*-F93</f>
        <v>0</v>
      </c>
      <c r="Q93" s="403">
        <f t="shared" si="41"/>
        <v>0</v>
      </c>
      <c r="R93" s="338">
        <f>(-H93/((HLOOKUP(P$5,port_specs,2,0)/(365.25))*(L94-L93)))*(INDEX(fixed_capacity_charge,MATCH(L93,PORTS!$H$11:$H$317,0),MATCH(P$5,PORTS!$H$11:$N$11,0))+INDEX(variable_om_charge,MATCH(L93,PORTS!$H$318:$H$625,0),MATCH(P$5,PORTS!$H$318:$N$318,0)))</f>
        <v>0</v>
      </c>
      <c r="S93" s="232">
        <f t="shared" si="42"/>
        <v>0</v>
      </c>
      <c r="T93" s="241">
        <f t="shared" si="43"/>
        <v>0</v>
      </c>
      <c r="V93" s="186">
        <f t="shared" si="58"/>
        <v>38991</v>
      </c>
      <c r="W93" s="215">
        <f t="shared" si="44"/>
        <v>0</v>
      </c>
      <c r="X93" s="191">
        <f t="shared" si="45"/>
        <v>0</v>
      </c>
      <c r="Y93" s="218">
        <f>+IF(AND(X$8&lt;=V93,X$9&gt;=V93),+MIN($B93-SUMIF($H$17:X$17,Y$17,$H93:X93),((INDEX(ROUTE_PER_DAY_BY_SHIP,MATCH(CONCATENATE(X$4,X$5,X$7),ROUTE_PER_DAY_ROUTES,0),MATCH(X$6,ROUTE_PER_DAY_SHIPS,0))*(V94-V93))-(INDEX(ROUTE_PER_DAY_BY_SHIP,MATCH(CONCATENATE(X$4,X$5,X$7),ROUTE_PER_DAY_ROUTES,0),MATCH(X$6,ROUTE_PER_DAY_SHIPS,0))*(V94-V93))*HLOOKUP(X$6,SHIPS,7,0)*INDEX(LADEN_VOYAGE_DAYS,MATCH(CONCATENATE(X$4,X$5,X$7),LADEN_VOYAGE_ROUTES,0),MATCH(X$6,LADEN_VOYAGE_SHIPS,0)))),0)</f>
        <v>0</v>
      </c>
      <c r="Z93" s="118">
        <f t="shared" si="46"/>
        <v>0</v>
      </c>
      <c r="AA93" s="215">
        <f t="shared" si="32"/>
        <v>0</v>
      </c>
      <c r="AB93" s="202"/>
      <c r="AC93" s="186">
        <f t="shared" si="59"/>
        <v>38991</v>
      </c>
      <c r="AD93" s="232">
        <f>+AA93*(VLOOKUP(AC93,CURVECALC!$C$6:$J$312,4,0)+AE$5)</f>
        <v>0</v>
      </c>
      <c r="AE93" s="208">
        <f>-W93*INDEX(ship_curves,MATCH(AC93,'SHIP CURVES'!$A$9:$A$316,0),MATCH(CONCATENATE(AG$4,AG$5,AG$6,AG$7),'SHIP CURVES'!$A$9:$AZ$9,0))</f>
        <v>0</v>
      </c>
      <c r="AF93" s="209">
        <f>-Y93*INDEX(port_processing_fee,MATCH(AC93,PORTS!$H$626:$H$933,0),MATCH(AG$5,PORTS!$H$626:$Z$626,0))</f>
        <v>0</v>
      </c>
      <c r="AG93" s="405">
        <f>(((VLOOKUP(AC93,curvecalc,4,0))*IF(W93=0,0,AA93/W93)-INDEX(ship_curves,MATCH(AC93,'SHIP CURVES'!$A$9:$A$316,0),MATCH(CONCATENATE(AG$4,AG$5,AG$6,AG$7),'SHIP CURVES'!$A$9:$Z$9,0))-INDEX(terminal_curves,MATCH(AC93,'TERMINAL CURVES'!$A$4:$A$313,0),MATCH(AG$5,'TERMINAL CURVES'!$A$4:$N$4,0))*IF(W93=0,0,Y93/W93))-(AE$8)*((AE$7-$N$5)-(INDEX(ship_curves,MATCH(AC93,'SHIP CURVES'!$A$9:$A$316,0),MATCH(CONCATENATE(AG$4,AG$5,AG$6,AG$7),'SHIP CURVES'!$A$9:$Z$9,0))-INDEX(ship_curves,MATCH(AC93,'SHIP CURVES'!$A$9:$A$316,0),MATCH(CONCATENATE(AG$4,AE$6,AG$6,AG$7),'SHIP CURVES'!$A$9:$Z$9,0)))-(INDEX(terminal_curves,MATCH(AC93,'TERMINAL CURVES'!$A$4:$A$313,0),MATCH(AG$5,'TERMINAL CURVES'!$A$4:$N$4,0))-INDEX(terminal_curves,MATCH(AC93,'TERMINAL CURVES'!$A$4:$A$313,0),MATCH(AE$6,'TERMINAL CURVES'!$A$4:$N$4,0)))*IF(W93=0,0,Y93/W93)))*-W93</f>
        <v>0</v>
      </c>
      <c r="AH93" s="343">
        <f t="shared" si="47"/>
        <v>0</v>
      </c>
      <c r="AI93" s="338">
        <f>(-Y93/((HLOOKUP(AG$5,port_specs,2,0)/(365.25))*(AC94-AC93)))*(INDEX(fixed_capacity_charge,MATCH(AC93,PORTS!$H$11:$H$317,0),MATCH(AG$5,PORTS!$H$11:$N$11,0))+INDEX(variable_om_charge,MATCH(AC93,PORTS!$H$318:$H$625,0),MATCH(AG$5,PORTS!$H$318:$N$318,0)))</f>
        <v>0</v>
      </c>
      <c r="AJ93" s="232">
        <f t="shared" si="48"/>
        <v>0</v>
      </c>
      <c r="AK93" s="241">
        <f t="shared" si="49"/>
        <v>0</v>
      </c>
      <c r="AM93" s="186">
        <f t="shared" si="60"/>
        <v>38991</v>
      </c>
      <c r="AN93" s="215">
        <f t="shared" si="50"/>
        <v>5395761.4773599124</v>
      </c>
      <c r="AO93" s="191">
        <f t="shared" si="51"/>
        <v>-56655.495512278751</v>
      </c>
      <c r="AP93" s="218">
        <f>+IF(AND(AO$8&lt;=AM93,AO$9&gt;=AM93),+MIN($B93-SUMIF($H$17:AO$17,AP$17,$H93:AO93),((INDEX(ROUTE_PER_DAY_BY_SHIP,MATCH(CONCATENATE(AO$4,AO$5,AO$7),ROUTE_PER_DAY_ROUTES,0),MATCH(AO$6,ROUTE_PER_DAY_SHIPS,0))*(AM94-AM93))-(INDEX(ROUTE_PER_DAY_BY_SHIP,MATCH(CONCATENATE(AO$4,AO$5,AO$7),ROUTE_PER_DAY_ROUTES,0),MATCH(AO$6,ROUTE_PER_DAY_SHIPS,0))*(AM94-AM93))*HLOOKUP(AO$6,SHIPS,7,0)*INDEX(LADEN_VOYAGE_DAYS,MATCH(CONCATENATE(AO$4,AO$5,AO$7),LADEN_VOYAGE_ROUTES,0),MATCH(AO$6,LADEN_VOYAGE_SHIPS,0)))),0)</f>
        <v>5339105.9818476336</v>
      </c>
      <c r="AQ93" s="118">
        <f>-(AP93)*PORTS!$I$6</f>
        <v>-133477.64954619083</v>
      </c>
      <c r="AR93" s="215">
        <f t="shared" si="33"/>
        <v>5205628.3323014425</v>
      </c>
      <c r="AS93" s="202"/>
      <c r="AT93" s="186">
        <f t="shared" si="61"/>
        <v>38991</v>
      </c>
      <c r="AU93" s="232">
        <f>+AR93*(VLOOKUP(AT93,CURVECALC!$C$6:$J$312,4,0)+AV$5)</f>
        <v>16428963.016743353</v>
      </c>
      <c r="AV93" s="208">
        <f>-AN93*INDEX(ship_curves,MATCH(AT93,'SHIP CURVES'!$A$9:$A$316,0),MATCH(CONCATENATE(AX$4,AX$5,AX$6,AX$7),'SHIP CURVES'!$A$9:$AZ$9,0))</f>
        <v>-1772540.2217720738</v>
      </c>
      <c r="AW93" s="209">
        <f>-AP93*INDEX(port_processing_fee,MATCH(AT93,PORTS!$H$626:$H$933,0),MATCH(AX$5,PORTS!$H$626:$Z$626,0))</f>
        <v>-152916.08023396923</v>
      </c>
      <c r="AX93" s="405">
        <f>(((VLOOKUP(AT93,curvecalc,4,0))*IF(AN93=0,0,AR93/AN93)-INDEX(ship_curves,MATCH(AT93,'SHIP CURVES'!$A$9:$A$316,0),MATCH(CONCATENATE(AX$4,AX$5,AX$6,AX$7),'SHIP CURVES'!$A$9:$Z$9,0))-INDEX(terminal_curves,MATCH(AT93,'TERMINAL CURVES'!$A$4:$A$313,0),MATCH(AX$5,'TERMINAL CURVES'!$A$4:$N$4,0))*IF(AN93=0,0,AP93/AN93))-(AV$8)*((AV$7-$N$5)-(INDEX(ship_curves,MATCH(AT93,'SHIP CURVES'!$A$9:$A$316,0),MATCH(CONCATENATE(AX$4,AX$5,AX$6,AX$7),'SHIP CURVES'!$A$9:$Z$9,0))-INDEX(ship_curves,MATCH(AT93,'SHIP CURVES'!$A$9:$A$316,0),MATCH(CONCATENATE(AX$4,AV$6,AX$6,AX$7),'SHIP CURVES'!$A$9:$Z$9,0)))-(INDEX(terminal_curves,MATCH(AT93,'TERMINAL CURVES'!$A$4:$A$313,0),MATCH(AX$5,'TERMINAL CURVES'!$A$4:$N$4,0))-INDEX(terminal_curves,MATCH(AT93,'TERMINAL CURVES'!$A$4:$A$313,0),MATCH(AV$6,'TERMINAL CURVES'!$A$4:$N$4,0)))*IF(AN93=0,0,AP93/AN93)))*-AN93</f>
        <v>-13421574.108245449</v>
      </c>
      <c r="AY93" s="343">
        <f t="shared" si="52"/>
        <v>-15347030.410251493</v>
      </c>
      <c r="AZ93" s="338">
        <f>(-AP93/((HLOOKUP(AX$5,port_specs,2,0)/(365.25))*(AT94-AT93)))*(INDEX(fixed_capacity_charge,MATCH(AT93,PORTS!$H$11:$H$317,0),MATCH(AX$5,PORTS!$H$11:$N$11,0))+INDEX(variable_om_charge,MATCH(AT93,PORTS!$H$318:$H$625,0),MATCH(AX$5,PORTS!$H$318:$N$318,0)))</f>
        <v>-977820.03984583193</v>
      </c>
      <c r="BA93" s="232">
        <f t="shared" si="53"/>
        <v>-16324850.450097324</v>
      </c>
      <c r="BB93" s="241">
        <f t="shared" si="54"/>
        <v>104112.56664602831</v>
      </c>
      <c r="BC93" s="408"/>
      <c r="BD93" s="338">
        <f>+PORTS!I87+PORTS!I395</f>
        <v>977820.03984583193</v>
      </c>
    </row>
    <row r="94" spans="1:56" x14ac:dyDescent="0.2">
      <c r="A94" s="186">
        <f t="shared" si="55"/>
        <v>39022</v>
      </c>
      <c r="B94" s="215">
        <f>+IF(AND($A94&gt;=$C$8,$A94&lt;=$C$9),1,0)*PORTS!$I$5/(365.25)*(A95-A94)</f>
        <v>5166876.756626742</v>
      </c>
      <c r="C94" s="351">
        <f t="shared" si="34"/>
        <v>0</v>
      </c>
      <c r="D94">
        <f t="shared" si="35"/>
        <v>2006</v>
      </c>
      <c r="E94" s="186">
        <f t="shared" si="56"/>
        <v>39022</v>
      </c>
      <c r="F94" s="215">
        <f t="shared" si="36"/>
        <v>0</v>
      </c>
      <c r="G94" s="191">
        <f t="shared" si="37"/>
        <v>0</v>
      </c>
      <c r="H94" s="218">
        <f t="shared" si="38"/>
        <v>0</v>
      </c>
      <c r="I94" s="118">
        <f t="shared" si="39"/>
        <v>0</v>
      </c>
      <c r="J94" s="215">
        <f t="shared" si="40"/>
        <v>0</v>
      </c>
      <c r="K94" s="202"/>
      <c r="L94" s="186">
        <f t="shared" si="57"/>
        <v>39022</v>
      </c>
      <c r="M94" s="400">
        <f>+J94*(VLOOKUP(L94,CURVECALC!$C$6:$J$312,4,0)+N$5)</f>
        <v>0</v>
      </c>
      <c r="N94" s="208">
        <f>-F94*INDEX(ship_curves,MATCH(L94,'SHIP CURVES'!$A$9:$A$316,0),MATCH(CONCATENATE(P$4,P$5,P$6,P$7),'SHIP CURVES'!$A$9:$AZ$9,0))</f>
        <v>0</v>
      </c>
      <c r="O94" s="209">
        <f>-H94*INDEX(port_processing_fee,MATCH(L94,PORTS!$H$626:$H$933,0),MATCH(P$5,PORTS!$H$626:$Z$626,0))</f>
        <v>0</v>
      </c>
      <c r="P94" s="405">
        <f>(((VLOOKUP(L94,curvecalc,4,0))*IF(F94=0,0,J94/F94)-INDEX(ship_curves,MATCH(L94,'SHIP CURVES'!$A$9:$A$316,0),MATCH(CONCATENATE(P$4,P$5,P$6,P$7),'SHIP CURVES'!$A$9:$Z$9,0))-INDEX(terminal_curves,MATCH(L94,'TERMINAL CURVES'!$A$4:$A$313,0),MATCH(P$5,'TERMINAL CURVES'!$A$4:$N$4,0))*IF(F94=0,0,H94/F94))-(N$8)*((N$7-$N$5)-(INDEX(ship_curves,MATCH(L94,'SHIP CURVES'!$A$9:$A$316,0),MATCH(CONCATENATE(P$4,P$5,P$6,P$7),'SHIP CURVES'!$A$9:$Z$9,0))-INDEX(ship_curves,MATCH(L94,'SHIP CURVES'!$A$9:$A$316,0),MATCH(CONCATENATE(P$4,N$6,P$6,P$7),'SHIP CURVES'!$A$9:$Z$9,0)))-(INDEX(terminal_curves,MATCH(L94,'TERMINAL CURVES'!$A$4:$A$313,0),MATCH(P$5,'TERMINAL CURVES'!$A$4:$N$4,0))-INDEX(terminal_curves,MATCH(L94,'TERMINAL CURVES'!$A$4:$A$313,0),MATCH(N$6,'TERMINAL CURVES'!$A$4:$N$4,0)))*IF(F94=0,0,H94/F94)))*-F94</f>
        <v>0</v>
      </c>
      <c r="Q94" s="403">
        <f t="shared" si="41"/>
        <v>0</v>
      </c>
      <c r="R94" s="338">
        <f>(-H94/((HLOOKUP(P$5,port_specs,2,0)/(365.25))*(L95-L94)))*(INDEX(fixed_capacity_charge,MATCH(L94,PORTS!$H$11:$H$317,0),MATCH(P$5,PORTS!$H$11:$N$11,0))+INDEX(variable_om_charge,MATCH(L94,PORTS!$H$318:$H$625,0),MATCH(P$5,PORTS!$H$318:$N$318,0)))</f>
        <v>0</v>
      </c>
      <c r="S94" s="232">
        <f t="shared" si="42"/>
        <v>0</v>
      </c>
      <c r="T94" s="241">
        <f t="shared" si="43"/>
        <v>0</v>
      </c>
      <c r="V94" s="186">
        <f t="shared" si="58"/>
        <v>39022</v>
      </c>
      <c r="W94" s="215">
        <f t="shared" si="44"/>
        <v>0</v>
      </c>
      <c r="X94" s="191">
        <f t="shared" si="45"/>
        <v>0</v>
      </c>
      <c r="Y94" s="218">
        <f>+IF(AND(X$8&lt;=V94,X$9&gt;=V94),+MIN($B94-SUMIF($H$17:X$17,Y$17,$H94:X94),((INDEX(ROUTE_PER_DAY_BY_SHIP,MATCH(CONCATENATE(X$4,X$5,X$7),ROUTE_PER_DAY_ROUTES,0),MATCH(X$6,ROUTE_PER_DAY_SHIPS,0))*(V95-V94))-(INDEX(ROUTE_PER_DAY_BY_SHIP,MATCH(CONCATENATE(X$4,X$5,X$7),ROUTE_PER_DAY_ROUTES,0),MATCH(X$6,ROUTE_PER_DAY_SHIPS,0))*(V95-V94))*HLOOKUP(X$6,SHIPS,7,0)*INDEX(LADEN_VOYAGE_DAYS,MATCH(CONCATENATE(X$4,X$5,X$7),LADEN_VOYAGE_ROUTES,0),MATCH(X$6,LADEN_VOYAGE_SHIPS,0)))),0)</f>
        <v>0</v>
      </c>
      <c r="Z94" s="118">
        <f t="shared" si="46"/>
        <v>0</v>
      </c>
      <c r="AA94" s="215">
        <f t="shared" si="32"/>
        <v>0</v>
      </c>
      <c r="AB94" s="202"/>
      <c r="AC94" s="186">
        <f t="shared" si="59"/>
        <v>39022</v>
      </c>
      <c r="AD94" s="232">
        <f>+AA94*(VLOOKUP(AC94,CURVECALC!$C$6:$J$312,4,0)+AE$5)</f>
        <v>0</v>
      </c>
      <c r="AE94" s="208">
        <f>-W94*INDEX(ship_curves,MATCH(AC94,'SHIP CURVES'!$A$9:$A$316,0),MATCH(CONCATENATE(AG$4,AG$5,AG$6,AG$7),'SHIP CURVES'!$A$9:$AZ$9,0))</f>
        <v>0</v>
      </c>
      <c r="AF94" s="209">
        <f>-Y94*INDEX(port_processing_fee,MATCH(AC94,PORTS!$H$626:$H$933,0),MATCH(AG$5,PORTS!$H$626:$Z$626,0))</f>
        <v>0</v>
      </c>
      <c r="AG94" s="405">
        <f>(((VLOOKUP(AC94,curvecalc,4,0))*IF(W94=0,0,AA94/W94)-INDEX(ship_curves,MATCH(AC94,'SHIP CURVES'!$A$9:$A$316,0),MATCH(CONCATENATE(AG$4,AG$5,AG$6,AG$7),'SHIP CURVES'!$A$9:$Z$9,0))-INDEX(terminal_curves,MATCH(AC94,'TERMINAL CURVES'!$A$4:$A$313,0),MATCH(AG$5,'TERMINAL CURVES'!$A$4:$N$4,0))*IF(W94=0,0,Y94/W94))-(AE$8)*((AE$7-$N$5)-(INDEX(ship_curves,MATCH(AC94,'SHIP CURVES'!$A$9:$A$316,0),MATCH(CONCATENATE(AG$4,AG$5,AG$6,AG$7),'SHIP CURVES'!$A$9:$Z$9,0))-INDEX(ship_curves,MATCH(AC94,'SHIP CURVES'!$A$9:$A$316,0),MATCH(CONCATENATE(AG$4,AE$6,AG$6,AG$7),'SHIP CURVES'!$A$9:$Z$9,0)))-(INDEX(terminal_curves,MATCH(AC94,'TERMINAL CURVES'!$A$4:$A$313,0),MATCH(AG$5,'TERMINAL CURVES'!$A$4:$N$4,0))-INDEX(terminal_curves,MATCH(AC94,'TERMINAL CURVES'!$A$4:$A$313,0),MATCH(AE$6,'TERMINAL CURVES'!$A$4:$N$4,0)))*IF(W94=0,0,Y94/W94)))*-W94</f>
        <v>0</v>
      </c>
      <c r="AH94" s="343">
        <f t="shared" si="47"/>
        <v>0</v>
      </c>
      <c r="AI94" s="338">
        <f>(-Y94/((HLOOKUP(AG$5,port_specs,2,0)/(365.25))*(AC95-AC94)))*(INDEX(fixed_capacity_charge,MATCH(AC94,PORTS!$H$11:$H$317,0),MATCH(AG$5,PORTS!$H$11:$N$11,0))+INDEX(variable_om_charge,MATCH(AC94,PORTS!$H$318:$H$625,0),MATCH(AG$5,PORTS!$H$318:$N$318,0)))</f>
        <v>0</v>
      </c>
      <c r="AJ94" s="232">
        <f t="shared" si="48"/>
        <v>0</v>
      </c>
      <c r="AK94" s="241">
        <f t="shared" si="49"/>
        <v>0</v>
      </c>
      <c r="AM94" s="186">
        <f t="shared" si="60"/>
        <v>39022</v>
      </c>
      <c r="AN94" s="215">
        <f t="shared" si="50"/>
        <v>5221704.655509592</v>
      </c>
      <c r="AO94" s="191">
        <f t="shared" si="51"/>
        <v>-54827.898882850073</v>
      </c>
      <c r="AP94" s="218">
        <f>+IF(AND(AO$8&lt;=AM94,AO$9&gt;=AM94),+MIN($B94-SUMIF($H$17:AO$17,AP$17,$H94:AO94),((INDEX(ROUTE_PER_DAY_BY_SHIP,MATCH(CONCATENATE(AO$4,AO$5,AO$7),ROUTE_PER_DAY_ROUTES,0),MATCH(AO$6,ROUTE_PER_DAY_SHIPS,0))*(AM95-AM94))-(INDEX(ROUTE_PER_DAY_BY_SHIP,MATCH(CONCATENATE(AO$4,AO$5,AO$7),ROUTE_PER_DAY_ROUTES,0),MATCH(AO$6,ROUTE_PER_DAY_SHIPS,0))*(AM95-AM94))*HLOOKUP(AO$6,SHIPS,7,0)*INDEX(LADEN_VOYAGE_DAYS,MATCH(CONCATENATE(AO$4,AO$5,AO$7),LADEN_VOYAGE_ROUTES,0),MATCH(AO$6,LADEN_VOYAGE_SHIPS,0)))),0)</f>
        <v>5166876.756626742</v>
      </c>
      <c r="AQ94" s="118">
        <f>-(AP94)*PORTS!$I$6</f>
        <v>-129171.91891566856</v>
      </c>
      <c r="AR94" s="215">
        <f t="shared" si="33"/>
        <v>5037704.8377110735</v>
      </c>
      <c r="AS94" s="202"/>
      <c r="AT94" s="186">
        <f t="shared" si="61"/>
        <v>39022</v>
      </c>
      <c r="AU94" s="232">
        <f>+AR94*(VLOOKUP(AT94,CURVECALC!$C$6:$J$312,4,0)+AV$5)</f>
        <v>16372540.722560989</v>
      </c>
      <c r="AV94" s="208">
        <f>-AN94*INDEX(ship_curves,MATCH(AT94,'SHIP CURVES'!$A$9:$A$316,0),MATCH(CONCATENATE(AX$4,AX$5,AX$6,AX$7),'SHIP CURVES'!$A$9:$AZ$9,0))</f>
        <v>-1715842.5785188531</v>
      </c>
      <c r="AW94" s="209">
        <f>-AP94*INDEX(port_processing_fee,MATCH(AT94,PORTS!$H$626:$H$933,0),MATCH(AX$5,PORTS!$H$626:$Z$626,0))</f>
        <v>-148137.45272665768</v>
      </c>
      <c r="AX94" s="405">
        <f>(((VLOOKUP(AT94,curvecalc,4,0))*IF(AN94=0,0,AR94/AN94)-INDEX(ship_curves,MATCH(AT94,'SHIP CURVES'!$A$9:$A$316,0),MATCH(CONCATENATE(AX$4,AX$5,AX$6,AX$7),'SHIP CURVES'!$A$9:$Z$9,0))-INDEX(terminal_curves,MATCH(AT94,'TERMINAL CURVES'!$A$4:$A$313,0),MATCH(AX$5,'TERMINAL CURVES'!$A$4:$N$4,0))*IF(AN94=0,0,AP94/AN94))-(AV$8)*((AV$7-$N$5)-(INDEX(ship_curves,MATCH(AT94,'SHIP CURVES'!$A$9:$A$316,0),MATCH(CONCATENATE(AX$4,AX$5,AX$6,AX$7),'SHIP CURVES'!$A$9:$Z$9,0))-INDEX(ship_curves,MATCH(AT94,'SHIP CURVES'!$A$9:$A$316,0),MATCH(CONCATENATE(AX$4,AV$6,AX$6,AX$7),'SHIP CURVES'!$A$9:$Z$9,0)))-(INDEX(terminal_curves,MATCH(AT94,'TERMINAL CURVES'!$A$4:$A$313,0),MATCH(AX$5,'TERMINAL CURVES'!$A$4:$N$4,0))-INDEX(terminal_curves,MATCH(AT94,'TERMINAL CURVES'!$A$4:$A$313,0),MATCH(AV$6,'TERMINAL CURVES'!$A$4:$N$4,0)))*IF(AN94=0,0,AP94/AN94)))*-AN94</f>
        <v>-13429473.394851945</v>
      </c>
      <c r="AY94" s="343">
        <f t="shared" si="52"/>
        <v>-15293453.426097456</v>
      </c>
      <c r="AZ94" s="338">
        <f>(-AP94/((HLOOKUP(AX$5,port_specs,2,0)/(365.25))*(AT95-AT94)))*(INDEX(fixed_capacity_charge,MATCH(AT94,PORTS!$H$11:$H$317,0),MATCH(AX$5,PORTS!$H$11:$N$11,0))+INDEX(variable_om_charge,MATCH(AT94,PORTS!$H$318:$H$625,0),MATCH(AX$5,PORTS!$H$318:$N$318,0)))</f>
        <v>-978333.19970930857</v>
      </c>
      <c r="BA94" s="232">
        <f t="shared" si="53"/>
        <v>-16271786.625806766</v>
      </c>
      <c r="BB94" s="241">
        <f t="shared" si="54"/>
        <v>100754.09675422311</v>
      </c>
      <c r="BC94" s="408"/>
      <c r="BD94" s="338">
        <f>+PORTS!I88+PORTS!I396</f>
        <v>978333.19970930857</v>
      </c>
    </row>
    <row r="95" spans="1:56" x14ac:dyDescent="0.2">
      <c r="A95" s="186">
        <f t="shared" si="55"/>
        <v>39052</v>
      </c>
      <c r="B95" s="215">
        <f>+IF(AND($A95&gt;=$C$8,$A95&lt;=$C$9),1,0)*PORTS!$I$5/(365.25)*(A96-A95)</f>
        <v>5339105.9818476336</v>
      </c>
      <c r="C95" s="351">
        <f t="shared" si="34"/>
        <v>0</v>
      </c>
      <c r="D95">
        <f t="shared" si="35"/>
        <v>2006</v>
      </c>
      <c r="E95" s="186">
        <f t="shared" si="56"/>
        <v>39052</v>
      </c>
      <c r="F95" s="215">
        <f t="shared" si="36"/>
        <v>0</v>
      </c>
      <c r="G95" s="191">
        <f t="shared" si="37"/>
        <v>0</v>
      </c>
      <c r="H95" s="218">
        <f t="shared" si="38"/>
        <v>0</v>
      </c>
      <c r="I95" s="118">
        <f t="shared" si="39"/>
        <v>0</v>
      </c>
      <c r="J95" s="215">
        <f t="shared" si="40"/>
        <v>0</v>
      </c>
      <c r="K95" s="202"/>
      <c r="L95" s="186">
        <f t="shared" si="57"/>
        <v>39052</v>
      </c>
      <c r="M95" s="400">
        <f>+J95*(VLOOKUP(L95,CURVECALC!$C$6:$J$312,4,0)+N$5)</f>
        <v>0</v>
      </c>
      <c r="N95" s="208">
        <f>-F95*INDEX(ship_curves,MATCH(L95,'SHIP CURVES'!$A$9:$A$316,0),MATCH(CONCATENATE(P$4,P$5,P$6,P$7),'SHIP CURVES'!$A$9:$AZ$9,0))</f>
        <v>0</v>
      </c>
      <c r="O95" s="209">
        <f>-H95*INDEX(port_processing_fee,MATCH(L95,PORTS!$H$626:$H$933,0),MATCH(P$5,PORTS!$H$626:$Z$626,0))</f>
        <v>0</v>
      </c>
      <c r="P95" s="405">
        <f>(((VLOOKUP(L95,curvecalc,4,0))*IF(F95=0,0,J95/F95)-INDEX(ship_curves,MATCH(L95,'SHIP CURVES'!$A$9:$A$316,0),MATCH(CONCATENATE(P$4,P$5,P$6,P$7),'SHIP CURVES'!$A$9:$Z$9,0))-INDEX(terminal_curves,MATCH(L95,'TERMINAL CURVES'!$A$4:$A$313,0),MATCH(P$5,'TERMINAL CURVES'!$A$4:$N$4,0))*IF(F95=0,0,H95/F95))-(N$8)*((N$7-$N$5)-(INDEX(ship_curves,MATCH(L95,'SHIP CURVES'!$A$9:$A$316,0),MATCH(CONCATENATE(P$4,P$5,P$6,P$7),'SHIP CURVES'!$A$9:$Z$9,0))-INDEX(ship_curves,MATCH(L95,'SHIP CURVES'!$A$9:$A$316,0),MATCH(CONCATENATE(P$4,N$6,P$6,P$7),'SHIP CURVES'!$A$9:$Z$9,0)))-(INDEX(terminal_curves,MATCH(L95,'TERMINAL CURVES'!$A$4:$A$313,0),MATCH(P$5,'TERMINAL CURVES'!$A$4:$N$4,0))-INDEX(terminal_curves,MATCH(L95,'TERMINAL CURVES'!$A$4:$A$313,0),MATCH(N$6,'TERMINAL CURVES'!$A$4:$N$4,0)))*IF(F95=0,0,H95/F95)))*-F95</f>
        <v>0</v>
      </c>
      <c r="Q95" s="403">
        <f t="shared" si="41"/>
        <v>0</v>
      </c>
      <c r="R95" s="338">
        <f>(-H95/((HLOOKUP(P$5,port_specs,2,0)/(365.25))*(L96-L95)))*(INDEX(fixed_capacity_charge,MATCH(L95,PORTS!$H$11:$H$317,0),MATCH(P$5,PORTS!$H$11:$N$11,0))+INDEX(variable_om_charge,MATCH(L95,PORTS!$H$318:$H$625,0),MATCH(P$5,PORTS!$H$318:$N$318,0)))</f>
        <v>0</v>
      </c>
      <c r="S95" s="232">
        <f t="shared" si="42"/>
        <v>0</v>
      </c>
      <c r="T95" s="241">
        <f t="shared" si="43"/>
        <v>0</v>
      </c>
      <c r="V95" s="186">
        <f t="shared" si="58"/>
        <v>39052</v>
      </c>
      <c r="W95" s="215">
        <f t="shared" si="44"/>
        <v>0</v>
      </c>
      <c r="X95" s="191">
        <f t="shared" si="45"/>
        <v>0</v>
      </c>
      <c r="Y95" s="218">
        <f>+IF(AND(X$8&lt;=V95,X$9&gt;=V95),+MIN($B95-SUMIF($H$17:X$17,Y$17,$H95:X95),((INDEX(ROUTE_PER_DAY_BY_SHIP,MATCH(CONCATENATE(X$4,X$5,X$7),ROUTE_PER_DAY_ROUTES,0),MATCH(X$6,ROUTE_PER_DAY_SHIPS,0))*(V96-V95))-(INDEX(ROUTE_PER_DAY_BY_SHIP,MATCH(CONCATENATE(X$4,X$5,X$7),ROUTE_PER_DAY_ROUTES,0),MATCH(X$6,ROUTE_PER_DAY_SHIPS,0))*(V96-V95))*HLOOKUP(X$6,SHIPS,7,0)*INDEX(LADEN_VOYAGE_DAYS,MATCH(CONCATENATE(X$4,X$5,X$7),LADEN_VOYAGE_ROUTES,0),MATCH(X$6,LADEN_VOYAGE_SHIPS,0)))),0)</f>
        <v>0</v>
      </c>
      <c r="Z95" s="118">
        <f t="shared" si="46"/>
        <v>0</v>
      </c>
      <c r="AA95" s="215">
        <f t="shared" si="32"/>
        <v>0</v>
      </c>
      <c r="AB95" s="202"/>
      <c r="AC95" s="186">
        <f t="shared" si="59"/>
        <v>39052</v>
      </c>
      <c r="AD95" s="232">
        <f>+AA95*(VLOOKUP(AC95,CURVECALC!$C$6:$J$312,4,0)+AE$5)</f>
        <v>0</v>
      </c>
      <c r="AE95" s="208">
        <f>-W95*INDEX(ship_curves,MATCH(AC95,'SHIP CURVES'!$A$9:$A$316,0),MATCH(CONCATENATE(AG$4,AG$5,AG$6,AG$7),'SHIP CURVES'!$A$9:$AZ$9,0))</f>
        <v>0</v>
      </c>
      <c r="AF95" s="209">
        <f>-Y95*INDEX(port_processing_fee,MATCH(AC95,PORTS!$H$626:$H$933,0),MATCH(AG$5,PORTS!$H$626:$Z$626,0))</f>
        <v>0</v>
      </c>
      <c r="AG95" s="405">
        <f>(((VLOOKUP(AC95,curvecalc,4,0))*IF(W95=0,0,AA95/W95)-INDEX(ship_curves,MATCH(AC95,'SHIP CURVES'!$A$9:$A$316,0),MATCH(CONCATENATE(AG$4,AG$5,AG$6,AG$7),'SHIP CURVES'!$A$9:$Z$9,0))-INDEX(terminal_curves,MATCH(AC95,'TERMINAL CURVES'!$A$4:$A$313,0),MATCH(AG$5,'TERMINAL CURVES'!$A$4:$N$4,0))*IF(W95=0,0,Y95/W95))-(AE$8)*((AE$7-$N$5)-(INDEX(ship_curves,MATCH(AC95,'SHIP CURVES'!$A$9:$A$316,0),MATCH(CONCATENATE(AG$4,AG$5,AG$6,AG$7),'SHIP CURVES'!$A$9:$Z$9,0))-INDEX(ship_curves,MATCH(AC95,'SHIP CURVES'!$A$9:$A$316,0),MATCH(CONCATENATE(AG$4,AE$6,AG$6,AG$7),'SHIP CURVES'!$A$9:$Z$9,0)))-(INDEX(terminal_curves,MATCH(AC95,'TERMINAL CURVES'!$A$4:$A$313,0),MATCH(AG$5,'TERMINAL CURVES'!$A$4:$N$4,0))-INDEX(terminal_curves,MATCH(AC95,'TERMINAL CURVES'!$A$4:$A$313,0),MATCH(AE$6,'TERMINAL CURVES'!$A$4:$N$4,0)))*IF(W95=0,0,Y95/W95)))*-W95</f>
        <v>0</v>
      </c>
      <c r="AH95" s="343">
        <f t="shared" si="47"/>
        <v>0</v>
      </c>
      <c r="AI95" s="338">
        <f>(-Y95/((HLOOKUP(AG$5,port_specs,2,0)/(365.25))*(AC96-AC95)))*(INDEX(fixed_capacity_charge,MATCH(AC95,PORTS!$H$11:$H$317,0),MATCH(AG$5,PORTS!$H$11:$N$11,0))+INDEX(variable_om_charge,MATCH(AC95,PORTS!$H$318:$H$625,0),MATCH(AG$5,PORTS!$H$318:$N$318,0)))</f>
        <v>0</v>
      </c>
      <c r="AJ95" s="232">
        <f t="shared" si="48"/>
        <v>0</v>
      </c>
      <c r="AK95" s="241">
        <f t="shared" si="49"/>
        <v>0</v>
      </c>
      <c r="AM95" s="186">
        <f t="shared" si="60"/>
        <v>39052</v>
      </c>
      <c r="AN95" s="215">
        <f t="shared" si="50"/>
        <v>5395761.4773599124</v>
      </c>
      <c r="AO95" s="191">
        <f t="shared" si="51"/>
        <v>-56655.495512278751</v>
      </c>
      <c r="AP95" s="218">
        <f>+IF(AND(AO$8&lt;=AM95,AO$9&gt;=AM95),+MIN($B95-SUMIF($H$17:AO$17,AP$17,$H95:AO95),((INDEX(ROUTE_PER_DAY_BY_SHIP,MATCH(CONCATENATE(AO$4,AO$5,AO$7),ROUTE_PER_DAY_ROUTES,0),MATCH(AO$6,ROUTE_PER_DAY_SHIPS,0))*(AM96-AM95))-(INDEX(ROUTE_PER_DAY_BY_SHIP,MATCH(CONCATENATE(AO$4,AO$5,AO$7),ROUTE_PER_DAY_ROUTES,0),MATCH(AO$6,ROUTE_PER_DAY_SHIPS,0))*(AM96-AM95))*HLOOKUP(AO$6,SHIPS,7,0)*INDEX(LADEN_VOYAGE_DAYS,MATCH(CONCATENATE(AO$4,AO$5,AO$7),LADEN_VOYAGE_ROUTES,0),MATCH(AO$6,LADEN_VOYAGE_SHIPS,0)))),0)</f>
        <v>5339105.9818476336</v>
      </c>
      <c r="AQ95" s="118">
        <f>-(AP95)*PORTS!$I$6</f>
        <v>-133477.64954619083</v>
      </c>
      <c r="AR95" s="215">
        <f t="shared" si="33"/>
        <v>5205628.3323014425</v>
      </c>
      <c r="AS95" s="202"/>
      <c r="AT95" s="186">
        <f t="shared" si="61"/>
        <v>39052</v>
      </c>
      <c r="AU95" s="232">
        <f>+AR95*(VLOOKUP(AT95,CURVECALC!$C$6:$J$312,4,0)+AV$5)</f>
        <v>17418032.399880625</v>
      </c>
      <c r="AV95" s="208">
        <f>-AN95*INDEX(ship_curves,MATCH(AT95,'SHIP CURVES'!$A$9:$A$316,0),MATCH(CONCATENATE(AX$4,AX$5,AX$6,AX$7),'SHIP CURVES'!$A$9:$AZ$9,0))</f>
        <v>-1773535.4761447315</v>
      </c>
      <c r="AW95" s="209">
        <f>-AP95*INDEX(port_processing_fee,MATCH(AT95,PORTS!$H$626:$H$933,0),MATCH(AX$5,PORTS!$H$626:$Z$626,0))</f>
        <v>-153234.82132568953</v>
      </c>
      <c r="AX95" s="405">
        <f>(((VLOOKUP(AT95,curvecalc,4,0))*IF(AN95=0,0,AR95/AN95)-INDEX(ship_curves,MATCH(AT95,'SHIP CURVES'!$A$9:$A$316,0),MATCH(CONCATENATE(AX$4,AX$5,AX$6,AX$7),'SHIP CURVES'!$A$9:$Z$9,0))-INDEX(terminal_curves,MATCH(AT95,'TERMINAL CURVES'!$A$4:$A$313,0),MATCH(AX$5,'TERMINAL CURVES'!$A$4:$N$4,0))*IF(AN95=0,0,AP95/AN95))-(AV$8)*((AV$7-$N$5)-(INDEX(ship_curves,MATCH(AT95,'SHIP CURVES'!$A$9:$A$316,0),MATCH(CONCATENATE(AX$4,AX$5,AX$6,AX$7),'SHIP CURVES'!$A$9:$Z$9,0))-INDEX(ship_curves,MATCH(AT95,'SHIP CURVES'!$A$9:$A$316,0),MATCH(CONCATENATE(AX$4,AV$6,AX$6,AX$7),'SHIP CURVES'!$A$9:$Z$9,0)))-(INDEX(terminal_curves,MATCH(AT95,'TERMINAL CURVES'!$A$4:$A$313,0),MATCH(AX$5,'TERMINAL CURVES'!$A$4:$N$4,0))-INDEX(terminal_curves,MATCH(AT95,'TERMINAL CURVES'!$A$4:$A$313,0),MATCH(AV$6,'TERMINAL CURVES'!$A$4:$N$4,0)))*IF(AN95=0,0,AP95/AN95)))*-AN95</f>
        <v>-14408302.641649866</v>
      </c>
      <c r="AY95" s="343">
        <f t="shared" si="52"/>
        <v>-16335072.939120287</v>
      </c>
      <c r="AZ95" s="338">
        <f>(-AP95/((HLOOKUP(AX$5,port_specs,2,0)/(365.25))*(AT96-AT95)))*(INDEX(fixed_capacity_charge,MATCH(AT95,PORTS!$H$11:$H$317,0),MATCH(AX$5,PORTS!$H$11:$N$11,0))+INDEX(variable_om_charge,MATCH(AT95,PORTS!$H$318:$H$625,0),MATCH(AX$5,PORTS!$H$318:$N$318,0)))</f>
        <v>-978846.89411430946</v>
      </c>
      <c r="BA95" s="232">
        <f t="shared" si="53"/>
        <v>-17313919.833234597</v>
      </c>
      <c r="BB95" s="241">
        <f t="shared" si="54"/>
        <v>104112.56664602831</v>
      </c>
      <c r="BC95" s="408"/>
      <c r="BD95" s="338">
        <f>+PORTS!I89+PORTS!I397</f>
        <v>978846.89411430946</v>
      </c>
    </row>
    <row r="96" spans="1:56" x14ac:dyDescent="0.2">
      <c r="A96" s="186">
        <f t="shared" si="55"/>
        <v>39083</v>
      </c>
      <c r="B96" s="215">
        <f>+IF(AND($A96&gt;=$C$8,$A96&lt;=$C$9),1,0)*PORTS!$I$5/(365.25)*(A97-A96)</f>
        <v>5339105.9818476336</v>
      </c>
      <c r="C96" s="351">
        <f t="shared" si="34"/>
        <v>0</v>
      </c>
      <c r="D96">
        <f t="shared" si="35"/>
        <v>2007</v>
      </c>
      <c r="E96" s="186">
        <f t="shared" si="56"/>
        <v>39083</v>
      </c>
      <c r="F96" s="215">
        <f t="shared" si="36"/>
        <v>0</v>
      </c>
      <c r="G96" s="191">
        <f t="shared" si="37"/>
        <v>0</v>
      </c>
      <c r="H96" s="218">
        <f t="shared" si="38"/>
        <v>0</v>
      </c>
      <c r="I96" s="118">
        <f t="shared" si="39"/>
        <v>0</v>
      </c>
      <c r="J96" s="215">
        <f t="shared" si="40"/>
        <v>0</v>
      </c>
      <c r="K96" s="202"/>
      <c r="L96" s="186">
        <f t="shared" si="57"/>
        <v>39083</v>
      </c>
      <c r="M96" s="400">
        <f>+J96*(VLOOKUP(L96,CURVECALC!$C$6:$J$312,4,0)+N$5)</f>
        <v>0</v>
      </c>
      <c r="N96" s="208">
        <f>-F96*INDEX(ship_curves,MATCH(L96,'SHIP CURVES'!$A$9:$A$316,0),MATCH(CONCATENATE(P$4,P$5,P$6,P$7),'SHIP CURVES'!$A$9:$AZ$9,0))</f>
        <v>0</v>
      </c>
      <c r="O96" s="209">
        <f>-H96*INDEX(port_processing_fee,MATCH(L96,PORTS!$H$626:$H$933,0),MATCH(P$5,PORTS!$H$626:$Z$626,0))</f>
        <v>0</v>
      </c>
      <c r="P96" s="405">
        <f>(((VLOOKUP(L96,curvecalc,4,0))*IF(F96=0,0,J96/F96)-INDEX(ship_curves,MATCH(L96,'SHIP CURVES'!$A$9:$A$316,0),MATCH(CONCATENATE(P$4,P$5,P$6,P$7),'SHIP CURVES'!$A$9:$Z$9,0))-INDEX(terminal_curves,MATCH(L96,'TERMINAL CURVES'!$A$4:$A$313,0),MATCH(P$5,'TERMINAL CURVES'!$A$4:$N$4,0))*IF(F96=0,0,H96/F96))-(N$8)*((N$7-$N$5)-(INDEX(ship_curves,MATCH(L96,'SHIP CURVES'!$A$9:$A$316,0),MATCH(CONCATENATE(P$4,P$5,P$6,P$7),'SHIP CURVES'!$A$9:$Z$9,0))-INDEX(ship_curves,MATCH(L96,'SHIP CURVES'!$A$9:$A$316,0),MATCH(CONCATENATE(P$4,N$6,P$6,P$7),'SHIP CURVES'!$A$9:$Z$9,0)))-(INDEX(terminal_curves,MATCH(L96,'TERMINAL CURVES'!$A$4:$A$313,0),MATCH(P$5,'TERMINAL CURVES'!$A$4:$N$4,0))-INDEX(terminal_curves,MATCH(L96,'TERMINAL CURVES'!$A$4:$A$313,0),MATCH(N$6,'TERMINAL CURVES'!$A$4:$N$4,0)))*IF(F96=0,0,H96/F96)))*-F96</f>
        <v>0</v>
      </c>
      <c r="Q96" s="403">
        <f t="shared" si="41"/>
        <v>0</v>
      </c>
      <c r="R96" s="338">
        <f>(-H96/((HLOOKUP(P$5,port_specs,2,0)/(365.25))*(L97-L96)))*(INDEX(fixed_capacity_charge,MATCH(L96,PORTS!$H$11:$H$317,0),MATCH(P$5,PORTS!$H$11:$N$11,0))+INDEX(variable_om_charge,MATCH(L96,PORTS!$H$318:$H$625,0),MATCH(P$5,PORTS!$H$318:$N$318,0)))</f>
        <v>0</v>
      </c>
      <c r="S96" s="232">
        <f t="shared" si="42"/>
        <v>0</v>
      </c>
      <c r="T96" s="241">
        <f t="shared" si="43"/>
        <v>0</v>
      </c>
      <c r="V96" s="186">
        <f t="shared" si="58"/>
        <v>39083</v>
      </c>
      <c r="W96" s="215">
        <f t="shared" si="44"/>
        <v>0</v>
      </c>
      <c r="X96" s="191">
        <f t="shared" si="45"/>
        <v>0</v>
      </c>
      <c r="Y96" s="218">
        <f>+IF(AND(X$8&lt;=V96,X$9&gt;=V96),+MIN($B96-SUMIF($H$17:X$17,Y$17,$H96:X96),((INDEX(ROUTE_PER_DAY_BY_SHIP,MATCH(CONCATENATE(X$4,X$5,X$7),ROUTE_PER_DAY_ROUTES,0),MATCH(X$6,ROUTE_PER_DAY_SHIPS,0))*(V97-V96))-(INDEX(ROUTE_PER_DAY_BY_SHIP,MATCH(CONCATENATE(X$4,X$5,X$7),ROUTE_PER_DAY_ROUTES,0),MATCH(X$6,ROUTE_PER_DAY_SHIPS,0))*(V97-V96))*HLOOKUP(X$6,SHIPS,7,0)*INDEX(LADEN_VOYAGE_DAYS,MATCH(CONCATENATE(X$4,X$5,X$7),LADEN_VOYAGE_ROUTES,0),MATCH(X$6,LADEN_VOYAGE_SHIPS,0)))),0)</f>
        <v>0</v>
      </c>
      <c r="Z96" s="118">
        <f t="shared" si="46"/>
        <v>0</v>
      </c>
      <c r="AA96" s="215">
        <f t="shared" si="32"/>
        <v>0</v>
      </c>
      <c r="AB96" s="202"/>
      <c r="AC96" s="186">
        <f t="shared" si="59"/>
        <v>39083</v>
      </c>
      <c r="AD96" s="232">
        <f>+AA96*(VLOOKUP(AC96,CURVECALC!$C$6:$J$312,4,0)+AE$5)</f>
        <v>0</v>
      </c>
      <c r="AE96" s="208">
        <f>-W96*INDEX(ship_curves,MATCH(AC96,'SHIP CURVES'!$A$9:$A$316,0),MATCH(CONCATENATE(AG$4,AG$5,AG$6,AG$7),'SHIP CURVES'!$A$9:$AZ$9,0))</f>
        <v>0</v>
      </c>
      <c r="AF96" s="209">
        <f>-Y96*INDEX(port_processing_fee,MATCH(AC96,PORTS!$H$626:$H$933,0),MATCH(AG$5,PORTS!$H$626:$Z$626,0))</f>
        <v>0</v>
      </c>
      <c r="AG96" s="405">
        <f>(((VLOOKUP(AC96,curvecalc,4,0))*IF(W96=0,0,AA96/W96)-INDEX(ship_curves,MATCH(AC96,'SHIP CURVES'!$A$9:$A$316,0),MATCH(CONCATENATE(AG$4,AG$5,AG$6,AG$7),'SHIP CURVES'!$A$9:$Z$9,0))-INDEX(terminal_curves,MATCH(AC96,'TERMINAL CURVES'!$A$4:$A$313,0),MATCH(AG$5,'TERMINAL CURVES'!$A$4:$N$4,0))*IF(W96=0,0,Y96/W96))-(AE$8)*((AE$7-$N$5)-(INDEX(ship_curves,MATCH(AC96,'SHIP CURVES'!$A$9:$A$316,0),MATCH(CONCATENATE(AG$4,AG$5,AG$6,AG$7),'SHIP CURVES'!$A$9:$Z$9,0))-INDEX(ship_curves,MATCH(AC96,'SHIP CURVES'!$A$9:$A$316,0),MATCH(CONCATENATE(AG$4,AE$6,AG$6,AG$7),'SHIP CURVES'!$A$9:$Z$9,0)))-(INDEX(terminal_curves,MATCH(AC96,'TERMINAL CURVES'!$A$4:$A$313,0),MATCH(AG$5,'TERMINAL CURVES'!$A$4:$N$4,0))-INDEX(terminal_curves,MATCH(AC96,'TERMINAL CURVES'!$A$4:$A$313,0),MATCH(AE$6,'TERMINAL CURVES'!$A$4:$N$4,0)))*IF(W96=0,0,Y96/W96)))*-W96</f>
        <v>0</v>
      </c>
      <c r="AH96" s="343">
        <f t="shared" si="47"/>
        <v>0</v>
      </c>
      <c r="AI96" s="338">
        <f>(-Y96/((HLOOKUP(AG$5,port_specs,2,0)/(365.25))*(AC97-AC96)))*(INDEX(fixed_capacity_charge,MATCH(AC96,PORTS!$H$11:$H$317,0),MATCH(AG$5,PORTS!$H$11:$N$11,0))+INDEX(variable_om_charge,MATCH(AC96,PORTS!$H$318:$H$625,0),MATCH(AG$5,PORTS!$H$318:$N$318,0)))</f>
        <v>0</v>
      </c>
      <c r="AJ96" s="232">
        <f t="shared" si="48"/>
        <v>0</v>
      </c>
      <c r="AK96" s="241">
        <f t="shared" si="49"/>
        <v>0</v>
      </c>
      <c r="AM96" s="186">
        <f t="shared" si="60"/>
        <v>39083</v>
      </c>
      <c r="AN96" s="215">
        <f t="shared" si="50"/>
        <v>5395761.4773599124</v>
      </c>
      <c r="AO96" s="191">
        <f t="shared" si="51"/>
        <v>-56655.495512278751</v>
      </c>
      <c r="AP96" s="218">
        <f>+IF(AND(AO$8&lt;=AM96,AO$9&gt;=AM96),+MIN($B96-SUMIF($H$17:AO$17,AP$17,$H96:AO96),((INDEX(ROUTE_PER_DAY_BY_SHIP,MATCH(CONCATENATE(AO$4,AO$5,AO$7),ROUTE_PER_DAY_ROUTES,0),MATCH(AO$6,ROUTE_PER_DAY_SHIPS,0))*(AM97-AM96))-(INDEX(ROUTE_PER_DAY_BY_SHIP,MATCH(CONCATENATE(AO$4,AO$5,AO$7),ROUTE_PER_DAY_ROUTES,0),MATCH(AO$6,ROUTE_PER_DAY_SHIPS,0))*(AM97-AM96))*HLOOKUP(AO$6,SHIPS,7,0)*INDEX(LADEN_VOYAGE_DAYS,MATCH(CONCATENATE(AO$4,AO$5,AO$7),LADEN_VOYAGE_ROUTES,0),MATCH(AO$6,LADEN_VOYAGE_SHIPS,0)))),0)</f>
        <v>5339105.9818476336</v>
      </c>
      <c r="AQ96" s="118">
        <f>-(AP96)*PORTS!$I$6</f>
        <v>-133477.64954619083</v>
      </c>
      <c r="AR96" s="215">
        <f t="shared" si="33"/>
        <v>5205628.3323014425</v>
      </c>
      <c r="AS96" s="202"/>
      <c r="AT96" s="186">
        <f t="shared" si="61"/>
        <v>39083</v>
      </c>
      <c r="AU96" s="232">
        <f>+AR96*(VLOOKUP(AT96,CURVECALC!$C$6:$J$312,4,0)+AV$5)</f>
        <v>18131203.481405925</v>
      </c>
      <c r="AV96" s="208">
        <f>-AN96*INDEX(ship_curves,MATCH(AT96,'SHIP CURVES'!$A$9:$A$316,0),MATCH(CONCATENATE(AX$4,AX$5,AX$6,AX$7),'SHIP CURVES'!$A$9:$AZ$9,0))</f>
        <v>-1774034.6589554159</v>
      </c>
      <c r="AW96" s="209">
        <f>-AP96*INDEX(port_processing_fee,MATCH(AT96,PORTS!$H$626:$H$933,0),MATCH(AX$5,PORTS!$H$626:$Z$626,0))</f>
        <v>-153394.44093123713</v>
      </c>
      <c r="AX96" s="405">
        <f>(((VLOOKUP(AT96,curvecalc,4,0))*IF(AN96=0,0,AR96/AN96)-INDEX(ship_curves,MATCH(AT96,'SHIP CURVES'!$A$9:$A$316,0),MATCH(CONCATENATE(AX$4,AX$5,AX$6,AX$7),'SHIP CURVES'!$A$9:$Z$9,0))-INDEX(terminal_curves,MATCH(AT96,'TERMINAL CURVES'!$A$4:$A$313,0),MATCH(AX$5,'TERMINAL CURVES'!$A$4:$N$4,0))*IF(AN96=0,0,AP96/AN96))-(AV$8)*((AV$7-$N$5)-(INDEX(ship_curves,MATCH(AT96,'SHIP CURVES'!$A$9:$A$316,0),MATCH(CONCATENATE(AX$4,AX$5,AX$6,AX$7),'SHIP CURVES'!$A$9:$Z$9,0))-INDEX(ship_curves,MATCH(AT96,'SHIP CURVES'!$A$9:$A$316,0),MATCH(CONCATENATE(AX$4,AV$6,AX$6,AX$7),'SHIP CURVES'!$A$9:$Z$9,0)))-(INDEX(terminal_curves,MATCH(AT96,'TERMINAL CURVES'!$A$4:$A$313,0),MATCH(AX$5,'TERMINAL CURVES'!$A$4:$N$4,0))-INDEX(terminal_curves,MATCH(AT96,'TERMINAL CURVES'!$A$4:$A$313,0),MATCH(AV$6,'TERMINAL CURVES'!$A$4:$N$4,0)))*IF(AN96=0,0,AP96/AN96)))*-AN96</f>
        <v>-15120300.691255592</v>
      </c>
      <c r="AY96" s="343">
        <f t="shared" si="52"/>
        <v>-17047729.791142244</v>
      </c>
      <c r="AZ96" s="338">
        <f>(-AP96/((HLOOKUP(AX$5,port_specs,2,0)/(365.25))*(AT97-AT96)))*(INDEX(fixed_capacity_charge,MATCH(AT96,PORTS!$H$11:$H$317,0),MATCH(AX$5,PORTS!$H$11:$N$11,0))+INDEX(variable_om_charge,MATCH(AT96,PORTS!$H$318:$H$625,0),MATCH(AX$5,PORTS!$H$318:$N$318,0)))</f>
        <v>-979361.12361764908</v>
      </c>
      <c r="BA96" s="232">
        <f t="shared" si="53"/>
        <v>-18027090.914759893</v>
      </c>
      <c r="BB96" s="241">
        <f t="shared" si="54"/>
        <v>104112.56664603204</v>
      </c>
      <c r="BC96" s="408"/>
      <c r="BD96" s="338">
        <f>+PORTS!I90+PORTS!I398</f>
        <v>979361.12361764908</v>
      </c>
    </row>
    <row r="97" spans="1:56" x14ac:dyDescent="0.2">
      <c r="A97" s="186">
        <f t="shared" si="55"/>
        <v>39114</v>
      </c>
      <c r="B97" s="215">
        <f>+IF(AND($A97&gt;=$C$8,$A97&lt;=$C$9),1,0)*PORTS!$I$5/(365.25)*(A98-A97)</f>
        <v>4822418.3061849596</v>
      </c>
      <c r="C97" s="351">
        <f t="shared" si="34"/>
        <v>0</v>
      </c>
      <c r="D97">
        <f t="shared" si="35"/>
        <v>2007</v>
      </c>
      <c r="E97" s="186">
        <f t="shared" si="56"/>
        <v>39114</v>
      </c>
      <c r="F97" s="215">
        <f t="shared" si="36"/>
        <v>0</v>
      </c>
      <c r="G97" s="191">
        <f t="shared" si="37"/>
        <v>0</v>
      </c>
      <c r="H97" s="218">
        <f t="shared" si="38"/>
        <v>0</v>
      </c>
      <c r="I97" s="118">
        <f t="shared" si="39"/>
        <v>0</v>
      </c>
      <c r="J97" s="215">
        <f t="shared" si="40"/>
        <v>0</v>
      </c>
      <c r="K97" s="202"/>
      <c r="L97" s="186">
        <f t="shared" si="57"/>
        <v>39114</v>
      </c>
      <c r="M97" s="400">
        <f>+J97*(VLOOKUP(L97,CURVECALC!$C$6:$J$312,4,0)+N$5)</f>
        <v>0</v>
      </c>
      <c r="N97" s="208">
        <f>-F97*INDEX(ship_curves,MATCH(L97,'SHIP CURVES'!$A$9:$A$316,0),MATCH(CONCATENATE(P$4,P$5,P$6,P$7),'SHIP CURVES'!$A$9:$AZ$9,0))</f>
        <v>0</v>
      </c>
      <c r="O97" s="209">
        <f>-H97*INDEX(port_processing_fee,MATCH(L97,PORTS!$H$626:$H$933,0),MATCH(P$5,PORTS!$H$626:$Z$626,0))</f>
        <v>0</v>
      </c>
      <c r="P97" s="405">
        <f>(((VLOOKUP(L97,curvecalc,4,0))*IF(F97=0,0,J97/F97)-INDEX(ship_curves,MATCH(L97,'SHIP CURVES'!$A$9:$A$316,0),MATCH(CONCATENATE(P$4,P$5,P$6,P$7),'SHIP CURVES'!$A$9:$Z$9,0))-INDEX(terminal_curves,MATCH(L97,'TERMINAL CURVES'!$A$4:$A$313,0),MATCH(P$5,'TERMINAL CURVES'!$A$4:$N$4,0))*IF(F97=0,0,H97/F97))-(N$8)*((N$7-$N$5)-(INDEX(ship_curves,MATCH(L97,'SHIP CURVES'!$A$9:$A$316,0),MATCH(CONCATENATE(P$4,P$5,P$6,P$7),'SHIP CURVES'!$A$9:$Z$9,0))-INDEX(ship_curves,MATCH(L97,'SHIP CURVES'!$A$9:$A$316,0),MATCH(CONCATENATE(P$4,N$6,P$6,P$7),'SHIP CURVES'!$A$9:$Z$9,0)))-(INDEX(terminal_curves,MATCH(L97,'TERMINAL CURVES'!$A$4:$A$313,0),MATCH(P$5,'TERMINAL CURVES'!$A$4:$N$4,0))-INDEX(terminal_curves,MATCH(L97,'TERMINAL CURVES'!$A$4:$A$313,0),MATCH(N$6,'TERMINAL CURVES'!$A$4:$N$4,0)))*IF(F97=0,0,H97/F97)))*-F97</f>
        <v>0</v>
      </c>
      <c r="Q97" s="403">
        <f t="shared" si="41"/>
        <v>0</v>
      </c>
      <c r="R97" s="338">
        <f>(-H97/((HLOOKUP(P$5,port_specs,2,0)/(365.25))*(L98-L97)))*(INDEX(fixed_capacity_charge,MATCH(L97,PORTS!$H$11:$H$317,0),MATCH(P$5,PORTS!$H$11:$N$11,0))+INDEX(variable_om_charge,MATCH(L97,PORTS!$H$318:$H$625,0),MATCH(P$5,PORTS!$H$318:$N$318,0)))</f>
        <v>0</v>
      </c>
      <c r="S97" s="232">
        <f t="shared" si="42"/>
        <v>0</v>
      </c>
      <c r="T97" s="241">
        <f t="shared" si="43"/>
        <v>0</v>
      </c>
      <c r="V97" s="186">
        <f t="shared" si="58"/>
        <v>39114</v>
      </c>
      <c r="W97" s="215">
        <f t="shared" si="44"/>
        <v>0</v>
      </c>
      <c r="X97" s="191">
        <f t="shared" si="45"/>
        <v>0</v>
      </c>
      <c r="Y97" s="218">
        <f>+IF(AND(X$8&lt;=V97,X$9&gt;=V97),+MIN($B97-SUMIF($H$17:X$17,Y$17,$H97:X97),((INDEX(ROUTE_PER_DAY_BY_SHIP,MATCH(CONCATENATE(X$4,X$5,X$7),ROUTE_PER_DAY_ROUTES,0),MATCH(X$6,ROUTE_PER_DAY_SHIPS,0))*(V98-V97))-(INDEX(ROUTE_PER_DAY_BY_SHIP,MATCH(CONCATENATE(X$4,X$5,X$7),ROUTE_PER_DAY_ROUTES,0),MATCH(X$6,ROUTE_PER_DAY_SHIPS,0))*(V98-V97))*HLOOKUP(X$6,SHIPS,7,0)*INDEX(LADEN_VOYAGE_DAYS,MATCH(CONCATENATE(X$4,X$5,X$7),LADEN_VOYAGE_ROUTES,0),MATCH(X$6,LADEN_VOYAGE_SHIPS,0)))),0)</f>
        <v>0</v>
      </c>
      <c r="Z97" s="118">
        <f t="shared" si="46"/>
        <v>0</v>
      </c>
      <c r="AA97" s="215">
        <f t="shared" si="32"/>
        <v>0</v>
      </c>
      <c r="AB97" s="202"/>
      <c r="AC97" s="186">
        <f t="shared" si="59"/>
        <v>39114</v>
      </c>
      <c r="AD97" s="232">
        <f>+AA97*(VLOOKUP(AC97,CURVECALC!$C$6:$J$312,4,0)+AE$5)</f>
        <v>0</v>
      </c>
      <c r="AE97" s="208">
        <f>-W97*INDEX(ship_curves,MATCH(AC97,'SHIP CURVES'!$A$9:$A$316,0),MATCH(CONCATENATE(AG$4,AG$5,AG$6,AG$7),'SHIP CURVES'!$A$9:$AZ$9,0))</f>
        <v>0</v>
      </c>
      <c r="AF97" s="209">
        <f>-Y97*INDEX(port_processing_fee,MATCH(AC97,PORTS!$H$626:$H$933,0),MATCH(AG$5,PORTS!$H$626:$Z$626,0))</f>
        <v>0</v>
      </c>
      <c r="AG97" s="405">
        <f>(((VLOOKUP(AC97,curvecalc,4,0))*IF(W97=0,0,AA97/W97)-INDEX(ship_curves,MATCH(AC97,'SHIP CURVES'!$A$9:$A$316,0),MATCH(CONCATENATE(AG$4,AG$5,AG$6,AG$7),'SHIP CURVES'!$A$9:$Z$9,0))-INDEX(terminal_curves,MATCH(AC97,'TERMINAL CURVES'!$A$4:$A$313,0),MATCH(AG$5,'TERMINAL CURVES'!$A$4:$N$4,0))*IF(W97=0,0,Y97/W97))-(AE$8)*((AE$7-$N$5)-(INDEX(ship_curves,MATCH(AC97,'SHIP CURVES'!$A$9:$A$316,0),MATCH(CONCATENATE(AG$4,AG$5,AG$6,AG$7),'SHIP CURVES'!$A$9:$Z$9,0))-INDEX(ship_curves,MATCH(AC97,'SHIP CURVES'!$A$9:$A$316,0),MATCH(CONCATENATE(AG$4,AE$6,AG$6,AG$7),'SHIP CURVES'!$A$9:$Z$9,0)))-(INDEX(terminal_curves,MATCH(AC97,'TERMINAL CURVES'!$A$4:$A$313,0),MATCH(AG$5,'TERMINAL CURVES'!$A$4:$N$4,0))-INDEX(terminal_curves,MATCH(AC97,'TERMINAL CURVES'!$A$4:$A$313,0),MATCH(AE$6,'TERMINAL CURVES'!$A$4:$N$4,0)))*IF(W97=0,0,Y97/W97)))*-W97</f>
        <v>0</v>
      </c>
      <c r="AH97" s="343">
        <f t="shared" si="47"/>
        <v>0</v>
      </c>
      <c r="AI97" s="338">
        <f>(-Y97/((HLOOKUP(AG$5,port_specs,2,0)/(365.25))*(AC98-AC97)))*(INDEX(fixed_capacity_charge,MATCH(AC97,PORTS!$H$11:$H$317,0),MATCH(AG$5,PORTS!$H$11:$N$11,0))+INDEX(variable_om_charge,MATCH(AC97,PORTS!$H$318:$H$625,0),MATCH(AG$5,PORTS!$H$318:$N$318,0)))</f>
        <v>0</v>
      </c>
      <c r="AJ97" s="232">
        <f t="shared" si="48"/>
        <v>0</v>
      </c>
      <c r="AK97" s="241">
        <f t="shared" si="49"/>
        <v>0</v>
      </c>
      <c r="AM97" s="186">
        <f t="shared" si="60"/>
        <v>39114</v>
      </c>
      <c r="AN97" s="215">
        <f t="shared" si="50"/>
        <v>4873591.0118089532</v>
      </c>
      <c r="AO97" s="191">
        <f t="shared" si="51"/>
        <v>-51172.70562399365</v>
      </c>
      <c r="AP97" s="218">
        <f>+IF(AND(AO$8&lt;=AM97,AO$9&gt;=AM97),+MIN($B97-SUMIF($H$17:AO$17,AP$17,$H97:AO97),((INDEX(ROUTE_PER_DAY_BY_SHIP,MATCH(CONCATENATE(AO$4,AO$5,AO$7),ROUTE_PER_DAY_ROUTES,0),MATCH(AO$6,ROUTE_PER_DAY_SHIPS,0))*(AM98-AM97))-(INDEX(ROUTE_PER_DAY_BY_SHIP,MATCH(CONCATENATE(AO$4,AO$5,AO$7),ROUTE_PER_DAY_ROUTES,0),MATCH(AO$6,ROUTE_PER_DAY_SHIPS,0))*(AM98-AM97))*HLOOKUP(AO$6,SHIPS,7,0)*INDEX(LADEN_VOYAGE_DAYS,MATCH(CONCATENATE(AO$4,AO$5,AO$7),LADEN_VOYAGE_ROUTES,0),MATCH(AO$6,LADEN_VOYAGE_SHIPS,0)))),0)</f>
        <v>4822418.3061849596</v>
      </c>
      <c r="AQ97" s="118">
        <f>-(AP97)*PORTS!$I$6</f>
        <v>-120560.457654624</v>
      </c>
      <c r="AR97" s="215">
        <f t="shared" si="33"/>
        <v>4701857.8485303354</v>
      </c>
      <c r="AS97" s="202"/>
      <c r="AT97" s="186">
        <f t="shared" si="61"/>
        <v>39114</v>
      </c>
      <c r="AU97" s="232">
        <f>+AR97*(VLOOKUP(AT97,CURVECALC!$C$6:$J$312,4,0)+AV$5)</f>
        <v>15840559.091698701</v>
      </c>
      <c r="AV97" s="208">
        <f>-AN97*INDEX(ship_curves,MATCH(AT97,'SHIP CURVES'!$A$9:$A$316,0),MATCH(CONCATENATE(AX$4,AX$5,AX$6,AX$7),'SHIP CURVES'!$A$9:$AZ$9,0))</f>
        <v>-1602805.699627358</v>
      </c>
      <c r="AW97" s="209">
        <f>-AP97*INDEX(port_processing_fee,MATCH(AT97,PORTS!$H$626:$H$933,0),MATCH(AX$5,PORTS!$H$626:$Z$626,0))</f>
        <v>-138694.14034199357</v>
      </c>
      <c r="AX97" s="405">
        <f>(((VLOOKUP(AT97,curvecalc,4,0))*IF(AN97=0,0,AR97/AN97)-INDEX(ship_curves,MATCH(AT97,'SHIP CURVES'!$A$9:$A$316,0),MATCH(CONCATENATE(AX$4,AX$5,AX$6,AX$7),'SHIP CURVES'!$A$9:$Z$9,0))-INDEX(terminal_curves,MATCH(AT97,'TERMINAL CURVES'!$A$4:$A$313,0),MATCH(AX$5,'TERMINAL CURVES'!$A$4:$N$4,0))*IF(AN97=0,0,AP97/AN97))-(AV$8)*((AV$7-$N$5)-(INDEX(ship_curves,MATCH(AT97,'SHIP CURVES'!$A$9:$A$316,0),MATCH(CONCATENATE(AX$4,AX$5,AX$6,AX$7),'SHIP CURVES'!$A$9:$Z$9,0))-INDEX(ship_curves,MATCH(AT97,'SHIP CURVES'!$A$9:$A$316,0),MATCH(CONCATENATE(AX$4,AV$6,AX$6,AX$7),'SHIP CURVES'!$A$9:$Z$9,0)))-(INDEX(terminal_curves,MATCH(AT97,'TERMINAL CURVES'!$A$4:$A$313,0),MATCH(AX$5,'TERMINAL CURVES'!$A$4:$N$4,0))-INDEX(terminal_curves,MATCH(AT97,'TERMINAL CURVES'!$A$4:$A$313,0),MATCH(AV$6,'TERMINAL CURVES'!$A$4:$N$4,0)))*IF(AN97=0,0,AP97/AN97)))*-AN97</f>
        <v>-13025146.205982022</v>
      </c>
      <c r="AY97" s="343">
        <f t="shared" si="52"/>
        <v>-14766646.045951374</v>
      </c>
      <c r="AZ97" s="338">
        <f>(-AP97/((HLOOKUP(AX$5,port_specs,2,0)/(365.25))*(AT98-AT97)))*(INDEX(fixed_capacity_charge,MATCH(AT97,PORTS!$H$11:$H$317,0),MATCH(AX$5,PORTS!$H$11:$N$11,0))+INDEX(variable_om_charge,MATCH(AT97,PORTS!$H$318:$H$625,0),MATCH(AX$5,PORTS!$H$318:$N$318,0)))</f>
        <v>-979875.8887767212</v>
      </c>
      <c r="BA97" s="232">
        <f t="shared" si="53"/>
        <v>-15746521.934728095</v>
      </c>
      <c r="BB97" s="241">
        <f t="shared" si="54"/>
        <v>94037.156970605254</v>
      </c>
      <c r="BC97" s="408"/>
      <c r="BD97" s="338">
        <f>+PORTS!I91+PORTS!I399</f>
        <v>979875.8887767212</v>
      </c>
    </row>
    <row r="98" spans="1:56" x14ac:dyDescent="0.2">
      <c r="A98" s="186">
        <f t="shared" si="55"/>
        <v>39142</v>
      </c>
      <c r="B98" s="215">
        <f>+IF(AND($A98&gt;=$C$8,$A98&lt;=$C$9),1,0)*PORTS!$I$5/(365.25)*(A99-A98)</f>
        <v>5339105.9818476336</v>
      </c>
      <c r="C98" s="351">
        <f t="shared" si="34"/>
        <v>0</v>
      </c>
      <c r="D98">
        <f t="shared" si="35"/>
        <v>2007</v>
      </c>
      <c r="E98" s="186">
        <f t="shared" si="56"/>
        <v>39142</v>
      </c>
      <c r="F98" s="215">
        <f t="shared" si="36"/>
        <v>0</v>
      </c>
      <c r="G98" s="191">
        <f t="shared" si="37"/>
        <v>0</v>
      </c>
      <c r="H98" s="218">
        <f t="shared" si="38"/>
        <v>0</v>
      </c>
      <c r="I98" s="118">
        <f t="shared" si="39"/>
        <v>0</v>
      </c>
      <c r="J98" s="215">
        <f t="shared" si="40"/>
        <v>0</v>
      </c>
      <c r="K98" s="202"/>
      <c r="L98" s="186">
        <f t="shared" si="57"/>
        <v>39142</v>
      </c>
      <c r="M98" s="400">
        <f>+J98*(VLOOKUP(L98,CURVECALC!$C$6:$J$312,4,0)+N$5)</f>
        <v>0</v>
      </c>
      <c r="N98" s="208">
        <f>-F98*INDEX(ship_curves,MATCH(L98,'SHIP CURVES'!$A$9:$A$316,0),MATCH(CONCATENATE(P$4,P$5,P$6,P$7),'SHIP CURVES'!$A$9:$AZ$9,0))</f>
        <v>0</v>
      </c>
      <c r="O98" s="209">
        <f>-H98*INDEX(port_processing_fee,MATCH(L98,PORTS!$H$626:$H$933,0),MATCH(P$5,PORTS!$H$626:$Z$626,0))</f>
        <v>0</v>
      </c>
      <c r="P98" s="405">
        <f>(((VLOOKUP(L98,curvecalc,4,0))*IF(F98=0,0,J98/F98)-INDEX(ship_curves,MATCH(L98,'SHIP CURVES'!$A$9:$A$316,0),MATCH(CONCATENATE(P$4,P$5,P$6,P$7),'SHIP CURVES'!$A$9:$Z$9,0))-INDEX(terminal_curves,MATCH(L98,'TERMINAL CURVES'!$A$4:$A$313,0),MATCH(P$5,'TERMINAL CURVES'!$A$4:$N$4,0))*IF(F98=0,0,H98/F98))-(N$8)*((N$7-$N$5)-(INDEX(ship_curves,MATCH(L98,'SHIP CURVES'!$A$9:$A$316,0),MATCH(CONCATENATE(P$4,P$5,P$6,P$7),'SHIP CURVES'!$A$9:$Z$9,0))-INDEX(ship_curves,MATCH(L98,'SHIP CURVES'!$A$9:$A$316,0),MATCH(CONCATENATE(P$4,N$6,P$6,P$7),'SHIP CURVES'!$A$9:$Z$9,0)))-(INDEX(terminal_curves,MATCH(L98,'TERMINAL CURVES'!$A$4:$A$313,0),MATCH(P$5,'TERMINAL CURVES'!$A$4:$N$4,0))-INDEX(terminal_curves,MATCH(L98,'TERMINAL CURVES'!$A$4:$A$313,0),MATCH(N$6,'TERMINAL CURVES'!$A$4:$N$4,0)))*IF(F98=0,0,H98/F98)))*-F98</f>
        <v>0</v>
      </c>
      <c r="Q98" s="403">
        <f t="shared" si="41"/>
        <v>0</v>
      </c>
      <c r="R98" s="338">
        <f>(-H98/((HLOOKUP(P$5,port_specs,2,0)/(365.25))*(L99-L98)))*(INDEX(fixed_capacity_charge,MATCH(L98,PORTS!$H$11:$H$317,0),MATCH(P$5,PORTS!$H$11:$N$11,0))+INDEX(variable_om_charge,MATCH(L98,PORTS!$H$318:$H$625,0),MATCH(P$5,PORTS!$H$318:$N$318,0)))</f>
        <v>0</v>
      </c>
      <c r="S98" s="232">
        <f t="shared" si="42"/>
        <v>0</v>
      </c>
      <c r="T98" s="241">
        <f t="shared" si="43"/>
        <v>0</v>
      </c>
      <c r="V98" s="186">
        <f t="shared" si="58"/>
        <v>39142</v>
      </c>
      <c r="W98" s="215">
        <f t="shared" si="44"/>
        <v>0</v>
      </c>
      <c r="X98" s="191">
        <f t="shared" si="45"/>
        <v>0</v>
      </c>
      <c r="Y98" s="218">
        <f>+IF(AND(X$8&lt;=V98,X$9&gt;=V98),+MIN($B98-SUMIF($H$17:X$17,Y$17,$H98:X98),((INDEX(ROUTE_PER_DAY_BY_SHIP,MATCH(CONCATENATE(X$4,X$5,X$7),ROUTE_PER_DAY_ROUTES,0),MATCH(X$6,ROUTE_PER_DAY_SHIPS,0))*(V99-V98))-(INDEX(ROUTE_PER_DAY_BY_SHIP,MATCH(CONCATENATE(X$4,X$5,X$7),ROUTE_PER_DAY_ROUTES,0),MATCH(X$6,ROUTE_PER_DAY_SHIPS,0))*(V99-V98))*HLOOKUP(X$6,SHIPS,7,0)*INDEX(LADEN_VOYAGE_DAYS,MATCH(CONCATENATE(X$4,X$5,X$7),LADEN_VOYAGE_ROUTES,0),MATCH(X$6,LADEN_VOYAGE_SHIPS,0)))),0)</f>
        <v>0</v>
      </c>
      <c r="Z98" s="118">
        <f t="shared" si="46"/>
        <v>0</v>
      </c>
      <c r="AA98" s="215">
        <f t="shared" si="32"/>
        <v>0</v>
      </c>
      <c r="AB98" s="202"/>
      <c r="AC98" s="186">
        <f t="shared" si="59"/>
        <v>39142</v>
      </c>
      <c r="AD98" s="232">
        <f>+AA98*(VLOOKUP(AC98,CURVECALC!$C$6:$J$312,4,0)+AE$5)</f>
        <v>0</v>
      </c>
      <c r="AE98" s="208">
        <f>-W98*INDEX(ship_curves,MATCH(AC98,'SHIP CURVES'!$A$9:$A$316,0),MATCH(CONCATENATE(AG$4,AG$5,AG$6,AG$7),'SHIP CURVES'!$A$9:$AZ$9,0))</f>
        <v>0</v>
      </c>
      <c r="AF98" s="209">
        <f>-Y98*INDEX(port_processing_fee,MATCH(AC98,PORTS!$H$626:$H$933,0),MATCH(AG$5,PORTS!$H$626:$Z$626,0))</f>
        <v>0</v>
      </c>
      <c r="AG98" s="405">
        <f>(((VLOOKUP(AC98,curvecalc,4,0))*IF(W98=0,0,AA98/W98)-INDEX(ship_curves,MATCH(AC98,'SHIP CURVES'!$A$9:$A$316,0),MATCH(CONCATENATE(AG$4,AG$5,AG$6,AG$7),'SHIP CURVES'!$A$9:$Z$9,0))-INDEX(terminal_curves,MATCH(AC98,'TERMINAL CURVES'!$A$4:$A$313,0),MATCH(AG$5,'TERMINAL CURVES'!$A$4:$N$4,0))*IF(W98=0,0,Y98/W98))-(AE$8)*((AE$7-$N$5)-(INDEX(ship_curves,MATCH(AC98,'SHIP CURVES'!$A$9:$A$316,0),MATCH(CONCATENATE(AG$4,AG$5,AG$6,AG$7),'SHIP CURVES'!$A$9:$Z$9,0))-INDEX(ship_curves,MATCH(AC98,'SHIP CURVES'!$A$9:$A$316,0),MATCH(CONCATENATE(AG$4,AE$6,AG$6,AG$7),'SHIP CURVES'!$A$9:$Z$9,0)))-(INDEX(terminal_curves,MATCH(AC98,'TERMINAL CURVES'!$A$4:$A$313,0),MATCH(AG$5,'TERMINAL CURVES'!$A$4:$N$4,0))-INDEX(terminal_curves,MATCH(AC98,'TERMINAL CURVES'!$A$4:$A$313,0),MATCH(AE$6,'TERMINAL CURVES'!$A$4:$N$4,0)))*IF(W98=0,0,Y98/W98)))*-W98</f>
        <v>0</v>
      </c>
      <c r="AH98" s="343">
        <f t="shared" si="47"/>
        <v>0</v>
      </c>
      <c r="AI98" s="338">
        <f>(-Y98/((HLOOKUP(AG$5,port_specs,2,0)/(365.25))*(AC99-AC98)))*(INDEX(fixed_capacity_charge,MATCH(AC98,PORTS!$H$11:$H$317,0),MATCH(AG$5,PORTS!$H$11:$N$11,0))+INDEX(variable_om_charge,MATCH(AC98,PORTS!$H$318:$H$625,0),MATCH(AG$5,PORTS!$H$318:$N$318,0)))</f>
        <v>0</v>
      </c>
      <c r="AJ98" s="232">
        <f t="shared" si="48"/>
        <v>0</v>
      </c>
      <c r="AK98" s="241">
        <f t="shared" si="49"/>
        <v>0</v>
      </c>
      <c r="AM98" s="186">
        <f t="shared" si="60"/>
        <v>39142</v>
      </c>
      <c r="AN98" s="215">
        <f t="shared" si="50"/>
        <v>5395761.4773599124</v>
      </c>
      <c r="AO98" s="191">
        <f t="shared" si="51"/>
        <v>-56655.495512278751</v>
      </c>
      <c r="AP98" s="218">
        <f>+IF(AND(AO$8&lt;=AM98,AO$9&gt;=AM98),+MIN($B98-SUMIF($H$17:AO$17,AP$17,$H98:AO98),((INDEX(ROUTE_PER_DAY_BY_SHIP,MATCH(CONCATENATE(AO$4,AO$5,AO$7),ROUTE_PER_DAY_ROUTES,0),MATCH(AO$6,ROUTE_PER_DAY_SHIPS,0))*(AM99-AM98))-(INDEX(ROUTE_PER_DAY_BY_SHIP,MATCH(CONCATENATE(AO$4,AO$5,AO$7),ROUTE_PER_DAY_ROUTES,0),MATCH(AO$6,ROUTE_PER_DAY_SHIPS,0))*(AM99-AM98))*HLOOKUP(AO$6,SHIPS,7,0)*INDEX(LADEN_VOYAGE_DAYS,MATCH(CONCATENATE(AO$4,AO$5,AO$7),LADEN_VOYAGE_ROUTES,0),MATCH(AO$6,LADEN_VOYAGE_SHIPS,0)))),0)</f>
        <v>5339105.9818476336</v>
      </c>
      <c r="AQ98" s="118">
        <f>-(AP98)*PORTS!$I$6</f>
        <v>-133477.64954619083</v>
      </c>
      <c r="AR98" s="215">
        <f t="shared" si="33"/>
        <v>5205628.3323014425</v>
      </c>
      <c r="AS98" s="202"/>
      <c r="AT98" s="186">
        <f t="shared" si="61"/>
        <v>39142</v>
      </c>
      <c r="AU98" s="232">
        <f>+AR98*(VLOOKUP(AT98,CURVECALC!$C$6:$J$312,4,0)+AV$5)</f>
        <v>16871441.424988974</v>
      </c>
      <c r="AV98" s="208">
        <f>-AN98*INDEX(ship_curves,MATCH(AT98,'SHIP CURVES'!$A$9:$A$316,0),MATCH(CONCATENATE(AX$4,AX$5,AX$6,AX$7),'SHIP CURVES'!$A$9:$AZ$9,0))</f>
        <v>-1775036.1466359438</v>
      </c>
      <c r="AW98" s="209">
        <f>-AP98*INDEX(port_processing_fee,MATCH(AT98,PORTS!$H$626:$H$933,0),MATCH(AX$5,PORTS!$H$626:$Z$626,0))</f>
        <v>-153714.17912679797</v>
      </c>
      <c r="AX98" s="405">
        <f>(((VLOOKUP(AT98,curvecalc,4,0))*IF(AN98=0,0,AR98/AN98)-INDEX(ship_curves,MATCH(AT98,'SHIP CURVES'!$A$9:$A$316,0),MATCH(CONCATENATE(AX$4,AX$5,AX$6,AX$7),'SHIP CURVES'!$A$9:$Z$9,0))-INDEX(terminal_curves,MATCH(AT98,'TERMINAL CURVES'!$A$4:$A$313,0),MATCH(AX$5,'TERMINAL CURVES'!$A$4:$N$4,0))*IF(AN98=0,0,AP98/AN98))-(AV$8)*((AV$7-$N$5)-(INDEX(ship_curves,MATCH(AT98,'SHIP CURVES'!$A$9:$A$316,0),MATCH(CONCATENATE(AX$4,AX$5,AX$6,AX$7),'SHIP CURVES'!$A$9:$Z$9,0))-INDEX(ship_curves,MATCH(AT98,'SHIP CURVES'!$A$9:$A$316,0),MATCH(CONCATENATE(AX$4,AV$6,AX$6,AX$7),'SHIP CURVES'!$A$9:$Z$9,0)))-(INDEX(terminal_curves,MATCH(AT98,'TERMINAL CURVES'!$A$4:$A$313,0),MATCH(AX$5,'TERMINAL CURVES'!$A$4:$N$4,0))-INDEX(terminal_curves,MATCH(AT98,'TERMINAL CURVES'!$A$4:$A$313,0),MATCH(AV$6,'TERMINAL CURVES'!$A$4:$N$4,0)))*IF(AN98=0,0,AP98/AN98)))*-AN98</f>
        <v>-13858187.342430705</v>
      </c>
      <c r="AY98" s="343">
        <f t="shared" si="52"/>
        <v>-15786937.668193446</v>
      </c>
      <c r="AZ98" s="338">
        <f>(-AP98/((HLOOKUP(AX$5,port_specs,2,0)/(365.25))*(AT99-AT98)))*(INDEX(fixed_capacity_charge,MATCH(AT98,PORTS!$H$11:$H$317,0),MATCH(AX$5,PORTS!$H$11:$N$11,0))+INDEX(variable_om_charge,MATCH(AT98,PORTS!$H$318:$H$625,0),MATCH(AX$5,PORTS!$H$318:$N$318,0)))</f>
        <v>-980391.19014950073</v>
      </c>
      <c r="BA98" s="232">
        <f t="shared" si="53"/>
        <v>-16767328.858342947</v>
      </c>
      <c r="BB98" s="241">
        <f t="shared" si="54"/>
        <v>104112.56664602645</v>
      </c>
      <c r="BC98" s="408"/>
      <c r="BD98" s="338">
        <f>+PORTS!I92+PORTS!I400</f>
        <v>980391.19014950073</v>
      </c>
    </row>
    <row r="99" spans="1:56" x14ac:dyDescent="0.2">
      <c r="A99" s="186">
        <f t="shared" si="55"/>
        <v>39173</v>
      </c>
      <c r="B99" s="215">
        <f>+IF(AND($A99&gt;=$C$8,$A99&lt;=$C$9),1,0)*PORTS!$I$5/(365.25)*(A100-A99)</f>
        <v>5166876.756626742</v>
      </c>
      <c r="C99" s="351">
        <f t="shared" si="34"/>
        <v>0</v>
      </c>
      <c r="D99">
        <f t="shared" si="35"/>
        <v>2007</v>
      </c>
      <c r="E99" s="186">
        <f t="shared" si="56"/>
        <v>39173</v>
      </c>
      <c r="F99" s="215">
        <f t="shared" si="36"/>
        <v>0</v>
      </c>
      <c r="G99" s="191">
        <f t="shared" si="37"/>
        <v>0</v>
      </c>
      <c r="H99" s="218">
        <f t="shared" si="38"/>
        <v>0</v>
      </c>
      <c r="I99" s="118">
        <f t="shared" si="39"/>
        <v>0</v>
      </c>
      <c r="J99" s="215">
        <f t="shared" si="40"/>
        <v>0</v>
      </c>
      <c r="K99" s="202"/>
      <c r="L99" s="186">
        <f t="shared" si="57"/>
        <v>39173</v>
      </c>
      <c r="M99" s="400">
        <f>+J99*(VLOOKUP(L99,CURVECALC!$C$6:$J$312,4,0)+N$5)</f>
        <v>0</v>
      </c>
      <c r="N99" s="208">
        <f>-F99*INDEX(ship_curves,MATCH(L99,'SHIP CURVES'!$A$9:$A$316,0),MATCH(CONCATENATE(P$4,P$5,P$6,P$7),'SHIP CURVES'!$A$9:$AZ$9,0))</f>
        <v>0</v>
      </c>
      <c r="O99" s="209">
        <f>-H99*INDEX(port_processing_fee,MATCH(L99,PORTS!$H$626:$H$933,0),MATCH(P$5,PORTS!$H$626:$Z$626,0))</f>
        <v>0</v>
      </c>
      <c r="P99" s="405">
        <f>(((VLOOKUP(L99,curvecalc,4,0))*IF(F99=0,0,J99/F99)-INDEX(ship_curves,MATCH(L99,'SHIP CURVES'!$A$9:$A$316,0),MATCH(CONCATENATE(P$4,P$5,P$6,P$7),'SHIP CURVES'!$A$9:$Z$9,0))-INDEX(terminal_curves,MATCH(L99,'TERMINAL CURVES'!$A$4:$A$313,0),MATCH(P$5,'TERMINAL CURVES'!$A$4:$N$4,0))*IF(F99=0,0,H99/F99))-(N$8)*((N$7-$N$5)-(INDEX(ship_curves,MATCH(L99,'SHIP CURVES'!$A$9:$A$316,0),MATCH(CONCATENATE(P$4,P$5,P$6,P$7),'SHIP CURVES'!$A$9:$Z$9,0))-INDEX(ship_curves,MATCH(L99,'SHIP CURVES'!$A$9:$A$316,0),MATCH(CONCATENATE(P$4,N$6,P$6,P$7),'SHIP CURVES'!$A$9:$Z$9,0)))-(INDEX(terminal_curves,MATCH(L99,'TERMINAL CURVES'!$A$4:$A$313,0),MATCH(P$5,'TERMINAL CURVES'!$A$4:$N$4,0))-INDEX(terminal_curves,MATCH(L99,'TERMINAL CURVES'!$A$4:$A$313,0),MATCH(N$6,'TERMINAL CURVES'!$A$4:$N$4,0)))*IF(F99=0,0,H99/F99)))*-F99</f>
        <v>0</v>
      </c>
      <c r="Q99" s="403">
        <f t="shared" si="41"/>
        <v>0</v>
      </c>
      <c r="R99" s="338">
        <f>(-H99/((HLOOKUP(P$5,port_specs,2,0)/(365.25))*(L100-L99)))*(INDEX(fixed_capacity_charge,MATCH(L99,PORTS!$H$11:$H$317,0),MATCH(P$5,PORTS!$H$11:$N$11,0))+INDEX(variable_om_charge,MATCH(L99,PORTS!$H$318:$H$625,0),MATCH(P$5,PORTS!$H$318:$N$318,0)))</f>
        <v>0</v>
      </c>
      <c r="S99" s="232">
        <f t="shared" si="42"/>
        <v>0</v>
      </c>
      <c r="T99" s="241">
        <f t="shared" si="43"/>
        <v>0</v>
      </c>
      <c r="V99" s="186">
        <f t="shared" si="58"/>
        <v>39173</v>
      </c>
      <c r="W99" s="215">
        <f t="shared" si="44"/>
        <v>0</v>
      </c>
      <c r="X99" s="191">
        <f t="shared" si="45"/>
        <v>0</v>
      </c>
      <c r="Y99" s="218">
        <f>+IF(AND(X$8&lt;=V99,X$9&gt;=V99),+MIN($B99-SUMIF($H$17:X$17,Y$17,$H99:X99),((INDEX(ROUTE_PER_DAY_BY_SHIP,MATCH(CONCATENATE(X$4,X$5,X$7),ROUTE_PER_DAY_ROUTES,0),MATCH(X$6,ROUTE_PER_DAY_SHIPS,0))*(V100-V99))-(INDEX(ROUTE_PER_DAY_BY_SHIP,MATCH(CONCATENATE(X$4,X$5,X$7),ROUTE_PER_DAY_ROUTES,0),MATCH(X$6,ROUTE_PER_DAY_SHIPS,0))*(V100-V99))*HLOOKUP(X$6,SHIPS,7,0)*INDEX(LADEN_VOYAGE_DAYS,MATCH(CONCATENATE(X$4,X$5,X$7),LADEN_VOYAGE_ROUTES,0),MATCH(X$6,LADEN_VOYAGE_SHIPS,0)))),0)</f>
        <v>0</v>
      </c>
      <c r="Z99" s="118">
        <f t="shared" si="46"/>
        <v>0</v>
      </c>
      <c r="AA99" s="215">
        <f t="shared" si="32"/>
        <v>0</v>
      </c>
      <c r="AB99" s="202"/>
      <c r="AC99" s="186">
        <f t="shared" si="59"/>
        <v>39173</v>
      </c>
      <c r="AD99" s="232">
        <f>+AA99*(VLOOKUP(AC99,CURVECALC!$C$6:$J$312,4,0)+AE$5)</f>
        <v>0</v>
      </c>
      <c r="AE99" s="208">
        <f>-W99*INDEX(ship_curves,MATCH(AC99,'SHIP CURVES'!$A$9:$A$316,0),MATCH(CONCATENATE(AG$4,AG$5,AG$6,AG$7),'SHIP CURVES'!$A$9:$AZ$9,0))</f>
        <v>0</v>
      </c>
      <c r="AF99" s="209">
        <f>-Y99*INDEX(port_processing_fee,MATCH(AC99,PORTS!$H$626:$H$933,0),MATCH(AG$5,PORTS!$H$626:$Z$626,0))</f>
        <v>0</v>
      </c>
      <c r="AG99" s="405">
        <f>(((VLOOKUP(AC99,curvecalc,4,0))*IF(W99=0,0,AA99/W99)-INDEX(ship_curves,MATCH(AC99,'SHIP CURVES'!$A$9:$A$316,0),MATCH(CONCATENATE(AG$4,AG$5,AG$6,AG$7),'SHIP CURVES'!$A$9:$Z$9,0))-INDEX(terminal_curves,MATCH(AC99,'TERMINAL CURVES'!$A$4:$A$313,0),MATCH(AG$5,'TERMINAL CURVES'!$A$4:$N$4,0))*IF(W99=0,0,Y99/W99))-(AE$8)*((AE$7-$N$5)-(INDEX(ship_curves,MATCH(AC99,'SHIP CURVES'!$A$9:$A$316,0),MATCH(CONCATENATE(AG$4,AG$5,AG$6,AG$7),'SHIP CURVES'!$A$9:$Z$9,0))-INDEX(ship_curves,MATCH(AC99,'SHIP CURVES'!$A$9:$A$316,0),MATCH(CONCATENATE(AG$4,AE$6,AG$6,AG$7),'SHIP CURVES'!$A$9:$Z$9,0)))-(INDEX(terminal_curves,MATCH(AC99,'TERMINAL CURVES'!$A$4:$A$313,0),MATCH(AG$5,'TERMINAL CURVES'!$A$4:$N$4,0))-INDEX(terminal_curves,MATCH(AC99,'TERMINAL CURVES'!$A$4:$A$313,0),MATCH(AE$6,'TERMINAL CURVES'!$A$4:$N$4,0)))*IF(W99=0,0,Y99/W99)))*-W99</f>
        <v>0</v>
      </c>
      <c r="AH99" s="343">
        <f t="shared" si="47"/>
        <v>0</v>
      </c>
      <c r="AI99" s="338">
        <f>(-Y99/((HLOOKUP(AG$5,port_specs,2,0)/(365.25))*(AC100-AC99)))*(INDEX(fixed_capacity_charge,MATCH(AC99,PORTS!$H$11:$H$317,0),MATCH(AG$5,PORTS!$H$11:$N$11,0))+INDEX(variable_om_charge,MATCH(AC99,PORTS!$H$318:$H$625,0),MATCH(AG$5,PORTS!$H$318:$N$318,0)))</f>
        <v>0</v>
      </c>
      <c r="AJ99" s="232">
        <f t="shared" si="48"/>
        <v>0</v>
      </c>
      <c r="AK99" s="241">
        <f t="shared" si="49"/>
        <v>0</v>
      </c>
      <c r="AM99" s="186">
        <f t="shared" si="60"/>
        <v>39173</v>
      </c>
      <c r="AN99" s="215">
        <f t="shared" si="50"/>
        <v>5221704.655509592</v>
      </c>
      <c r="AO99" s="191">
        <f t="shared" si="51"/>
        <v>-54827.898882850073</v>
      </c>
      <c r="AP99" s="218">
        <f>+IF(AND(AO$8&lt;=AM99,AO$9&gt;=AM99),+MIN($B99-SUMIF($H$17:AO$17,AP$17,$H99:AO99),((INDEX(ROUTE_PER_DAY_BY_SHIP,MATCH(CONCATENATE(AO$4,AO$5,AO$7),ROUTE_PER_DAY_ROUTES,0),MATCH(AO$6,ROUTE_PER_DAY_SHIPS,0))*(AM100-AM99))-(INDEX(ROUTE_PER_DAY_BY_SHIP,MATCH(CONCATENATE(AO$4,AO$5,AO$7),ROUTE_PER_DAY_ROUTES,0),MATCH(AO$6,ROUTE_PER_DAY_SHIPS,0))*(AM100-AM99))*HLOOKUP(AO$6,SHIPS,7,0)*INDEX(LADEN_VOYAGE_DAYS,MATCH(CONCATENATE(AO$4,AO$5,AO$7),LADEN_VOYAGE_ROUTES,0),MATCH(AO$6,LADEN_VOYAGE_SHIPS,0)))),0)</f>
        <v>5166876.756626742</v>
      </c>
      <c r="AQ99" s="118">
        <f>-(AP99)*PORTS!$I$6</f>
        <v>-129171.91891566856</v>
      </c>
      <c r="AR99" s="215">
        <f t="shared" si="33"/>
        <v>5037704.8377110735</v>
      </c>
      <c r="AS99" s="202"/>
      <c r="AT99" s="186">
        <f t="shared" si="61"/>
        <v>39173</v>
      </c>
      <c r="AU99" s="232">
        <f>+AR99*(VLOOKUP(AT99,CURVECALC!$C$6:$J$312,4,0)+AV$5)</f>
        <v>15682375.159794571</v>
      </c>
      <c r="AV99" s="208">
        <f>-AN99*INDEX(ship_curves,MATCH(AT99,'SHIP CURVES'!$A$9:$A$316,0),MATCH(CONCATENATE(AX$4,AX$5,AX$6,AX$7),'SHIP CURVES'!$A$9:$AZ$9,0))</f>
        <v>-1718263.0217840171</v>
      </c>
      <c r="AW99" s="209">
        <f>-AP99*INDEX(port_processing_fee,MATCH(AT99,PORTS!$H$626:$H$933,0),MATCH(AX$5,PORTS!$H$626:$Z$626,0))</f>
        <v>-148910.61102908553</v>
      </c>
      <c r="AX99" s="405">
        <f>(((VLOOKUP(AT99,curvecalc,4,0))*IF(AN99=0,0,AR99/AN99)-INDEX(ship_curves,MATCH(AT99,'SHIP CURVES'!$A$9:$A$316,0),MATCH(CONCATENATE(AX$4,AX$5,AX$6,AX$7),'SHIP CURVES'!$A$9:$Z$9,0))-INDEX(terminal_curves,MATCH(AT99,'TERMINAL CURVES'!$A$4:$A$313,0),MATCH(AX$5,'TERMINAL CURVES'!$A$4:$N$4,0))*IF(AN99=0,0,AP99/AN99))-(AV$8)*((AV$7-$N$5)-(INDEX(ship_curves,MATCH(AT99,'SHIP CURVES'!$A$9:$A$316,0),MATCH(CONCATENATE(AX$4,AX$5,AX$6,AX$7),'SHIP CURVES'!$A$9:$Z$9,0))-INDEX(ship_curves,MATCH(AT99,'SHIP CURVES'!$A$9:$A$316,0),MATCH(CONCATENATE(AX$4,AV$6,AX$6,AX$7),'SHIP CURVES'!$A$9:$Z$9,0)))-(INDEX(terminal_curves,MATCH(AT99,'TERMINAL CURVES'!$A$4:$A$313,0),MATCH(AX$5,'TERMINAL CURVES'!$A$4:$N$4,0))-INDEX(terminal_curves,MATCH(AT99,'TERMINAL CURVES'!$A$4:$A$313,0),MATCH(AV$6,'TERMINAL CURVES'!$A$4:$N$4,0)))*IF(AN99=0,0,AP99/AN99)))*-AN99</f>
        <v>-12733540.401932703</v>
      </c>
      <c r="AY99" s="343">
        <f t="shared" si="52"/>
        <v>-14600714.034745805</v>
      </c>
      <c r="AZ99" s="338">
        <f>(-AP99/((HLOOKUP(AX$5,port_specs,2,0)/(365.25))*(AT100-AT99)))*(INDEX(fixed_capacity_charge,MATCH(AT99,PORTS!$H$11:$H$317,0),MATCH(AX$5,PORTS!$H$11:$N$11,0))+INDEX(variable_om_charge,MATCH(AT99,PORTS!$H$318:$H$625,0),MATCH(AX$5,PORTS!$H$318:$N$318,0)))</f>
        <v>-980907.0282945435</v>
      </c>
      <c r="BA99" s="232">
        <f t="shared" si="53"/>
        <v>-15581621.063040348</v>
      </c>
      <c r="BB99" s="241">
        <f t="shared" si="54"/>
        <v>100754.09675422311</v>
      </c>
      <c r="BC99" s="408"/>
      <c r="BD99" s="338">
        <f>+PORTS!I93+PORTS!I401</f>
        <v>980907.0282945435</v>
      </c>
    </row>
    <row r="100" spans="1:56" x14ac:dyDescent="0.2">
      <c r="A100" s="186">
        <f t="shared" si="55"/>
        <v>39203</v>
      </c>
      <c r="B100" s="215">
        <f>+IF(AND($A100&gt;=$C$8,$A100&lt;=$C$9),1,0)*PORTS!$I$5/(365.25)*(A101-A100)</f>
        <v>5339105.9818476336</v>
      </c>
      <c r="C100" s="351">
        <f t="shared" si="34"/>
        <v>0</v>
      </c>
      <c r="D100">
        <f t="shared" si="35"/>
        <v>2007</v>
      </c>
      <c r="E100" s="186">
        <f t="shared" si="56"/>
        <v>39203</v>
      </c>
      <c r="F100" s="215">
        <f t="shared" si="36"/>
        <v>0</v>
      </c>
      <c r="G100" s="191">
        <f t="shared" si="37"/>
        <v>0</v>
      </c>
      <c r="H100" s="218">
        <f t="shared" si="38"/>
        <v>0</v>
      </c>
      <c r="I100" s="118">
        <f t="shared" si="39"/>
        <v>0</v>
      </c>
      <c r="J100" s="215">
        <f t="shared" si="40"/>
        <v>0</v>
      </c>
      <c r="K100" s="202"/>
      <c r="L100" s="186">
        <f t="shared" si="57"/>
        <v>39203</v>
      </c>
      <c r="M100" s="400">
        <f>+J100*(VLOOKUP(L100,CURVECALC!$C$6:$J$312,4,0)+N$5)</f>
        <v>0</v>
      </c>
      <c r="N100" s="208">
        <f>-F100*INDEX(ship_curves,MATCH(L100,'SHIP CURVES'!$A$9:$A$316,0),MATCH(CONCATENATE(P$4,P$5,P$6,P$7),'SHIP CURVES'!$A$9:$AZ$9,0))</f>
        <v>0</v>
      </c>
      <c r="O100" s="209">
        <f>-H100*INDEX(port_processing_fee,MATCH(L100,PORTS!$H$626:$H$933,0),MATCH(P$5,PORTS!$H$626:$Z$626,0))</f>
        <v>0</v>
      </c>
      <c r="P100" s="405">
        <f>(((VLOOKUP(L100,curvecalc,4,0))*IF(F100=0,0,J100/F100)-INDEX(ship_curves,MATCH(L100,'SHIP CURVES'!$A$9:$A$316,0),MATCH(CONCATENATE(P$4,P$5,P$6,P$7),'SHIP CURVES'!$A$9:$Z$9,0))-INDEX(terminal_curves,MATCH(L100,'TERMINAL CURVES'!$A$4:$A$313,0),MATCH(P$5,'TERMINAL CURVES'!$A$4:$N$4,0))*IF(F100=0,0,H100/F100))-(N$8)*((N$7-$N$5)-(INDEX(ship_curves,MATCH(L100,'SHIP CURVES'!$A$9:$A$316,0),MATCH(CONCATENATE(P$4,P$5,P$6,P$7),'SHIP CURVES'!$A$9:$Z$9,0))-INDEX(ship_curves,MATCH(L100,'SHIP CURVES'!$A$9:$A$316,0),MATCH(CONCATENATE(P$4,N$6,P$6,P$7),'SHIP CURVES'!$A$9:$Z$9,0)))-(INDEX(terminal_curves,MATCH(L100,'TERMINAL CURVES'!$A$4:$A$313,0),MATCH(P$5,'TERMINAL CURVES'!$A$4:$N$4,0))-INDEX(terminal_curves,MATCH(L100,'TERMINAL CURVES'!$A$4:$A$313,0),MATCH(N$6,'TERMINAL CURVES'!$A$4:$N$4,0)))*IF(F100=0,0,H100/F100)))*-F100</f>
        <v>0</v>
      </c>
      <c r="Q100" s="403">
        <f t="shared" si="41"/>
        <v>0</v>
      </c>
      <c r="R100" s="338">
        <f>(-H100/((HLOOKUP(P$5,port_specs,2,0)/(365.25))*(L101-L100)))*(INDEX(fixed_capacity_charge,MATCH(L100,PORTS!$H$11:$H$317,0),MATCH(P$5,PORTS!$H$11:$N$11,0))+INDEX(variable_om_charge,MATCH(L100,PORTS!$H$318:$H$625,0),MATCH(P$5,PORTS!$H$318:$N$318,0)))</f>
        <v>0</v>
      </c>
      <c r="S100" s="232">
        <f t="shared" si="42"/>
        <v>0</v>
      </c>
      <c r="T100" s="241">
        <f t="shared" si="43"/>
        <v>0</v>
      </c>
      <c r="V100" s="186">
        <f t="shared" si="58"/>
        <v>39203</v>
      </c>
      <c r="W100" s="215">
        <f t="shared" si="44"/>
        <v>0</v>
      </c>
      <c r="X100" s="191">
        <f t="shared" si="45"/>
        <v>0</v>
      </c>
      <c r="Y100" s="218">
        <f>+IF(AND(X$8&lt;=V100,X$9&gt;=V100),+MIN($B100-SUMIF($H$17:X$17,Y$17,$H100:X100),((INDEX(ROUTE_PER_DAY_BY_SHIP,MATCH(CONCATENATE(X$4,X$5,X$7),ROUTE_PER_DAY_ROUTES,0),MATCH(X$6,ROUTE_PER_DAY_SHIPS,0))*(V101-V100))-(INDEX(ROUTE_PER_DAY_BY_SHIP,MATCH(CONCATENATE(X$4,X$5,X$7),ROUTE_PER_DAY_ROUTES,0),MATCH(X$6,ROUTE_PER_DAY_SHIPS,0))*(V101-V100))*HLOOKUP(X$6,SHIPS,7,0)*INDEX(LADEN_VOYAGE_DAYS,MATCH(CONCATENATE(X$4,X$5,X$7),LADEN_VOYAGE_ROUTES,0),MATCH(X$6,LADEN_VOYAGE_SHIPS,0)))),0)</f>
        <v>0</v>
      </c>
      <c r="Z100" s="118">
        <f t="shared" si="46"/>
        <v>0</v>
      </c>
      <c r="AA100" s="215">
        <f t="shared" si="32"/>
        <v>0</v>
      </c>
      <c r="AB100" s="202"/>
      <c r="AC100" s="186">
        <f t="shared" si="59"/>
        <v>39203</v>
      </c>
      <c r="AD100" s="232">
        <f>+AA100*(VLOOKUP(AC100,CURVECALC!$C$6:$J$312,4,0)+AE$5)</f>
        <v>0</v>
      </c>
      <c r="AE100" s="208">
        <f>-W100*INDEX(ship_curves,MATCH(AC100,'SHIP CURVES'!$A$9:$A$316,0),MATCH(CONCATENATE(AG$4,AG$5,AG$6,AG$7),'SHIP CURVES'!$A$9:$AZ$9,0))</f>
        <v>0</v>
      </c>
      <c r="AF100" s="209">
        <f>-Y100*INDEX(port_processing_fee,MATCH(AC100,PORTS!$H$626:$H$933,0),MATCH(AG$5,PORTS!$H$626:$Z$626,0))</f>
        <v>0</v>
      </c>
      <c r="AG100" s="405">
        <f>(((VLOOKUP(AC100,curvecalc,4,0))*IF(W100=0,0,AA100/W100)-INDEX(ship_curves,MATCH(AC100,'SHIP CURVES'!$A$9:$A$316,0),MATCH(CONCATENATE(AG$4,AG$5,AG$6,AG$7),'SHIP CURVES'!$A$9:$Z$9,0))-INDEX(terminal_curves,MATCH(AC100,'TERMINAL CURVES'!$A$4:$A$313,0),MATCH(AG$5,'TERMINAL CURVES'!$A$4:$N$4,0))*IF(W100=0,0,Y100/W100))-(AE$8)*((AE$7-$N$5)-(INDEX(ship_curves,MATCH(AC100,'SHIP CURVES'!$A$9:$A$316,0),MATCH(CONCATENATE(AG$4,AG$5,AG$6,AG$7),'SHIP CURVES'!$A$9:$Z$9,0))-INDEX(ship_curves,MATCH(AC100,'SHIP CURVES'!$A$9:$A$316,0),MATCH(CONCATENATE(AG$4,AE$6,AG$6,AG$7),'SHIP CURVES'!$A$9:$Z$9,0)))-(INDEX(terminal_curves,MATCH(AC100,'TERMINAL CURVES'!$A$4:$A$313,0),MATCH(AG$5,'TERMINAL CURVES'!$A$4:$N$4,0))-INDEX(terminal_curves,MATCH(AC100,'TERMINAL CURVES'!$A$4:$A$313,0),MATCH(AE$6,'TERMINAL CURVES'!$A$4:$N$4,0)))*IF(W100=0,0,Y100/W100)))*-W100</f>
        <v>0</v>
      </c>
      <c r="AH100" s="343">
        <f t="shared" si="47"/>
        <v>0</v>
      </c>
      <c r="AI100" s="338">
        <f>(-Y100/((HLOOKUP(AG$5,port_specs,2,0)/(365.25))*(AC101-AC100)))*(INDEX(fixed_capacity_charge,MATCH(AC100,PORTS!$H$11:$H$317,0),MATCH(AG$5,PORTS!$H$11:$N$11,0))+INDEX(variable_om_charge,MATCH(AC100,PORTS!$H$318:$H$625,0),MATCH(AG$5,PORTS!$H$318:$N$318,0)))</f>
        <v>0</v>
      </c>
      <c r="AJ100" s="232">
        <f t="shared" si="48"/>
        <v>0</v>
      </c>
      <c r="AK100" s="241">
        <f t="shared" si="49"/>
        <v>0</v>
      </c>
      <c r="AM100" s="186">
        <f t="shared" si="60"/>
        <v>39203</v>
      </c>
      <c r="AN100" s="215">
        <f t="shared" si="50"/>
        <v>5395761.4773599124</v>
      </c>
      <c r="AO100" s="191">
        <f t="shared" si="51"/>
        <v>-56655.495512278751</v>
      </c>
      <c r="AP100" s="218">
        <f>+IF(AND(AO$8&lt;=AM100,AO$9&gt;=AM100),+MIN($B100-SUMIF($H$17:AO$17,AP$17,$H100:AO100),((INDEX(ROUTE_PER_DAY_BY_SHIP,MATCH(CONCATENATE(AO$4,AO$5,AO$7),ROUTE_PER_DAY_ROUTES,0),MATCH(AO$6,ROUTE_PER_DAY_SHIPS,0))*(AM101-AM100))-(INDEX(ROUTE_PER_DAY_BY_SHIP,MATCH(CONCATENATE(AO$4,AO$5,AO$7),ROUTE_PER_DAY_ROUTES,0),MATCH(AO$6,ROUTE_PER_DAY_SHIPS,0))*(AM101-AM100))*HLOOKUP(AO$6,SHIPS,7,0)*INDEX(LADEN_VOYAGE_DAYS,MATCH(CONCATENATE(AO$4,AO$5,AO$7),LADEN_VOYAGE_ROUTES,0),MATCH(AO$6,LADEN_VOYAGE_SHIPS,0)))),0)</f>
        <v>5339105.9818476336</v>
      </c>
      <c r="AQ100" s="118">
        <f>-(AP100)*PORTS!$I$6</f>
        <v>-133477.64954619083</v>
      </c>
      <c r="AR100" s="215">
        <f t="shared" si="33"/>
        <v>5205628.3323014425</v>
      </c>
      <c r="AS100" s="202"/>
      <c r="AT100" s="186">
        <f t="shared" si="61"/>
        <v>39203</v>
      </c>
      <c r="AU100" s="232">
        <f>+AR100*(VLOOKUP(AT100,CURVECALC!$C$6:$J$312,4,0)+AV$5)</f>
        <v>16147859.086799074</v>
      </c>
      <c r="AV100" s="208">
        <f>-AN100*INDEX(ship_curves,MATCH(AT100,'SHIP CURVES'!$A$9:$A$316,0),MATCH(CONCATENATE(AX$4,AX$5,AX$6,AX$7),'SHIP CURVES'!$A$9:$AZ$9,0))</f>
        <v>-1776041.8115285416</v>
      </c>
      <c r="AW100" s="209">
        <f>-AP100*INDEX(port_processing_fee,MATCH(AT100,PORTS!$H$626:$H$933,0),MATCH(AX$5,PORTS!$H$626:$Z$626,0))</f>
        <v>-154034.58379053773</v>
      </c>
      <c r="AX100" s="405">
        <f>(((VLOOKUP(AT100,curvecalc,4,0))*IF(AN100=0,0,AR100/AN100)-INDEX(ship_curves,MATCH(AT100,'SHIP CURVES'!$A$9:$A$316,0),MATCH(CONCATENATE(AX$4,AX$5,AX$6,AX$7),'SHIP CURVES'!$A$9:$Z$9,0))-INDEX(terminal_curves,MATCH(AT100,'TERMINAL CURVES'!$A$4:$A$313,0),MATCH(AX$5,'TERMINAL CURVES'!$A$4:$N$4,0))*IF(AN100=0,0,AP100/AN100))-(AV$8)*((AV$7-$N$5)-(INDEX(ship_curves,MATCH(AT100,'SHIP CURVES'!$A$9:$A$316,0),MATCH(CONCATENATE(AX$4,AX$5,AX$6,AX$7),'SHIP CURVES'!$A$9:$Z$9,0))-INDEX(ship_curves,MATCH(AT100,'SHIP CURVES'!$A$9:$A$316,0),MATCH(CONCATENATE(AX$4,AV$6,AX$6,AX$7),'SHIP CURVES'!$A$9:$Z$9,0)))-(INDEX(terminal_curves,MATCH(AT100,'TERMINAL CURVES'!$A$4:$A$313,0),MATCH(AX$5,'TERMINAL CURVES'!$A$4:$N$4,0))-INDEX(terminal_curves,MATCH(AT100,'TERMINAL CURVES'!$A$4:$A$313,0),MATCH(AV$6,'TERMINAL CURVES'!$A$4:$N$4,0)))*IF(AN100=0,0,AP100/AN100)))*-AN100</f>
        <v>-13132246.721062977</v>
      </c>
      <c r="AY100" s="343">
        <f t="shared" si="52"/>
        <v>-15062323.116382057</v>
      </c>
      <c r="AZ100" s="338">
        <f>(-AP100/((HLOOKUP(AX$5,port_specs,2,0)/(365.25))*(AT101-AT100)))*(INDEX(fixed_capacity_charge,MATCH(AT100,PORTS!$H$11:$H$317,0),MATCH(AX$5,PORTS!$H$11:$N$11,0))+INDEX(variable_om_charge,MATCH(AT100,PORTS!$H$318:$H$625,0),MATCH(AX$5,PORTS!$H$318:$N$318,0)))</f>
        <v>-981423.40377098753</v>
      </c>
      <c r="BA100" s="232">
        <f t="shared" si="53"/>
        <v>-16043746.520153044</v>
      </c>
      <c r="BB100" s="241">
        <f t="shared" si="54"/>
        <v>104112.56664603017</v>
      </c>
      <c r="BC100" s="408"/>
      <c r="BD100" s="338">
        <f>+PORTS!I94+PORTS!I402</f>
        <v>981423.40377098753</v>
      </c>
    </row>
    <row r="101" spans="1:56" x14ac:dyDescent="0.2">
      <c r="A101" s="186">
        <f t="shared" si="55"/>
        <v>39234</v>
      </c>
      <c r="B101" s="215">
        <f>+IF(AND($A101&gt;=$C$8,$A101&lt;=$C$9),1,0)*PORTS!$I$5/(365.25)*(A102-A101)</f>
        <v>5166876.756626742</v>
      </c>
      <c r="C101" s="351">
        <f t="shared" si="34"/>
        <v>0</v>
      </c>
      <c r="D101">
        <f t="shared" si="35"/>
        <v>2007</v>
      </c>
      <c r="E101" s="186">
        <f t="shared" si="56"/>
        <v>39234</v>
      </c>
      <c r="F101" s="215">
        <f t="shared" si="36"/>
        <v>0</v>
      </c>
      <c r="G101" s="191">
        <f t="shared" si="37"/>
        <v>0</v>
      </c>
      <c r="H101" s="218">
        <f t="shared" si="38"/>
        <v>0</v>
      </c>
      <c r="I101" s="118">
        <f t="shared" si="39"/>
        <v>0</v>
      </c>
      <c r="J101" s="215">
        <f t="shared" si="40"/>
        <v>0</v>
      </c>
      <c r="K101" s="202"/>
      <c r="L101" s="186">
        <f t="shared" si="57"/>
        <v>39234</v>
      </c>
      <c r="M101" s="400">
        <f>+J101*(VLOOKUP(L101,CURVECALC!$C$6:$J$312,4,0)+N$5)</f>
        <v>0</v>
      </c>
      <c r="N101" s="208">
        <f>-F101*INDEX(ship_curves,MATCH(L101,'SHIP CURVES'!$A$9:$A$316,0),MATCH(CONCATENATE(P$4,P$5,P$6,P$7),'SHIP CURVES'!$A$9:$AZ$9,0))</f>
        <v>0</v>
      </c>
      <c r="O101" s="209">
        <f>-H101*INDEX(port_processing_fee,MATCH(L101,PORTS!$H$626:$H$933,0),MATCH(P$5,PORTS!$H$626:$Z$626,0))</f>
        <v>0</v>
      </c>
      <c r="P101" s="405">
        <f>(((VLOOKUP(L101,curvecalc,4,0))*IF(F101=0,0,J101/F101)-INDEX(ship_curves,MATCH(L101,'SHIP CURVES'!$A$9:$A$316,0),MATCH(CONCATENATE(P$4,P$5,P$6,P$7),'SHIP CURVES'!$A$9:$Z$9,0))-INDEX(terminal_curves,MATCH(L101,'TERMINAL CURVES'!$A$4:$A$313,0),MATCH(P$5,'TERMINAL CURVES'!$A$4:$N$4,0))*IF(F101=0,0,H101/F101))-(N$8)*((N$7-$N$5)-(INDEX(ship_curves,MATCH(L101,'SHIP CURVES'!$A$9:$A$316,0),MATCH(CONCATENATE(P$4,P$5,P$6,P$7),'SHIP CURVES'!$A$9:$Z$9,0))-INDEX(ship_curves,MATCH(L101,'SHIP CURVES'!$A$9:$A$316,0),MATCH(CONCATENATE(P$4,N$6,P$6,P$7),'SHIP CURVES'!$A$9:$Z$9,0)))-(INDEX(terminal_curves,MATCH(L101,'TERMINAL CURVES'!$A$4:$A$313,0),MATCH(P$5,'TERMINAL CURVES'!$A$4:$N$4,0))-INDEX(terminal_curves,MATCH(L101,'TERMINAL CURVES'!$A$4:$A$313,0),MATCH(N$6,'TERMINAL CURVES'!$A$4:$N$4,0)))*IF(F101=0,0,H101/F101)))*-F101</f>
        <v>0</v>
      </c>
      <c r="Q101" s="403">
        <f t="shared" si="41"/>
        <v>0</v>
      </c>
      <c r="R101" s="338">
        <f>(-H101/((HLOOKUP(P$5,port_specs,2,0)/(365.25))*(L102-L101)))*(INDEX(fixed_capacity_charge,MATCH(L101,PORTS!$H$11:$H$317,0),MATCH(P$5,PORTS!$H$11:$N$11,0))+INDEX(variable_om_charge,MATCH(L101,PORTS!$H$318:$H$625,0),MATCH(P$5,PORTS!$H$318:$N$318,0)))</f>
        <v>0</v>
      </c>
      <c r="S101" s="232">
        <f t="shared" si="42"/>
        <v>0</v>
      </c>
      <c r="T101" s="241">
        <f t="shared" si="43"/>
        <v>0</v>
      </c>
      <c r="V101" s="186">
        <f t="shared" si="58"/>
        <v>39234</v>
      </c>
      <c r="W101" s="215">
        <f t="shared" si="44"/>
        <v>0</v>
      </c>
      <c r="X101" s="191">
        <f t="shared" si="45"/>
        <v>0</v>
      </c>
      <c r="Y101" s="218">
        <f>+IF(AND(X$8&lt;=V101,X$9&gt;=V101),+MIN($B101-SUMIF($H$17:X$17,Y$17,$H101:X101),((INDEX(ROUTE_PER_DAY_BY_SHIP,MATCH(CONCATENATE(X$4,X$5,X$7),ROUTE_PER_DAY_ROUTES,0),MATCH(X$6,ROUTE_PER_DAY_SHIPS,0))*(V102-V101))-(INDEX(ROUTE_PER_DAY_BY_SHIP,MATCH(CONCATENATE(X$4,X$5,X$7),ROUTE_PER_DAY_ROUTES,0),MATCH(X$6,ROUTE_PER_DAY_SHIPS,0))*(V102-V101))*HLOOKUP(X$6,SHIPS,7,0)*INDEX(LADEN_VOYAGE_DAYS,MATCH(CONCATENATE(X$4,X$5,X$7),LADEN_VOYAGE_ROUTES,0),MATCH(X$6,LADEN_VOYAGE_SHIPS,0)))),0)</f>
        <v>0</v>
      </c>
      <c r="Z101" s="118">
        <f t="shared" si="46"/>
        <v>0</v>
      </c>
      <c r="AA101" s="215">
        <f t="shared" si="32"/>
        <v>0</v>
      </c>
      <c r="AB101" s="202"/>
      <c r="AC101" s="186">
        <f t="shared" si="59"/>
        <v>39234</v>
      </c>
      <c r="AD101" s="232">
        <f>+AA101*(VLOOKUP(AC101,CURVECALC!$C$6:$J$312,4,0)+AE$5)</f>
        <v>0</v>
      </c>
      <c r="AE101" s="208">
        <f>-W101*INDEX(ship_curves,MATCH(AC101,'SHIP CURVES'!$A$9:$A$316,0),MATCH(CONCATENATE(AG$4,AG$5,AG$6,AG$7),'SHIP CURVES'!$A$9:$AZ$9,0))</f>
        <v>0</v>
      </c>
      <c r="AF101" s="209">
        <f>-Y101*INDEX(port_processing_fee,MATCH(AC101,PORTS!$H$626:$H$933,0),MATCH(AG$5,PORTS!$H$626:$Z$626,0))</f>
        <v>0</v>
      </c>
      <c r="AG101" s="405">
        <f>(((VLOOKUP(AC101,curvecalc,4,0))*IF(W101=0,0,AA101/W101)-INDEX(ship_curves,MATCH(AC101,'SHIP CURVES'!$A$9:$A$316,0),MATCH(CONCATENATE(AG$4,AG$5,AG$6,AG$7),'SHIP CURVES'!$A$9:$Z$9,0))-INDEX(terminal_curves,MATCH(AC101,'TERMINAL CURVES'!$A$4:$A$313,0),MATCH(AG$5,'TERMINAL CURVES'!$A$4:$N$4,0))*IF(W101=0,0,Y101/W101))-(AE$8)*((AE$7-$N$5)-(INDEX(ship_curves,MATCH(AC101,'SHIP CURVES'!$A$9:$A$316,0),MATCH(CONCATENATE(AG$4,AG$5,AG$6,AG$7),'SHIP CURVES'!$A$9:$Z$9,0))-INDEX(ship_curves,MATCH(AC101,'SHIP CURVES'!$A$9:$A$316,0),MATCH(CONCATENATE(AG$4,AE$6,AG$6,AG$7),'SHIP CURVES'!$A$9:$Z$9,0)))-(INDEX(terminal_curves,MATCH(AC101,'TERMINAL CURVES'!$A$4:$A$313,0),MATCH(AG$5,'TERMINAL CURVES'!$A$4:$N$4,0))-INDEX(terminal_curves,MATCH(AC101,'TERMINAL CURVES'!$A$4:$A$313,0),MATCH(AE$6,'TERMINAL CURVES'!$A$4:$N$4,0)))*IF(W101=0,0,Y101/W101)))*-W101</f>
        <v>0</v>
      </c>
      <c r="AH101" s="343">
        <f t="shared" si="47"/>
        <v>0</v>
      </c>
      <c r="AI101" s="338">
        <f>(-Y101/((HLOOKUP(AG$5,port_specs,2,0)/(365.25))*(AC102-AC101)))*(INDEX(fixed_capacity_charge,MATCH(AC101,PORTS!$H$11:$H$317,0),MATCH(AG$5,PORTS!$H$11:$N$11,0))+INDEX(variable_om_charge,MATCH(AC101,PORTS!$H$318:$H$625,0),MATCH(AG$5,PORTS!$H$318:$N$318,0)))</f>
        <v>0</v>
      </c>
      <c r="AJ101" s="232">
        <f t="shared" si="48"/>
        <v>0</v>
      </c>
      <c r="AK101" s="241">
        <f t="shared" si="49"/>
        <v>0</v>
      </c>
      <c r="AM101" s="186">
        <f t="shared" si="60"/>
        <v>39234</v>
      </c>
      <c r="AN101" s="215">
        <f t="shared" si="50"/>
        <v>5221704.655509592</v>
      </c>
      <c r="AO101" s="191">
        <f t="shared" si="51"/>
        <v>-54827.898882850073</v>
      </c>
      <c r="AP101" s="218">
        <f>+IF(AND(AO$8&lt;=AM101,AO$9&gt;=AM101),+MIN($B101-SUMIF($H$17:AO$17,AP$17,$H101:AO101),((INDEX(ROUTE_PER_DAY_BY_SHIP,MATCH(CONCATENATE(AO$4,AO$5,AO$7),ROUTE_PER_DAY_ROUTES,0),MATCH(AO$6,ROUTE_PER_DAY_SHIPS,0))*(AM102-AM101))-(INDEX(ROUTE_PER_DAY_BY_SHIP,MATCH(CONCATENATE(AO$4,AO$5,AO$7),ROUTE_PER_DAY_ROUTES,0),MATCH(AO$6,ROUTE_PER_DAY_SHIPS,0))*(AM102-AM101))*HLOOKUP(AO$6,SHIPS,7,0)*INDEX(LADEN_VOYAGE_DAYS,MATCH(CONCATENATE(AO$4,AO$5,AO$7),LADEN_VOYAGE_ROUTES,0),MATCH(AO$6,LADEN_VOYAGE_SHIPS,0)))),0)</f>
        <v>5166876.756626742</v>
      </c>
      <c r="AQ101" s="118">
        <f>-(AP101)*PORTS!$I$6</f>
        <v>-129171.91891566856</v>
      </c>
      <c r="AR101" s="215">
        <f t="shared" si="33"/>
        <v>5037704.8377110735</v>
      </c>
      <c r="AS101" s="202"/>
      <c r="AT101" s="186">
        <f t="shared" si="61"/>
        <v>39234</v>
      </c>
      <c r="AU101" s="232">
        <f>+AR101*(VLOOKUP(AT101,CURVECALC!$C$6:$J$312,4,0)+AV$5)</f>
        <v>15798242.371061927</v>
      </c>
      <c r="AV101" s="208">
        <f>-AN101*INDEX(ship_curves,MATCH(AT101,'SHIP CURVES'!$A$9:$A$316,0),MATCH(CONCATENATE(AX$4,AX$5,AX$6,AX$7),'SHIP CURVES'!$A$9:$AZ$9,0))</f>
        <v>-1719238.2734238147</v>
      </c>
      <c r="AW101" s="209">
        <f>-AP101*INDEX(port_processing_fee,MATCH(AT101,PORTS!$H$626:$H$933,0),MATCH(AX$5,PORTS!$H$626:$Z$626,0))</f>
        <v>-149221.00304708342</v>
      </c>
      <c r="AX101" s="405">
        <f>(((VLOOKUP(AT101,curvecalc,4,0))*IF(AN101=0,0,AR101/AN101)-INDEX(ship_curves,MATCH(AT101,'SHIP CURVES'!$A$9:$A$316,0),MATCH(CONCATENATE(AX$4,AX$5,AX$6,AX$7),'SHIP CURVES'!$A$9:$Z$9,0))-INDEX(terminal_curves,MATCH(AT101,'TERMINAL CURVES'!$A$4:$A$313,0),MATCH(AX$5,'TERMINAL CURVES'!$A$4:$N$4,0))*IF(AN101=0,0,AP101/AN101))-(AV$8)*((AV$7-$N$5)-(INDEX(ship_curves,MATCH(AT101,'SHIP CURVES'!$A$9:$A$316,0),MATCH(CONCATENATE(AX$4,AX$5,AX$6,AX$7),'SHIP CURVES'!$A$9:$Z$9,0))-INDEX(ship_curves,MATCH(AT101,'SHIP CURVES'!$A$9:$A$316,0),MATCH(CONCATENATE(AX$4,AV$6,AX$6,AX$7),'SHIP CURVES'!$A$9:$Z$9,0)))-(INDEX(terminal_curves,MATCH(AT101,'TERMINAL CURVES'!$A$4:$A$313,0),MATCH(AX$5,'TERMINAL CURVES'!$A$4:$N$4,0))-INDEX(terminal_curves,MATCH(AT101,'TERMINAL CURVES'!$A$4:$A$313,0),MATCH(AV$6,'TERMINAL CURVES'!$A$4:$N$4,0)))*IF(AN101=0,0,AP101/AN101)))*-AN101</f>
        <v>-12847088.680698255</v>
      </c>
      <c r="AY101" s="343">
        <f t="shared" si="52"/>
        <v>-14715547.957169153</v>
      </c>
      <c r="AZ101" s="338">
        <f>(-AP101/((HLOOKUP(AX$5,port_specs,2,0)/(365.25))*(AT102-AT101)))*(INDEX(fixed_capacity_charge,MATCH(AT101,PORTS!$H$11:$H$317,0),MATCH(AX$5,PORTS!$H$11:$N$11,0))+INDEX(variable_om_charge,MATCH(AT101,PORTS!$H$318:$H$625,0),MATCH(AX$5,PORTS!$H$318:$N$318,0)))</f>
        <v>-981940.31713855278</v>
      </c>
      <c r="BA101" s="232">
        <f t="shared" si="53"/>
        <v>-15697488.274307705</v>
      </c>
      <c r="BB101" s="241">
        <f t="shared" si="54"/>
        <v>100754.09675422125</v>
      </c>
      <c r="BC101" s="408"/>
      <c r="BD101" s="338">
        <f>+PORTS!I95+PORTS!I403</f>
        <v>981940.31713855278</v>
      </c>
    </row>
    <row r="102" spans="1:56" x14ac:dyDescent="0.2">
      <c r="A102" s="186">
        <f t="shared" si="55"/>
        <v>39264</v>
      </c>
      <c r="B102" s="215">
        <f>+IF(AND($A102&gt;=$C$8,$A102&lt;=$C$9),1,0)*PORTS!$I$5/(365.25)*(A103-A102)</f>
        <v>5339105.9818476336</v>
      </c>
      <c r="C102" s="351">
        <f t="shared" si="34"/>
        <v>0</v>
      </c>
      <c r="D102">
        <f t="shared" si="35"/>
        <v>2007</v>
      </c>
      <c r="E102" s="186">
        <f t="shared" si="56"/>
        <v>39264</v>
      </c>
      <c r="F102" s="215">
        <f t="shared" si="36"/>
        <v>0</v>
      </c>
      <c r="G102" s="191">
        <f t="shared" si="37"/>
        <v>0</v>
      </c>
      <c r="H102" s="218">
        <f t="shared" si="38"/>
        <v>0</v>
      </c>
      <c r="I102" s="118">
        <f t="shared" si="39"/>
        <v>0</v>
      </c>
      <c r="J102" s="215">
        <f t="shared" si="40"/>
        <v>0</v>
      </c>
      <c r="K102" s="202"/>
      <c r="L102" s="186">
        <f t="shared" si="57"/>
        <v>39264</v>
      </c>
      <c r="M102" s="400">
        <f>+J102*(VLOOKUP(L102,CURVECALC!$C$6:$J$312,4,0)+N$5)</f>
        <v>0</v>
      </c>
      <c r="N102" s="208">
        <f>-F102*INDEX(ship_curves,MATCH(L102,'SHIP CURVES'!$A$9:$A$316,0),MATCH(CONCATENATE(P$4,P$5,P$6,P$7),'SHIP CURVES'!$A$9:$AZ$9,0))</f>
        <v>0</v>
      </c>
      <c r="O102" s="209">
        <f>-H102*INDEX(port_processing_fee,MATCH(L102,PORTS!$H$626:$H$933,0),MATCH(P$5,PORTS!$H$626:$Z$626,0))</f>
        <v>0</v>
      </c>
      <c r="P102" s="405">
        <f>(((VLOOKUP(L102,curvecalc,4,0))*IF(F102=0,0,J102/F102)-INDEX(ship_curves,MATCH(L102,'SHIP CURVES'!$A$9:$A$316,0),MATCH(CONCATENATE(P$4,P$5,P$6,P$7),'SHIP CURVES'!$A$9:$Z$9,0))-INDEX(terminal_curves,MATCH(L102,'TERMINAL CURVES'!$A$4:$A$313,0),MATCH(P$5,'TERMINAL CURVES'!$A$4:$N$4,0))*IF(F102=0,0,H102/F102))-(N$8)*((N$7-$N$5)-(INDEX(ship_curves,MATCH(L102,'SHIP CURVES'!$A$9:$A$316,0),MATCH(CONCATENATE(P$4,P$5,P$6,P$7),'SHIP CURVES'!$A$9:$Z$9,0))-INDEX(ship_curves,MATCH(L102,'SHIP CURVES'!$A$9:$A$316,0),MATCH(CONCATENATE(P$4,N$6,P$6,P$7),'SHIP CURVES'!$A$9:$Z$9,0)))-(INDEX(terminal_curves,MATCH(L102,'TERMINAL CURVES'!$A$4:$A$313,0),MATCH(P$5,'TERMINAL CURVES'!$A$4:$N$4,0))-INDEX(terminal_curves,MATCH(L102,'TERMINAL CURVES'!$A$4:$A$313,0),MATCH(N$6,'TERMINAL CURVES'!$A$4:$N$4,0)))*IF(F102=0,0,H102/F102)))*-F102</f>
        <v>0</v>
      </c>
      <c r="Q102" s="403">
        <f t="shared" si="41"/>
        <v>0</v>
      </c>
      <c r="R102" s="338">
        <f>(-H102/((HLOOKUP(P$5,port_specs,2,0)/(365.25))*(L103-L102)))*(INDEX(fixed_capacity_charge,MATCH(L102,PORTS!$H$11:$H$317,0),MATCH(P$5,PORTS!$H$11:$N$11,0))+INDEX(variable_om_charge,MATCH(L102,PORTS!$H$318:$H$625,0),MATCH(P$5,PORTS!$H$318:$N$318,0)))</f>
        <v>0</v>
      </c>
      <c r="S102" s="232">
        <f t="shared" si="42"/>
        <v>0</v>
      </c>
      <c r="T102" s="241">
        <f t="shared" si="43"/>
        <v>0</v>
      </c>
      <c r="V102" s="186">
        <f t="shared" si="58"/>
        <v>39264</v>
      </c>
      <c r="W102" s="215">
        <f t="shared" si="44"/>
        <v>0</v>
      </c>
      <c r="X102" s="191">
        <f t="shared" si="45"/>
        <v>0</v>
      </c>
      <c r="Y102" s="218">
        <f>+IF(AND(X$8&lt;=V102,X$9&gt;=V102),+MIN($B102-SUMIF($H$17:X$17,Y$17,$H102:X102),((INDEX(ROUTE_PER_DAY_BY_SHIP,MATCH(CONCATENATE(X$4,X$5,X$7),ROUTE_PER_DAY_ROUTES,0),MATCH(X$6,ROUTE_PER_DAY_SHIPS,0))*(V103-V102))-(INDEX(ROUTE_PER_DAY_BY_SHIP,MATCH(CONCATENATE(X$4,X$5,X$7),ROUTE_PER_DAY_ROUTES,0),MATCH(X$6,ROUTE_PER_DAY_SHIPS,0))*(V103-V102))*HLOOKUP(X$6,SHIPS,7,0)*INDEX(LADEN_VOYAGE_DAYS,MATCH(CONCATENATE(X$4,X$5,X$7),LADEN_VOYAGE_ROUTES,0),MATCH(X$6,LADEN_VOYAGE_SHIPS,0)))),0)</f>
        <v>0</v>
      </c>
      <c r="Z102" s="118">
        <f t="shared" si="46"/>
        <v>0</v>
      </c>
      <c r="AA102" s="215">
        <f t="shared" si="32"/>
        <v>0</v>
      </c>
      <c r="AB102" s="202"/>
      <c r="AC102" s="186">
        <f t="shared" si="59"/>
        <v>39264</v>
      </c>
      <c r="AD102" s="232">
        <f>+AA102*(VLOOKUP(AC102,CURVECALC!$C$6:$J$312,4,0)+AE$5)</f>
        <v>0</v>
      </c>
      <c r="AE102" s="208">
        <f>-W102*INDEX(ship_curves,MATCH(AC102,'SHIP CURVES'!$A$9:$A$316,0),MATCH(CONCATENATE(AG$4,AG$5,AG$6,AG$7),'SHIP CURVES'!$A$9:$AZ$9,0))</f>
        <v>0</v>
      </c>
      <c r="AF102" s="209">
        <f>-Y102*INDEX(port_processing_fee,MATCH(AC102,PORTS!$H$626:$H$933,0),MATCH(AG$5,PORTS!$H$626:$Z$626,0))</f>
        <v>0</v>
      </c>
      <c r="AG102" s="405">
        <f>(((VLOOKUP(AC102,curvecalc,4,0))*IF(W102=0,0,AA102/W102)-INDEX(ship_curves,MATCH(AC102,'SHIP CURVES'!$A$9:$A$316,0),MATCH(CONCATENATE(AG$4,AG$5,AG$6,AG$7),'SHIP CURVES'!$A$9:$Z$9,0))-INDEX(terminal_curves,MATCH(AC102,'TERMINAL CURVES'!$A$4:$A$313,0),MATCH(AG$5,'TERMINAL CURVES'!$A$4:$N$4,0))*IF(W102=0,0,Y102/W102))-(AE$8)*((AE$7-$N$5)-(INDEX(ship_curves,MATCH(AC102,'SHIP CURVES'!$A$9:$A$316,0),MATCH(CONCATENATE(AG$4,AG$5,AG$6,AG$7),'SHIP CURVES'!$A$9:$Z$9,0))-INDEX(ship_curves,MATCH(AC102,'SHIP CURVES'!$A$9:$A$316,0),MATCH(CONCATENATE(AG$4,AE$6,AG$6,AG$7),'SHIP CURVES'!$A$9:$Z$9,0)))-(INDEX(terminal_curves,MATCH(AC102,'TERMINAL CURVES'!$A$4:$A$313,0),MATCH(AG$5,'TERMINAL CURVES'!$A$4:$N$4,0))-INDEX(terminal_curves,MATCH(AC102,'TERMINAL CURVES'!$A$4:$A$313,0),MATCH(AE$6,'TERMINAL CURVES'!$A$4:$N$4,0)))*IF(W102=0,0,Y102/W102)))*-W102</f>
        <v>0</v>
      </c>
      <c r="AH102" s="343">
        <f t="shared" si="47"/>
        <v>0</v>
      </c>
      <c r="AI102" s="338">
        <f>(-Y102/((HLOOKUP(AG$5,port_specs,2,0)/(365.25))*(AC103-AC102)))*(INDEX(fixed_capacity_charge,MATCH(AC102,PORTS!$H$11:$H$317,0),MATCH(AG$5,PORTS!$H$11:$N$11,0))+INDEX(variable_om_charge,MATCH(AC102,PORTS!$H$318:$H$625,0),MATCH(AG$5,PORTS!$H$318:$N$318,0)))</f>
        <v>0</v>
      </c>
      <c r="AJ102" s="232">
        <f t="shared" si="48"/>
        <v>0</v>
      </c>
      <c r="AK102" s="241">
        <f t="shared" si="49"/>
        <v>0</v>
      </c>
      <c r="AM102" s="186">
        <f t="shared" si="60"/>
        <v>39264</v>
      </c>
      <c r="AN102" s="215">
        <f t="shared" si="50"/>
        <v>5395761.4773599124</v>
      </c>
      <c r="AO102" s="191">
        <f t="shared" si="51"/>
        <v>-56655.495512278751</v>
      </c>
      <c r="AP102" s="218">
        <f>+IF(AND(AO$8&lt;=AM102,AO$9&gt;=AM102),+MIN($B102-SUMIF($H$17:AO$17,AP$17,$H102:AO102),((INDEX(ROUTE_PER_DAY_BY_SHIP,MATCH(CONCATENATE(AO$4,AO$5,AO$7),ROUTE_PER_DAY_ROUTES,0),MATCH(AO$6,ROUTE_PER_DAY_SHIPS,0))*(AM103-AM102))-(INDEX(ROUTE_PER_DAY_BY_SHIP,MATCH(CONCATENATE(AO$4,AO$5,AO$7),ROUTE_PER_DAY_ROUTES,0),MATCH(AO$6,ROUTE_PER_DAY_SHIPS,0))*(AM103-AM102))*HLOOKUP(AO$6,SHIPS,7,0)*INDEX(LADEN_VOYAGE_DAYS,MATCH(CONCATENATE(AO$4,AO$5,AO$7),LADEN_VOYAGE_ROUTES,0),MATCH(AO$6,LADEN_VOYAGE_SHIPS,0)))),0)</f>
        <v>5339105.9818476336</v>
      </c>
      <c r="AQ102" s="118">
        <f>-(AP102)*PORTS!$I$6</f>
        <v>-133477.64954619083</v>
      </c>
      <c r="AR102" s="215">
        <f t="shared" si="33"/>
        <v>5205628.3323014425</v>
      </c>
      <c r="AS102" s="202"/>
      <c r="AT102" s="186">
        <f t="shared" si="61"/>
        <v>39264</v>
      </c>
      <c r="AU102" s="232">
        <f>+AR102*(VLOOKUP(AT102,CURVECALC!$C$6:$J$312,4,0)+AV$5)</f>
        <v>16324850.450097324</v>
      </c>
      <c r="AV102" s="208">
        <f>-AN102*INDEX(ship_curves,MATCH(AT102,'SHIP CURVES'!$A$9:$A$316,0),MATCH(CONCATENATE(AX$4,AX$5,AX$6,AX$7),'SHIP CURVES'!$A$9:$AZ$9,0))</f>
        <v>-1777051.6710563903</v>
      </c>
      <c r="AW102" s="209">
        <f>-AP102*INDEX(port_processing_fee,MATCH(AT102,PORTS!$H$626:$H$933,0),MATCH(AX$5,PORTS!$H$626:$Z$626,0))</f>
        <v>-154355.65631165495</v>
      </c>
      <c r="AX102" s="405">
        <f>(((VLOOKUP(AT102,curvecalc,4,0))*IF(AN102=0,0,AR102/AN102)-INDEX(ship_curves,MATCH(AT102,'SHIP CURVES'!$A$9:$A$316,0),MATCH(CONCATENATE(AX$4,AX$5,AX$6,AX$7),'SHIP CURVES'!$A$9:$Z$9,0))-INDEX(terminal_curves,MATCH(AT102,'TERMINAL CURVES'!$A$4:$A$313,0),MATCH(AX$5,'TERMINAL CURVES'!$A$4:$N$4,0))*IF(AN102=0,0,AP102/AN102))-(AV$8)*((AV$7-$N$5)-(INDEX(ship_curves,MATCH(AT102,'SHIP CURVES'!$A$9:$A$316,0),MATCH(CONCATENATE(AX$4,AX$5,AX$6,AX$7),'SHIP CURVES'!$A$9:$Z$9,0))-INDEX(ship_curves,MATCH(AT102,'SHIP CURVES'!$A$9:$A$316,0),MATCH(CONCATENATE(AX$4,AV$6,AX$6,AX$7),'SHIP CURVES'!$A$9:$Z$9,0)))-(INDEX(terminal_curves,MATCH(AT102,'TERMINAL CURVES'!$A$4:$A$313,0),MATCH(AX$5,'TERMINAL CURVES'!$A$4:$N$4,0))-INDEX(terminal_curves,MATCH(AT102,'TERMINAL CURVES'!$A$4:$A$313,0),MATCH(AV$6,'TERMINAL CURVES'!$A$4:$N$4,0)))*IF(AN102=0,0,AP102/AN102)))*-AN102</f>
        <v>-13306872.787125707</v>
      </c>
      <c r="AY102" s="343">
        <f t="shared" si="52"/>
        <v>-15238280.114493752</v>
      </c>
      <c r="AZ102" s="338">
        <f>(-AP102/((HLOOKUP(AX$5,port_specs,2,0)/(365.25))*(AT103-AT102)))*(INDEX(fixed_capacity_charge,MATCH(AT102,PORTS!$H$11:$H$317,0),MATCH(AX$5,PORTS!$H$11:$N$11,0))+INDEX(variable_om_charge,MATCH(AT102,PORTS!$H$318:$H$625,0),MATCH(AX$5,PORTS!$H$318:$N$318,0)))</f>
        <v>-982457.76895754249</v>
      </c>
      <c r="BA102" s="232">
        <f t="shared" si="53"/>
        <v>-16220737.883451294</v>
      </c>
      <c r="BB102" s="241">
        <f t="shared" si="54"/>
        <v>104112.56664603017</v>
      </c>
      <c r="BC102" s="408"/>
      <c r="BD102" s="338">
        <f>+PORTS!I96+PORTS!I404</f>
        <v>982457.76895754249</v>
      </c>
    </row>
    <row r="103" spans="1:56" x14ac:dyDescent="0.2">
      <c r="A103" s="186">
        <f t="shared" si="55"/>
        <v>39295</v>
      </c>
      <c r="B103" s="215">
        <f>+IF(AND($A103&gt;=$C$8,$A103&lt;=$C$9),1,0)*PORTS!$I$5/(365.25)*(A104-A103)</f>
        <v>5339105.9818476336</v>
      </c>
      <c r="C103" s="351">
        <f t="shared" si="34"/>
        <v>0</v>
      </c>
      <c r="D103">
        <f t="shared" si="35"/>
        <v>2007</v>
      </c>
      <c r="E103" s="186">
        <f t="shared" si="56"/>
        <v>39295</v>
      </c>
      <c r="F103" s="215">
        <f t="shared" si="36"/>
        <v>0</v>
      </c>
      <c r="G103" s="191">
        <f t="shared" si="37"/>
        <v>0</v>
      </c>
      <c r="H103" s="218">
        <f t="shared" si="38"/>
        <v>0</v>
      </c>
      <c r="I103" s="118">
        <f t="shared" si="39"/>
        <v>0</v>
      </c>
      <c r="J103" s="215">
        <f t="shared" si="40"/>
        <v>0</v>
      </c>
      <c r="K103" s="202"/>
      <c r="L103" s="186">
        <f t="shared" si="57"/>
        <v>39295</v>
      </c>
      <c r="M103" s="400">
        <f>+J103*(VLOOKUP(L103,CURVECALC!$C$6:$J$312,4,0)+N$5)</f>
        <v>0</v>
      </c>
      <c r="N103" s="208">
        <f>-F103*INDEX(ship_curves,MATCH(L103,'SHIP CURVES'!$A$9:$A$316,0),MATCH(CONCATENATE(P$4,P$5,P$6,P$7),'SHIP CURVES'!$A$9:$AZ$9,0))</f>
        <v>0</v>
      </c>
      <c r="O103" s="209">
        <f>-H103*INDEX(port_processing_fee,MATCH(L103,PORTS!$H$626:$H$933,0),MATCH(P$5,PORTS!$H$626:$Z$626,0))</f>
        <v>0</v>
      </c>
      <c r="P103" s="405">
        <f>(((VLOOKUP(L103,curvecalc,4,0))*IF(F103=0,0,J103/F103)-INDEX(ship_curves,MATCH(L103,'SHIP CURVES'!$A$9:$A$316,0),MATCH(CONCATENATE(P$4,P$5,P$6,P$7),'SHIP CURVES'!$A$9:$Z$9,0))-INDEX(terminal_curves,MATCH(L103,'TERMINAL CURVES'!$A$4:$A$313,0),MATCH(P$5,'TERMINAL CURVES'!$A$4:$N$4,0))*IF(F103=0,0,H103/F103))-(N$8)*((N$7-$N$5)-(INDEX(ship_curves,MATCH(L103,'SHIP CURVES'!$A$9:$A$316,0),MATCH(CONCATENATE(P$4,P$5,P$6,P$7),'SHIP CURVES'!$A$9:$Z$9,0))-INDEX(ship_curves,MATCH(L103,'SHIP CURVES'!$A$9:$A$316,0),MATCH(CONCATENATE(P$4,N$6,P$6,P$7),'SHIP CURVES'!$A$9:$Z$9,0)))-(INDEX(terminal_curves,MATCH(L103,'TERMINAL CURVES'!$A$4:$A$313,0),MATCH(P$5,'TERMINAL CURVES'!$A$4:$N$4,0))-INDEX(terminal_curves,MATCH(L103,'TERMINAL CURVES'!$A$4:$A$313,0),MATCH(N$6,'TERMINAL CURVES'!$A$4:$N$4,0)))*IF(F103=0,0,H103/F103)))*-F103</f>
        <v>0</v>
      </c>
      <c r="Q103" s="403">
        <f t="shared" si="41"/>
        <v>0</v>
      </c>
      <c r="R103" s="338">
        <f>(-H103/((HLOOKUP(P$5,port_specs,2,0)/(365.25))*(L104-L103)))*(INDEX(fixed_capacity_charge,MATCH(L103,PORTS!$H$11:$H$317,0),MATCH(P$5,PORTS!$H$11:$N$11,0))+INDEX(variable_om_charge,MATCH(L103,PORTS!$H$318:$H$625,0),MATCH(P$5,PORTS!$H$318:$N$318,0)))</f>
        <v>0</v>
      </c>
      <c r="S103" s="232">
        <f t="shared" si="42"/>
        <v>0</v>
      </c>
      <c r="T103" s="241">
        <f t="shared" si="43"/>
        <v>0</v>
      </c>
      <c r="V103" s="186">
        <f t="shared" si="58"/>
        <v>39295</v>
      </c>
      <c r="W103" s="215">
        <f t="shared" si="44"/>
        <v>0</v>
      </c>
      <c r="X103" s="191">
        <f t="shared" si="45"/>
        <v>0</v>
      </c>
      <c r="Y103" s="218">
        <f>+IF(AND(X$8&lt;=V103,X$9&gt;=V103),+MIN($B103-SUMIF($H$17:X$17,Y$17,$H103:X103),((INDEX(ROUTE_PER_DAY_BY_SHIP,MATCH(CONCATENATE(X$4,X$5,X$7),ROUTE_PER_DAY_ROUTES,0),MATCH(X$6,ROUTE_PER_DAY_SHIPS,0))*(V104-V103))-(INDEX(ROUTE_PER_DAY_BY_SHIP,MATCH(CONCATENATE(X$4,X$5,X$7),ROUTE_PER_DAY_ROUTES,0),MATCH(X$6,ROUTE_PER_DAY_SHIPS,0))*(V104-V103))*HLOOKUP(X$6,SHIPS,7,0)*INDEX(LADEN_VOYAGE_DAYS,MATCH(CONCATENATE(X$4,X$5,X$7),LADEN_VOYAGE_ROUTES,0),MATCH(X$6,LADEN_VOYAGE_SHIPS,0)))),0)</f>
        <v>0</v>
      </c>
      <c r="Z103" s="118">
        <f t="shared" si="46"/>
        <v>0</v>
      </c>
      <c r="AA103" s="215">
        <f t="shared" si="32"/>
        <v>0</v>
      </c>
      <c r="AB103" s="202"/>
      <c r="AC103" s="186">
        <f t="shared" si="59"/>
        <v>39295</v>
      </c>
      <c r="AD103" s="232">
        <f>+AA103*(VLOOKUP(AC103,CURVECALC!$C$6:$J$312,4,0)+AE$5)</f>
        <v>0</v>
      </c>
      <c r="AE103" s="208">
        <f>-W103*INDEX(ship_curves,MATCH(AC103,'SHIP CURVES'!$A$9:$A$316,0),MATCH(CONCATENATE(AG$4,AG$5,AG$6,AG$7),'SHIP CURVES'!$A$9:$AZ$9,0))</f>
        <v>0</v>
      </c>
      <c r="AF103" s="209">
        <f>-Y103*INDEX(port_processing_fee,MATCH(AC103,PORTS!$H$626:$H$933,0),MATCH(AG$5,PORTS!$H$626:$Z$626,0))</f>
        <v>0</v>
      </c>
      <c r="AG103" s="405">
        <f>(((VLOOKUP(AC103,curvecalc,4,0))*IF(W103=0,0,AA103/W103)-INDEX(ship_curves,MATCH(AC103,'SHIP CURVES'!$A$9:$A$316,0),MATCH(CONCATENATE(AG$4,AG$5,AG$6,AG$7),'SHIP CURVES'!$A$9:$Z$9,0))-INDEX(terminal_curves,MATCH(AC103,'TERMINAL CURVES'!$A$4:$A$313,0),MATCH(AG$5,'TERMINAL CURVES'!$A$4:$N$4,0))*IF(W103=0,0,Y103/W103))-(AE$8)*((AE$7-$N$5)-(INDEX(ship_curves,MATCH(AC103,'SHIP CURVES'!$A$9:$A$316,0),MATCH(CONCATENATE(AG$4,AG$5,AG$6,AG$7),'SHIP CURVES'!$A$9:$Z$9,0))-INDEX(ship_curves,MATCH(AC103,'SHIP CURVES'!$A$9:$A$316,0),MATCH(CONCATENATE(AG$4,AE$6,AG$6,AG$7),'SHIP CURVES'!$A$9:$Z$9,0)))-(INDEX(terminal_curves,MATCH(AC103,'TERMINAL CURVES'!$A$4:$A$313,0),MATCH(AG$5,'TERMINAL CURVES'!$A$4:$N$4,0))-INDEX(terminal_curves,MATCH(AC103,'TERMINAL CURVES'!$A$4:$A$313,0),MATCH(AE$6,'TERMINAL CURVES'!$A$4:$N$4,0)))*IF(W103=0,0,Y103/W103)))*-W103</f>
        <v>0</v>
      </c>
      <c r="AH103" s="343">
        <f t="shared" si="47"/>
        <v>0</v>
      </c>
      <c r="AI103" s="338">
        <f>(-Y103/((HLOOKUP(AG$5,port_specs,2,0)/(365.25))*(AC104-AC103)))*(INDEX(fixed_capacity_charge,MATCH(AC103,PORTS!$H$11:$H$317,0),MATCH(AG$5,PORTS!$H$11:$N$11,0))+INDEX(variable_om_charge,MATCH(AC103,PORTS!$H$318:$H$625,0),MATCH(AG$5,PORTS!$H$318:$N$318,0)))</f>
        <v>0</v>
      </c>
      <c r="AJ103" s="232">
        <f t="shared" si="48"/>
        <v>0</v>
      </c>
      <c r="AK103" s="241">
        <f t="shared" si="49"/>
        <v>0</v>
      </c>
      <c r="AM103" s="186">
        <f t="shared" si="60"/>
        <v>39295</v>
      </c>
      <c r="AN103" s="215">
        <f t="shared" si="50"/>
        <v>5395761.4773599124</v>
      </c>
      <c r="AO103" s="191">
        <f t="shared" si="51"/>
        <v>-56655.495512278751</v>
      </c>
      <c r="AP103" s="218">
        <f>+IF(AND(AO$8&lt;=AM103,AO$9&gt;=AM103),+MIN($B103-SUMIF($H$17:AO$17,AP$17,$H103:AO103),((INDEX(ROUTE_PER_DAY_BY_SHIP,MATCH(CONCATENATE(AO$4,AO$5,AO$7),ROUTE_PER_DAY_ROUTES,0),MATCH(AO$6,ROUTE_PER_DAY_SHIPS,0))*(AM104-AM103))-(INDEX(ROUTE_PER_DAY_BY_SHIP,MATCH(CONCATENATE(AO$4,AO$5,AO$7),ROUTE_PER_DAY_ROUTES,0),MATCH(AO$6,ROUTE_PER_DAY_SHIPS,0))*(AM104-AM103))*HLOOKUP(AO$6,SHIPS,7,0)*INDEX(LADEN_VOYAGE_DAYS,MATCH(CONCATENATE(AO$4,AO$5,AO$7),LADEN_VOYAGE_ROUTES,0),MATCH(AO$6,LADEN_VOYAGE_SHIPS,0)))),0)</f>
        <v>5339105.9818476336</v>
      </c>
      <c r="AQ103" s="118">
        <f>-(AP103)*PORTS!$I$6</f>
        <v>-133477.64954619083</v>
      </c>
      <c r="AR103" s="215">
        <f t="shared" si="33"/>
        <v>5205628.3323014425</v>
      </c>
      <c r="AS103" s="202"/>
      <c r="AT103" s="186">
        <f t="shared" si="61"/>
        <v>39295</v>
      </c>
      <c r="AU103" s="232">
        <f>+AR103*(VLOOKUP(AT103,CURVECALC!$C$6:$J$312,4,0)+AV$5)</f>
        <v>16637188.150035411</v>
      </c>
      <c r="AV103" s="208">
        <f>-AN103*INDEX(ship_curves,MATCH(AT103,'SHIP CURVES'!$A$9:$A$316,0),MATCH(CONCATENATE(AX$4,AX$5,AX$6,AX$7),'SHIP CURVES'!$A$9:$AZ$9,0))</f>
        <v>-1777558.1792731402</v>
      </c>
      <c r="AW103" s="209">
        <f>-AP103*INDEX(port_processing_fee,MATCH(AT103,PORTS!$H$626:$H$933,0),MATCH(AX$5,PORTS!$H$626:$Z$626,0))</f>
        <v>-154516.44345364624</v>
      </c>
      <c r="AX103" s="405">
        <f>(((VLOOKUP(AT103,curvecalc,4,0))*IF(AN103=0,0,AR103/AN103)-INDEX(ship_curves,MATCH(AT103,'SHIP CURVES'!$A$9:$A$316,0),MATCH(CONCATENATE(AX$4,AX$5,AX$6,AX$7),'SHIP CURVES'!$A$9:$Z$9,0))-INDEX(terminal_curves,MATCH(AT103,'TERMINAL CURVES'!$A$4:$A$313,0),MATCH(AX$5,'TERMINAL CURVES'!$A$4:$N$4,0))*IF(AN103=0,0,AP103/AN103))-(AV$8)*((AV$7-$N$5)-(INDEX(ship_curves,MATCH(AT103,'SHIP CURVES'!$A$9:$A$316,0),MATCH(CONCATENATE(AX$4,AX$5,AX$6,AX$7),'SHIP CURVES'!$A$9:$Z$9,0))-INDEX(ship_curves,MATCH(AT103,'SHIP CURVES'!$A$9:$A$316,0),MATCH(CONCATENATE(AX$4,AV$6,AX$6,AX$7),'SHIP CURVES'!$A$9:$Z$9,0)))-(INDEX(terminal_curves,MATCH(AT103,'TERMINAL CURVES'!$A$4:$A$313,0),MATCH(AX$5,'TERMINAL CURVES'!$A$4:$N$4,0))-INDEX(terminal_curves,MATCH(AT103,'TERMINAL CURVES'!$A$4:$A$313,0),MATCH(AV$6,'TERMINAL CURVES'!$A$4:$N$4,0)))*IF(AN103=0,0,AP103/AN103)))*-AN103</f>
        <v>-13618025.200873749</v>
      </c>
      <c r="AY103" s="343">
        <f t="shared" si="52"/>
        <v>-15550099.823600536</v>
      </c>
      <c r="AZ103" s="338">
        <f>(-AP103/((HLOOKUP(AX$5,port_specs,2,0)/(365.25))*(AT104-AT103)))*(INDEX(fixed_capacity_charge,MATCH(AT103,PORTS!$H$11:$H$317,0),MATCH(AX$5,PORTS!$H$11:$N$11,0))+INDEX(variable_om_charge,MATCH(AT103,PORTS!$H$318:$H$625,0),MATCH(AX$5,PORTS!$H$318:$N$318,0)))</f>
        <v>-982975.7597888438</v>
      </c>
      <c r="BA103" s="232">
        <f t="shared" si="53"/>
        <v>-16533075.583389379</v>
      </c>
      <c r="BB103" s="241">
        <f t="shared" si="54"/>
        <v>104112.56664603204</v>
      </c>
      <c r="BC103" s="408"/>
      <c r="BD103" s="338">
        <f>+PORTS!I97+PORTS!I405</f>
        <v>982975.7597888438</v>
      </c>
    </row>
    <row r="104" spans="1:56" x14ac:dyDescent="0.2">
      <c r="A104" s="186">
        <f t="shared" si="55"/>
        <v>39326</v>
      </c>
      <c r="B104" s="215">
        <f>+IF(AND($A104&gt;=$C$8,$A104&lt;=$C$9),1,0)*PORTS!$I$5/(365.25)*(A105-A104)</f>
        <v>5166876.756626742</v>
      </c>
      <c r="C104" s="351">
        <f t="shared" si="34"/>
        <v>0</v>
      </c>
      <c r="D104">
        <f t="shared" si="35"/>
        <v>2007</v>
      </c>
      <c r="E104" s="186">
        <f t="shared" si="56"/>
        <v>39326</v>
      </c>
      <c r="F104" s="215">
        <f t="shared" si="36"/>
        <v>0</v>
      </c>
      <c r="G104" s="191">
        <f t="shared" si="37"/>
        <v>0</v>
      </c>
      <c r="H104" s="218">
        <f t="shared" si="38"/>
        <v>0</v>
      </c>
      <c r="I104" s="118">
        <f t="shared" si="39"/>
        <v>0</v>
      </c>
      <c r="J104" s="215">
        <f t="shared" si="40"/>
        <v>0</v>
      </c>
      <c r="K104" s="202"/>
      <c r="L104" s="186">
        <f t="shared" si="57"/>
        <v>39326</v>
      </c>
      <c r="M104" s="400">
        <f>+J104*(VLOOKUP(L104,CURVECALC!$C$6:$J$312,4,0)+N$5)</f>
        <v>0</v>
      </c>
      <c r="N104" s="208">
        <f>-F104*INDEX(ship_curves,MATCH(L104,'SHIP CURVES'!$A$9:$A$316,0),MATCH(CONCATENATE(P$4,P$5,P$6,P$7),'SHIP CURVES'!$A$9:$AZ$9,0))</f>
        <v>0</v>
      </c>
      <c r="O104" s="209">
        <f>-H104*INDEX(port_processing_fee,MATCH(L104,PORTS!$H$626:$H$933,0),MATCH(P$5,PORTS!$H$626:$Z$626,0))</f>
        <v>0</v>
      </c>
      <c r="P104" s="405">
        <f>(((VLOOKUP(L104,curvecalc,4,0))*IF(F104=0,0,J104/F104)-INDEX(ship_curves,MATCH(L104,'SHIP CURVES'!$A$9:$A$316,0),MATCH(CONCATENATE(P$4,P$5,P$6,P$7),'SHIP CURVES'!$A$9:$Z$9,0))-INDEX(terminal_curves,MATCH(L104,'TERMINAL CURVES'!$A$4:$A$313,0),MATCH(P$5,'TERMINAL CURVES'!$A$4:$N$4,0))*IF(F104=0,0,H104/F104))-(N$8)*((N$7-$N$5)-(INDEX(ship_curves,MATCH(L104,'SHIP CURVES'!$A$9:$A$316,0),MATCH(CONCATENATE(P$4,P$5,P$6,P$7),'SHIP CURVES'!$A$9:$Z$9,0))-INDEX(ship_curves,MATCH(L104,'SHIP CURVES'!$A$9:$A$316,0),MATCH(CONCATENATE(P$4,N$6,P$6,P$7),'SHIP CURVES'!$A$9:$Z$9,0)))-(INDEX(terminal_curves,MATCH(L104,'TERMINAL CURVES'!$A$4:$A$313,0),MATCH(P$5,'TERMINAL CURVES'!$A$4:$N$4,0))-INDEX(terminal_curves,MATCH(L104,'TERMINAL CURVES'!$A$4:$A$313,0),MATCH(N$6,'TERMINAL CURVES'!$A$4:$N$4,0)))*IF(F104=0,0,H104/F104)))*-F104</f>
        <v>0</v>
      </c>
      <c r="Q104" s="403">
        <f t="shared" si="41"/>
        <v>0</v>
      </c>
      <c r="R104" s="338">
        <f>(-H104/((HLOOKUP(P$5,port_specs,2,0)/(365.25))*(L105-L104)))*(INDEX(fixed_capacity_charge,MATCH(L104,PORTS!$H$11:$H$317,0),MATCH(P$5,PORTS!$H$11:$N$11,0))+INDEX(variable_om_charge,MATCH(L104,PORTS!$H$318:$H$625,0),MATCH(P$5,PORTS!$H$318:$N$318,0)))</f>
        <v>0</v>
      </c>
      <c r="S104" s="232">
        <f t="shared" si="42"/>
        <v>0</v>
      </c>
      <c r="T104" s="241">
        <f t="shared" si="43"/>
        <v>0</v>
      </c>
      <c r="V104" s="186">
        <f t="shared" si="58"/>
        <v>39326</v>
      </c>
      <c r="W104" s="215">
        <f t="shared" si="44"/>
        <v>0</v>
      </c>
      <c r="X104" s="191">
        <f t="shared" si="45"/>
        <v>0</v>
      </c>
      <c r="Y104" s="218">
        <f>+IF(AND(X$8&lt;=V104,X$9&gt;=V104),+MIN($B104-SUMIF($H$17:X$17,Y$17,$H104:X104),((INDEX(ROUTE_PER_DAY_BY_SHIP,MATCH(CONCATENATE(X$4,X$5,X$7),ROUTE_PER_DAY_ROUTES,0),MATCH(X$6,ROUTE_PER_DAY_SHIPS,0))*(V105-V104))-(INDEX(ROUTE_PER_DAY_BY_SHIP,MATCH(CONCATENATE(X$4,X$5,X$7),ROUTE_PER_DAY_ROUTES,0),MATCH(X$6,ROUTE_PER_DAY_SHIPS,0))*(V105-V104))*HLOOKUP(X$6,SHIPS,7,0)*INDEX(LADEN_VOYAGE_DAYS,MATCH(CONCATENATE(X$4,X$5,X$7),LADEN_VOYAGE_ROUTES,0),MATCH(X$6,LADEN_VOYAGE_SHIPS,0)))),0)</f>
        <v>0</v>
      </c>
      <c r="Z104" s="118">
        <f t="shared" si="46"/>
        <v>0</v>
      </c>
      <c r="AA104" s="215">
        <f t="shared" si="32"/>
        <v>0</v>
      </c>
      <c r="AB104" s="202"/>
      <c r="AC104" s="186">
        <f t="shared" si="59"/>
        <v>39326</v>
      </c>
      <c r="AD104" s="232">
        <f>+AA104*(VLOOKUP(AC104,CURVECALC!$C$6:$J$312,4,0)+AE$5)</f>
        <v>0</v>
      </c>
      <c r="AE104" s="208">
        <f>-W104*INDEX(ship_curves,MATCH(AC104,'SHIP CURVES'!$A$9:$A$316,0),MATCH(CONCATENATE(AG$4,AG$5,AG$6,AG$7),'SHIP CURVES'!$A$9:$AZ$9,0))</f>
        <v>0</v>
      </c>
      <c r="AF104" s="209">
        <f>-Y104*INDEX(port_processing_fee,MATCH(AC104,PORTS!$H$626:$H$933,0),MATCH(AG$5,PORTS!$H$626:$Z$626,0))</f>
        <v>0</v>
      </c>
      <c r="AG104" s="405">
        <f>(((VLOOKUP(AC104,curvecalc,4,0))*IF(W104=0,0,AA104/W104)-INDEX(ship_curves,MATCH(AC104,'SHIP CURVES'!$A$9:$A$316,0),MATCH(CONCATENATE(AG$4,AG$5,AG$6,AG$7),'SHIP CURVES'!$A$9:$Z$9,0))-INDEX(terminal_curves,MATCH(AC104,'TERMINAL CURVES'!$A$4:$A$313,0),MATCH(AG$5,'TERMINAL CURVES'!$A$4:$N$4,0))*IF(W104=0,0,Y104/W104))-(AE$8)*((AE$7-$N$5)-(INDEX(ship_curves,MATCH(AC104,'SHIP CURVES'!$A$9:$A$316,0),MATCH(CONCATENATE(AG$4,AG$5,AG$6,AG$7),'SHIP CURVES'!$A$9:$Z$9,0))-INDEX(ship_curves,MATCH(AC104,'SHIP CURVES'!$A$9:$A$316,0),MATCH(CONCATENATE(AG$4,AE$6,AG$6,AG$7),'SHIP CURVES'!$A$9:$Z$9,0)))-(INDEX(terminal_curves,MATCH(AC104,'TERMINAL CURVES'!$A$4:$A$313,0),MATCH(AG$5,'TERMINAL CURVES'!$A$4:$N$4,0))-INDEX(terminal_curves,MATCH(AC104,'TERMINAL CURVES'!$A$4:$A$313,0),MATCH(AE$6,'TERMINAL CURVES'!$A$4:$N$4,0)))*IF(W104=0,0,Y104/W104)))*-W104</f>
        <v>0</v>
      </c>
      <c r="AH104" s="343">
        <f t="shared" si="47"/>
        <v>0</v>
      </c>
      <c r="AI104" s="338">
        <f>(-Y104/((HLOOKUP(AG$5,port_specs,2,0)/(365.25))*(AC105-AC104)))*(INDEX(fixed_capacity_charge,MATCH(AC104,PORTS!$H$11:$H$317,0),MATCH(AG$5,PORTS!$H$11:$N$11,0))+INDEX(variable_om_charge,MATCH(AC104,PORTS!$H$318:$H$625,0),MATCH(AG$5,PORTS!$H$318:$N$318,0)))</f>
        <v>0</v>
      </c>
      <c r="AJ104" s="232">
        <f t="shared" si="48"/>
        <v>0</v>
      </c>
      <c r="AK104" s="241">
        <f t="shared" si="49"/>
        <v>0</v>
      </c>
      <c r="AM104" s="186">
        <f t="shared" si="60"/>
        <v>39326</v>
      </c>
      <c r="AN104" s="215">
        <f t="shared" si="50"/>
        <v>5221704.655509592</v>
      </c>
      <c r="AO104" s="191">
        <f t="shared" si="51"/>
        <v>-54827.898882850073</v>
      </c>
      <c r="AP104" s="218">
        <f>+IF(AND(AO$8&lt;=AM104,AO$9&gt;=AM104),+MIN($B104-SUMIF($H$17:AO$17,AP$17,$H104:AO104),((INDEX(ROUTE_PER_DAY_BY_SHIP,MATCH(CONCATENATE(AO$4,AO$5,AO$7),ROUTE_PER_DAY_ROUTES,0),MATCH(AO$6,ROUTE_PER_DAY_SHIPS,0))*(AM105-AM104))-(INDEX(ROUTE_PER_DAY_BY_SHIP,MATCH(CONCATENATE(AO$4,AO$5,AO$7),ROUTE_PER_DAY_ROUTES,0),MATCH(AO$6,ROUTE_PER_DAY_SHIPS,0))*(AM105-AM104))*HLOOKUP(AO$6,SHIPS,7,0)*INDEX(LADEN_VOYAGE_DAYS,MATCH(CONCATENATE(AO$4,AO$5,AO$7),LADEN_VOYAGE_ROUTES,0),MATCH(AO$6,LADEN_VOYAGE_SHIPS,0)))),0)</f>
        <v>5166876.756626742</v>
      </c>
      <c r="AQ104" s="118">
        <f>-(AP104)*PORTS!$I$6</f>
        <v>-129171.91891566856</v>
      </c>
      <c r="AR104" s="215">
        <f t="shared" si="33"/>
        <v>5037704.8377110735</v>
      </c>
      <c r="AS104" s="202"/>
      <c r="AT104" s="186">
        <f t="shared" si="61"/>
        <v>39326</v>
      </c>
      <c r="AU104" s="232">
        <f>+AR104*(VLOOKUP(AT104,CURVECALC!$C$6:$J$312,4,0)+AV$5)</f>
        <v>16029976.793596635</v>
      </c>
      <c r="AV104" s="208">
        <f>-AN104*INDEX(ship_curves,MATCH(AT104,'SHIP CURVES'!$A$9:$A$316,0),MATCH(CONCATENATE(AX$4,AX$5,AX$6,AX$7),'SHIP CURVES'!$A$9:$AZ$9,0))</f>
        <v>-1720708.7832729118</v>
      </c>
      <c r="AW104" s="209">
        <f>-AP104*INDEX(port_processing_fee,MATCH(AT104,PORTS!$H$626:$H$933,0),MATCH(AX$5,PORTS!$H$626:$Z$626,0))</f>
        <v>-149687.80459571979</v>
      </c>
      <c r="AX104" s="405">
        <f>(((VLOOKUP(AT104,curvecalc,4,0))*IF(AN104=0,0,AR104/AN104)-INDEX(ship_curves,MATCH(AT104,'SHIP CURVES'!$A$9:$A$316,0),MATCH(CONCATENATE(AX$4,AX$5,AX$6,AX$7),'SHIP CURVES'!$A$9:$Z$9,0))-INDEX(terminal_curves,MATCH(AT104,'TERMINAL CURVES'!$A$4:$A$313,0),MATCH(AX$5,'TERMINAL CURVES'!$A$4:$N$4,0))*IF(AN104=0,0,AP104/AN104))-(AV$8)*((AV$7-$N$5)-(INDEX(ship_curves,MATCH(AT104,'SHIP CURVES'!$A$9:$A$316,0),MATCH(CONCATENATE(AX$4,AX$5,AX$6,AX$7),'SHIP CURVES'!$A$9:$Z$9,0))-INDEX(ship_curves,MATCH(AT104,'SHIP CURVES'!$A$9:$A$316,0),MATCH(CONCATENATE(AX$4,AV$6,AX$6,AX$7),'SHIP CURVES'!$A$9:$Z$9,0)))-(INDEX(terminal_curves,MATCH(AT104,'TERMINAL CURVES'!$A$4:$A$313,0),MATCH(AX$5,'TERMINAL CURVES'!$A$4:$N$4,0))-INDEX(terminal_curves,MATCH(AT104,'TERMINAL CURVES'!$A$4:$A$313,0),MATCH(AV$6,'TERMINAL CURVES'!$A$4:$N$4,0)))*IF(AN104=0,0,AP104/AN104)))*-AN104</f>
        <v>-13075331.818779854</v>
      </c>
      <c r="AY104" s="343">
        <f t="shared" si="52"/>
        <v>-14945728.406648485</v>
      </c>
      <c r="AZ104" s="338">
        <f>(-AP104/((HLOOKUP(AX$5,port_specs,2,0)/(365.25))*(AT105-AT104)))*(INDEX(fixed_capacity_charge,MATCH(AT104,PORTS!$H$11:$H$317,0),MATCH(AX$5,PORTS!$H$11:$N$11,0))+INDEX(variable_om_charge,MATCH(AT104,PORTS!$H$318:$H$625,0),MATCH(AX$5,PORTS!$H$318:$N$318,0)))</f>
        <v>-983494.29019392771</v>
      </c>
      <c r="BA104" s="232">
        <f t="shared" si="53"/>
        <v>-15929222.696842413</v>
      </c>
      <c r="BB104" s="241">
        <f t="shared" si="54"/>
        <v>100754.09675422125</v>
      </c>
      <c r="BC104" s="408"/>
      <c r="BD104" s="338">
        <f>+PORTS!I98+PORTS!I406</f>
        <v>983494.29019392771</v>
      </c>
    </row>
    <row r="105" spans="1:56" x14ac:dyDescent="0.2">
      <c r="A105" s="186">
        <f t="shared" si="55"/>
        <v>39356</v>
      </c>
      <c r="B105" s="215">
        <f>+IF(AND($A105&gt;=$C$8,$A105&lt;=$C$9),1,0)*PORTS!$I$5/(365.25)*(A106-A105)</f>
        <v>5339105.9818476336</v>
      </c>
      <c r="C105" s="351">
        <f t="shared" si="34"/>
        <v>0</v>
      </c>
      <c r="D105">
        <f t="shared" si="35"/>
        <v>2007</v>
      </c>
      <c r="E105" s="186">
        <f t="shared" si="56"/>
        <v>39356</v>
      </c>
      <c r="F105" s="215">
        <f t="shared" si="36"/>
        <v>0</v>
      </c>
      <c r="G105" s="191">
        <f t="shared" si="37"/>
        <v>0</v>
      </c>
      <c r="H105" s="218">
        <f t="shared" si="38"/>
        <v>0</v>
      </c>
      <c r="I105" s="118">
        <f t="shared" si="39"/>
        <v>0</v>
      </c>
      <c r="J105" s="215">
        <f t="shared" si="40"/>
        <v>0</v>
      </c>
      <c r="K105" s="202"/>
      <c r="L105" s="186">
        <f t="shared" si="57"/>
        <v>39356</v>
      </c>
      <c r="M105" s="400">
        <f>+J105*(VLOOKUP(L105,CURVECALC!$C$6:$J$312,4,0)+N$5)</f>
        <v>0</v>
      </c>
      <c r="N105" s="208">
        <f>-F105*INDEX(ship_curves,MATCH(L105,'SHIP CURVES'!$A$9:$A$316,0),MATCH(CONCATENATE(P$4,P$5,P$6,P$7),'SHIP CURVES'!$A$9:$AZ$9,0))</f>
        <v>0</v>
      </c>
      <c r="O105" s="209">
        <f>-H105*INDEX(port_processing_fee,MATCH(L105,PORTS!$H$626:$H$933,0),MATCH(P$5,PORTS!$H$626:$Z$626,0))</f>
        <v>0</v>
      </c>
      <c r="P105" s="405">
        <f>(((VLOOKUP(L105,curvecalc,4,0))*IF(F105=0,0,J105/F105)-INDEX(ship_curves,MATCH(L105,'SHIP CURVES'!$A$9:$A$316,0),MATCH(CONCATENATE(P$4,P$5,P$6,P$7),'SHIP CURVES'!$A$9:$Z$9,0))-INDEX(terminal_curves,MATCH(L105,'TERMINAL CURVES'!$A$4:$A$313,0),MATCH(P$5,'TERMINAL CURVES'!$A$4:$N$4,0))*IF(F105=0,0,H105/F105))-(N$8)*((N$7-$N$5)-(INDEX(ship_curves,MATCH(L105,'SHIP CURVES'!$A$9:$A$316,0),MATCH(CONCATENATE(P$4,P$5,P$6,P$7),'SHIP CURVES'!$A$9:$Z$9,0))-INDEX(ship_curves,MATCH(L105,'SHIP CURVES'!$A$9:$A$316,0),MATCH(CONCATENATE(P$4,N$6,P$6,P$7),'SHIP CURVES'!$A$9:$Z$9,0)))-(INDEX(terminal_curves,MATCH(L105,'TERMINAL CURVES'!$A$4:$A$313,0),MATCH(P$5,'TERMINAL CURVES'!$A$4:$N$4,0))-INDEX(terminal_curves,MATCH(L105,'TERMINAL CURVES'!$A$4:$A$313,0),MATCH(N$6,'TERMINAL CURVES'!$A$4:$N$4,0)))*IF(F105=0,0,H105/F105)))*-F105</f>
        <v>0</v>
      </c>
      <c r="Q105" s="403">
        <f t="shared" si="41"/>
        <v>0</v>
      </c>
      <c r="R105" s="338">
        <f>(-H105/((HLOOKUP(P$5,port_specs,2,0)/(365.25))*(L106-L105)))*(INDEX(fixed_capacity_charge,MATCH(L105,PORTS!$H$11:$H$317,0),MATCH(P$5,PORTS!$H$11:$N$11,0))+INDEX(variable_om_charge,MATCH(L105,PORTS!$H$318:$H$625,0),MATCH(P$5,PORTS!$H$318:$N$318,0)))</f>
        <v>0</v>
      </c>
      <c r="S105" s="232">
        <f t="shared" si="42"/>
        <v>0</v>
      </c>
      <c r="T105" s="241">
        <f t="shared" si="43"/>
        <v>0</v>
      </c>
      <c r="V105" s="186">
        <f t="shared" si="58"/>
        <v>39356</v>
      </c>
      <c r="W105" s="215">
        <f t="shared" si="44"/>
        <v>0</v>
      </c>
      <c r="X105" s="191">
        <f t="shared" si="45"/>
        <v>0</v>
      </c>
      <c r="Y105" s="218">
        <f>+IF(AND(X$8&lt;=V105,X$9&gt;=V105),+MIN($B105-SUMIF($H$17:X$17,Y$17,$H105:X105),((INDEX(ROUTE_PER_DAY_BY_SHIP,MATCH(CONCATENATE(X$4,X$5,X$7),ROUTE_PER_DAY_ROUTES,0),MATCH(X$6,ROUTE_PER_DAY_SHIPS,0))*(V106-V105))-(INDEX(ROUTE_PER_DAY_BY_SHIP,MATCH(CONCATENATE(X$4,X$5,X$7),ROUTE_PER_DAY_ROUTES,0),MATCH(X$6,ROUTE_PER_DAY_SHIPS,0))*(V106-V105))*HLOOKUP(X$6,SHIPS,7,0)*INDEX(LADEN_VOYAGE_DAYS,MATCH(CONCATENATE(X$4,X$5,X$7),LADEN_VOYAGE_ROUTES,0),MATCH(X$6,LADEN_VOYAGE_SHIPS,0)))),0)</f>
        <v>0</v>
      </c>
      <c r="Z105" s="118">
        <f t="shared" si="46"/>
        <v>0</v>
      </c>
      <c r="AA105" s="215">
        <f t="shared" si="32"/>
        <v>0</v>
      </c>
      <c r="AB105" s="202"/>
      <c r="AC105" s="186">
        <f t="shared" si="59"/>
        <v>39356</v>
      </c>
      <c r="AD105" s="232">
        <f>+AA105*(VLOOKUP(AC105,CURVECALC!$C$6:$J$312,4,0)+AE$5)</f>
        <v>0</v>
      </c>
      <c r="AE105" s="208">
        <f>-W105*INDEX(ship_curves,MATCH(AC105,'SHIP CURVES'!$A$9:$A$316,0),MATCH(CONCATENATE(AG$4,AG$5,AG$6,AG$7),'SHIP CURVES'!$A$9:$AZ$9,0))</f>
        <v>0</v>
      </c>
      <c r="AF105" s="209">
        <f>-Y105*INDEX(port_processing_fee,MATCH(AC105,PORTS!$H$626:$H$933,0),MATCH(AG$5,PORTS!$H$626:$Z$626,0))</f>
        <v>0</v>
      </c>
      <c r="AG105" s="405">
        <f>(((VLOOKUP(AC105,curvecalc,4,0))*IF(W105=0,0,AA105/W105)-INDEX(ship_curves,MATCH(AC105,'SHIP CURVES'!$A$9:$A$316,0),MATCH(CONCATENATE(AG$4,AG$5,AG$6,AG$7),'SHIP CURVES'!$A$9:$Z$9,0))-INDEX(terminal_curves,MATCH(AC105,'TERMINAL CURVES'!$A$4:$A$313,0),MATCH(AG$5,'TERMINAL CURVES'!$A$4:$N$4,0))*IF(W105=0,0,Y105/W105))-(AE$8)*((AE$7-$N$5)-(INDEX(ship_curves,MATCH(AC105,'SHIP CURVES'!$A$9:$A$316,0),MATCH(CONCATENATE(AG$4,AG$5,AG$6,AG$7),'SHIP CURVES'!$A$9:$Z$9,0))-INDEX(ship_curves,MATCH(AC105,'SHIP CURVES'!$A$9:$A$316,0),MATCH(CONCATENATE(AG$4,AE$6,AG$6,AG$7),'SHIP CURVES'!$A$9:$Z$9,0)))-(INDEX(terminal_curves,MATCH(AC105,'TERMINAL CURVES'!$A$4:$A$313,0),MATCH(AG$5,'TERMINAL CURVES'!$A$4:$N$4,0))-INDEX(terminal_curves,MATCH(AC105,'TERMINAL CURVES'!$A$4:$A$313,0),MATCH(AE$6,'TERMINAL CURVES'!$A$4:$N$4,0)))*IF(W105=0,0,Y105/W105)))*-W105</f>
        <v>0</v>
      </c>
      <c r="AH105" s="343">
        <f t="shared" si="47"/>
        <v>0</v>
      </c>
      <c r="AI105" s="338">
        <f>(-Y105/((HLOOKUP(AG$5,port_specs,2,0)/(365.25))*(AC106-AC105)))*(INDEX(fixed_capacity_charge,MATCH(AC105,PORTS!$H$11:$H$317,0),MATCH(AG$5,PORTS!$H$11:$N$11,0))+INDEX(variable_om_charge,MATCH(AC105,PORTS!$H$318:$H$625,0),MATCH(AG$5,PORTS!$H$318:$N$318,0)))</f>
        <v>0</v>
      </c>
      <c r="AJ105" s="232">
        <f t="shared" si="48"/>
        <v>0</v>
      </c>
      <c r="AK105" s="241">
        <f t="shared" si="49"/>
        <v>0</v>
      </c>
      <c r="AM105" s="186">
        <f t="shared" si="60"/>
        <v>39356</v>
      </c>
      <c r="AN105" s="215">
        <f t="shared" si="50"/>
        <v>5395761.4773599124</v>
      </c>
      <c r="AO105" s="191">
        <f t="shared" si="51"/>
        <v>-56655.495512278751</v>
      </c>
      <c r="AP105" s="218">
        <f>+IF(AND(AO$8&lt;=AM105,AO$9&gt;=AM105),+MIN($B105-SUMIF($H$17:AO$17,AP$17,$H105:AO105),((INDEX(ROUTE_PER_DAY_BY_SHIP,MATCH(CONCATENATE(AO$4,AO$5,AO$7),ROUTE_PER_DAY_ROUTES,0),MATCH(AO$6,ROUTE_PER_DAY_SHIPS,0))*(AM106-AM105))-(INDEX(ROUTE_PER_DAY_BY_SHIP,MATCH(CONCATENATE(AO$4,AO$5,AO$7),ROUTE_PER_DAY_ROUTES,0),MATCH(AO$6,ROUTE_PER_DAY_SHIPS,0))*(AM106-AM105))*HLOOKUP(AO$6,SHIPS,7,0)*INDEX(LADEN_VOYAGE_DAYS,MATCH(CONCATENATE(AO$4,AO$5,AO$7),LADEN_VOYAGE_ROUTES,0),MATCH(AO$6,LADEN_VOYAGE_SHIPS,0)))),0)</f>
        <v>5339105.9818476336</v>
      </c>
      <c r="AQ105" s="118">
        <f>-(AP105)*PORTS!$I$6</f>
        <v>-133477.64954619083</v>
      </c>
      <c r="AR105" s="215">
        <f t="shared" si="33"/>
        <v>5205628.3323014425</v>
      </c>
      <c r="AS105" s="202"/>
      <c r="AT105" s="186">
        <f t="shared" si="61"/>
        <v>39356</v>
      </c>
      <c r="AU105" s="232">
        <f>+AR105*(VLOOKUP(AT105,CURVECALC!$C$6:$J$312,4,0)+AV$5)</f>
        <v>16647599.406700013</v>
      </c>
      <c r="AV105" s="208">
        <f>-AN105*INDEX(ship_curves,MATCH(AT105,'SHIP CURVES'!$A$9:$A$316,0),MATCH(CONCATENATE(AX$4,AX$5,AX$6,AX$7),'SHIP CURVES'!$A$9:$AZ$9,0))</f>
        <v>-1778574.3635813822</v>
      </c>
      <c r="AW105" s="209">
        <f>-AP105*INDEX(port_processing_fee,MATCH(AT105,PORTS!$H$626:$H$933,0),MATCH(AX$5,PORTS!$H$626:$Z$626,0))</f>
        <v>-154838.52037191277</v>
      </c>
      <c r="AX105" s="405">
        <f>(((VLOOKUP(AT105,curvecalc,4,0))*IF(AN105=0,0,AR105/AN105)-INDEX(ship_curves,MATCH(AT105,'SHIP CURVES'!$A$9:$A$316,0),MATCH(CONCATENATE(AX$4,AX$5,AX$6,AX$7),'SHIP CURVES'!$A$9:$Z$9,0))-INDEX(terminal_curves,MATCH(AT105,'TERMINAL CURVES'!$A$4:$A$313,0),MATCH(AX$5,'TERMINAL CURVES'!$A$4:$N$4,0))*IF(AN105=0,0,AP105/AN105))-(AV$8)*((AV$7-$N$5)-(INDEX(ship_curves,MATCH(AT105,'SHIP CURVES'!$A$9:$A$316,0),MATCH(CONCATENATE(AX$4,AX$5,AX$6,AX$7),'SHIP CURVES'!$A$9:$Z$9,0))-INDEX(ship_curves,MATCH(AT105,'SHIP CURVES'!$A$9:$A$316,0),MATCH(CONCATENATE(AX$4,AV$6,AX$6,AX$7),'SHIP CURVES'!$A$9:$Z$9,0)))-(INDEX(terminal_curves,MATCH(AT105,'TERMINAL CURVES'!$A$4:$A$313,0),MATCH(AX$5,'TERMINAL CURVES'!$A$4:$N$4,0))-INDEX(terminal_curves,MATCH(AT105,'TERMINAL CURVES'!$A$4:$A$313,0),MATCH(AV$6,'TERMINAL CURVES'!$A$4:$N$4,0)))*IF(AN105=0,0,AP105/AN105)))*-AN105</f>
        <v>-13626060.595365835</v>
      </c>
      <c r="AY105" s="343">
        <f t="shared" si="52"/>
        <v>-15559473.479319131</v>
      </c>
      <c r="AZ105" s="338">
        <f>(-AP105/((HLOOKUP(AX$5,port_specs,2,0)/(365.25))*(AT106-AT105)))*(INDEX(fixed_capacity_charge,MATCH(AT105,PORTS!$H$11:$H$317,0),MATCH(AX$5,PORTS!$H$11:$N$11,0))+INDEX(variable_om_charge,MATCH(AT105,PORTS!$H$318:$H$625,0),MATCH(AX$5,PORTS!$H$318:$N$318,0)))</f>
        <v>-984013.36073485017</v>
      </c>
      <c r="BA105" s="232">
        <f t="shared" si="53"/>
        <v>-16543486.840053981</v>
      </c>
      <c r="BB105" s="241">
        <f t="shared" si="54"/>
        <v>104112.56664603204</v>
      </c>
      <c r="BC105" s="408"/>
      <c r="BD105" s="338">
        <f>+PORTS!I99+PORTS!I407</f>
        <v>984013.36073485017</v>
      </c>
    </row>
    <row r="106" spans="1:56" x14ac:dyDescent="0.2">
      <c r="A106" s="186">
        <f t="shared" si="55"/>
        <v>39387</v>
      </c>
      <c r="B106" s="215">
        <f>+IF(AND($A106&gt;=$C$8,$A106&lt;=$C$9),1,0)*PORTS!$I$5/(365.25)*(A107-A106)</f>
        <v>5166876.756626742</v>
      </c>
      <c r="C106" s="351">
        <f t="shared" si="34"/>
        <v>0</v>
      </c>
      <c r="D106">
        <f t="shared" si="35"/>
        <v>2007</v>
      </c>
      <c r="E106" s="186">
        <f t="shared" si="56"/>
        <v>39387</v>
      </c>
      <c r="F106" s="215">
        <f t="shared" si="36"/>
        <v>0</v>
      </c>
      <c r="G106" s="191">
        <f t="shared" si="37"/>
        <v>0</v>
      </c>
      <c r="H106" s="218">
        <f t="shared" si="38"/>
        <v>0</v>
      </c>
      <c r="I106" s="118">
        <f t="shared" si="39"/>
        <v>0</v>
      </c>
      <c r="J106" s="215">
        <f t="shared" si="40"/>
        <v>0</v>
      </c>
      <c r="K106" s="202"/>
      <c r="L106" s="186">
        <f t="shared" si="57"/>
        <v>39387</v>
      </c>
      <c r="M106" s="400">
        <f>+J106*(VLOOKUP(L106,CURVECALC!$C$6:$J$312,4,0)+N$5)</f>
        <v>0</v>
      </c>
      <c r="N106" s="208">
        <f>-F106*INDEX(ship_curves,MATCH(L106,'SHIP CURVES'!$A$9:$A$316,0),MATCH(CONCATENATE(P$4,P$5,P$6,P$7),'SHIP CURVES'!$A$9:$AZ$9,0))</f>
        <v>0</v>
      </c>
      <c r="O106" s="209">
        <f>-H106*INDEX(port_processing_fee,MATCH(L106,PORTS!$H$626:$H$933,0),MATCH(P$5,PORTS!$H$626:$Z$626,0))</f>
        <v>0</v>
      </c>
      <c r="P106" s="405">
        <f>(((VLOOKUP(L106,curvecalc,4,0))*IF(F106=0,0,J106/F106)-INDEX(ship_curves,MATCH(L106,'SHIP CURVES'!$A$9:$A$316,0),MATCH(CONCATENATE(P$4,P$5,P$6,P$7),'SHIP CURVES'!$A$9:$Z$9,0))-INDEX(terminal_curves,MATCH(L106,'TERMINAL CURVES'!$A$4:$A$313,0),MATCH(P$5,'TERMINAL CURVES'!$A$4:$N$4,0))*IF(F106=0,0,H106/F106))-(N$8)*((N$7-$N$5)-(INDEX(ship_curves,MATCH(L106,'SHIP CURVES'!$A$9:$A$316,0),MATCH(CONCATENATE(P$4,P$5,P$6,P$7),'SHIP CURVES'!$A$9:$Z$9,0))-INDEX(ship_curves,MATCH(L106,'SHIP CURVES'!$A$9:$A$316,0),MATCH(CONCATENATE(P$4,N$6,P$6,P$7),'SHIP CURVES'!$A$9:$Z$9,0)))-(INDEX(terminal_curves,MATCH(L106,'TERMINAL CURVES'!$A$4:$A$313,0),MATCH(P$5,'TERMINAL CURVES'!$A$4:$N$4,0))-INDEX(terminal_curves,MATCH(L106,'TERMINAL CURVES'!$A$4:$A$313,0),MATCH(N$6,'TERMINAL CURVES'!$A$4:$N$4,0)))*IF(F106=0,0,H106/F106)))*-F106</f>
        <v>0</v>
      </c>
      <c r="Q106" s="403">
        <f t="shared" si="41"/>
        <v>0</v>
      </c>
      <c r="R106" s="338">
        <f>(-H106/((HLOOKUP(P$5,port_specs,2,0)/(365.25))*(L107-L106)))*(INDEX(fixed_capacity_charge,MATCH(L106,PORTS!$H$11:$H$317,0),MATCH(P$5,PORTS!$H$11:$N$11,0))+INDEX(variable_om_charge,MATCH(L106,PORTS!$H$318:$H$625,0),MATCH(P$5,PORTS!$H$318:$N$318,0)))</f>
        <v>0</v>
      </c>
      <c r="S106" s="232">
        <f t="shared" si="42"/>
        <v>0</v>
      </c>
      <c r="T106" s="241">
        <f t="shared" si="43"/>
        <v>0</v>
      </c>
      <c r="V106" s="186">
        <f t="shared" si="58"/>
        <v>39387</v>
      </c>
      <c r="W106" s="215">
        <f t="shared" si="44"/>
        <v>0</v>
      </c>
      <c r="X106" s="191">
        <f t="shared" si="45"/>
        <v>0</v>
      </c>
      <c r="Y106" s="218">
        <f>+IF(AND(X$8&lt;=V106,X$9&gt;=V106),+MIN($B106-SUMIF($H$17:X$17,Y$17,$H106:X106),((INDEX(ROUTE_PER_DAY_BY_SHIP,MATCH(CONCATENATE(X$4,X$5,X$7),ROUTE_PER_DAY_ROUTES,0),MATCH(X$6,ROUTE_PER_DAY_SHIPS,0))*(V107-V106))-(INDEX(ROUTE_PER_DAY_BY_SHIP,MATCH(CONCATENATE(X$4,X$5,X$7),ROUTE_PER_DAY_ROUTES,0),MATCH(X$6,ROUTE_PER_DAY_SHIPS,0))*(V107-V106))*HLOOKUP(X$6,SHIPS,7,0)*INDEX(LADEN_VOYAGE_DAYS,MATCH(CONCATENATE(X$4,X$5,X$7),LADEN_VOYAGE_ROUTES,0),MATCH(X$6,LADEN_VOYAGE_SHIPS,0)))),0)</f>
        <v>0</v>
      </c>
      <c r="Z106" s="118">
        <f t="shared" si="46"/>
        <v>0</v>
      </c>
      <c r="AA106" s="215">
        <f t="shared" si="32"/>
        <v>0</v>
      </c>
      <c r="AB106" s="202"/>
      <c r="AC106" s="186">
        <f t="shared" si="59"/>
        <v>39387</v>
      </c>
      <c r="AD106" s="232">
        <f>+AA106*(VLOOKUP(AC106,CURVECALC!$C$6:$J$312,4,0)+AE$5)</f>
        <v>0</v>
      </c>
      <c r="AE106" s="208">
        <f>-W106*INDEX(ship_curves,MATCH(AC106,'SHIP CURVES'!$A$9:$A$316,0),MATCH(CONCATENATE(AG$4,AG$5,AG$6,AG$7),'SHIP CURVES'!$A$9:$AZ$9,0))</f>
        <v>0</v>
      </c>
      <c r="AF106" s="209">
        <f>-Y106*INDEX(port_processing_fee,MATCH(AC106,PORTS!$H$626:$H$933,0),MATCH(AG$5,PORTS!$H$626:$Z$626,0))</f>
        <v>0</v>
      </c>
      <c r="AG106" s="405">
        <f>(((VLOOKUP(AC106,curvecalc,4,0))*IF(W106=0,0,AA106/W106)-INDEX(ship_curves,MATCH(AC106,'SHIP CURVES'!$A$9:$A$316,0),MATCH(CONCATENATE(AG$4,AG$5,AG$6,AG$7),'SHIP CURVES'!$A$9:$Z$9,0))-INDEX(terminal_curves,MATCH(AC106,'TERMINAL CURVES'!$A$4:$A$313,0),MATCH(AG$5,'TERMINAL CURVES'!$A$4:$N$4,0))*IF(W106=0,0,Y106/W106))-(AE$8)*((AE$7-$N$5)-(INDEX(ship_curves,MATCH(AC106,'SHIP CURVES'!$A$9:$A$316,0),MATCH(CONCATENATE(AG$4,AG$5,AG$6,AG$7),'SHIP CURVES'!$A$9:$Z$9,0))-INDEX(ship_curves,MATCH(AC106,'SHIP CURVES'!$A$9:$A$316,0),MATCH(CONCATENATE(AG$4,AE$6,AG$6,AG$7),'SHIP CURVES'!$A$9:$Z$9,0)))-(INDEX(terminal_curves,MATCH(AC106,'TERMINAL CURVES'!$A$4:$A$313,0),MATCH(AG$5,'TERMINAL CURVES'!$A$4:$N$4,0))-INDEX(terminal_curves,MATCH(AC106,'TERMINAL CURVES'!$A$4:$A$313,0),MATCH(AE$6,'TERMINAL CURVES'!$A$4:$N$4,0)))*IF(W106=0,0,Y106/W106)))*-W106</f>
        <v>0</v>
      </c>
      <c r="AH106" s="343">
        <f t="shared" si="47"/>
        <v>0</v>
      </c>
      <c r="AI106" s="338">
        <f>(-Y106/((HLOOKUP(AG$5,port_specs,2,0)/(365.25))*(AC107-AC106)))*(INDEX(fixed_capacity_charge,MATCH(AC106,PORTS!$H$11:$H$317,0),MATCH(AG$5,PORTS!$H$11:$N$11,0))+INDEX(variable_om_charge,MATCH(AC106,PORTS!$H$318:$H$625,0),MATCH(AG$5,PORTS!$H$318:$N$318,0)))</f>
        <v>0</v>
      </c>
      <c r="AJ106" s="232">
        <f t="shared" si="48"/>
        <v>0</v>
      </c>
      <c r="AK106" s="241">
        <f t="shared" si="49"/>
        <v>0</v>
      </c>
      <c r="AM106" s="186">
        <f t="shared" si="60"/>
        <v>39387</v>
      </c>
      <c r="AN106" s="215">
        <f t="shared" si="50"/>
        <v>5221704.655509592</v>
      </c>
      <c r="AO106" s="191">
        <f t="shared" si="51"/>
        <v>-54827.898882850073</v>
      </c>
      <c r="AP106" s="218">
        <f>+IF(AND(AO$8&lt;=AM106,AO$9&gt;=AM106),+MIN($B106-SUMIF($H$17:AO$17,AP$17,$H106:AO106),((INDEX(ROUTE_PER_DAY_BY_SHIP,MATCH(CONCATENATE(AO$4,AO$5,AO$7),ROUTE_PER_DAY_ROUTES,0),MATCH(AO$6,ROUTE_PER_DAY_SHIPS,0))*(AM107-AM106))-(INDEX(ROUTE_PER_DAY_BY_SHIP,MATCH(CONCATENATE(AO$4,AO$5,AO$7),ROUTE_PER_DAY_ROUTES,0),MATCH(AO$6,ROUTE_PER_DAY_SHIPS,0))*(AM107-AM106))*HLOOKUP(AO$6,SHIPS,7,0)*INDEX(LADEN_VOYAGE_DAYS,MATCH(CONCATENATE(AO$4,AO$5,AO$7),LADEN_VOYAGE_ROUTES,0),MATCH(AO$6,LADEN_VOYAGE_SHIPS,0)))),0)</f>
        <v>5166876.756626742</v>
      </c>
      <c r="AQ106" s="118">
        <f>-(AP106)*PORTS!$I$6</f>
        <v>-129171.91891566856</v>
      </c>
      <c r="AR106" s="215">
        <f t="shared" si="33"/>
        <v>5037704.8377110735</v>
      </c>
      <c r="AS106" s="202"/>
      <c r="AT106" s="186">
        <f t="shared" si="61"/>
        <v>39387</v>
      </c>
      <c r="AU106" s="232">
        <f>+AR106*(VLOOKUP(AT106,CURVECALC!$C$6:$J$312,4,0)+AV$5)</f>
        <v>16558935.801556299</v>
      </c>
      <c r="AV106" s="208">
        <f>-AN106*INDEX(ship_curves,MATCH(AT106,'SHIP CURVES'!$A$9:$A$316,0),MATCH(CONCATENATE(AX$4,AX$5,AX$6,AX$7),'SHIP CURVES'!$A$9:$AZ$9,0))</f>
        <v>-1721694.2362008637</v>
      </c>
      <c r="AW106" s="209">
        <f>-AP106*INDEX(port_processing_fee,MATCH(AT106,PORTS!$H$626:$H$933,0),MATCH(AX$5,PORTS!$H$626:$Z$626,0))</f>
        <v>-149999.81661029047</v>
      </c>
      <c r="AX106" s="405">
        <f>(((VLOOKUP(AT106,curvecalc,4,0))*IF(AN106=0,0,AR106/AN106)-INDEX(ship_curves,MATCH(AT106,'SHIP CURVES'!$A$9:$A$316,0),MATCH(CONCATENATE(AX$4,AX$5,AX$6,AX$7),'SHIP CURVES'!$A$9:$Z$9,0))-INDEX(terminal_curves,MATCH(AT106,'TERMINAL CURVES'!$A$4:$A$313,0),MATCH(AX$5,'TERMINAL CURVES'!$A$4:$N$4,0))*IF(AN106=0,0,AP106/AN106))-(AV$8)*((AV$7-$N$5)-(INDEX(ship_curves,MATCH(AT106,'SHIP CURVES'!$A$9:$A$316,0),MATCH(CONCATENATE(AX$4,AX$5,AX$6,AX$7),'SHIP CURVES'!$A$9:$Z$9,0))-INDEX(ship_curves,MATCH(AT106,'SHIP CURVES'!$A$9:$A$316,0),MATCH(CONCATENATE(AX$4,AV$6,AX$6,AX$7),'SHIP CURVES'!$A$9:$Z$9,0)))-(INDEX(terminal_curves,MATCH(AT106,'TERMINAL CURVES'!$A$4:$A$313,0),MATCH(AX$5,'TERMINAL CURVES'!$A$4:$N$4,0))-INDEX(terminal_curves,MATCH(AT106,'TERMINAL CURVES'!$A$4:$A$313,0),MATCH(AV$6,'TERMINAL CURVES'!$A$4:$N$4,0)))*IF(AN106=0,0,AP106/AN106)))*-AN106</f>
        <v>-13601954.680016669</v>
      </c>
      <c r="AY106" s="343">
        <f t="shared" si="52"/>
        <v>-15473648.732827824</v>
      </c>
      <c r="AZ106" s="338">
        <f>(-AP106/((HLOOKUP(AX$5,port_specs,2,0)/(365.25))*(AT107-AT106)))*(INDEX(fixed_capacity_charge,MATCH(AT106,PORTS!$H$11:$H$317,0),MATCH(AX$5,PORTS!$H$11:$N$11,0))+INDEX(variable_om_charge,MATCH(AT106,PORTS!$H$318:$H$625,0),MATCH(AX$5,PORTS!$H$318:$N$318,0)))</f>
        <v>-984532.97197425272</v>
      </c>
      <c r="BA106" s="232">
        <f t="shared" si="53"/>
        <v>-16458181.704802077</v>
      </c>
      <c r="BB106" s="241">
        <f t="shared" si="54"/>
        <v>100754.09675422125</v>
      </c>
      <c r="BC106" s="408"/>
      <c r="BD106" s="338">
        <f>+PORTS!I100+PORTS!I408</f>
        <v>984532.97197425272</v>
      </c>
    </row>
    <row r="107" spans="1:56" x14ac:dyDescent="0.2">
      <c r="A107" s="186">
        <f t="shared" si="55"/>
        <v>39417</v>
      </c>
      <c r="B107" s="215">
        <f>+IF(AND($A107&gt;=$C$8,$A107&lt;=$C$9),1,0)*PORTS!$I$5/(365.25)*(A108-A107)</f>
        <v>5339105.9818476336</v>
      </c>
      <c r="C107" s="351">
        <f t="shared" si="34"/>
        <v>0</v>
      </c>
      <c r="D107">
        <f t="shared" si="35"/>
        <v>2007</v>
      </c>
      <c r="E107" s="186">
        <f t="shared" si="56"/>
        <v>39417</v>
      </c>
      <c r="F107" s="215">
        <f t="shared" si="36"/>
        <v>0</v>
      </c>
      <c r="G107" s="191">
        <f t="shared" si="37"/>
        <v>0</v>
      </c>
      <c r="H107" s="218">
        <f t="shared" si="38"/>
        <v>0</v>
      </c>
      <c r="I107" s="118">
        <f t="shared" si="39"/>
        <v>0</v>
      </c>
      <c r="J107" s="215">
        <f t="shared" si="40"/>
        <v>0</v>
      </c>
      <c r="K107" s="202"/>
      <c r="L107" s="186">
        <f t="shared" si="57"/>
        <v>39417</v>
      </c>
      <c r="M107" s="400">
        <f>+J107*(VLOOKUP(L107,CURVECALC!$C$6:$J$312,4,0)+N$5)</f>
        <v>0</v>
      </c>
      <c r="N107" s="208">
        <f>-F107*INDEX(ship_curves,MATCH(L107,'SHIP CURVES'!$A$9:$A$316,0),MATCH(CONCATENATE(P$4,P$5,P$6,P$7),'SHIP CURVES'!$A$9:$AZ$9,0))</f>
        <v>0</v>
      </c>
      <c r="O107" s="209">
        <f>-H107*INDEX(port_processing_fee,MATCH(L107,PORTS!$H$626:$H$933,0),MATCH(P$5,PORTS!$H$626:$Z$626,0))</f>
        <v>0</v>
      </c>
      <c r="P107" s="405">
        <f>(((VLOOKUP(L107,curvecalc,4,0))*IF(F107=0,0,J107/F107)-INDEX(ship_curves,MATCH(L107,'SHIP CURVES'!$A$9:$A$316,0),MATCH(CONCATENATE(P$4,P$5,P$6,P$7),'SHIP CURVES'!$A$9:$Z$9,0))-INDEX(terminal_curves,MATCH(L107,'TERMINAL CURVES'!$A$4:$A$313,0),MATCH(P$5,'TERMINAL CURVES'!$A$4:$N$4,0))*IF(F107=0,0,H107/F107))-(N$8)*((N$7-$N$5)-(INDEX(ship_curves,MATCH(L107,'SHIP CURVES'!$A$9:$A$316,0),MATCH(CONCATENATE(P$4,P$5,P$6,P$7),'SHIP CURVES'!$A$9:$Z$9,0))-INDEX(ship_curves,MATCH(L107,'SHIP CURVES'!$A$9:$A$316,0),MATCH(CONCATENATE(P$4,N$6,P$6,P$7),'SHIP CURVES'!$A$9:$Z$9,0)))-(INDEX(terminal_curves,MATCH(L107,'TERMINAL CURVES'!$A$4:$A$313,0),MATCH(P$5,'TERMINAL CURVES'!$A$4:$N$4,0))-INDEX(terminal_curves,MATCH(L107,'TERMINAL CURVES'!$A$4:$A$313,0),MATCH(N$6,'TERMINAL CURVES'!$A$4:$N$4,0)))*IF(F107=0,0,H107/F107)))*-F107</f>
        <v>0</v>
      </c>
      <c r="Q107" s="403">
        <f t="shared" si="41"/>
        <v>0</v>
      </c>
      <c r="R107" s="338">
        <f>(-H107/((HLOOKUP(P$5,port_specs,2,0)/(365.25))*(L108-L107)))*(INDEX(fixed_capacity_charge,MATCH(L107,PORTS!$H$11:$H$317,0),MATCH(P$5,PORTS!$H$11:$N$11,0))+INDEX(variable_om_charge,MATCH(L107,PORTS!$H$318:$H$625,0),MATCH(P$5,PORTS!$H$318:$N$318,0)))</f>
        <v>0</v>
      </c>
      <c r="S107" s="232">
        <f t="shared" si="42"/>
        <v>0</v>
      </c>
      <c r="T107" s="241">
        <f t="shared" si="43"/>
        <v>0</v>
      </c>
      <c r="V107" s="186">
        <f t="shared" si="58"/>
        <v>39417</v>
      </c>
      <c r="W107" s="215">
        <f t="shared" si="44"/>
        <v>0</v>
      </c>
      <c r="X107" s="191">
        <f t="shared" si="45"/>
        <v>0</v>
      </c>
      <c r="Y107" s="218">
        <f>+IF(AND(X$8&lt;=V107,X$9&gt;=V107),+MIN($B107-SUMIF($H$17:X$17,Y$17,$H107:X107),((INDEX(ROUTE_PER_DAY_BY_SHIP,MATCH(CONCATENATE(X$4,X$5,X$7),ROUTE_PER_DAY_ROUTES,0),MATCH(X$6,ROUTE_PER_DAY_SHIPS,0))*(V108-V107))-(INDEX(ROUTE_PER_DAY_BY_SHIP,MATCH(CONCATENATE(X$4,X$5,X$7),ROUTE_PER_DAY_ROUTES,0),MATCH(X$6,ROUTE_PER_DAY_SHIPS,0))*(V108-V107))*HLOOKUP(X$6,SHIPS,7,0)*INDEX(LADEN_VOYAGE_DAYS,MATCH(CONCATENATE(X$4,X$5,X$7),LADEN_VOYAGE_ROUTES,0),MATCH(X$6,LADEN_VOYAGE_SHIPS,0)))),0)</f>
        <v>0</v>
      </c>
      <c r="Z107" s="118">
        <f t="shared" si="46"/>
        <v>0</v>
      </c>
      <c r="AA107" s="215">
        <f t="shared" si="32"/>
        <v>0</v>
      </c>
      <c r="AB107" s="202"/>
      <c r="AC107" s="186">
        <f t="shared" si="59"/>
        <v>39417</v>
      </c>
      <c r="AD107" s="232">
        <f>+AA107*(VLOOKUP(AC107,CURVECALC!$C$6:$J$312,4,0)+AE$5)</f>
        <v>0</v>
      </c>
      <c r="AE107" s="208">
        <f>-W107*INDEX(ship_curves,MATCH(AC107,'SHIP CURVES'!$A$9:$A$316,0),MATCH(CONCATENATE(AG$4,AG$5,AG$6,AG$7),'SHIP CURVES'!$A$9:$AZ$9,0))</f>
        <v>0</v>
      </c>
      <c r="AF107" s="209">
        <f>-Y107*INDEX(port_processing_fee,MATCH(AC107,PORTS!$H$626:$H$933,0),MATCH(AG$5,PORTS!$H$626:$Z$626,0))</f>
        <v>0</v>
      </c>
      <c r="AG107" s="405">
        <f>(((VLOOKUP(AC107,curvecalc,4,0))*IF(W107=0,0,AA107/W107)-INDEX(ship_curves,MATCH(AC107,'SHIP CURVES'!$A$9:$A$316,0),MATCH(CONCATENATE(AG$4,AG$5,AG$6,AG$7),'SHIP CURVES'!$A$9:$Z$9,0))-INDEX(terminal_curves,MATCH(AC107,'TERMINAL CURVES'!$A$4:$A$313,0),MATCH(AG$5,'TERMINAL CURVES'!$A$4:$N$4,0))*IF(W107=0,0,Y107/W107))-(AE$8)*((AE$7-$N$5)-(INDEX(ship_curves,MATCH(AC107,'SHIP CURVES'!$A$9:$A$316,0),MATCH(CONCATENATE(AG$4,AG$5,AG$6,AG$7),'SHIP CURVES'!$A$9:$Z$9,0))-INDEX(ship_curves,MATCH(AC107,'SHIP CURVES'!$A$9:$A$316,0),MATCH(CONCATENATE(AG$4,AE$6,AG$6,AG$7),'SHIP CURVES'!$A$9:$Z$9,0)))-(INDEX(terminal_curves,MATCH(AC107,'TERMINAL CURVES'!$A$4:$A$313,0),MATCH(AG$5,'TERMINAL CURVES'!$A$4:$N$4,0))-INDEX(terminal_curves,MATCH(AC107,'TERMINAL CURVES'!$A$4:$A$313,0),MATCH(AE$6,'TERMINAL CURVES'!$A$4:$N$4,0)))*IF(W107=0,0,Y107/W107)))*-W107</f>
        <v>0</v>
      </c>
      <c r="AH107" s="343">
        <f t="shared" si="47"/>
        <v>0</v>
      </c>
      <c r="AI107" s="338">
        <f>(-Y107/((HLOOKUP(AG$5,port_specs,2,0)/(365.25))*(AC108-AC107)))*(INDEX(fixed_capacity_charge,MATCH(AC107,PORTS!$H$11:$H$317,0),MATCH(AG$5,PORTS!$H$11:$N$11,0))+INDEX(variable_om_charge,MATCH(AC107,PORTS!$H$318:$H$625,0),MATCH(AG$5,PORTS!$H$318:$N$318,0)))</f>
        <v>0</v>
      </c>
      <c r="AJ107" s="232">
        <f t="shared" si="48"/>
        <v>0</v>
      </c>
      <c r="AK107" s="241">
        <f t="shared" si="49"/>
        <v>0</v>
      </c>
      <c r="AM107" s="186">
        <f t="shared" si="60"/>
        <v>39417</v>
      </c>
      <c r="AN107" s="215">
        <f t="shared" si="50"/>
        <v>5395761.4773599124</v>
      </c>
      <c r="AO107" s="191">
        <f t="shared" si="51"/>
        <v>-56655.495512278751</v>
      </c>
      <c r="AP107" s="218">
        <f>+IF(AND(AO$8&lt;=AM107,AO$9&gt;=AM107),+MIN($B107-SUMIF($H$17:AO$17,AP$17,$H107:AO107),((INDEX(ROUTE_PER_DAY_BY_SHIP,MATCH(CONCATENATE(AO$4,AO$5,AO$7),ROUTE_PER_DAY_ROUTES,0),MATCH(AO$6,ROUTE_PER_DAY_SHIPS,0))*(AM108-AM107))-(INDEX(ROUTE_PER_DAY_BY_SHIP,MATCH(CONCATENATE(AO$4,AO$5,AO$7),ROUTE_PER_DAY_ROUTES,0),MATCH(AO$6,ROUTE_PER_DAY_SHIPS,0))*(AM108-AM107))*HLOOKUP(AO$6,SHIPS,7,0)*INDEX(LADEN_VOYAGE_DAYS,MATCH(CONCATENATE(AO$4,AO$5,AO$7),LADEN_VOYAGE_ROUTES,0),MATCH(AO$6,LADEN_VOYAGE_SHIPS,0)))),0)</f>
        <v>5339105.9818476336</v>
      </c>
      <c r="AQ107" s="118">
        <f>-(AP107)*PORTS!$I$6</f>
        <v>-133477.64954619083</v>
      </c>
      <c r="AR107" s="215">
        <f t="shared" si="33"/>
        <v>5205628.3323014425</v>
      </c>
      <c r="AS107" s="202"/>
      <c r="AT107" s="186">
        <f t="shared" si="61"/>
        <v>39417</v>
      </c>
      <c r="AU107" s="232">
        <f>+AR107*(VLOOKUP(AT107,CURVECALC!$C$6:$J$312,4,0)+AV$5)</f>
        <v>17595023.763178874</v>
      </c>
      <c r="AV107" s="208">
        <f>-AN107*INDEX(ship_curves,MATCH(AT107,'SHIP CURVES'!$A$9:$A$316,0),MATCH(CONCATENATE(AX$4,AX$5,AX$6,AX$7),'SHIP CURVES'!$A$9:$AZ$9,0))</f>
        <v>-1779594.7864014301</v>
      </c>
      <c r="AW107" s="209">
        <f>-AP107*INDEX(port_processing_fee,MATCH(AT107,PORTS!$H$626:$H$933,0),MATCH(AX$5,PORTS!$H$626:$Z$626,0))</f>
        <v>-155161.26863323484</v>
      </c>
      <c r="AX107" s="405">
        <f>(((VLOOKUP(AT107,curvecalc,4,0))*IF(AN107=0,0,AR107/AN107)-INDEX(ship_curves,MATCH(AT107,'SHIP CURVES'!$A$9:$A$316,0),MATCH(CONCATENATE(AX$4,AX$5,AX$6,AX$7),'SHIP CURVES'!$A$9:$Z$9,0))-INDEX(terminal_curves,MATCH(AT107,'TERMINAL CURVES'!$A$4:$A$313,0),MATCH(AX$5,'TERMINAL CURVES'!$A$4:$N$4,0))*IF(AN107=0,0,AP107/AN107))-(AV$8)*((AV$7-$N$5)-(INDEX(ship_curves,MATCH(AT107,'SHIP CURVES'!$A$9:$A$316,0),MATCH(CONCATENATE(AX$4,AX$5,AX$6,AX$7),'SHIP CURVES'!$A$9:$Z$9,0))-INDEX(ship_curves,MATCH(AT107,'SHIP CURVES'!$A$9:$A$316,0),MATCH(CONCATENATE(AX$4,AV$6,AX$6,AX$7),'SHIP CURVES'!$A$9:$Z$9,0)))-(INDEX(terminal_curves,MATCH(AT107,'TERMINAL CURVES'!$A$4:$A$313,0),MATCH(AX$5,'TERMINAL CURVES'!$A$4:$N$4,0))-INDEX(terminal_curves,MATCH(AT107,'TERMINAL CURVES'!$A$4:$A$313,0),MATCH(AV$6,'TERMINAL CURVES'!$A$4:$N$4,0)))*IF(AN107=0,0,AP107/AN107)))*-AN107</f>
        <v>-14571102.017022816</v>
      </c>
      <c r="AY107" s="343">
        <f t="shared" si="52"/>
        <v>-16505858.072057482</v>
      </c>
      <c r="AZ107" s="338">
        <f>(-AP107/((HLOOKUP(AX$5,port_specs,2,0)/(365.25))*(AT108-AT107)))*(INDEX(fixed_capacity_charge,MATCH(AT107,PORTS!$H$11:$H$317,0),MATCH(AX$5,PORTS!$H$11:$N$11,0))+INDEX(variable_om_charge,MATCH(AT107,PORTS!$H$318:$H$625,0),MATCH(AX$5,PORTS!$H$318:$N$318,0)))</f>
        <v>-985053.12447536294</v>
      </c>
      <c r="BA107" s="232">
        <f t="shared" si="53"/>
        <v>-17490911.196532845</v>
      </c>
      <c r="BB107" s="241">
        <f t="shared" si="54"/>
        <v>104112.56664602831</v>
      </c>
      <c r="BC107" s="408"/>
      <c r="BD107" s="338">
        <f>+PORTS!I101+PORTS!I409</f>
        <v>985053.12447536294</v>
      </c>
    </row>
    <row r="108" spans="1:56" x14ac:dyDescent="0.2">
      <c r="A108" s="186">
        <f t="shared" si="55"/>
        <v>39448</v>
      </c>
      <c r="B108" s="215">
        <f>+IF(AND($A108&gt;=$C$8,$A108&lt;=$C$9),1,0)*PORTS!$I$5/(365.25)*(A109-A108)</f>
        <v>5339105.9818476336</v>
      </c>
      <c r="C108" s="351">
        <f t="shared" si="34"/>
        <v>0</v>
      </c>
      <c r="D108">
        <f t="shared" si="35"/>
        <v>2008</v>
      </c>
      <c r="E108" s="186">
        <f t="shared" si="56"/>
        <v>39448</v>
      </c>
      <c r="F108" s="215">
        <f t="shared" si="36"/>
        <v>0</v>
      </c>
      <c r="G108" s="191">
        <f t="shared" si="37"/>
        <v>0</v>
      </c>
      <c r="H108" s="218">
        <f t="shared" si="38"/>
        <v>0</v>
      </c>
      <c r="I108" s="118">
        <f t="shared" si="39"/>
        <v>0</v>
      </c>
      <c r="J108" s="215">
        <f t="shared" si="40"/>
        <v>0</v>
      </c>
      <c r="K108" s="202"/>
      <c r="L108" s="186">
        <f t="shared" si="57"/>
        <v>39448</v>
      </c>
      <c r="M108" s="400">
        <f>+J108*(VLOOKUP(L108,CURVECALC!$C$6:$J$312,4,0)+N$5)</f>
        <v>0</v>
      </c>
      <c r="N108" s="208">
        <f>-F108*INDEX(ship_curves,MATCH(L108,'SHIP CURVES'!$A$9:$A$316,0),MATCH(CONCATENATE(P$4,P$5,P$6,P$7),'SHIP CURVES'!$A$9:$AZ$9,0))</f>
        <v>0</v>
      </c>
      <c r="O108" s="209">
        <f>-H108*INDEX(port_processing_fee,MATCH(L108,PORTS!$H$626:$H$933,0),MATCH(P$5,PORTS!$H$626:$Z$626,0))</f>
        <v>0</v>
      </c>
      <c r="P108" s="405">
        <f>(((VLOOKUP(L108,curvecalc,4,0))*IF(F108=0,0,J108/F108)-INDEX(ship_curves,MATCH(L108,'SHIP CURVES'!$A$9:$A$316,0),MATCH(CONCATENATE(P$4,P$5,P$6,P$7),'SHIP CURVES'!$A$9:$Z$9,0))-INDEX(terminal_curves,MATCH(L108,'TERMINAL CURVES'!$A$4:$A$313,0),MATCH(P$5,'TERMINAL CURVES'!$A$4:$N$4,0))*IF(F108=0,0,H108/F108))-(N$8)*((N$7-$N$5)-(INDEX(ship_curves,MATCH(L108,'SHIP CURVES'!$A$9:$A$316,0),MATCH(CONCATENATE(P$4,P$5,P$6,P$7),'SHIP CURVES'!$A$9:$Z$9,0))-INDEX(ship_curves,MATCH(L108,'SHIP CURVES'!$A$9:$A$316,0),MATCH(CONCATENATE(P$4,N$6,P$6,P$7),'SHIP CURVES'!$A$9:$Z$9,0)))-(INDEX(terminal_curves,MATCH(L108,'TERMINAL CURVES'!$A$4:$A$313,0),MATCH(P$5,'TERMINAL CURVES'!$A$4:$N$4,0))-INDEX(terminal_curves,MATCH(L108,'TERMINAL CURVES'!$A$4:$A$313,0),MATCH(N$6,'TERMINAL CURVES'!$A$4:$N$4,0)))*IF(F108=0,0,H108/F108)))*-F108</f>
        <v>0</v>
      </c>
      <c r="Q108" s="403">
        <f t="shared" si="41"/>
        <v>0</v>
      </c>
      <c r="R108" s="338">
        <f>(-H108/((HLOOKUP(P$5,port_specs,2,0)/(365.25))*(L109-L108)))*(INDEX(fixed_capacity_charge,MATCH(L108,PORTS!$H$11:$H$317,0),MATCH(P$5,PORTS!$H$11:$N$11,0))+INDEX(variable_om_charge,MATCH(L108,PORTS!$H$318:$H$625,0),MATCH(P$5,PORTS!$H$318:$N$318,0)))</f>
        <v>0</v>
      </c>
      <c r="S108" s="232">
        <f t="shared" si="42"/>
        <v>0</v>
      </c>
      <c r="T108" s="241">
        <f t="shared" si="43"/>
        <v>0</v>
      </c>
      <c r="V108" s="186">
        <f t="shared" si="58"/>
        <v>39448</v>
      </c>
      <c r="W108" s="215">
        <f t="shared" si="44"/>
        <v>0</v>
      </c>
      <c r="X108" s="191">
        <f t="shared" si="45"/>
        <v>0</v>
      </c>
      <c r="Y108" s="218">
        <f>+IF(AND(X$8&lt;=V108,X$9&gt;=V108),+MIN($B108-SUMIF($H$17:X$17,Y$17,$H108:X108),((INDEX(ROUTE_PER_DAY_BY_SHIP,MATCH(CONCATENATE(X$4,X$5,X$7),ROUTE_PER_DAY_ROUTES,0),MATCH(X$6,ROUTE_PER_DAY_SHIPS,0))*(V109-V108))-(INDEX(ROUTE_PER_DAY_BY_SHIP,MATCH(CONCATENATE(X$4,X$5,X$7),ROUTE_PER_DAY_ROUTES,0),MATCH(X$6,ROUTE_PER_DAY_SHIPS,0))*(V109-V108))*HLOOKUP(X$6,SHIPS,7,0)*INDEX(LADEN_VOYAGE_DAYS,MATCH(CONCATENATE(X$4,X$5,X$7),LADEN_VOYAGE_ROUTES,0),MATCH(X$6,LADEN_VOYAGE_SHIPS,0)))),0)</f>
        <v>0</v>
      </c>
      <c r="Z108" s="118">
        <f t="shared" si="46"/>
        <v>0</v>
      </c>
      <c r="AA108" s="215">
        <f t="shared" si="32"/>
        <v>0</v>
      </c>
      <c r="AB108" s="202"/>
      <c r="AC108" s="186">
        <f t="shared" si="59"/>
        <v>39448</v>
      </c>
      <c r="AD108" s="232">
        <f>+AA108*(VLOOKUP(AC108,CURVECALC!$C$6:$J$312,4,0)+AE$5)</f>
        <v>0</v>
      </c>
      <c r="AE108" s="208">
        <f>-W108*INDEX(ship_curves,MATCH(AC108,'SHIP CURVES'!$A$9:$A$316,0),MATCH(CONCATENATE(AG$4,AG$5,AG$6,AG$7),'SHIP CURVES'!$A$9:$AZ$9,0))</f>
        <v>0</v>
      </c>
      <c r="AF108" s="209">
        <f>-Y108*INDEX(port_processing_fee,MATCH(AC108,PORTS!$H$626:$H$933,0),MATCH(AG$5,PORTS!$H$626:$Z$626,0))</f>
        <v>0</v>
      </c>
      <c r="AG108" s="405">
        <f>(((VLOOKUP(AC108,curvecalc,4,0))*IF(W108=0,0,AA108/W108)-INDEX(ship_curves,MATCH(AC108,'SHIP CURVES'!$A$9:$A$316,0),MATCH(CONCATENATE(AG$4,AG$5,AG$6,AG$7),'SHIP CURVES'!$A$9:$Z$9,0))-INDEX(terminal_curves,MATCH(AC108,'TERMINAL CURVES'!$A$4:$A$313,0),MATCH(AG$5,'TERMINAL CURVES'!$A$4:$N$4,0))*IF(W108=0,0,Y108/W108))-(AE$8)*((AE$7-$N$5)-(INDEX(ship_curves,MATCH(AC108,'SHIP CURVES'!$A$9:$A$316,0),MATCH(CONCATENATE(AG$4,AG$5,AG$6,AG$7),'SHIP CURVES'!$A$9:$Z$9,0))-INDEX(ship_curves,MATCH(AC108,'SHIP CURVES'!$A$9:$A$316,0),MATCH(CONCATENATE(AG$4,AE$6,AG$6,AG$7),'SHIP CURVES'!$A$9:$Z$9,0)))-(INDEX(terminal_curves,MATCH(AC108,'TERMINAL CURVES'!$A$4:$A$313,0),MATCH(AG$5,'TERMINAL CURVES'!$A$4:$N$4,0))-INDEX(terminal_curves,MATCH(AC108,'TERMINAL CURVES'!$A$4:$A$313,0),MATCH(AE$6,'TERMINAL CURVES'!$A$4:$N$4,0)))*IF(W108=0,0,Y108/W108)))*-W108</f>
        <v>0</v>
      </c>
      <c r="AH108" s="343">
        <f t="shared" si="47"/>
        <v>0</v>
      </c>
      <c r="AI108" s="338">
        <f>(-Y108/((HLOOKUP(AG$5,port_specs,2,0)/(365.25))*(AC109-AC108)))*(INDEX(fixed_capacity_charge,MATCH(AC108,PORTS!$H$11:$H$317,0),MATCH(AG$5,PORTS!$H$11:$N$11,0))+INDEX(variable_om_charge,MATCH(AC108,PORTS!$H$318:$H$625,0),MATCH(AG$5,PORTS!$H$318:$N$318,0)))</f>
        <v>0</v>
      </c>
      <c r="AJ108" s="232">
        <f t="shared" si="48"/>
        <v>0</v>
      </c>
      <c r="AK108" s="241">
        <f t="shared" si="49"/>
        <v>0</v>
      </c>
      <c r="AM108" s="186">
        <f t="shared" si="60"/>
        <v>39448</v>
      </c>
      <c r="AN108" s="215">
        <f t="shared" si="50"/>
        <v>5395761.4773599124</v>
      </c>
      <c r="AO108" s="191">
        <f t="shared" si="51"/>
        <v>-56655.495512278751</v>
      </c>
      <c r="AP108" s="218">
        <f>+IF(AND(AO$8&lt;=AM108,AO$9&gt;=AM108),+MIN($B108-SUMIF($H$17:AO$17,AP$17,$H108:AO108),((INDEX(ROUTE_PER_DAY_BY_SHIP,MATCH(CONCATENATE(AO$4,AO$5,AO$7),ROUTE_PER_DAY_ROUTES,0),MATCH(AO$6,ROUTE_PER_DAY_SHIPS,0))*(AM109-AM108))-(INDEX(ROUTE_PER_DAY_BY_SHIP,MATCH(CONCATENATE(AO$4,AO$5,AO$7),ROUTE_PER_DAY_ROUTES,0),MATCH(AO$6,ROUTE_PER_DAY_SHIPS,0))*(AM109-AM108))*HLOOKUP(AO$6,SHIPS,7,0)*INDEX(LADEN_VOYAGE_DAYS,MATCH(CONCATENATE(AO$4,AO$5,AO$7),LADEN_VOYAGE_ROUTES,0),MATCH(AO$6,LADEN_VOYAGE_SHIPS,0)))),0)</f>
        <v>5339105.9818476336</v>
      </c>
      <c r="AQ108" s="118">
        <f>-(AP108)*PORTS!$I$6</f>
        <v>-133477.64954619083</v>
      </c>
      <c r="AR108" s="215">
        <f t="shared" si="33"/>
        <v>5205628.3323014425</v>
      </c>
      <c r="AS108" s="202"/>
      <c r="AT108" s="186">
        <f t="shared" si="61"/>
        <v>39448</v>
      </c>
      <c r="AU108" s="232">
        <f>+AR108*(VLOOKUP(AT108,CURVECALC!$C$6:$J$312,4,0)+AV$5)</f>
        <v>18349839.871362586</v>
      </c>
      <c r="AV108" s="208">
        <f>-AN108*INDEX(ship_curves,MATCH(AT108,'SHIP CURVES'!$A$9:$A$316,0),MATCH(CONCATENATE(AX$4,AX$5,AX$6,AX$7),'SHIP CURVES'!$A$9:$AZ$9,0))</f>
        <v>-1780106.5927751495</v>
      </c>
      <c r="AW108" s="209">
        <f>-AP108*INDEX(port_processing_fee,MATCH(AT108,PORTS!$H$626:$H$933,0),MATCH(AX$5,PORTS!$H$626:$Z$626,0))</f>
        <v>-155322.89495472779</v>
      </c>
      <c r="AX108" s="405">
        <f>(((VLOOKUP(AT108,curvecalc,4,0))*IF(AN108=0,0,AR108/AN108)-INDEX(ship_curves,MATCH(AT108,'SHIP CURVES'!$A$9:$A$316,0),MATCH(CONCATENATE(AX$4,AX$5,AX$6,AX$7),'SHIP CURVES'!$A$9:$Z$9,0))-INDEX(terminal_curves,MATCH(AT108,'TERMINAL CURVES'!$A$4:$A$313,0),MATCH(AX$5,'TERMINAL CURVES'!$A$4:$N$4,0))*IF(AN108=0,0,AP108/AN108))-(AV$8)*((AV$7-$N$5)-(INDEX(ship_curves,MATCH(AT108,'SHIP CURVES'!$A$9:$A$316,0),MATCH(CONCATENATE(AX$4,AX$5,AX$6,AX$7),'SHIP CURVES'!$A$9:$Z$9,0))-INDEX(ship_curves,MATCH(AT108,'SHIP CURVES'!$A$9:$A$316,0),MATCH(CONCATENATE(AX$4,AV$6,AX$6,AX$7),'SHIP CURVES'!$A$9:$Z$9,0)))-(INDEX(terminal_curves,MATCH(AT108,'TERMINAL CURVES'!$A$4:$A$313,0),MATCH(AX$5,'TERMINAL CURVES'!$A$4:$N$4,0))-INDEX(terminal_curves,MATCH(AT108,'TERMINAL CURVES'!$A$4:$A$313,0),MATCH(AV$6,'TERMINAL CURVES'!$A$4:$N$4,0)))*IF(AN108=0,0,AP108/AN108)))*-AN108</f>
        <v>-15324723.998184683</v>
      </c>
      <c r="AY108" s="343">
        <f t="shared" si="52"/>
        <v>-17260153.485914558</v>
      </c>
      <c r="AZ108" s="338">
        <f>(-AP108/((HLOOKUP(AX$5,port_specs,2,0)/(365.25))*(AT109-AT108)))*(INDEX(fixed_capacity_charge,MATCH(AT108,PORTS!$H$11:$H$317,0),MATCH(AX$5,PORTS!$H$11:$N$11,0))+INDEX(variable_om_charge,MATCH(AT108,PORTS!$H$318:$H$625,0),MATCH(AX$5,PORTS!$H$318:$N$318,0)))</f>
        <v>-985573.81880199537</v>
      </c>
      <c r="BA108" s="232">
        <f t="shared" si="53"/>
        <v>-18245727.304716554</v>
      </c>
      <c r="BB108" s="241">
        <f t="shared" si="54"/>
        <v>104112.56664603204</v>
      </c>
      <c r="BC108" s="408"/>
      <c r="BD108" s="338">
        <f>+PORTS!I102+PORTS!I410</f>
        <v>985573.81880199537</v>
      </c>
    </row>
    <row r="109" spans="1:56" x14ac:dyDescent="0.2">
      <c r="A109" s="186">
        <f t="shared" si="55"/>
        <v>39479</v>
      </c>
      <c r="B109" s="215">
        <f>+IF(AND($A109&gt;=$C$8,$A109&lt;=$C$9),1,0)*PORTS!$I$5/(365.25)*(A110-A109)</f>
        <v>4994647.5314058512</v>
      </c>
      <c r="C109" s="351">
        <f t="shared" si="34"/>
        <v>0</v>
      </c>
      <c r="D109">
        <f t="shared" si="35"/>
        <v>2008</v>
      </c>
      <c r="E109" s="186">
        <f t="shared" si="56"/>
        <v>39479</v>
      </c>
      <c r="F109" s="215">
        <f t="shared" si="36"/>
        <v>0</v>
      </c>
      <c r="G109" s="191">
        <f t="shared" si="37"/>
        <v>0</v>
      </c>
      <c r="H109" s="218">
        <f t="shared" si="38"/>
        <v>0</v>
      </c>
      <c r="I109" s="118">
        <f t="shared" si="39"/>
        <v>0</v>
      </c>
      <c r="J109" s="215">
        <f t="shared" si="40"/>
        <v>0</v>
      </c>
      <c r="K109" s="202"/>
      <c r="L109" s="186">
        <f t="shared" si="57"/>
        <v>39479</v>
      </c>
      <c r="M109" s="400">
        <f>+J109*(VLOOKUP(L109,CURVECALC!$C$6:$J$312,4,0)+N$5)</f>
        <v>0</v>
      </c>
      <c r="N109" s="208">
        <f>-F109*INDEX(ship_curves,MATCH(L109,'SHIP CURVES'!$A$9:$A$316,0),MATCH(CONCATENATE(P$4,P$5,P$6,P$7),'SHIP CURVES'!$A$9:$AZ$9,0))</f>
        <v>0</v>
      </c>
      <c r="O109" s="209">
        <f>-H109*INDEX(port_processing_fee,MATCH(L109,PORTS!$H$626:$H$933,0),MATCH(P$5,PORTS!$H$626:$Z$626,0))</f>
        <v>0</v>
      </c>
      <c r="P109" s="405">
        <f>(((VLOOKUP(L109,curvecalc,4,0))*IF(F109=0,0,J109/F109)-INDEX(ship_curves,MATCH(L109,'SHIP CURVES'!$A$9:$A$316,0),MATCH(CONCATENATE(P$4,P$5,P$6,P$7),'SHIP CURVES'!$A$9:$Z$9,0))-INDEX(terminal_curves,MATCH(L109,'TERMINAL CURVES'!$A$4:$A$313,0),MATCH(P$5,'TERMINAL CURVES'!$A$4:$N$4,0))*IF(F109=0,0,H109/F109))-(N$8)*((N$7-$N$5)-(INDEX(ship_curves,MATCH(L109,'SHIP CURVES'!$A$9:$A$316,0),MATCH(CONCATENATE(P$4,P$5,P$6,P$7),'SHIP CURVES'!$A$9:$Z$9,0))-INDEX(ship_curves,MATCH(L109,'SHIP CURVES'!$A$9:$A$316,0),MATCH(CONCATENATE(P$4,N$6,P$6,P$7),'SHIP CURVES'!$A$9:$Z$9,0)))-(INDEX(terminal_curves,MATCH(L109,'TERMINAL CURVES'!$A$4:$A$313,0),MATCH(P$5,'TERMINAL CURVES'!$A$4:$N$4,0))-INDEX(terminal_curves,MATCH(L109,'TERMINAL CURVES'!$A$4:$A$313,0),MATCH(N$6,'TERMINAL CURVES'!$A$4:$N$4,0)))*IF(F109=0,0,H109/F109)))*-F109</f>
        <v>0</v>
      </c>
      <c r="Q109" s="403">
        <f t="shared" si="41"/>
        <v>0</v>
      </c>
      <c r="R109" s="338">
        <f>(-H109/((HLOOKUP(P$5,port_specs,2,0)/(365.25))*(L110-L109)))*(INDEX(fixed_capacity_charge,MATCH(L109,PORTS!$H$11:$H$317,0),MATCH(P$5,PORTS!$H$11:$N$11,0))+INDEX(variable_om_charge,MATCH(L109,PORTS!$H$318:$H$625,0),MATCH(P$5,PORTS!$H$318:$N$318,0)))</f>
        <v>0</v>
      </c>
      <c r="S109" s="232">
        <f t="shared" si="42"/>
        <v>0</v>
      </c>
      <c r="T109" s="241">
        <f t="shared" si="43"/>
        <v>0</v>
      </c>
      <c r="V109" s="186">
        <f t="shared" si="58"/>
        <v>39479</v>
      </c>
      <c r="W109" s="215">
        <f t="shared" si="44"/>
        <v>0</v>
      </c>
      <c r="X109" s="191">
        <f t="shared" si="45"/>
        <v>0</v>
      </c>
      <c r="Y109" s="218">
        <f>+IF(AND(X$8&lt;=V109,X$9&gt;=V109),+MIN($B109-SUMIF($H$17:X$17,Y$17,$H109:X109),((INDEX(ROUTE_PER_DAY_BY_SHIP,MATCH(CONCATENATE(X$4,X$5,X$7),ROUTE_PER_DAY_ROUTES,0),MATCH(X$6,ROUTE_PER_DAY_SHIPS,0))*(V110-V109))-(INDEX(ROUTE_PER_DAY_BY_SHIP,MATCH(CONCATENATE(X$4,X$5,X$7),ROUTE_PER_DAY_ROUTES,0),MATCH(X$6,ROUTE_PER_DAY_SHIPS,0))*(V110-V109))*HLOOKUP(X$6,SHIPS,7,0)*INDEX(LADEN_VOYAGE_DAYS,MATCH(CONCATENATE(X$4,X$5,X$7),LADEN_VOYAGE_ROUTES,0),MATCH(X$6,LADEN_VOYAGE_SHIPS,0)))),0)</f>
        <v>0</v>
      </c>
      <c r="Z109" s="118">
        <f t="shared" si="46"/>
        <v>0</v>
      </c>
      <c r="AA109" s="215">
        <f t="shared" si="32"/>
        <v>0</v>
      </c>
      <c r="AB109" s="202"/>
      <c r="AC109" s="186">
        <f t="shared" si="59"/>
        <v>39479</v>
      </c>
      <c r="AD109" s="232">
        <f>+AA109*(VLOOKUP(AC109,CURVECALC!$C$6:$J$312,4,0)+AE$5)</f>
        <v>0</v>
      </c>
      <c r="AE109" s="208">
        <f>-W109*INDEX(ship_curves,MATCH(AC109,'SHIP CURVES'!$A$9:$A$316,0),MATCH(CONCATENATE(AG$4,AG$5,AG$6,AG$7),'SHIP CURVES'!$A$9:$AZ$9,0))</f>
        <v>0</v>
      </c>
      <c r="AF109" s="209">
        <f>-Y109*INDEX(port_processing_fee,MATCH(AC109,PORTS!$H$626:$H$933,0),MATCH(AG$5,PORTS!$H$626:$Z$626,0))</f>
        <v>0</v>
      </c>
      <c r="AG109" s="405">
        <f>(((VLOOKUP(AC109,curvecalc,4,0))*IF(W109=0,0,AA109/W109)-INDEX(ship_curves,MATCH(AC109,'SHIP CURVES'!$A$9:$A$316,0),MATCH(CONCATENATE(AG$4,AG$5,AG$6,AG$7),'SHIP CURVES'!$A$9:$Z$9,0))-INDEX(terminal_curves,MATCH(AC109,'TERMINAL CURVES'!$A$4:$A$313,0),MATCH(AG$5,'TERMINAL CURVES'!$A$4:$N$4,0))*IF(W109=0,0,Y109/W109))-(AE$8)*((AE$7-$N$5)-(INDEX(ship_curves,MATCH(AC109,'SHIP CURVES'!$A$9:$A$316,0),MATCH(CONCATENATE(AG$4,AG$5,AG$6,AG$7),'SHIP CURVES'!$A$9:$Z$9,0))-INDEX(ship_curves,MATCH(AC109,'SHIP CURVES'!$A$9:$A$316,0),MATCH(CONCATENATE(AG$4,AE$6,AG$6,AG$7),'SHIP CURVES'!$A$9:$Z$9,0)))-(INDEX(terminal_curves,MATCH(AC109,'TERMINAL CURVES'!$A$4:$A$313,0),MATCH(AG$5,'TERMINAL CURVES'!$A$4:$N$4,0))-INDEX(terminal_curves,MATCH(AC109,'TERMINAL CURVES'!$A$4:$A$313,0),MATCH(AE$6,'TERMINAL CURVES'!$A$4:$N$4,0)))*IF(W109=0,0,Y109/W109)))*-W109</f>
        <v>0</v>
      </c>
      <c r="AH109" s="343">
        <f t="shared" si="47"/>
        <v>0</v>
      </c>
      <c r="AI109" s="338">
        <f>(-Y109/((HLOOKUP(AG$5,port_specs,2,0)/(365.25))*(AC110-AC109)))*(INDEX(fixed_capacity_charge,MATCH(AC109,PORTS!$H$11:$H$317,0),MATCH(AG$5,PORTS!$H$11:$N$11,0))+INDEX(variable_om_charge,MATCH(AC109,PORTS!$H$318:$H$625,0),MATCH(AG$5,PORTS!$H$318:$N$318,0)))</f>
        <v>0</v>
      </c>
      <c r="AJ109" s="232">
        <f t="shared" si="48"/>
        <v>0</v>
      </c>
      <c r="AK109" s="241">
        <f t="shared" si="49"/>
        <v>0</v>
      </c>
      <c r="AM109" s="186">
        <f t="shared" si="60"/>
        <v>39479</v>
      </c>
      <c r="AN109" s="215">
        <f t="shared" si="50"/>
        <v>5047647.8336592736</v>
      </c>
      <c r="AO109" s="191">
        <f t="shared" si="51"/>
        <v>-53000.302253422327</v>
      </c>
      <c r="AP109" s="218">
        <f>+IF(AND(AO$8&lt;=AM109,AO$9&gt;=AM109),+MIN($B109-SUMIF($H$17:AO$17,AP$17,$H109:AO109),((INDEX(ROUTE_PER_DAY_BY_SHIP,MATCH(CONCATENATE(AO$4,AO$5,AO$7),ROUTE_PER_DAY_ROUTES,0),MATCH(AO$6,ROUTE_PER_DAY_SHIPS,0))*(AM110-AM109))-(INDEX(ROUTE_PER_DAY_BY_SHIP,MATCH(CONCATENATE(AO$4,AO$5,AO$7),ROUTE_PER_DAY_ROUTES,0),MATCH(AO$6,ROUTE_PER_DAY_SHIPS,0))*(AM110-AM109))*HLOOKUP(AO$6,SHIPS,7,0)*INDEX(LADEN_VOYAGE_DAYS,MATCH(CONCATENATE(AO$4,AO$5,AO$7),LADEN_VOYAGE_ROUTES,0),MATCH(AO$6,LADEN_VOYAGE_SHIPS,0)))),0)</f>
        <v>4994647.5314058512</v>
      </c>
      <c r="AQ109" s="118">
        <f>-(AP109)*PORTS!$I$6</f>
        <v>-124866.18828514629</v>
      </c>
      <c r="AR109" s="215">
        <f t="shared" si="33"/>
        <v>4869781.3431207053</v>
      </c>
      <c r="AS109" s="202"/>
      <c r="AT109" s="186">
        <f t="shared" si="61"/>
        <v>39479</v>
      </c>
      <c r="AU109" s="232">
        <f>+AR109*(VLOOKUP(AT109,CURVECALC!$C$6:$J$312,4,0)+AV$5)</f>
        <v>16630303.286757207</v>
      </c>
      <c r="AV109" s="208">
        <f>-AN109*INDEX(ship_curves,MATCH(AT109,'SHIP CURVES'!$A$9:$A$316,0),MATCH(CONCATENATE(AX$4,AX$5,AX$6,AX$7),'SHIP CURVES'!$A$9:$AZ$9,0))</f>
        <v>-1665740.7902242669</v>
      </c>
      <c r="AW109" s="209">
        <f>-AP109*INDEX(port_processing_fee,MATCH(AT109,PORTS!$H$626:$H$933,0),MATCH(AX$5,PORTS!$H$626:$Z$626,0))</f>
        <v>-145453.41933781278</v>
      </c>
      <c r="AX109" s="405">
        <f>(((VLOOKUP(AT109,curvecalc,4,0))*IF(AN109=0,0,AR109/AN109)-INDEX(ship_curves,MATCH(AT109,'SHIP CURVES'!$A$9:$A$316,0),MATCH(CONCATENATE(AX$4,AX$5,AX$6,AX$7),'SHIP CURVES'!$A$9:$Z$9,0))-INDEX(terminal_curves,MATCH(AT109,'TERMINAL CURVES'!$A$4:$A$313,0),MATCH(AX$5,'TERMINAL CURVES'!$A$4:$N$4,0))*IF(AN109=0,0,AP109/AN109))-(AV$8)*((AV$7-$N$5)-(INDEX(ship_curves,MATCH(AT109,'SHIP CURVES'!$A$9:$A$316,0),MATCH(CONCATENATE(AX$4,AX$5,AX$6,AX$7),'SHIP CURVES'!$A$9:$Z$9,0))-INDEX(ship_curves,MATCH(AT109,'SHIP CURVES'!$A$9:$A$316,0),MATCH(CONCATENATE(AX$4,AV$6,AX$6,AX$7),'SHIP CURVES'!$A$9:$Z$9,0)))-(INDEX(terminal_curves,MATCH(AT109,'TERMINAL CURVES'!$A$4:$A$313,0),MATCH(AX$5,'TERMINAL CURVES'!$A$4:$N$4,0))-INDEX(terminal_curves,MATCH(AT109,'TERMINAL CURVES'!$A$4:$A$313,0),MATCH(AV$6,'TERMINAL CURVES'!$A$4:$N$4,0)))*IF(AN109=0,0,AP109/AN109)))*-AN109</f>
        <v>-13735618.394814162</v>
      </c>
      <c r="AY109" s="343">
        <f t="shared" si="52"/>
        <v>-15546812.604376242</v>
      </c>
      <c r="AZ109" s="338">
        <f>(-AP109/((HLOOKUP(AX$5,port_specs,2,0)/(365.25))*(AT110-AT109)))*(INDEX(fixed_capacity_charge,MATCH(AT109,PORTS!$H$11:$H$317,0),MATCH(AX$5,PORTS!$H$11:$N$11,0))+INDEX(variable_om_charge,MATCH(AT109,PORTS!$H$318:$H$625,0),MATCH(AX$5,PORTS!$H$318:$N$318,0)))</f>
        <v>-986095.05551855126</v>
      </c>
      <c r="BA109" s="232">
        <f t="shared" si="53"/>
        <v>-16532907.659894792</v>
      </c>
      <c r="BB109" s="241">
        <f t="shared" si="54"/>
        <v>97395.626862414181</v>
      </c>
      <c r="BC109" s="408"/>
      <c r="BD109" s="338">
        <f>+PORTS!I103+PORTS!I411</f>
        <v>986095.05551855126</v>
      </c>
    </row>
    <row r="110" spans="1:56" x14ac:dyDescent="0.2">
      <c r="A110" s="186">
        <f t="shared" si="55"/>
        <v>39508</v>
      </c>
      <c r="B110" s="215">
        <f>+IF(AND($A110&gt;=$C$8,$A110&lt;=$C$9),1,0)*PORTS!$I$5/(365.25)*(A111-A110)</f>
        <v>5339105.9818476336</v>
      </c>
      <c r="C110" s="351">
        <f t="shared" si="34"/>
        <v>0</v>
      </c>
      <c r="D110">
        <f t="shared" si="35"/>
        <v>2008</v>
      </c>
      <c r="E110" s="186">
        <f t="shared" si="56"/>
        <v>39508</v>
      </c>
      <c r="F110" s="215">
        <f t="shared" si="36"/>
        <v>0</v>
      </c>
      <c r="G110" s="191">
        <f t="shared" si="37"/>
        <v>0</v>
      </c>
      <c r="H110" s="218">
        <f t="shared" si="38"/>
        <v>0</v>
      </c>
      <c r="I110" s="118">
        <f t="shared" si="39"/>
        <v>0</v>
      </c>
      <c r="J110" s="215">
        <f t="shared" si="40"/>
        <v>0</v>
      </c>
      <c r="K110" s="202"/>
      <c r="L110" s="186">
        <f t="shared" si="57"/>
        <v>39508</v>
      </c>
      <c r="M110" s="400">
        <f>+J110*(VLOOKUP(L110,CURVECALC!$C$6:$J$312,4,0)+N$5)</f>
        <v>0</v>
      </c>
      <c r="N110" s="208">
        <f>-F110*INDEX(ship_curves,MATCH(L110,'SHIP CURVES'!$A$9:$A$316,0),MATCH(CONCATENATE(P$4,P$5,P$6,P$7),'SHIP CURVES'!$A$9:$AZ$9,0))</f>
        <v>0</v>
      </c>
      <c r="O110" s="209">
        <f>-H110*INDEX(port_processing_fee,MATCH(L110,PORTS!$H$626:$H$933,0),MATCH(P$5,PORTS!$H$626:$Z$626,0))</f>
        <v>0</v>
      </c>
      <c r="P110" s="405">
        <f>(((VLOOKUP(L110,curvecalc,4,0))*IF(F110=0,0,J110/F110)-INDEX(ship_curves,MATCH(L110,'SHIP CURVES'!$A$9:$A$316,0),MATCH(CONCATENATE(P$4,P$5,P$6,P$7),'SHIP CURVES'!$A$9:$Z$9,0))-INDEX(terminal_curves,MATCH(L110,'TERMINAL CURVES'!$A$4:$A$313,0),MATCH(P$5,'TERMINAL CURVES'!$A$4:$N$4,0))*IF(F110=0,0,H110/F110))-(N$8)*((N$7-$N$5)-(INDEX(ship_curves,MATCH(L110,'SHIP CURVES'!$A$9:$A$316,0),MATCH(CONCATENATE(P$4,P$5,P$6,P$7),'SHIP CURVES'!$A$9:$Z$9,0))-INDEX(ship_curves,MATCH(L110,'SHIP CURVES'!$A$9:$A$316,0),MATCH(CONCATENATE(P$4,N$6,P$6,P$7),'SHIP CURVES'!$A$9:$Z$9,0)))-(INDEX(terminal_curves,MATCH(L110,'TERMINAL CURVES'!$A$4:$A$313,0),MATCH(P$5,'TERMINAL CURVES'!$A$4:$N$4,0))-INDEX(terminal_curves,MATCH(L110,'TERMINAL CURVES'!$A$4:$A$313,0),MATCH(N$6,'TERMINAL CURVES'!$A$4:$N$4,0)))*IF(F110=0,0,H110/F110)))*-F110</f>
        <v>0</v>
      </c>
      <c r="Q110" s="403">
        <f t="shared" si="41"/>
        <v>0</v>
      </c>
      <c r="R110" s="338">
        <f>(-H110/((HLOOKUP(P$5,port_specs,2,0)/(365.25))*(L111-L110)))*(INDEX(fixed_capacity_charge,MATCH(L110,PORTS!$H$11:$H$317,0),MATCH(P$5,PORTS!$H$11:$N$11,0))+INDEX(variable_om_charge,MATCH(L110,PORTS!$H$318:$H$625,0),MATCH(P$5,PORTS!$H$318:$N$318,0)))</f>
        <v>0</v>
      </c>
      <c r="S110" s="232">
        <f t="shared" si="42"/>
        <v>0</v>
      </c>
      <c r="T110" s="241">
        <f t="shared" si="43"/>
        <v>0</v>
      </c>
      <c r="V110" s="186">
        <f t="shared" si="58"/>
        <v>39508</v>
      </c>
      <c r="W110" s="215">
        <f t="shared" si="44"/>
        <v>0</v>
      </c>
      <c r="X110" s="191">
        <f t="shared" si="45"/>
        <v>0</v>
      </c>
      <c r="Y110" s="218">
        <f>+IF(AND(X$8&lt;=V110,X$9&gt;=V110),+MIN($B110-SUMIF($H$17:X$17,Y$17,$H110:X110),((INDEX(ROUTE_PER_DAY_BY_SHIP,MATCH(CONCATENATE(X$4,X$5,X$7),ROUTE_PER_DAY_ROUTES,0),MATCH(X$6,ROUTE_PER_DAY_SHIPS,0))*(V111-V110))-(INDEX(ROUTE_PER_DAY_BY_SHIP,MATCH(CONCATENATE(X$4,X$5,X$7),ROUTE_PER_DAY_ROUTES,0),MATCH(X$6,ROUTE_PER_DAY_SHIPS,0))*(V111-V110))*HLOOKUP(X$6,SHIPS,7,0)*INDEX(LADEN_VOYAGE_DAYS,MATCH(CONCATENATE(X$4,X$5,X$7),LADEN_VOYAGE_ROUTES,0),MATCH(X$6,LADEN_VOYAGE_SHIPS,0)))),0)</f>
        <v>0</v>
      </c>
      <c r="Z110" s="118">
        <f t="shared" si="46"/>
        <v>0</v>
      </c>
      <c r="AA110" s="215">
        <f t="shared" si="32"/>
        <v>0</v>
      </c>
      <c r="AB110" s="202"/>
      <c r="AC110" s="186">
        <f t="shared" si="59"/>
        <v>39508</v>
      </c>
      <c r="AD110" s="232">
        <f>+AA110*(VLOOKUP(AC110,CURVECALC!$C$6:$J$312,4,0)+AE$5)</f>
        <v>0</v>
      </c>
      <c r="AE110" s="208">
        <f>-W110*INDEX(ship_curves,MATCH(AC110,'SHIP CURVES'!$A$9:$A$316,0),MATCH(CONCATENATE(AG$4,AG$5,AG$6,AG$7),'SHIP CURVES'!$A$9:$AZ$9,0))</f>
        <v>0</v>
      </c>
      <c r="AF110" s="209">
        <f>-Y110*INDEX(port_processing_fee,MATCH(AC110,PORTS!$H$626:$H$933,0),MATCH(AG$5,PORTS!$H$626:$Z$626,0))</f>
        <v>0</v>
      </c>
      <c r="AG110" s="405">
        <f>(((VLOOKUP(AC110,curvecalc,4,0))*IF(W110=0,0,AA110/W110)-INDEX(ship_curves,MATCH(AC110,'SHIP CURVES'!$A$9:$A$316,0),MATCH(CONCATENATE(AG$4,AG$5,AG$6,AG$7),'SHIP CURVES'!$A$9:$Z$9,0))-INDEX(terminal_curves,MATCH(AC110,'TERMINAL CURVES'!$A$4:$A$313,0),MATCH(AG$5,'TERMINAL CURVES'!$A$4:$N$4,0))*IF(W110=0,0,Y110/W110))-(AE$8)*((AE$7-$N$5)-(INDEX(ship_curves,MATCH(AC110,'SHIP CURVES'!$A$9:$A$316,0),MATCH(CONCATENATE(AG$4,AG$5,AG$6,AG$7),'SHIP CURVES'!$A$9:$Z$9,0))-INDEX(ship_curves,MATCH(AC110,'SHIP CURVES'!$A$9:$A$316,0),MATCH(CONCATENATE(AG$4,AE$6,AG$6,AG$7),'SHIP CURVES'!$A$9:$Z$9,0)))-(INDEX(terminal_curves,MATCH(AC110,'TERMINAL CURVES'!$A$4:$A$313,0),MATCH(AG$5,'TERMINAL CURVES'!$A$4:$N$4,0))-INDEX(terminal_curves,MATCH(AC110,'TERMINAL CURVES'!$A$4:$A$313,0),MATCH(AE$6,'TERMINAL CURVES'!$A$4:$N$4,0)))*IF(W110=0,0,Y110/W110)))*-W110</f>
        <v>0</v>
      </c>
      <c r="AH110" s="343">
        <f t="shared" si="47"/>
        <v>0</v>
      </c>
      <c r="AI110" s="338">
        <f>(-Y110/((HLOOKUP(AG$5,port_specs,2,0)/(365.25))*(AC111-AC110)))*(INDEX(fixed_capacity_charge,MATCH(AC110,PORTS!$H$11:$H$317,0),MATCH(AG$5,PORTS!$H$11:$N$11,0))+INDEX(variable_om_charge,MATCH(AC110,PORTS!$H$318:$H$625,0),MATCH(AG$5,PORTS!$H$318:$N$318,0)))</f>
        <v>0</v>
      </c>
      <c r="AJ110" s="232">
        <f t="shared" si="48"/>
        <v>0</v>
      </c>
      <c r="AK110" s="241">
        <f t="shared" si="49"/>
        <v>0</v>
      </c>
      <c r="AM110" s="186">
        <f t="shared" si="60"/>
        <v>39508</v>
      </c>
      <c r="AN110" s="215">
        <f t="shared" si="50"/>
        <v>5395761.4773599124</v>
      </c>
      <c r="AO110" s="191">
        <f t="shared" si="51"/>
        <v>-56655.495512278751</v>
      </c>
      <c r="AP110" s="218">
        <f>+IF(AND(AO$8&lt;=AM110,AO$9&gt;=AM110),+MIN($B110-SUMIF($H$17:AO$17,AP$17,$H110:AO110),((INDEX(ROUTE_PER_DAY_BY_SHIP,MATCH(CONCATENATE(AO$4,AO$5,AO$7),ROUTE_PER_DAY_ROUTES,0),MATCH(AO$6,ROUTE_PER_DAY_SHIPS,0))*(AM111-AM110))-(INDEX(ROUTE_PER_DAY_BY_SHIP,MATCH(CONCATENATE(AO$4,AO$5,AO$7),ROUTE_PER_DAY_ROUTES,0),MATCH(AO$6,ROUTE_PER_DAY_SHIPS,0))*(AM111-AM110))*HLOOKUP(AO$6,SHIPS,7,0)*INDEX(LADEN_VOYAGE_DAYS,MATCH(CONCATENATE(AO$4,AO$5,AO$7),LADEN_VOYAGE_ROUTES,0),MATCH(AO$6,LADEN_VOYAGE_SHIPS,0)))),0)</f>
        <v>5339105.9818476336</v>
      </c>
      <c r="AQ110" s="118">
        <f>-(AP110)*PORTS!$I$6</f>
        <v>-133477.64954619083</v>
      </c>
      <c r="AR110" s="215">
        <f t="shared" si="33"/>
        <v>5205628.3323014425</v>
      </c>
      <c r="AS110" s="202"/>
      <c r="AT110" s="186">
        <f t="shared" si="61"/>
        <v>39508</v>
      </c>
      <c r="AU110" s="232">
        <f>+AR110*(VLOOKUP(AT110,CURVECALC!$C$6:$J$312,4,0)+AV$5)</f>
        <v>17126517.213271745</v>
      </c>
      <c r="AV110" s="208">
        <f>-AN110*INDEX(ship_curves,MATCH(AT110,'SHIP CURVES'!$A$9:$A$316,0),MATCH(CONCATENATE(AX$4,AX$5,AX$6,AX$7),'SHIP CURVES'!$A$9:$AZ$9,0))</f>
        <v>-1781133.4065338054</v>
      </c>
      <c r="AW110" s="209">
        <f>-AP110*INDEX(port_processing_fee,MATCH(AT110,PORTS!$H$626:$H$933,0),MATCH(AX$5,PORTS!$H$626:$Z$626,0))</f>
        <v>-155646.65285534412</v>
      </c>
      <c r="AX110" s="405">
        <f>(((VLOOKUP(AT110,curvecalc,4,0))*IF(AN110=0,0,AR110/AN110)-INDEX(ship_curves,MATCH(AT110,'SHIP CURVES'!$A$9:$A$316,0),MATCH(CONCATENATE(AX$4,AX$5,AX$6,AX$7),'SHIP CURVES'!$A$9:$Z$9,0))-INDEX(terminal_curves,MATCH(AT110,'TERMINAL CURVES'!$A$4:$A$313,0),MATCH(AX$5,'TERMINAL CURVES'!$A$4:$N$4,0))*IF(AN110=0,0,AP110/AN110))-(AV$8)*((AV$7-$N$5)-(INDEX(ship_curves,MATCH(AT110,'SHIP CURVES'!$A$9:$A$316,0),MATCH(CONCATENATE(AX$4,AX$5,AX$6,AX$7),'SHIP CURVES'!$A$9:$Z$9,0))-INDEX(ship_curves,MATCH(AT110,'SHIP CURVES'!$A$9:$A$316,0),MATCH(CONCATENATE(AX$4,AV$6,AX$6,AX$7),'SHIP CURVES'!$A$9:$Z$9,0)))-(INDEX(terminal_curves,MATCH(AT110,'TERMINAL CURVES'!$A$4:$A$313,0),MATCH(AX$5,'TERMINAL CURVES'!$A$4:$N$4,0))-INDEX(terminal_curves,MATCH(AT110,'TERMINAL CURVES'!$A$4:$A$313,0),MATCH(AV$6,'TERMINAL CURVES'!$A$4:$N$4,0)))*IF(AN110=0,0,AP110/AN110)))*-AN110</f>
        <v>-14099007.752046544</v>
      </c>
      <c r="AY110" s="343">
        <f t="shared" si="52"/>
        <v>-16035787.811435694</v>
      </c>
      <c r="AZ110" s="338">
        <f>(-AP110/((HLOOKUP(AX$5,port_specs,2,0)/(365.25))*(AT111-AT110)))*(INDEX(fixed_capacity_charge,MATCH(AT110,PORTS!$H$11:$H$317,0),MATCH(AX$5,PORTS!$H$11:$N$11,0))+INDEX(variable_om_charge,MATCH(AT110,PORTS!$H$318:$H$625,0),MATCH(AX$5,PORTS!$H$318:$N$318,0)))</f>
        <v>-986616.83519002015</v>
      </c>
      <c r="BA110" s="232">
        <f t="shared" si="53"/>
        <v>-17022404.646625713</v>
      </c>
      <c r="BB110" s="241">
        <f t="shared" si="54"/>
        <v>104112.56664603204</v>
      </c>
      <c r="BC110" s="408"/>
      <c r="BD110" s="338">
        <f>+PORTS!I104+PORTS!I412</f>
        <v>986616.83519002015</v>
      </c>
    </row>
    <row r="111" spans="1:56" x14ac:dyDescent="0.2">
      <c r="A111" s="186">
        <f t="shared" si="55"/>
        <v>39539</v>
      </c>
      <c r="B111" s="215">
        <f>+IF(AND($A111&gt;=$C$8,$A111&lt;=$C$9),1,0)*PORTS!$I$5/(365.25)*(A112-A111)</f>
        <v>5166876.756626742</v>
      </c>
      <c r="C111" s="351">
        <f t="shared" si="34"/>
        <v>0</v>
      </c>
      <c r="D111">
        <f t="shared" si="35"/>
        <v>2008</v>
      </c>
      <c r="E111" s="186">
        <f t="shared" si="56"/>
        <v>39539</v>
      </c>
      <c r="F111" s="215">
        <f t="shared" si="36"/>
        <v>0</v>
      </c>
      <c r="G111" s="191">
        <f t="shared" si="37"/>
        <v>0</v>
      </c>
      <c r="H111" s="218">
        <f t="shared" si="38"/>
        <v>0</v>
      </c>
      <c r="I111" s="118">
        <f t="shared" si="39"/>
        <v>0</v>
      </c>
      <c r="J111" s="215">
        <f t="shared" si="40"/>
        <v>0</v>
      </c>
      <c r="K111" s="202"/>
      <c r="L111" s="186">
        <f t="shared" si="57"/>
        <v>39539</v>
      </c>
      <c r="M111" s="400">
        <f>+J111*(VLOOKUP(L111,CURVECALC!$C$6:$J$312,4,0)+N$5)</f>
        <v>0</v>
      </c>
      <c r="N111" s="208">
        <f>-F111*INDEX(ship_curves,MATCH(L111,'SHIP CURVES'!$A$9:$A$316,0),MATCH(CONCATENATE(P$4,P$5,P$6,P$7),'SHIP CURVES'!$A$9:$AZ$9,0))</f>
        <v>0</v>
      </c>
      <c r="O111" s="209">
        <f>-H111*INDEX(port_processing_fee,MATCH(L111,PORTS!$H$626:$H$933,0),MATCH(P$5,PORTS!$H$626:$Z$626,0))</f>
        <v>0</v>
      </c>
      <c r="P111" s="405">
        <f>(((VLOOKUP(L111,curvecalc,4,0))*IF(F111=0,0,J111/F111)-INDEX(ship_curves,MATCH(L111,'SHIP CURVES'!$A$9:$A$316,0),MATCH(CONCATENATE(P$4,P$5,P$6,P$7),'SHIP CURVES'!$A$9:$Z$9,0))-INDEX(terminal_curves,MATCH(L111,'TERMINAL CURVES'!$A$4:$A$313,0),MATCH(P$5,'TERMINAL CURVES'!$A$4:$N$4,0))*IF(F111=0,0,H111/F111))-(N$8)*((N$7-$N$5)-(INDEX(ship_curves,MATCH(L111,'SHIP CURVES'!$A$9:$A$316,0),MATCH(CONCATENATE(P$4,P$5,P$6,P$7),'SHIP CURVES'!$A$9:$Z$9,0))-INDEX(ship_curves,MATCH(L111,'SHIP CURVES'!$A$9:$A$316,0),MATCH(CONCATENATE(P$4,N$6,P$6,P$7),'SHIP CURVES'!$A$9:$Z$9,0)))-(INDEX(terminal_curves,MATCH(L111,'TERMINAL CURVES'!$A$4:$A$313,0),MATCH(P$5,'TERMINAL CURVES'!$A$4:$N$4,0))-INDEX(terminal_curves,MATCH(L111,'TERMINAL CURVES'!$A$4:$A$313,0),MATCH(N$6,'TERMINAL CURVES'!$A$4:$N$4,0)))*IF(F111=0,0,H111/F111)))*-F111</f>
        <v>0</v>
      </c>
      <c r="Q111" s="403">
        <f t="shared" si="41"/>
        <v>0</v>
      </c>
      <c r="R111" s="338">
        <f>(-H111/((HLOOKUP(P$5,port_specs,2,0)/(365.25))*(L112-L111)))*(INDEX(fixed_capacity_charge,MATCH(L111,PORTS!$H$11:$H$317,0),MATCH(P$5,PORTS!$H$11:$N$11,0))+INDEX(variable_om_charge,MATCH(L111,PORTS!$H$318:$H$625,0),MATCH(P$5,PORTS!$H$318:$N$318,0)))</f>
        <v>0</v>
      </c>
      <c r="S111" s="232">
        <f t="shared" si="42"/>
        <v>0</v>
      </c>
      <c r="T111" s="241">
        <f t="shared" si="43"/>
        <v>0</v>
      </c>
      <c r="V111" s="186">
        <f t="shared" si="58"/>
        <v>39539</v>
      </c>
      <c r="W111" s="215">
        <f t="shared" si="44"/>
        <v>0</v>
      </c>
      <c r="X111" s="191">
        <f t="shared" si="45"/>
        <v>0</v>
      </c>
      <c r="Y111" s="218">
        <f>+IF(AND(X$8&lt;=V111,X$9&gt;=V111),+MIN($B111-SUMIF($H$17:X$17,Y$17,$H111:X111),((INDEX(ROUTE_PER_DAY_BY_SHIP,MATCH(CONCATENATE(X$4,X$5,X$7),ROUTE_PER_DAY_ROUTES,0),MATCH(X$6,ROUTE_PER_DAY_SHIPS,0))*(V112-V111))-(INDEX(ROUTE_PER_DAY_BY_SHIP,MATCH(CONCATENATE(X$4,X$5,X$7),ROUTE_PER_DAY_ROUTES,0),MATCH(X$6,ROUTE_PER_DAY_SHIPS,0))*(V112-V111))*HLOOKUP(X$6,SHIPS,7,0)*INDEX(LADEN_VOYAGE_DAYS,MATCH(CONCATENATE(X$4,X$5,X$7),LADEN_VOYAGE_ROUTES,0),MATCH(X$6,LADEN_VOYAGE_SHIPS,0)))),0)</f>
        <v>0</v>
      </c>
      <c r="Z111" s="118">
        <f t="shared" si="46"/>
        <v>0</v>
      </c>
      <c r="AA111" s="215">
        <f t="shared" si="32"/>
        <v>0</v>
      </c>
      <c r="AB111" s="202"/>
      <c r="AC111" s="186">
        <f t="shared" si="59"/>
        <v>39539</v>
      </c>
      <c r="AD111" s="232">
        <f>+AA111*(VLOOKUP(AC111,CURVECALC!$C$6:$J$312,4,0)+AE$5)</f>
        <v>0</v>
      </c>
      <c r="AE111" s="208">
        <f>-W111*INDEX(ship_curves,MATCH(AC111,'SHIP CURVES'!$A$9:$A$316,0),MATCH(CONCATENATE(AG$4,AG$5,AG$6,AG$7),'SHIP CURVES'!$A$9:$AZ$9,0))</f>
        <v>0</v>
      </c>
      <c r="AF111" s="209">
        <f>-Y111*INDEX(port_processing_fee,MATCH(AC111,PORTS!$H$626:$H$933,0),MATCH(AG$5,PORTS!$H$626:$Z$626,0))</f>
        <v>0</v>
      </c>
      <c r="AG111" s="405">
        <f>(((VLOOKUP(AC111,curvecalc,4,0))*IF(W111=0,0,AA111/W111)-INDEX(ship_curves,MATCH(AC111,'SHIP CURVES'!$A$9:$A$316,0),MATCH(CONCATENATE(AG$4,AG$5,AG$6,AG$7),'SHIP CURVES'!$A$9:$Z$9,0))-INDEX(terminal_curves,MATCH(AC111,'TERMINAL CURVES'!$A$4:$A$313,0),MATCH(AG$5,'TERMINAL CURVES'!$A$4:$N$4,0))*IF(W111=0,0,Y111/W111))-(AE$8)*((AE$7-$N$5)-(INDEX(ship_curves,MATCH(AC111,'SHIP CURVES'!$A$9:$A$316,0),MATCH(CONCATENATE(AG$4,AG$5,AG$6,AG$7),'SHIP CURVES'!$A$9:$Z$9,0))-INDEX(ship_curves,MATCH(AC111,'SHIP CURVES'!$A$9:$A$316,0),MATCH(CONCATENATE(AG$4,AE$6,AG$6,AG$7),'SHIP CURVES'!$A$9:$Z$9,0)))-(INDEX(terminal_curves,MATCH(AC111,'TERMINAL CURVES'!$A$4:$A$313,0),MATCH(AG$5,'TERMINAL CURVES'!$A$4:$N$4,0))-INDEX(terminal_curves,MATCH(AC111,'TERMINAL CURVES'!$A$4:$A$313,0),MATCH(AE$6,'TERMINAL CURVES'!$A$4:$N$4,0)))*IF(W111=0,0,Y111/W111)))*-W111</f>
        <v>0</v>
      </c>
      <c r="AH111" s="343">
        <f t="shared" si="47"/>
        <v>0</v>
      </c>
      <c r="AI111" s="338">
        <f>(-Y111/((HLOOKUP(AG$5,port_specs,2,0)/(365.25))*(AC112-AC111)))*(INDEX(fixed_capacity_charge,MATCH(AC111,PORTS!$H$11:$H$317,0),MATCH(AG$5,PORTS!$H$11:$N$11,0))+INDEX(variable_om_charge,MATCH(AC111,PORTS!$H$318:$H$625,0),MATCH(AG$5,PORTS!$H$318:$N$318,0)))</f>
        <v>0</v>
      </c>
      <c r="AJ111" s="232">
        <f t="shared" si="48"/>
        <v>0</v>
      </c>
      <c r="AK111" s="241">
        <f t="shared" si="49"/>
        <v>0</v>
      </c>
      <c r="AM111" s="186">
        <f t="shared" si="60"/>
        <v>39539</v>
      </c>
      <c r="AN111" s="215">
        <f t="shared" si="50"/>
        <v>5221704.655509592</v>
      </c>
      <c r="AO111" s="191">
        <f t="shared" si="51"/>
        <v>-54827.898882850073</v>
      </c>
      <c r="AP111" s="218">
        <f>+IF(AND(AO$8&lt;=AM111,AO$9&gt;=AM111),+MIN($B111-SUMIF($H$17:AO$17,AP$17,$H111:AO111),((INDEX(ROUTE_PER_DAY_BY_SHIP,MATCH(CONCATENATE(AO$4,AO$5,AO$7),ROUTE_PER_DAY_ROUTES,0),MATCH(AO$6,ROUTE_PER_DAY_SHIPS,0))*(AM112-AM111))-(INDEX(ROUTE_PER_DAY_BY_SHIP,MATCH(CONCATENATE(AO$4,AO$5,AO$7),ROUTE_PER_DAY_ROUTES,0),MATCH(AO$6,ROUTE_PER_DAY_SHIPS,0))*(AM112-AM111))*HLOOKUP(AO$6,SHIPS,7,0)*INDEX(LADEN_VOYAGE_DAYS,MATCH(CONCATENATE(AO$4,AO$5,AO$7),LADEN_VOYAGE_ROUTES,0),MATCH(AO$6,LADEN_VOYAGE_SHIPS,0)))),0)</f>
        <v>5166876.756626742</v>
      </c>
      <c r="AQ111" s="118">
        <f>-(AP111)*PORTS!$I$6</f>
        <v>-129171.91891566856</v>
      </c>
      <c r="AR111" s="215">
        <f t="shared" si="33"/>
        <v>5037704.8377110735</v>
      </c>
      <c r="AS111" s="202"/>
      <c r="AT111" s="186">
        <f t="shared" si="61"/>
        <v>39539</v>
      </c>
      <c r="AU111" s="232">
        <f>+AR111*(VLOOKUP(AT111,CURVECALC!$C$6:$J$312,4,0)+AV$5)</f>
        <v>15944335.811355546</v>
      </c>
      <c r="AV111" s="208">
        <f>-AN111*INDEX(ship_curves,MATCH(AT111,'SHIP CURVES'!$A$9:$A$316,0),MATCH(CONCATENATE(AX$4,AX$5,AX$6,AX$7),'SHIP CURVES'!$A$9:$AZ$9,0))</f>
        <v>-1724175.8887414194</v>
      </c>
      <c r="AW111" s="209">
        <f>-AP111*INDEX(port_processing_fee,MATCH(AT111,PORTS!$H$626:$H$933,0),MATCH(AX$5,PORTS!$H$626:$Z$626,0))</f>
        <v>-150782.69495361458</v>
      </c>
      <c r="AX111" s="405">
        <f>(((VLOOKUP(AT111,curvecalc,4,0))*IF(AN111=0,0,AR111/AN111)-INDEX(ship_curves,MATCH(AT111,'SHIP CURVES'!$A$9:$A$316,0),MATCH(CONCATENATE(AX$4,AX$5,AX$6,AX$7),'SHIP CURVES'!$A$9:$Z$9,0))-INDEX(terminal_curves,MATCH(AT111,'TERMINAL CURVES'!$A$4:$A$313,0),MATCH(AX$5,'TERMINAL CURVES'!$A$4:$N$4,0))*IF(AN111=0,0,AP111/AN111))-(AV$8)*((AV$7-$N$5)-(INDEX(ship_curves,MATCH(AT111,'SHIP CURVES'!$A$9:$A$316,0),MATCH(CONCATENATE(AX$4,AX$5,AX$6,AX$7),'SHIP CURVES'!$A$9:$Z$9,0))-INDEX(ship_curves,MATCH(AT111,'SHIP CURVES'!$A$9:$A$316,0),MATCH(CONCATENATE(AX$4,AV$6,AX$6,AX$7),'SHIP CURVES'!$A$9:$Z$9,0)))-(INDEX(terminal_curves,MATCH(AT111,'TERMINAL CURVES'!$A$4:$A$313,0),MATCH(AX$5,'TERMINAL CURVES'!$A$4:$N$4,0))-INDEX(terminal_curves,MATCH(AT111,'TERMINAL CURVES'!$A$4:$A$313,0),MATCH(AV$6,'TERMINAL CURVES'!$A$4:$N$4,0)))*IF(AN111=0,0,AP111/AN111)))*-AN111</f>
        <v>-12981483.97252431</v>
      </c>
      <c r="AY111" s="343">
        <f t="shared" si="52"/>
        <v>-14856442.556219343</v>
      </c>
      <c r="AZ111" s="338">
        <f>(-AP111/((HLOOKUP(AX$5,port_specs,2,0)/(365.25))*(AT112-AT111)))*(INDEX(fixed_capacity_charge,MATCH(AT111,PORTS!$H$11:$H$317,0),MATCH(AX$5,PORTS!$H$11:$N$11,0))+INDEX(variable_om_charge,MATCH(AT111,PORTS!$H$318:$H$625,0),MATCH(AX$5,PORTS!$H$318:$N$318,0)))</f>
        <v>-987139.15838198015</v>
      </c>
      <c r="BA111" s="232">
        <f t="shared" si="53"/>
        <v>-15843581.714601323</v>
      </c>
      <c r="BB111" s="241">
        <f t="shared" si="54"/>
        <v>100754.09675422311</v>
      </c>
      <c r="BC111" s="408"/>
      <c r="BD111" s="338">
        <f>+PORTS!I105+PORTS!I413</f>
        <v>987139.15838198015</v>
      </c>
    </row>
    <row r="112" spans="1:56" x14ac:dyDescent="0.2">
      <c r="A112" s="186">
        <f t="shared" si="55"/>
        <v>39569</v>
      </c>
      <c r="B112" s="215">
        <f>+IF(AND($A112&gt;=$C$8,$A112&lt;=$C$9),1,0)*PORTS!$I$5/(365.25)*(A113-A112)</f>
        <v>5339105.9818476336</v>
      </c>
      <c r="C112" s="351">
        <f t="shared" si="34"/>
        <v>0</v>
      </c>
      <c r="D112">
        <f t="shared" si="35"/>
        <v>2008</v>
      </c>
      <c r="E112" s="186">
        <f t="shared" si="56"/>
        <v>39569</v>
      </c>
      <c r="F112" s="215">
        <f t="shared" si="36"/>
        <v>0</v>
      </c>
      <c r="G112" s="191">
        <f t="shared" si="37"/>
        <v>0</v>
      </c>
      <c r="H112" s="218">
        <f t="shared" si="38"/>
        <v>0</v>
      </c>
      <c r="I112" s="118">
        <f t="shared" si="39"/>
        <v>0</v>
      </c>
      <c r="J112" s="215">
        <f t="shared" si="40"/>
        <v>0</v>
      </c>
      <c r="K112" s="202"/>
      <c r="L112" s="186">
        <f t="shared" si="57"/>
        <v>39569</v>
      </c>
      <c r="M112" s="400">
        <f>+J112*(VLOOKUP(L112,CURVECALC!$C$6:$J$312,4,0)+N$5)</f>
        <v>0</v>
      </c>
      <c r="N112" s="208">
        <f>-F112*INDEX(ship_curves,MATCH(L112,'SHIP CURVES'!$A$9:$A$316,0),MATCH(CONCATENATE(P$4,P$5,P$6,P$7),'SHIP CURVES'!$A$9:$AZ$9,0))</f>
        <v>0</v>
      </c>
      <c r="O112" s="209">
        <f>-H112*INDEX(port_processing_fee,MATCH(L112,PORTS!$H$626:$H$933,0),MATCH(P$5,PORTS!$H$626:$Z$626,0))</f>
        <v>0</v>
      </c>
      <c r="P112" s="405">
        <f>(((VLOOKUP(L112,curvecalc,4,0))*IF(F112=0,0,J112/F112)-INDEX(ship_curves,MATCH(L112,'SHIP CURVES'!$A$9:$A$316,0),MATCH(CONCATENATE(P$4,P$5,P$6,P$7),'SHIP CURVES'!$A$9:$Z$9,0))-INDEX(terminal_curves,MATCH(L112,'TERMINAL CURVES'!$A$4:$A$313,0),MATCH(P$5,'TERMINAL CURVES'!$A$4:$N$4,0))*IF(F112=0,0,H112/F112))-(N$8)*((N$7-$N$5)-(INDEX(ship_curves,MATCH(L112,'SHIP CURVES'!$A$9:$A$316,0),MATCH(CONCATENATE(P$4,P$5,P$6,P$7),'SHIP CURVES'!$A$9:$Z$9,0))-INDEX(ship_curves,MATCH(L112,'SHIP CURVES'!$A$9:$A$316,0),MATCH(CONCATENATE(P$4,N$6,P$6,P$7),'SHIP CURVES'!$A$9:$Z$9,0)))-(INDEX(terminal_curves,MATCH(L112,'TERMINAL CURVES'!$A$4:$A$313,0),MATCH(P$5,'TERMINAL CURVES'!$A$4:$N$4,0))-INDEX(terminal_curves,MATCH(L112,'TERMINAL CURVES'!$A$4:$A$313,0),MATCH(N$6,'TERMINAL CURVES'!$A$4:$N$4,0)))*IF(F112=0,0,H112/F112)))*-F112</f>
        <v>0</v>
      </c>
      <c r="Q112" s="403">
        <f t="shared" si="41"/>
        <v>0</v>
      </c>
      <c r="R112" s="338">
        <f>(-H112/((HLOOKUP(P$5,port_specs,2,0)/(365.25))*(L113-L112)))*(INDEX(fixed_capacity_charge,MATCH(L112,PORTS!$H$11:$H$317,0),MATCH(P$5,PORTS!$H$11:$N$11,0))+INDEX(variable_om_charge,MATCH(L112,PORTS!$H$318:$H$625,0),MATCH(P$5,PORTS!$H$318:$N$318,0)))</f>
        <v>0</v>
      </c>
      <c r="S112" s="232">
        <f t="shared" si="42"/>
        <v>0</v>
      </c>
      <c r="T112" s="241">
        <f t="shared" si="43"/>
        <v>0</v>
      </c>
      <c r="V112" s="186">
        <f t="shared" si="58"/>
        <v>39569</v>
      </c>
      <c r="W112" s="215">
        <f t="shared" si="44"/>
        <v>0</v>
      </c>
      <c r="X112" s="191">
        <f t="shared" si="45"/>
        <v>0</v>
      </c>
      <c r="Y112" s="218">
        <f>+IF(AND(X$8&lt;=V112,X$9&gt;=V112),+MIN($B112-SUMIF($H$17:X$17,Y$17,$H112:X112),((INDEX(ROUTE_PER_DAY_BY_SHIP,MATCH(CONCATENATE(X$4,X$5,X$7),ROUTE_PER_DAY_ROUTES,0),MATCH(X$6,ROUTE_PER_DAY_SHIPS,0))*(V113-V112))-(INDEX(ROUTE_PER_DAY_BY_SHIP,MATCH(CONCATENATE(X$4,X$5,X$7),ROUTE_PER_DAY_ROUTES,0),MATCH(X$6,ROUTE_PER_DAY_SHIPS,0))*(V113-V112))*HLOOKUP(X$6,SHIPS,7,0)*INDEX(LADEN_VOYAGE_DAYS,MATCH(CONCATENATE(X$4,X$5,X$7),LADEN_VOYAGE_ROUTES,0),MATCH(X$6,LADEN_VOYAGE_SHIPS,0)))),0)</f>
        <v>0</v>
      </c>
      <c r="Z112" s="118">
        <f t="shared" si="46"/>
        <v>0</v>
      </c>
      <c r="AA112" s="215">
        <f t="shared" si="32"/>
        <v>0</v>
      </c>
      <c r="AB112" s="202"/>
      <c r="AC112" s="186">
        <f t="shared" si="59"/>
        <v>39569</v>
      </c>
      <c r="AD112" s="232">
        <f>+AA112*(VLOOKUP(AC112,CURVECALC!$C$6:$J$312,4,0)+AE$5)</f>
        <v>0</v>
      </c>
      <c r="AE112" s="208">
        <f>-W112*INDEX(ship_curves,MATCH(AC112,'SHIP CURVES'!$A$9:$A$316,0),MATCH(CONCATENATE(AG$4,AG$5,AG$6,AG$7),'SHIP CURVES'!$A$9:$AZ$9,0))</f>
        <v>0</v>
      </c>
      <c r="AF112" s="209">
        <f>-Y112*INDEX(port_processing_fee,MATCH(AC112,PORTS!$H$626:$H$933,0),MATCH(AG$5,PORTS!$H$626:$Z$626,0))</f>
        <v>0</v>
      </c>
      <c r="AG112" s="405">
        <f>(((VLOOKUP(AC112,curvecalc,4,0))*IF(W112=0,0,AA112/W112)-INDEX(ship_curves,MATCH(AC112,'SHIP CURVES'!$A$9:$A$316,0),MATCH(CONCATENATE(AG$4,AG$5,AG$6,AG$7),'SHIP CURVES'!$A$9:$Z$9,0))-INDEX(terminal_curves,MATCH(AC112,'TERMINAL CURVES'!$A$4:$A$313,0),MATCH(AG$5,'TERMINAL CURVES'!$A$4:$N$4,0))*IF(W112=0,0,Y112/W112))-(AE$8)*((AE$7-$N$5)-(INDEX(ship_curves,MATCH(AC112,'SHIP CURVES'!$A$9:$A$316,0),MATCH(CONCATENATE(AG$4,AG$5,AG$6,AG$7),'SHIP CURVES'!$A$9:$Z$9,0))-INDEX(ship_curves,MATCH(AC112,'SHIP CURVES'!$A$9:$A$316,0),MATCH(CONCATENATE(AG$4,AE$6,AG$6,AG$7),'SHIP CURVES'!$A$9:$Z$9,0)))-(INDEX(terminal_curves,MATCH(AC112,'TERMINAL CURVES'!$A$4:$A$313,0),MATCH(AG$5,'TERMINAL CURVES'!$A$4:$N$4,0))-INDEX(terminal_curves,MATCH(AC112,'TERMINAL CURVES'!$A$4:$A$313,0),MATCH(AE$6,'TERMINAL CURVES'!$A$4:$N$4,0)))*IF(W112=0,0,Y112/W112)))*-W112</f>
        <v>0</v>
      </c>
      <c r="AH112" s="343">
        <f t="shared" si="47"/>
        <v>0</v>
      </c>
      <c r="AI112" s="338">
        <f>(-Y112/((HLOOKUP(AG$5,port_specs,2,0)/(365.25))*(AC113-AC112)))*(INDEX(fixed_capacity_charge,MATCH(AC112,PORTS!$H$11:$H$317,0),MATCH(AG$5,PORTS!$H$11:$N$11,0))+INDEX(variable_om_charge,MATCH(AC112,PORTS!$H$318:$H$625,0),MATCH(AG$5,PORTS!$H$318:$N$318,0)))</f>
        <v>0</v>
      </c>
      <c r="AJ112" s="232">
        <f t="shared" si="48"/>
        <v>0</v>
      </c>
      <c r="AK112" s="241">
        <f t="shared" si="49"/>
        <v>0</v>
      </c>
      <c r="AM112" s="186">
        <f t="shared" si="60"/>
        <v>39569</v>
      </c>
      <c r="AN112" s="215">
        <f t="shared" si="50"/>
        <v>5395761.4773599124</v>
      </c>
      <c r="AO112" s="191">
        <f t="shared" si="51"/>
        <v>-56655.495512278751</v>
      </c>
      <c r="AP112" s="218">
        <f>+IF(AND(AO$8&lt;=AM112,AO$9&gt;=AM112),+MIN($B112-SUMIF($H$17:AO$17,AP$17,$H112:AO112),((INDEX(ROUTE_PER_DAY_BY_SHIP,MATCH(CONCATENATE(AO$4,AO$5,AO$7),ROUTE_PER_DAY_ROUTES,0),MATCH(AO$6,ROUTE_PER_DAY_SHIPS,0))*(AM113-AM112))-(INDEX(ROUTE_PER_DAY_BY_SHIP,MATCH(CONCATENATE(AO$4,AO$5,AO$7),ROUTE_PER_DAY_ROUTES,0),MATCH(AO$6,ROUTE_PER_DAY_SHIPS,0))*(AM113-AM112))*HLOOKUP(AO$6,SHIPS,7,0)*INDEX(LADEN_VOYAGE_DAYS,MATCH(CONCATENATE(AO$4,AO$5,AO$7),LADEN_VOYAGE_ROUTES,0),MATCH(AO$6,LADEN_VOYAGE_SHIPS,0)))),0)</f>
        <v>5339105.9818476336</v>
      </c>
      <c r="AQ112" s="118">
        <f>-(AP112)*PORTS!$I$6</f>
        <v>-133477.64954619083</v>
      </c>
      <c r="AR112" s="215">
        <f t="shared" si="33"/>
        <v>5205628.3323014425</v>
      </c>
      <c r="AS112" s="202"/>
      <c r="AT112" s="186">
        <f t="shared" si="61"/>
        <v>39569</v>
      </c>
      <c r="AU112" s="232">
        <f>+AR112*(VLOOKUP(AT112,CURVECALC!$C$6:$J$312,4,0)+AV$5)</f>
        <v>16423757.388411051</v>
      </c>
      <c r="AV112" s="208">
        <f>-AN112*INDEX(ship_curves,MATCH(AT112,'SHIP CURVES'!$A$9:$A$316,0),MATCH(CONCATENATE(AX$4,AX$5,AX$6,AX$7),'SHIP CURVES'!$A$9:$AZ$9,0))</f>
        <v>-1782164.5031397792</v>
      </c>
      <c r="AW112" s="209">
        <f>-AP112*INDEX(port_processing_fee,MATCH(AT112,PORTS!$H$626:$H$933,0),MATCH(AX$5,PORTS!$H$626:$Z$626,0))</f>
        <v>-155971.08560288654</v>
      </c>
      <c r="AX112" s="405">
        <f>(((VLOOKUP(AT112,curvecalc,4,0))*IF(AN112=0,0,AR112/AN112)-INDEX(ship_curves,MATCH(AT112,'SHIP CURVES'!$A$9:$A$316,0),MATCH(CONCATENATE(AX$4,AX$5,AX$6,AX$7),'SHIP CURVES'!$A$9:$Z$9,0))-INDEX(terminal_curves,MATCH(AT112,'TERMINAL CURVES'!$A$4:$A$313,0),MATCH(AX$5,'TERMINAL CURVES'!$A$4:$N$4,0))*IF(AN112=0,0,AP112/AN112))-(AV$8)*((AV$7-$N$5)-(INDEX(ship_curves,MATCH(AT112,'SHIP CURVES'!$A$9:$A$316,0),MATCH(CONCATENATE(AX$4,AX$5,AX$6,AX$7),'SHIP CURVES'!$A$9:$Z$9,0))-INDEX(ship_curves,MATCH(AT112,'SHIP CURVES'!$A$9:$A$316,0),MATCH(CONCATENATE(AX$4,AV$6,AX$6,AX$7),'SHIP CURVES'!$A$9:$Z$9,0)))-(INDEX(terminal_curves,MATCH(AT112,'TERMINAL CURVES'!$A$4:$A$313,0),MATCH(AX$5,'TERMINAL CURVES'!$A$4:$N$4,0))-INDEX(terminal_curves,MATCH(AT112,'TERMINAL CURVES'!$A$4:$A$313,0),MATCH(AV$6,'TERMINAL CURVES'!$A$4:$N$4,0)))*IF(AN112=0,0,AP112/AN112)))*-AN112</f>
        <v>-13393847.207361756</v>
      </c>
      <c r="AY112" s="343">
        <f t="shared" si="52"/>
        <v>-15331982.796104422</v>
      </c>
      <c r="AZ112" s="338">
        <f>(-AP112/((HLOOKUP(AX$5,port_specs,2,0)/(365.25))*(AT113-AT112)))*(INDEX(fixed_capacity_charge,MATCH(AT112,PORTS!$H$11:$H$317,0),MATCH(AX$5,PORTS!$H$11:$N$11,0))+INDEX(variable_om_charge,MATCH(AT112,PORTS!$H$318:$H$625,0),MATCH(AX$5,PORTS!$H$318:$N$318,0)))</f>
        <v>-987662.02566059853</v>
      </c>
      <c r="BA112" s="232">
        <f t="shared" si="53"/>
        <v>-16319644.82176502</v>
      </c>
      <c r="BB112" s="241">
        <f t="shared" si="54"/>
        <v>104112.56664603017</v>
      </c>
      <c r="BC112" s="408"/>
      <c r="BD112" s="338">
        <f>+PORTS!I106+PORTS!I414</f>
        <v>987662.02566059853</v>
      </c>
    </row>
    <row r="113" spans="1:56" x14ac:dyDescent="0.2">
      <c r="A113" s="186">
        <f t="shared" si="55"/>
        <v>39600</v>
      </c>
      <c r="B113" s="215">
        <f>+IF(AND($A113&gt;=$C$8,$A113&lt;=$C$9),1,0)*PORTS!$I$5/(365.25)*(A114-A113)</f>
        <v>5166876.756626742</v>
      </c>
      <c r="C113" s="351">
        <f t="shared" si="34"/>
        <v>0</v>
      </c>
      <c r="D113">
        <f t="shared" si="35"/>
        <v>2008</v>
      </c>
      <c r="E113" s="186">
        <f t="shared" si="56"/>
        <v>39600</v>
      </c>
      <c r="F113" s="215">
        <f t="shared" si="36"/>
        <v>0</v>
      </c>
      <c r="G113" s="191">
        <f t="shared" si="37"/>
        <v>0</v>
      </c>
      <c r="H113" s="218">
        <f t="shared" si="38"/>
        <v>0</v>
      </c>
      <c r="I113" s="118">
        <f t="shared" si="39"/>
        <v>0</v>
      </c>
      <c r="J113" s="215">
        <f t="shared" si="40"/>
        <v>0</v>
      </c>
      <c r="K113" s="202"/>
      <c r="L113" s="186">
        <f t="shared" si="57"/>
        <v>39600</v>
      </c>
      <c r="M113" s="400">
        <f>+J113*(VLOOKUP(L113,CURVECALC!$C$6:$J$312,4,0)+N$5)</f>
        <v>0</v>
      </c>
      <c r="N113" s="208">
        <f>-F113*INDEX(ship_curves,MATCH(L113,'SHIP CURVES'!$A$9:$A$316,0),MATCH(CONCATENATE(P$4,P$5,P$6,P$7),'SHIP CURVES'!$A$9:$AZ$9,0))</f>
        <v>0</v>
      </c>
      <c r="O113" s="209">
        <f>-H113*INDEX(port_processing_fee,MATCH(L113,PORTS!$H$626:$H$933,0),MATCH(P$5,PORTS!$H$626:$Z$626,0))</f>
        <v>0</v>
      </c>
      <c r="P113" s="405">
        <f>(((VLOOKUP(L113,curvecalc,4,0))*IF(F113=0,0,J113/F113)-INDEX(ship_curves,MATCH(L113,'SHIP CURVES'!$A$9:$A$316,0),MATCH(CONCATENATE(P$4,P$5,P$6,P$7),'SHIP CURVES'!$A$9:$Z$9,0))-INDEX(terminal_curves,MATCH(L113,'TERMINAL CURVES'!$A$4:$A$313,0),MATCH(P$5,'TERMINAL CURVES'!$A$4:$N$4,0))*IF(F113=0,0,H113/F113))-(N$8)*((N$7-$N$5)-(INDEX(ship_curves,MATCH(L113,'SHIP CURVES'!$A$9:$A$316,0),MATCH(CONCATENATE(P$4,P$5,P$6,P$7),'SHIP CURVES'!$A$9:$Z$9,0))-INDEX(ship_curves,MATCH(L113,'SHIP CURVES'!$A$9:$A$316,0),MATCH(CONCATENATE(P$4,N$6,P$6,P$7),'SHIP CURVES'!$A$9:$Z$9,0)))-(INDEX(terminal_curves,MATCH(L113,'TERMINAL CURVES'!$A$4:$A$313,0),MATCH(P$5,'TERMINAL CURVES'!$A$4:$N$4,0))-INDEX(terminal_curves,MATCH(L113,'TERMINAL CURVES'!$A$4:$A$313,0),MATCH(N$6,'TERMINAL CURVES'!$A$4:$N$4,0)))*IF(F113=0,0,H113/F113)))*-F113</f>
        <v>0</v>
      </c>
      <c r="Q113" s="403">
        <f t="shared" si="41"/>
        <v>0</v>
      </c>
      <c r="R113" s="338">
        <f>(-H113/((HLOOKUP(P$5,port_specs,2,0)/(365.25))*(L114-L113)))*(INDEX(fixed_capacity_charge,MATCH(L113,PORTS!$H$11:$H$317,0),MATCH(P$5,PORTS!$H$11:$N$11,0))+INDEX(variable_om_charge,MATCH(L113,PORTS!$H$318:$H$625,0),MATCH(P$5,PORTS!$H$318:$N$318,0)))</f>
        <v>0</v>
      </c>
      <c r="S113" s="232">
        <f t="shared" si="42"/>
        <v>0</v>
      </c>
      <c r="T113" s="241">
        <f t="shared" si="43"/>
        <v>0</v>
      </c>
      <c r="V113" s="186">
        <f t="shared" si="58"/>
        <v>39600</v>
      </c>
      <c r="W113" s="215">
        <f t="shared" si="44"/>
        <v>0</v>
      </c>
      <c r="X113" s="191">
        <f t="shared" si="45"/>
        <v>0</v>
      </c>
      <c r="Y113" s="218">
        <f>+IF(AND(X$8&lt;=V113,X$9&gt;=V113),+MIN($B113-SUMIF($H$17:X$17,Y$17,$H113:X113),((INDEX(ROUTE_PER_DAY_BY_SHIP,MATCH(CONCATENATE(X$4,X$5,X$7),ROUTE_PER_DAY_ROUTES,0),MATCH(X$6,ROUTE_PER_DAY_SHIPS,0))*(V114-V113))-(INDEX(ROUTE_PER_DAY_BY_SHIP,MATCH(CONCATENATE(X$4,X$5,X$7),ROUTE_PER_DAY_ROUTES,0),MATCH(X$6,ROUTE_PER_DAY_SHIPS,0))*(V114-V113))*HLOOKUP(X$6,SHIPS,7,0)*INDEX(LADEN_VOYAGE_DAYS,MATCH(CONCATENATE(X$4,X$5,X$7),LADEN_VOYAGE_ROUTES,0),MATCH(X$6,LADEN_VOYAGE_SHIPS,0)))),0)</f>
        <v>0</v>
      </c>
      <c r="Z113" s="118">
        <f t="shared" si="46"/>
        <v>0</v>
      </c>
      <c r="AA113" s="215">
        <f t="shared" si="32"/>
        <v>0</v>
      </c>
      <c r="AB113" s="202"/>
      <c r="AC113" s="186">
        <f t="shared" si="59"/>
        <v>39600</v>
      </c>
      <c r="AD113" s="232">
        <f>+AA113*(VLOOKUP(AC113,CURVECALC!$C$6:$J$312,4,0)+AE$5)</f>
        <v>0</v>
      </c>
      <c r="AE113" s="208">
        <f>-W113*INDEX(ship_curves,MATCH(AC113,'SHIP CURVES'!$A$9:$A$316,0),MATCH(CONCATENATE(AG$4,AG$5,AG$6,AG$7),'SHIP CURVES'!$A$9:$AZ$9,0))</f>
        <v>0</v>
      </c>
      <c r="AF113" s="209">
        <f>-Y113*INDEX(port_processing_fee,MATCH(AC113,PORTS!$H$626:$H$933,0),MATCH(AG$5,PORTS!$H$626:$Z$626,0))</f>
        <v>0</v>
      </c>
      <c r="AG113" s="405">
        <f>(((VLOOKUP(AC113,curvecalc,4,0))*IF(W113=0,0,AA113/W113)-INDEX(ship_curves,MATCH(AC113,'SHIP CURVES'!$A$9:$A$316,0),MATCH(CONCATENATE(AG$4,AG$5,AG$6,AG$7),'SHIP CURVES'!$A$9:$Z$9,0))-INDEX(terminal_curves,MATCH(AC113,'TERMINAL CURVES'!$A$4:$A$313,0),MATCH(AG$5,'TERMINAL CURVES'!$A$4:$N$4,0))*IF(W113=0,0,Y113/W113))-(AE$8)*((AE$7-$N$5)-(INDEX(ship_curves,MATCH(AC113,'SHIP CURVES'!$A$9:$A$316,0),MATCH(CONCATENATE(AG$4,AG$5,AG$6,AG$7),'SHIP CURVES'!$A$9:$Z$9,0))-INDEX(ship_curves,MATCH(AC113,'SHIP CURVES'!$A$9:$A$316,0),MATCH(CONCATENATE(AG$4,AE$6,AG$6,AG$7),'SHIP CURVES'!$A$9:$Z$9,0)))-(INDEX(terminal_curves,MATCH(AC113,'TERMINAL CURVES'!$A$4:$A$313,0),MATCH(AG$5,'TERMINAL CURVES'!$A$4:$N$4,0))-INDEX(terminal_curves,MATCH(AC113,'TERMINAL CURVES'!$A$4:$A$313,0),MATCH(AE$6,'TERMINAL CURVES'!$A$4:$N$4,0)))*IF(W113=0,0,Y113/W113)))*-W113</f>
        <v>0</v>
      </c>
      <c r="AH113" s="343">
        <f t="shared" si="47"/>
        <v>0</v>
      </c>
      <c r="AI113" s="338">
        <f>(-Y113/((HLOOKUP(AG$5,port_specs,2,0)/(365.25))*(AC114-AC113)))*(INDEX(fixed_capacity_charge,MATCH(AC113,PORTS!$H$11:$H$317,0),MATCH(AG$5,PORTS!$H$11:$N$11,0))+INDEX(variable_om_charge,MATCH(AC113,PORTS!$H$318:$H$625,0),MATCH(AG$5,PORTS!$H$318:$N$318,0)))</f>
        <v>0</v>
      </c>
      <c r="AJ113" s="232">
        <f t="shared" si="48"/>
        <v>0</v>
      </c>
      <c r="AK113" s="241">
        <f t="shared" si="49"/>
        <v>0</v>
      </c>
      <c r="AM113" s="186">
        <f t="shared" si="60"/>
        <v>39600</v>
      </c>
      <c r="AN113" s="215">
        <f t="shared" si="50"/>
        <v>5221704.655509592</v>
      </c>
      <c r="AO113" s="191">
        <f t="shared" si="51"/>
        <v>-54827.898882850073</v>
      </c>
      <c r="AP113" s="218">
        <f>+IF(AND(AO$8&lt;=AM113,AO$9&gt;=AM113),+MIN($B113-SUMIF($H$17:AO$17,AP$17,$H113:AO113),((INDEX(ROUTE_PER_DAY_BY_SHIP,MATCH(CONCATENATE(AO$4,AO$5,AO$7),ROUTE_PER_DAY_ROUTES,0),MATCH(AO$6,ROUTE_PER_DAY_SHIPS,0))*(AM114-AM113))-(INDEX(ROUTE_PER_DAY_BY_SHIP,MATCH(CONCATENATE(AO$4,AO$5,AO$7),ROUTE_PER_DAY_ROUTES,0),MATCH(AO$6,ROUTE_PER_DAY_SHIPS,0))*(AM114-AM113))*HLOOKUP(AO$6,SHIPS,7,0)*INDEX(LADEN_VOYAGE_DAYS,MATCH(CONCATENATE(AO$4,AO$5,AO$7),LADEN_VOYAGE_ROUTES,0),MATCH(AO$6,LADEN_VOYAGE_SHIPS,0)))),0)</f>
        <v>5166876.756626742</v>
      </c>
      <c r="AQ113" s="118">
        <f>-(AP113)*PORTS!$I$6</f>
        <v>-129171.91891566856</v>
      </c>
      <c r="AR113" s="215">
        <f t="shared" si="33"/>
        <v>5037704.8377110735</v>
      </c>
      <c r="AS113" s="202"/>
      <c r="AT113" s="186">
        <f t="shared" si="61"/>
        <v>39600</v>
      </c>
      <c r="AU113" s="232">
        <f>+AR113*(VLOOKUP(AT113,CURVECALC!$C$6:$J$312,4,0)+AV$5)</f>
        <v>16070278.432298323</v>
      </c>
      <c r="AV113" s="208">
        <f>-AN113*INDEX(ship_curves,MATCH(AT113,'SHIP CURVES'!$A$9:$A$316,0),MATCH(CONCATENATE(AX$4,AX$5,AX$6,AX$7),'SHIP CURVES'!$A$9:$AZ$9,0))</f>
        <v>-1725175.8029903576</v>
      </c>
      <c r="AW113" s="209">
        <f>-AP113*INDEX(port_processing_fee,MATCH(AT113,PORTS!$H$626:$H$933,0),MATCH(AX$5,PORTS!$H$626:$Z$626,0))</f>
        <v>-151096.98917779632</v>
      </c>
      <c r="AX113" s="405">
        <f>(((VLOOKUP(AT113,curvecalc,4,0))*IF(AN113=0,0,AR113/AN113)-INDEX(ship_curves,MATCH(AT113,'SHIP CURVES'!$A$9:$A$316,0),MATCH(CONCATENATE(AX$4,AX$5,AX$6,AX$7),'SHIP CURVES'!$A$9:$Z$9,0))-INDEX(terminal_curves,MATCH(AT113,'TERMINAL CURVES'!$A$4:$A$313,0),MATCH(AX$5,'TERMINAL CURVES'!$A$4:$N$4,0))*IF(AN113=0,0,AP113/AN113))-(AV$8)*((AV$7-$N$5)-(INDEX(ship_curves,MATCH(AT113,'SHIP CURVES'!$A$9:$A$316,0),MATCH(CONCATENATE(AX$4,AX$5,AX$6,AX$7),'SHIP CURVES'!$A$9:$Z$9,0))-INDEX(ship_curves,MATCH(AT113,'SHIP CURVES'!$A$9:$A$316,0),MATCH(CONCATENATE(AX$4,AV$6,AX$6,AX$7),'SHIP CURVES'!$A$9:$Z$9,0)))-(INDEX(terminal_curves,MATCH(AT113,'TERMINAL CURVES'!$A$4:$A$313,0),MATCH(AX$5,'TERMINAL CURVES'!$A$4:$N$4,0))-INDEX(terminal_curves,MATCH(AT113,'TERMINAL CURVES'!$A$4:$A$313,0),MATCH(AV$6,'TERMINAL CURVES'!$A$4:$N$4,0)))*IF(AN113=0,0,AP113/AN113)))*-AN113</f>
        <v>-13105066.105783315</v>
      </c>
      <c r="AY113" s="343">
        <f t="shared" si="52"/>
        <v>-14981338.897951469</v>
      </c>
      <c r="AZ113" s="338">
        <f>(-AP113/((HLOOKUP(AX$5,port_specs,2,0)/(365.25))*(AT114-AT113)))*(INDEX(fixed_capacity_charge,MATCH(AT113,PORTS!$H$11:$H$317,0),MATCH(AX$5,PORTS!$H$11:$N$11,0))+INDEX(variable_om_charge,MATCH(AT113,PORTS!$H$318:$H$625,0),MATCH(AX$5,PORTS!$H$318:$N$318,0)))</f>
        <v>-988185.43759263214</v>
      </c>
      <c r="BA113" s="232">
        <f t="shared" si="53"/>
        <v>-15969524.335544102</v>
      </c>
      <c r="BB113" s="241">
        <f t="shared" si="54"/>
        <v>100754.09675422125</v>
      </c>
      <c r="BC113" s="408"/>
      <c r="BD113" s="338">
        <f>+PORTS!I107+PORTS!I415</f>
        <v>988185.43759263214</v>
      </c>
    </row>
    <row r="114" spans="1:56" x14ac:dyDescent="0.2">
      <c r="A114" s="186">
        <f t="shared" si="55"/>
        <v>39630</v>
      </c>
      <c r="B114" s="215">
        <f>+IF(AND($A114&gt;=$C$8,$A114&lt;=$C$9),1,0)*PORTS!$I$5/(365.25)*(A115-A114)</f>
        <v>5339105.9818476336</v>
      </c>
      <c r="C114" s="351">
        <f t="shared" si="34"/>
        <v>0</v>
      </c>
      <c r="D114">
        <f t="shared" si="35"/>
        <v>2008</v>
      </c>
      <c r="E114" s="186">
        <f t="shared" si="56"/>
        <v>39630</v>
      </c>
      <c r="F114" s="215">
        <f t="shared" si="36"/>
        <v>0</v>
      </c>
      <c r="G114" s="191">
        <f t="shared" si="37"/>
        <v>0</v>
      </c>
      <c r="H114" s="218">
        <f t="shared" si="38"/>
        <v>0</v>
      </c>
      <c r="I114" s="118">
        <f t="shared" si="39"/>
        <v>0</v>
      </c>
      <c r="J114" s="215">
        <f t="shared" si="40"/>
        <v>0</v>
      </c>
      <c r="K114" s="202"/>
      <c r="L114" s="186">
        <f t="shared" si="57"/>
        <v>39630</v>
      </c>
      <c r="M114" s="400">
        <f>+J114*(VLOOKUP(L114,CURVECALC!$C$6:$J$312,4,0)+N$5)</f>
        <v>0</v>
      </c>
      <c r="N114" s="208">
        <f>-F114*INDEX(ship_curves,MATCH(L114,'SHIP CURVES'!$A$9:$A$316,0),MATCH(CONCATENATE(P$4,P$5,P$6,P$7),'SHIP CURVES'!$A$9:$AZ$9,0))</f>
        <v>0</v>
      </c>
      <c r="O114" s="209">
        <f>-H114*INDEX(port_processing_fee,MATCH(L114,PORTS!$H$626:$H$933,0),MATCH(P$5,PORTS!$H$626:$Z$626,0))</f>
        <v>0</v>
      </c>
      <c r="P114" s="405">
        <f>(((VLOOKUP(L114,curvecalc,4,0))*IF(F114=0,0,J114/F114)-INDEX(ship_curves,MATCH(L114,'SHIP CURVES'!$A$9:$A$316,0),MATCH(CONCATENATE(P$4,P$5,P$6,P$7),'SHIP CURVES'!$A$9:$Z$9,0))-INDEX(terminal_curves,MATCH(L114,'TERMINAL CURVES'!$A$4:$A$313,0),MATCH(P$5,'TERMINAL CURVES'!$A$4:$N$4,0))*IF(F114=0,0,H114/F114))-(N$8)*((N$7-$N$5)-(INDEX(ship_curves,MATCH(L114,'SHIP CURVES'!$A$9:$A$316,0),MATCH(CONCATENATE(P$4,P$5,P$6,P$7),'SHIP CURVES'!$A$9:$Z$9,0))-INDEX(ship_curves,MATCH(L114,'SHIP CURVES'!$A$9:$A$316,0),MATCH(CONCATENATE(P$4,N$6,P$6,P$7),'SHIP CURVES'!$A$9:$Z$9,0)))-(INDEX(terminal_curves,MATCH(L114,'TERMINAL CURVES'!$A$4:$A$313,0),MATCH(P$5,'TERMINAL CURVES'!$A$4:$N$4,0))-INDEX(terminal_curves,MATCH(L114,'TERMINAL CURVES'!$A$4:$A$313,0),MATCH(N$6,'TERMINAL CURVES'!$A$4:$N$4,0)))*IF(F114=0,0,H114/F114)))*-F114</f>
        <v>0</v>
      </c>
      <c r="Q114" s="403">
        <f t="shared" si="41"/>
        <v>0</v>
      </c>
      <c r="R114" s="338">
        <f>(-H114/((HLOOKUP(P$5,port_specs,2,0)/(365.25))*(L115-L114)))*(INDEX(fixed_capacity_charge,MATCH(L114,PORTS!$H$11:$H$317,0),MATCH(P$5,PORTS!$H$11:$N$11,0))+INDEX(variable_om_charge,MATCH(L114,PORTS!$H$318:$H$625,0),MATCH(P$5,PORTS!$H$318:$N$318,0)))</f>
        <v>0</v>
      </c>
      <c r="S114" s="232">
        <f t="shared" si="42"/>
        <v>0</v>
      </c>
      <c r="T114" s="241">
        <f t="shared" si="43"/>
        <v>0</v>
      </c>
      <c r="V114" s="186">
        <f t="shared" si="58"/>
        <v>39630</v>
      </c>
      <c r="W114" s="215">
        <f t="shared" si="44"/>
        <v>0</v>
      </c>
      <c r="X114" s="191">
        <f t="shared" si="45"/>
        <v>0</v>
      </c>
      <c r="Y114" s="218">
        <f>+IF(AND(X$8&lt;=V114,X$9&gt;=V114),+MIN($B114-SUMIF($H$17:X$17,Y$17,$H114:X114),((INDEX(ROUTE_PER_DAY_BY_SHIP,MATCH(CONCATENATE(X$4,X$5,X$7),ROUTE_PER_DAY_ROUTES,0),MATCH(X$6,ROUTE_PER_DAY_SHIPS,0))*(V115-V114))-(INDEX(ROUTE_PER_DAY_BY_SHIP,MATCH(CONCATENATE(X$4,X$5,X$7),ROUTE_PER_DAY_ROUTES,0),MATCH(X$6,ROUTE_PER_DAY_SHIPS,0))*(V115-V114))*HLOOKUP(X$6,SHIPS,7,0)*INDEX(LADEN_VOYAGE_DAYS,MATCH(CONCATENATE(X$4,X$5,X$7),LADEN_VOYAGE_ROUTES,0),MATCH(X$6,LADEN_VOYAGE_SHIPS,0)))),0)</f>
        <v>0</v>
      </c>
      <c r="Z114" s="118">
        <f t="shared" si="46"/>
        <v>0</v>
      </c>
      <c r="AA114" s="215">
        <f t="shared" si="32"/>
        <v>0</v>
      </c>
      <c r="AB114" s="202"/>
      <c r="AC114" s="186">
        <f t="shared" si="59"/>
        <v>39630</v>
      </c>
      <c r="AD114" s="232">
        <f>+AA114*(VLOOKUP(AC114,CURVECALC!$C$6:$J$312,4,0)+AE$5)</f>
        <v>0</v>
      </c>
      <c r="AE114" s="208">
        <f>-W114*INDEX(ship_curves,MATCH(AC114,'SHIP CURVES'!$A$9:$A$316,0),MATCH(CONCATENATE(AG$4,AG$5,AG$6,AG$7),'SHIP CURVES'!$A$9:$AZ$9,0))</f>
        <v>0</v>
      </c>
      <c r="AF114" s="209">
        <f>-Y114*INDEX(port_processing_fee,MATCH(AC114,PORTS!$H$626:$H$933,0),MATCH(AG$5,PORTS!$H$626:$Z$626,0))</f>
        <v>0</v>
      </c>
      <c r="AG114" s="405">
        <f>(((VLOOKUP(AC114,curvecalc,4,0))*IF(W114=0,0,AA114/W114)-INDEX(ship_curves,MATCH(AC114,'SHIP CURVES'!$A$9:$A$316,0),MATCH(CONCATENATE(AG$4,AG$5,AG$6,AG$7),'SHIP CURVES'!$A$9:$Z$9,0))-INDEX(terminal_curves,MATCH(AC114,'TERMINAL CURVES'!$A$4:$A$313,0),MATCH(AG$5,'TERMINAL CURVES'!$A$4:$N$4,0))*IF(W114=0,0,Y114/W114))-(AE$8)*((AE$7-$N$5)-(INDEX(ship_curves,MATCH(AC114,'SHIP CURVES'!$A$9:$A$316,0),MATCH(CONCATENATE(AG$4,AG$5,AG$6,AG$7),'SHIP CURVES'!$A$9:$Z$9,0))-INDEX(ship_curves,MATCH(AC114,'SHIP CURVES'!$A$9:$A$316,0),MATCH(CONCATENATE(AG$4,AE$6,AG$6,AG$7),'SHIP CURVES'!$A$9:$Z$9,0)))-(INDEX(terminal_curves,MATCH(AC114,'TERMINAL CURVES'!$A$4:$A$313,0),MATCH(AG$5,'TERMINAL CURVES'!$A$4:$N$4,0))-INDEX(terminal_curves,MATCH(AC114,'TERMINAL CURVES'!$A$4:$A$313,0),MATCH(AE$6,'TERMINAL CURVES'!$A$4:$N$4,0)))*IF(W114=0,0,Y114/W114)))*-W114</f>
        <v>0</v>
      </c>
      <c r="AH114" s="343">
        <f t="shared" si="47"/>
        <v>0</v>
      </c>
      <c r="AI114" s="338">
        <f>(-Y114/((HLOOKUP(AG$5,port_specs,2,0)/(365.25))*(AC115-AC114)))*(INDEX(fixed_capacity_charge,MATCH(AC114,PORTS!$H$11:$H$317,0),MATCH(AG$5,PORTS!$H$11:$N$11,0))+INDEX(variable_om_charge,MATCH(AC114,PORTS!$H$318:$H$625,0),MATCH(AG$5,PORTS!$H$318:$N$318,0)))</f>
        <v>0</v>
      </c>
      <c r="AJ114" s="232">
        <f t="shared" si="48"/>
        <v>0</v>
      </c>
      <c r="AK114" s="241">
        <f t="shared" si="49"/>
        <v>0</v>
      </c>
      <c r="AM114" s="186">
        <f t="shared" si="60"/>
        <v>39630</v>
      </c>
      <c r="AN114" s="215">
        <f t="shared" si="50"/>
        <v>5395761.4773599124</v>
      </c>
      <c r="AO114" s="191">
        <f t="shared" si="51"/>
        <v>-56655.495512278751</v>
      </c>
      <c r="AP114" s="218">
        <f>+IF(AND(AO$8&lt;=AM114,AO$9&gt;=AM114),+MIN($B114-SUMIF($H$17:AO$17,AP$17,$H114:AO114),((INDEX(ROUTE_PER_DAY_BY_SHIP,MATCH(CONCATENATE(AO$4,AO$5,AO$7),ROUTE_PER_DAY_ROUTES,0),MATCH(AO$6,ROUTE_PER_DAY_SHIPS,0))*(AM115-AM114))-(INDEX(ROUTE_PER_DAY_BY_SHIP,MATCH(CONCATENATE(AO$4,AO$5,AO$7),ROUTE_PER_DAY_ROUTES,0),MATCH(AO$6,ROUTE_PER_DAY_SHIPS,0))*(AM115-AM114))*HLOOKUP(AO$6,SHIPS,7,0)*INDEX(LADEN_VOYAGE_DAYS,MATCH(CONCATENATE(AO$4,AO$5,AO$7),LADEN_VOYAGE_ROUTES,0),MATCH(AO$6,LADEN_VOYAGE_SHIPS,0)))),0)</f>
        <v>5339105.9818476336</v>
      </c>
      <c r="AQ114" s="118">
        <f>-(AP114)*PORTS!$I$6</f>
        <v>-133477.64954619083</v>
      </c>
      <c r="AR114" s="215">
        <f t="shared" si="33"/>
        <v>5205628.3323014425</v>
      </c>
      <c r="AS114" s="202"/>
      <c r="AT114" s="186">
        <f t="shared" si="61"/>
        <v>39630</v>
      </c>
      <c r="AU114" s="232">
        <f>+AR114*(VLOOKUP(AT114,CURVECALC!$C$6:$J$312,4,0)+AV$5)</f>
        <v>16605954.380041601</v>
      </c>
      <c r="AV114" s="208">
        <f>-AN114*INDEX(ship_curves,MATCH(AT114,'SHIP CURVES'!$A$9:$A$316,0),MATCH(CONCATENATE(AX$4,AX$5,AX$6,AX$7),'SHIP CURVES'!$A$9:$AZ$9,0))</f>
        <v>-1783199.9004568572</v>
      </c>
      <c r="AW114" s="209">
        <f>-AP114*INDEX(port_processing_fee,MATCH(AT114,PORTS!$H$626:$H$933,0),MATCH(AX$5,PORTS!$H$626:$Z$626,0))</f>
        <v>-156296.19460401841</v>
      </c>
      <c r="AX114" s="405">
        <f>(((VLOOKUP(AT114,curvecalc,4,0))*IF(AN114=0,0,AR114/AN114)-INDEX(ship_curves,MATCH(AT114,'SHIP CURVES'!$A$9:$A$316,0),MATCH(CONCATENATE(AX$4,AX$5,AX$6,AX$7),'SHIP CURVES'!$A$9:$Z$9,0))-INDEX(terminal_curves,MATCH(AT114,'TERMINAL CURVES'!$A$4:$A$313,0),MATCH(AX$5,'TERMINAL CURVES'!$A$4:$N$4,0))*IF(AN114=0,0,AP114/AN114))-(AV$8)*((AV$7-$N$5)-(INDEX(ship_curves,MATCH(AT114,'SHIP CURVES'!$A$9:$A$316,0),MATCH(CONCATENATE(AX$4,AX$5,AX$6,AX$7),'SHIP CURVES'!$A$9:$Z$9,0))-INDEX(ship_curves,MATCH(AT114,'SHIP CURVES'!$A$9:$A$316,0),MATCH(CONCATENATE(AX$4,AV$6,AX$6,AX$7),'SHIP CURVES'!$A$9:$Z$9,0)))-(INDEX(terminal_curves,MATCH(AT114,'TERMINAL CURVES'!$A$4:$A$313,0),MATCH(AX$5,'TERMINAL CURVES'!$A$4:$N$4,0))-INDEX(terminal_curves,MATCH(AT114,'TERMINAL CURVES'!$A$4:$A$313,0),MATCH(AV$6,'TERMINAL CURVES'!$A$4:$N$4,0)))*IF(AN114=0,0,AP114/AN114)))*-AN114</f>
        <v>-13573636.323589267</v>
      </c>
      <c r="AY114" s="343">
        <f t="shared" si="52"/>
        <v>-15513132.418650143</v>
      </c>
      <c r="AZ114" s="338">
        <f>(-AP114/((HLOOKUP(AX$5,port_specs,2,0)/(365.25))*(AT115-AT114)))*(INDEX(fixed_capacity_charge,MATCH(AT114,PORTS!$H$11:$H$317,0),MATCH(AX$5,PORTS!$H$11:$N$11,0))+INDEX(variable_om_charge,MATCH(AT114,PORTS!$H$318:$H$625,0),MATCH(AX$5,PORTS!$H$318:$N$318,0)))</f>
        <v>-988709.39474542823</v>
      </c>
      <c r="BA114" s="232">
        <f t="shared" si="53"/>
        <v>-16501841.813395571</v>
      </c>
      <c r="BB114" s="241">
        <f t="shared" si="54"/>
        <v>104112.56664603017</v>
      </c>
      <c r="BC114" s="408"/>
      <c r="BD114" s="338">
        <f>+PORTS!I108+PORTS!I416</f>
        <v>988709.39474542823</v>
      </c>
    </row>
    <row r="115" spans="1:56" x14ac:dyDescent="0.2">
      <c r="A115" s="186">
        <f t="shared" si="55"/>
        <v>39661</v>
      </c>
      <c r="B115" s="215">
        <f>+IF(AND($A115&gt;=$C$8,$A115&lt;=$C$9),1,0)*PORTS!$I$5/(365.25)*(A116-A115)</f>
        <v>5339105.9818476336</v>
      </c>
      <c r="C115" s="351">
        <f t="shared" si="34"/>
        <v>0</v>
      </c>
      <c r="D115">
        <f t="shared" si="35"/>
        <v>2008</v>
      </c>
      <c r="E115" s="186">
        <f t="shared" si="56"/>
        <v>39661</v>
      </c>
      <c r="F115" s="215">
        <f t="shared" si="36"/>
        <v>0</v>
      </c>
      <c r="G115" s="191">
        <f t="shared" si="37"/>
        <v>0</v>
      </c>
      <c r="H115" s="218">
        <f t="shared" si="38"/>
        <v>0</v>
      </c>
      <c r="I115" s="118">
        <f t="shared" si="39"/>
        <v>0</v>
      </c>
      <c r="J115" s="215">
        <f t="shared" si="40"/>
        <v>0</v>
      </c>
      <c r="K115" s="202"/>
      <c r="L115" s="186">
        <f t="shared" si="57"/>
        <v>39661</v>
      </c>
      <c r="M115" s="400">
        <f>+J115*(VLOOKUP(L115,CURVECALC!$C$6:$J$312,4,0)+N$5)</f>
        <v>0</v>
      </c>
      <c r="N115" s="208">
        <f>-F115*INDEX(ship_curves,MATCH(L115,'SHIP CURVES'!$A$9:$A$316,0),MATCH(CONCATENATE(P$4,P$5,P$6,P$7),'SHIP CURVES'!$A$9:$AZ$9,0))</f>
        <v>0</v>
      </c>
      <c r="O115" s="209">
        <f>-H115*INDEX(port_processing_fee,MATCH(L115,PORTS!$H$626:$H$933,0),MATCH(P$5,PORTS!$H$626:$Z$626,0))</f>
        <v>0</v>
      </c>
      <c r="P115" s="405">
        <f>(((VLOOKUP(L115,curvecalc,4,0))*IF(F115=0,0,J115/F115)-INDEX(ship_curves,MATCH(L115,'SHIP CURVES'!$A$9:$A$316,0),MATCH(CONCATENATE(P$4,P$5,P$6,P$7),'SHIP CURVES'!$A$9:$Z$9,0))-INDEX(terminal_curves,MATCH(L115,'TERMINAL CURVES'!$A$4:$A$313,0),MATCH(P$5,'TERMINAL CURVES'!$A$4:$N$4,0))*IF(F115=0,0,H115/F115))-(N$8)*((N$7-$N$5)-(INDEX(ship_curves,MATCH(L115,'SHIP CURVES'!$A$9:$A$316,0),MATCH(CONCATENATE(P$4,P$5,P$6,P$7),'SHIP CURVES'!$A$9:$Z$9,0))-INDEX(ship_curves,MATCH(L115,'SHIP CURVES'!$A$9:$A$316,0),MATCH(CONCATENATE(P$4,N$6,P$6,P$7),'SHIP CURVES'!$A$9:$Z$9,0)))-(INDEX(terminal_curves,MATCH(L115,'TERMINAL CURVES'!$A$4:$A$313,0),MATCH(P$5,'TERMINAL CURVES'!$A$4:$N$4,0))-INDEX(terminal_curves,MATCH(L115,'TERMINAL CURVES'!$A$4:$A$313,0),MATCH(N$6,'TERMINAL CURVES'!$A$4:$N$4,0)))*IF(F115=0,0,H115/F115)))*-F115</f>
        <v>0</v>
      </c>
      <c r="Q115" s="403">
        <f t="shared" si="41"/>
        <v>0</v>
      </c>
      <c r="R115" s="338">
        <f>(-H115/((HLOOKUP(P$5,port_specs,2,0)/(365.25))*(L116-L115)))*(INDEX(fixed_capacity_charge,MATCH(L115,PORTS!$H$11:$H$317,0),MATCH(P$5,PORTS!$H$11:$N$11,0))+INDEX(variable_om_charge,MATCH(L115,PORTS!$H$318:$H$625,0),MATCH(P$5,PORTS!$H$318:$N$318,0)))</f>
        <v>0</v>
      </c>
      <c r="S115" s="232">
        <f t="shared" si="42"/>
        <v>0</v>
      </c>
      <c r="T115" s="241">
        <f t="shared" si="43"/>
        <v>0</v>
      </c>
      <c r="V115" s="186">
        <f t="shared" si="58"/>
        <v>39661</v>
      </c>
      <c r="W115" s="215">
        <f t="shared" si="44"/>
        <v>0</v>
      </c>
      <c r="X115" s="191">
        <f t="shared" si="45"/>
        <v>0</v>
      </c>
      <c r="Y115" s="218">
        <f>+IF(AND(X$8&lt;=V115,X$9&gt;=V115),+MIN($B115-SUMIF($H$17:X$17,Y$17,$H115:X115),((INDEX(ROUTE_PER_DAY_BY_SHIP,MATCH(CONCATENATE(X$4,X$5,X$7),ROUTE_PER_DAY_ROUTES,0),MATCH(X$6,ROUTE_PER_DAY_SHIPS,0))*(V116-V115))-(INDEX(ROUTE_PER_DAY_BY_SHIP,MATCH(CONCATENATE(X$4,X$5,X$7),ROUTE_PER_DAY_ROUTES,0),MATCH(X$6,ROUTE_PER_DAY_SHIPS,0))*(V116-V115))*HLOOKUP(X$6,SHIPS,7,0)*INDEX(LADEN_VOYAGE_DAYS,MATCH(CONCATENATE(X$4,X$5,X$7),LADEN_VOYAGE_ROUTES,0),MATCH(X$6,LADEN_VOYAGE_SHIPS,0)))),0)</f>
        <v>0</v>
      </c>
      <c r="Z115" s="118">
        <f t="shared" si="46"/>
        <v>0</v>
      </c>
      <c r="AA115" s="215">
        <f t="shared" si="32"/>
        <v>0</v>
      </c>
      <c r="AB115" s="202"/>
      <c r="AC115" s="186">
        <f t="shared" si="59"/>
        <v>39661</v>
      </c>
      <c r="AD115" s="232">
        <f>+AA115*(VLOOKUP(AC115,CURVECALC!$C$6:$J$312,4,0)+AE$5)</f>
        <v>0</v>
      </c>
      <c r="AE115" s="208">
        <f>-W115*INDEX(ship_curves,MATCH(AC115,'SHIP CURVES'!$A$9:$A$316,0),MATCH(CONCATENATE(AG$4,AG$5,AG$6,AG$7),'SHIP CURVES'!$A$9:$AZ$9,0))</f>
        <v>0</v>
      </c>
      <c r="AF115" s="209">
        <f>-Y115*INDEX(port_processing_fee,MATCH(AC115,PORTS!$H$626:$H$933,0),MATCH(AG$5,PORTS!$H$626:$Z$626,0))</f>
        <v>0</v>
      </c>
      <c r="AG115" s="405">
        <f>(((VLOOKUP(AC115,curvecalc,4,0))*IF(W115=0,0,AA115/W115)-INDEX(ship_curves,MATCH(AC115,'SHIP CURVES'!$A$9:$A$316,0),MATCH(CONCATENATE(AG$4,AG$5,AG$6,AG$7),'SHIP CURVES'!$A$9:$Z$9,0))-INDEX(terminal_curves,MATCH(AC115,'TERMINAL CURVES'!$A$4:$A$313,0),MATCH(AG$5,'TERMINAL CURVES'!$A$4:$N$4,0))*IF(W115=0,0,Y115/W115))-(AE$8)*((AE$7-$N$5)-(INDEX(ship_curves,MATCH(AC115,'SHIP CURVES'!$A$9:$A$316,0),MATCH(CONCATENATE(AG$4,AG$5,AG$6,AG$7),'SHIP CURVES'!$A$9:$Z$9,0))-INDEX(ship_curves,MATCH(AC115,'SHIP CURVES'!$A$9:$A$316,0),MATCH(CONCATENATE(AG$4,AE$6,AG$6,AG$7),'SHIP CURVES'!$A$9:$Z$9,0)))-(INDEX(terminal_curves,MATCH(AC115,'TERMINAL CURVES'!$A$4:$A$313,0),MATCH(AG$5,'TERMINAL CURVES'!$A$4:$N$4,0))-INDEX(terminal_curves,MATCH(AC115,'TERMINAL CURVES'!$A$4:$A$313,0),MATCH(AE$6,'TERMINAL CURVES'!$A$4:$N$4,0)))*IF(W115=0,0,Y115/W115)))*-W115</f>
        <v>0</v>
      </c>
      <c r="AH115" s="343">
        <f t="shared" si="47"/>
        <v>0</v>
      </c>
      <c r="AI115" s="338">
        <f>(-Y115/((HLOOKUP(AG$5,port_specs,2,0)/(365.25))*(AC116-AC115)))*(INDEX(fixed_capacity_charge,MATCH(AC115,PORTS!$H$11:$H$317,0),MATCH(AG$5,PORTS!$H$11:$N$11,0))+INDEX(variable_om_charge,MATCH(AC115,PORTS!$H$318:$H$625,0),MATCH(AG$5,PORTS!$H$318:$N$318,0)))</f>
        <v>0</v>
      </c>
      <c r="AJ115" s="232">
        <f t="shared" si="48"/>
        <v>0</v>
      </c>
      <c r="AK115" s="241">
        <f t="shared" si="49"/>
        <v>0</v>
      </c>
      <c r="AM115" s="186">
        <f t="shared" si="60"/>
        <v>39661</v>
      </c>
      <c r="AN115" s="215">
        <f t="shared" si="50"/>
        <v>5395761.4773599124</v>
      </c>
      <c r="AO115" s="191">
        <f t="shared" si="51"/>
        <v>-56655.495512278751</v>
      </c>
      <c r="AP115" s="218">
        <f>+IF(AND(AO$8&lt;=AM115,AO$9&gt;=AM115),+MIN($B115-SUMIF($H$17:AO$17,AP$17,$H115:AO115),((INDEX(ROUTE_PER_DAY_BY_SHIP,MATCH(CONCATENATE(AO$4,AO$5,AO$7),ROUTE_PER_DAY_ROUTES,0),MATCH(AO$6,ROUTE_PER_DAY_SHIPS,0))*(AM116-AM115))-(INDEX(ROUTE_PER_DAY_BY_SHIP,MATCH(CONCATENATE(AO$4,AO$5,AO$7),ROUTE_PER_DAY_ROUTES,0),MATCH(AO$6,ROUTE_PER_DAY_SHIPS,0))*(AM116-AM115))*HLOOKUP(AO$6,SHIPS,7,0)*INDEX(LADEN_VOYAGE_DAYS,MATCH(CONCATENATE(AO$4,AO$5,AO$7),LADEN_VOYAGE_ROUTES,0),MATCH(AO$6,LADEN_VOYAGE_SHIPS,0)))),0)</f>
        <v>5339105.9818476336</v>
      </c>
      <c r="AQ115" s="118">
        <f>-(AP115)*PORTS!$I$6</f>
        <v>-133477.64954619083</v>
      </c>
      <c r="AR115" s="215">
        <f t="shared" si="33"/>
        <v>5205628.3323014425</v>
      </c>
      <c r="AS115" s="202"/>
      <c r="AT115" s="186">
        <f t="shared" si="61"/>
        <v>39661</v>
      </c>
      <c r="AU115" s="232">
        <f>+AR115*(VLOOKUP(AT115,CURVECALC!$C$6:$J$312,4,0)+AV$5)</f>
        <v>16918292.079979688</v>
      </c>
      <c r="AV115" s="208">
        <f>-AN115*INDEX(ship_curves,MATCH(AT115,'SHIP CURVES'!$A$9:$A$316,0),MATCH(CONCATENATE(AX$4,AX$5,AX$6,AX$7),'SHIP CURVES'!$A$9:$AZ$9,0))</f>
        <v>-1783719.2174848581</v>
      </c>
      <c r="AW115" s="209">
        <f>-AP115*INDEX(port_processing_fee,MATCH(AT115,PORTS!$H$626:$H$933,0),MATCH(AX$5,PORTS!$H$626:$Z$626,0))</f>
        <v>-156459.00314006425</v>
      </c>
      <c r="AX115" s="405">
        <f>(((VLOOKUP(AT115,curvecalc,4,0))*IF(AN115=0,0,AR115/AN115)-INDEX(ship_curves,MATCH(AT115,'SHIP CURVES'!$A$9:$A$316,0),MATCH(CONCATENATE(AX$4,AX$5,AX$6,AX$7),'SHIP CURVES'!$A$9:$Z$9,0))-INDEX(terminal_curves,MATCH(AT115,'TERMINAL CURVES'!$A$4:$A$313,0),MATCH(AX$5,'TERMINAL CURVES'!$A$4:$N$4,0))*IF(AN115=0,0,AP115/AN115))-(AV$8)*((AV$7-$N$5)-(INDEX(ship_curves,MATCH(AT115,'SHIP CURVES'!$A$9:$A$316,0),MATCH(CONCATENATE(AX$4,AX$5,AX$6,AX$7),'SHIP CURVES'!$A$9:$Z$9,0))-INDEX(ship_curves,MATCH(AT115,'SHIP CURVES'!$A$9:$A$316,0),MATCH(CONCATENATE(AX$4,AV$6,AX$6,AX$7),'SHIP CURVES'!$A$9:$Z$9,0)))-(INDEX(terminal_curves,MATCH(AT115,'TERMINAL CURVES'!$A$4:$A$313,0),MATCH(AX$5,'TERMINAL CURVES'!$A$4:$N$4,0))-INDEX(terminal_curves,MATCH(AT115,'TERMINAL CURVES'!$A$4:$A$313,0),MATCH(AV$6,'TERMINAL CURVES'!$A$4:$N$4,0)))*IF(AN115=0,0,AP115/AN115)))*-AN115</f>
        <v>-13884767.395021809</v>
      </c>
      <c r="AY115" s="343">
        <f t="shared" si="52"/>
        <v>-15824945.615646731</v>
      </c>
      <c r="AZ115" s="338">
        <f>(-AP115/((HLOOKUP(AX$5,port_specs,2,0)/(365.25))*(AT116-AT115)))*(INDEX(fixed_capacity_charge,MATCH(AT115,PORTS!$H$11:$H$317,0),MATCH(AX$5,PORTS!$H$11:$N$11,0))+INDEX(variable_om_charge,MATCH(AT115,PORTS!$H$318:$H$625,0),MATCH(AX$5,PORTS!$H$318:$N$318,0)))</f>
        <v>-989233.89768692525</v>
      </c>
      <c r="BA115" s="232">
        <f t="shared" si="53"/>
        <v>-16814179.513333656</v>
      </c>
      <c r="BB115" s="241">
        <f t="shared" si="54"/>
        <v>104112.56664603204</v>
      </c>
      <c r="BC115" s="408"/>
      <c r="BD115" s="338">
        <f>+PORTS!I109+PORTS!I417</f>
        <v>989233.89768692525</v>
      </c>
    </row>
    <row r="116" spans="1:56" x14ac:dyDescent="0.2">
      <c r="A116" s="186">
        <f t="shared" si="55"/>
        <v>39692</v>
      </c>
      <c r="B116" s="215">
        <f>+IF(AND($A116&gt;=$C$8,$A116&lt;=$C$9),1,0)*PORTS!$I$5/(365.25)*(A117-A116)</f>
        <v>5166876.756626742</v>
      </c>
      <c r="C116" s="351">
        <f t="shared" si="34"/>
        <v>0</v>
      </c>
      <c r="D116">
        <f t="shared" si="35"/>
        <v>2008</v>
      </c>
      <c r="E116" s="186">
        <f t="shared" si="56"/>
        <v>39692</v>
      </c>
      <c r="F116" s="215">
        <f t="shared" si="36"/>
        <v>0</v>
      </c>
      <c r="G116" s="191">
        <f t="shared" si="37"/>
        <v>0</v>
      </c>
      <c r="H116" s="218">
        <f t="shared" si="38"/>
        <v>0</v>
      </c>
      <c r="I116" s="118">
        <f t="shared" si="39"/>
        <v>0</v>
      </c>
      <c r="J116" s="215">
        <f t="shared" si="40"/>
        <v>0</v>
      </c>
      <c r="K116" s="202"/>
      <c r="L116" s="186">
        <f t="shared" si="57"/>
        <v>39692</v>
      </c>
      <c r="M116" s="400">
        <f>+J116*(VLOOKUP(L116,CURVECALC!$C$6:$J$312,4,0)+N$5)</f>
        <v>0</v>
      </c>
      <c r="N116" s="208">
        <f>-F116*INDEX(ship_curves,MATCH(L116,'SHIP CURVES'!$A$9:$A$316,0),MATCH(CONCATENATE(P$4,P$5,P$6,P$7),'SHIP CURVES'!$A$9:$AZ$9,0))</f>
        <v>0</v>
      </c>
      <c r="O116" s="209">
        <f>-H116*INDEX(port_processing_fee,MATCH(L116,PORTS!$H$626:$H$933,0),MATCH(P$5,PORTS!$H$626:$Z$626,0))</f>
        <v>0</v>
      </c>
      <c r="P116" s="405">
        <f>(((VLOOKUP(L116,curvecalc,4,0))*IF(F116=0,0,J116/F116)-INDEX(ship_curves,MATCH(L116,'SHIP CURVES'!$A$9:$A$316,0),MATCH(CONCATENATE(P$4,P$5,P$6,P$7),'SHIP CURVES'!$A$9:$Z$9,0))-INDEX(terminal_curves,MATCH(L116,'TERMINAL CURVES'!$A$4:$A$313,0),MATCH(P$5,'TERMINAL CURVES'!$A$4:$N$4,0))*IF(F116=0,0,H116/F116))-(N$8)*((N$7-$N$5)-(INDEX(ship_curves,MATCH(L116,'SHIP CURVES'!$A$9:$A$316,0),MATCH(CONCATENATE(P$4,P$5,P$6,P$7),'SHIP CURVES'!$A$9:$Z$9,0))-INDEX(ship_curves,MATCH(L116,'SHIP CURVES'!$A$9:$A$316,0),MATCH(CONCATENATE(P$4,N$6,P$6,P$7),'SHIP CURVES'!$A$9:$Z$9,0)))-(INDEX(terminal_curves,MATCH(L116,'TERMINAL CURVES'!$A$4:$A$313,0),MATCH(P$5,'TERMINAL CURVES'!$A$4:$N$4,0))-INDEX(terminal_curves,MATCH(L116,'TERMINAL CURVES'!$A$4:$A$313,0),MATCH(N$6,'TERMINAL CURVES'!$A$4:$N$4,0)))*IF(F116=0,0,H116/F116)))*-F116</f>
        <v>0</v>
      </c>
      <c r="Q116" s="403">
        <f t="shared" si="41"/>
        <v>0</v>
      </c>
      <c r="R116" s="338">
        <f>(-H116/((HLOOKUP(P$5,port_specs,2,0)/(365.25))*(L117-L116)))*(INDEX(fixed_capacity_charge,MATCH(L116,PORTS!$H$11:$H$317,0),MATCH(P$5,PORTS!$H$11:$N$11,0))+INDEX(variable_om_charge,MATCH(L116,PORTS!$H$318:$H$625,0),MATCH(P$5,PORTS!$H$318:$N$318,0)))</f>
        <v>0</v>
      </c>
      <c r="S116" s="232">
        <f t="shared" si="42"/>
        <v>0</v>
      </c>
      <c r="T116" s="241">
        <f t="shared" si="43"/>
        <v>0</v>
      </c>
      <c r="V116" s="186">
        <f t="shared" si="58"/>
        <v>39692</v>
      </c>
      <c r="W116" s="215">
        <f t="shared" si="44"/>
        <v>0</v>
      </c>
      <c r="X116" s="191">
        <f t="shared" si="45"/>
        <v>0</v>
      </c>
      <c r="Y116" s="218">
        <f>+IF(AND(X$8&lt;=V116,X$9&gt;=V116),+MIN($B116-SUMIF($H$17:X$17,Y$17,$H116:X116),((INDEX(ROUTE_PER_DAY_BY_SHIP,MATCH(CONCATENATE(X$4,X$5,X$7),ROUTE_PER_DAY_ROUTES,0),MATCH(X$6,ROUTE_PER_DAY_SHIPS,0))*(V117-V116))-(INDEX(ROUTE_PER_DAY_BY_SHIP,MATCH(CONCATENATE(X$4,X$5,X$7),ROUTE_PER_DAY_ROUTES,0),MATCH(X$6,ROUTE_PER_DAY_SHIPS,0))*(V117-V116))*HLOOKUP(X$6,SHIPS,7,0)*INDEX(LADEN_VOYAGE_DAYS,MATCH(CONCATENATE(X$4,X$5,X$7),LADEN_VOYAGE_ROUTES,0),MATCH(X$6,LADEN_VOYAGE_SHIPS,0)))),0)</f>
        <v>0</v>
      </c>
      <c r="Z116" s="118">
        <f t="shared" si="46"/>
        <v>0</v>
      </c>
      <c r="AA116" s="215">
        <f t="shared" si="32"/>
        <v>0</v>
      </c>
      <c r="AB116" s="202"/>
      <c r="AC116" s="186">
        <f t="shared" si="59"/>
        <v>39692</v>
      </c>
      <c r="AD116" s="232">
        <f>+AA116*(VLOOKUP(AC116,CURVECALC!$C$6:$J$312,4,0)+AE$5)</f>
        <v>0</v>
      </c>
      <c r="AE116" s="208">
        <f>-W116*INDEX(ship_curves,MATCH(AC116,'SHIP CURVES'!$A$9:$A$316,0),MATCH(CONCATENATE(AG$4,AG$5,AG$6,AG$7),'SHIP CURVES'!$A$9:$AZ$9,0))</f>
        <v>0</v>
      </c>
      <c r="AF116" s="209">
        <f>-Y116*INDEX(port_processing_fee,MATCH(AC116,PORTS!$H$626:$H$933,0),MATCH(AG$5,PORTS!$H$626:$Z$626,0))</f>
        <v>0</v>
      </c>
      <c r="AG116" s="405">
        <f>(((VLOOKUP(AC116,curvecalc,4,0))*IF(W116=0,0,AA116/W116)-INDEX(ship_curves,MATCH(AC116,'SHIP CURVES'!$A$9:$A$316,0),MATCH(CONCATENATE(AG$4,AG$5,AG$6,AG$7),'SHIP CURVES'!$A$9:$Z$9,0))-INDEX(terminal_curves,MATCH(AC116,'TERMINAL CURVES'!$A$4:$A$313,0),MATCH(AG$5,'TERMINAL CURVES'!$A$4:$N$4,0))*IF(W116=0,0,Y116/W116))-(AE$8)*((AE$7-$N$5)-(INDEX(ship_curves,MATCH(AC116,'SHIP CURVES'!$A$9:$A$316,0),MATCH(CONCATENATE(AG$4,AG$5,AG$6,AG$7),'SHIP CURVES'!$A$9:$Z$9,0))-INDEX(ship_curves,MATCH(AC116,'SHIP CURVES'!$A$9:$A$316,0),MATCH(CONCATENATE(AG$4,AE$6,AG$6,AG$7),'SHIP CURVES'!$A$9:$Z$9,0)))-(INDEX(terminal_curves,MATCH(AC116,'TERMINAL CURVES'!$A$4:$A$313,0),MATCH(AG$5,'TERMINAL CURVES'!$A$4:$N$4,0))-INDEX(terminal_curves,MATCH(AC116,'TERMINAL CURVES'!$A$4:$A$313,0),MATCH(AE$6,'TERMINAL CURVES'!$A$4:$N$4,0)))*IF(W116=0,0,Y116/W116)))*-W116</f>
        <v>0</v>
      </c>
      <c r="AH116" s="343">
        <f t="shared" si="47"/>
        <v>0</v>
      </c>
      <c r="AI116" s="338">
        <f>(-Y116/((HLOOKUP(AG$5,port_specs,2,0)/(365.25))*(AC117-AC116)))*(INDEX(fixed_capacity_charge,MATCH(AC116,PORTS!$H$11:$H$317,0),MATCH(AG$5,PORTS!$H$11:$N$11,0))+INDEX(variable_om_charge,MATCH(AC116,PORTS!$H$318:$H$625,0),MATCH(AG$5,PORTS!$H$318:$N$318,0)))</f>
        <v>0</v>
      </c>
      <c r="AJ116" s="232">
        <f t="shared" si="48"/>
        <v>0</v>
      </c>
      <c r="AK116" s="241">
        <f t="shared" si="49"/>
        <v>0</v>
      </c>
      <c r="AM116" s="186">
        <f t="shared" si="60"/>
        <v>39692</v>
      </c>
      <c r="AN116" s="215">
        <f t="shared" si="50"/>
        <v>5221704.655509592</v>
      </c>
      <c r="AO116" s="191">
        <f t="shared" si="51"/>
        <v>-54827.898882850073</v>
      </c>
      <c r="AP116" s="218">
        <f>+IF(AND(AO$8&lt;=AM116,AO$9&gt;=AM116),+MIN($B116-SUMIF($H$17:AO$17,AP$17,$H116:AO116),((INDEX(ROUTE_PER_DAY_BY_SHIP,MATCH(CONCATENATE(AO$4,AO$5,AO$7),ROUTE_PER_DAY_ROUTES,0),MATCH(AO$6,ROUTE_PER_DAY_SHIPS,0))*(AM117-AM116))-(INDEX(ROUTE_PER_DAY_BY_SHIP,MATCH(CONCATENATE(AO$4,AO$5,AO$7),ROUTE_PER_DAY_ROUTES,0),MATCH(AO$6,ROUTE_PER_DAY_SHIPS,0))*(AM117-AM116))*HLOOKUP(AO$6,SHIPS,7,0)*INDEX(LADEN_VOYAGE_DAYS,MATCH(CONCATENATE(AO$4,AO$5,AO$7),LADEN_VOYAGE_ROUTES,0),MATCH(AO$6,LADEN_VOYAGE_SHIPS,0)))),0)</f>
        <v>5166876.756626742</v>
      </c>
      <c r="AQ116" s="118">
        <f>-(AP116)*PORTS!$I$6</f>
        <v>-129171.91891566856</v>
      </c>
      <c r="AR116" s="215">
        <f t="shared" si="33"/>
        <v>5037704.8377110735</v>
      </c>
      <c r="AS116" s="202"/>
      <c r="AT116" s="186">
        <f t="shared" si="61"/>
        <v>39692</v>
      </c>
      <c r="AU116" s="232">
        <f>+AR116*(VLOOKUP(AT116,CURVECALC!$C$6:$J$312,4,0)+AV$5)</f>
        <v>16296975.149995321</v>
      </c>
      <c r="AV116" s="208">
        <f>-AN116*INDEX(ship_curves,MATCH(AT116,'SHIP CURVES'!$A$9:$A$316,0),MATCH(CONCATENATE(AX$4,AX$5,AX$6,AX$7),'SHIP CURVES'!$A$9:$AZ$9,0))</f>
        <v>-1726683.4997645172</v>
      </c>
      <c r="AW116" s="209">
        <f>-AP116*INDEX(port_processing_fee,MATCH(AT116,PORTS!$H$626:$H$933,0),MATCH(AX$5,PORTS!$H$626:$Z$626,0))</f>
        <v>-151569.65929193722</v>
      </c>
      <c r="AX116" s="405">
        <f>(((VLOOKUP(AT116,curvecalc,4,0))*IF(AN116=0,0,AR116/AN116)-INDEX(ship_curves,MATCH(AT116,'SHIP CURVES'!$A$9:$A$316,0),MATCH(CONCATENATE(AX$4,AX$5,AX$6,AX$7),'SHIP CURVES'!$A$9:$Z$9,0))-INDEX(terminal_curves,MATCH(AT116,'TERMINAL CURVES'!$A$4:$A$313,0),MATCH(AX$5,'TERMINAL CURVES'!$A$4:$N$4,0))*IF(AN116=0,0,AP116/AN116))-(AV$8)*((AV$7-$N$5)-(INDEX(ship_curves,MATCH(AT116,'SHIP CURVES'!$A$9:$A$316,0),MATCH(CONCATENATE(AX$4,AX$5,AX$6,AX$7),'SHIP CURVES'!$A$9:$Z$9,0))-INDEX(ship_curves,MATCH(AT116,'SHIP CURVES'!$A$9:$A$316,0),MATCH(CONCATENATE(AX$4,AV$6,AX$6,AX$7),'SHIP CURVES'!$A$9:$Z$9,0)))-(INDEX(terminal_curves,MATCH(AT116,'TERMINAL CURVES'!$A$4:$A$313,0),MATCH(AX$5,'TERMINAL CURVES'!$A$4:$N$4,0))-INDEX(terminal_curves,MATCH(AT116,'TERMINAL CURVES'!$A$4:$A$313,0),MATCH(AV$6,'TERMINAL CURVES'!$A$4:$N$4,0)))*IF(AN116=0,0,AP116/AN116)))*-AN116</f>
        <v>-13328208.947198991</v>
      </c>
      <c r="AY116" s="343">
        <f t="shared" si="52"/>
        <v>-15206462.106255446</v>
      </c>
      <c r="AZ116" s="338">
        <f>(-AP116/((HLOOKUP(AX$5,port_specs,2,0)/(365.25))*(AT117-AT116)))*(INDEX(fixed_capacity_charge,MATCH(AT116,PORTS!$H$11:$H$317,0),MATCH(AX$5,PORTS!$H$11:$N$11,0))+INDEX(variable_om_charge,MATCH(AT116,PORTS!$H$318:$H$625,0),MATCH(AX$5,PORTS!$H$318:$N$318,0)))</f>
        <v>-989758.9469856529</v>
      </c>
      <c r="BA116" s="232">
        <f t="shared" si="53"/>
        <v>-16196221.053241098</v>
      </c>
      <c r="BB116" s="241">
        <f t="shared" si="54"/>
        <v>100754.09675422311</v>
      </c>
      <c r="BC116" s="408"/>
      <c r="BD116" s="338">
        <f>+PORTS!I110+PORTS!I418</f>
        <v>989758.9469856529</v>
      </c>
    </row>
    <row r="117" spans="1:56" x14ac:dyDescent="0.2">
      <c r="A117" s="186">
        <f t="shared" si="55"/>
        <v>39722</v>
      </c>
      <c r="B117" s="215">
        <f>+IF(AND($A117&gt;=$C$8,$A117&lt;=$C$9),1,0)*PORTS!$I$5/(365.25)*(A118-A117)</f>
        <v>5339105.9818476336</v>
      </c>
      <c r="C117" s="351">
        <f t="shared" si="34"/>
        <v>0</v>
      </c>
      <c r="D117">
        <f t="shared" si="35"/>
        <v>2008</v>
      </c>
      <c r="E117" s="186">
        <f t="shared" si="56"/>
        <v>39722</v>
      </c>
      <c r="F117" s="215">
        <f t="shared" si="36"/>
        <v>0</v>
      </c>
      <c r="G117" s="191">
        <f t="shared" si="37"/>
        <v>0</v>
      </c>
      <c r="H117" s="218">
        <f t="shared" si="38"/>
        <v>0</v>
      </c>
      <c r="I117" s="118">
        <f t="shared" si="39"/>
        <v>0</v>
      </c>
      <c r="J117" s="215">
        <f t="shared" si="40"/>
        <v>0</v>
      </c>
      <c r="K117" s="202"/>
      <c r="L117" s="186">
        <f t="shared" si="57"/>
        <v>39722</v>
      </c>
      <c r="M117" s="400">
        <f>+J117*(VLOOKUP(L117,CURVECALC!$C$6:$J$312,4,0)+N$5)</f>
        <v>0</v>
      </c>
      <c r="N117" s="208">
        <f>-F117*INDEX(ship_curves,MATCH(L117,'SHIP CURVES'!$A$9:$A$316,0),MATCH(CONCATENATE(P$4,P$5,P$6,P$7),'SHIP CURVES'!$A$9:$AZ$9,0))</f>
        <v>0</v>
      </c>
      <c r="O117" s="209">
        <f>-H117*INDEX(port_processing_fee,MATCH(L117,PORTS!$H$626:$H$933,0),MATCH(P$5,PORTS!$H$626:$Z$626,0))</f>
        <v>0</v>
      </c>
      <c r="P117" s="405">
        <f>(((VLOOKUP(L117,curvecalc,4,0))*IF(F117=0,0,J117/F117)-INDEX(ship_curves,MATCH(L117,'SHIP CURVES'!$A$9:$A$316,0),MATCH(CONCATENATE(P$4,P$5,P$6,P$7),'SHIP CURVES'!$A$9:$Z$9,0))-INDEX(terminal_curves,MATCH(L117,'TERMINAL CURVES'!$A$4:$A$313,0),MATCH(P$5,'TERMINAL CURVES'!$A$4:$N$4,0))*IF(F117=0,0,H117/F117))-(N$8)*((N$7-$N$5)-(INDEX(ship_curves,MATCH(L117,'SHIP CURVES'!$A$9:$A$316,0),MATCH(CONCATENATE(P$4,P$5,P$6,P$7),'SHIP CURVES'!$A$9:$Z$9,0))-INDEX(ship_curves,MATCH(L117,'SHIP CURVES'!$A$9:$A$316,0),MATCH(CONCATENATE(P$4,N$6,P$6,P$7),'SHIP CURVES'!$A$9:$Z$9,0)))-(INDEX(terminal_curves,MATCH(L117,'TERMINAL CURVES'!$A$4:$A$313,0),MATCH(P$5,'TERMINAL CURVES'!$A$4:$N$4,0))-INDEX(terminal_curves,MATCH(L117,'TERMINAL CURVES'!$A$4:$A$313,0),MATCH(N$6,'TERMINAL CURVES'!$A$4:$N$4,0)))*IF(F117=0,0,H117/F117)))*-F117</f>
        <v>0</v>
      </c>
      <c r="Q117" s="403">
        <f t="shared" si="41"/>
        <v>0</v>
      </c>
      <c r="R117" s="338">
        <f>(-H117/((HLOOKUP(P$5,port_specs,2,0)/(365.25))*(L118-L117)))*(INDEX(fixed_capacity_charge,MATCH(L117,PORTS!$H$11:$H$317,0),MATCH(P$5,PORTS!$H$11:$N$11,0))+INDEX(variable_om_charge,MATCH(L117,PORTS!$H$318:$H$625,0),MATCH(P$5,PORTS!$H$318:$N$318,0)))</f>
        <v>0</v>
      </c>
      <c r="S117" s="232">
        <f t="shared" si="42"/>
        <v>0</v>
      </c>
      <c r="T117" s="241">
        <f t="shared" si="43"/>
        <v>0</v>
      </c>
      <c r="V117" s="186">
        <f t="shared" si="58"/>
        <v>39722</v>
      </c>
      <c r="W117" s="215">
        <f t="shared" si="44"/>
        <v>0</v>
      </c>
      <c r="X117" s="191">
        <f t="shared" si="45"/>
        <v>0</v>
      </c>
      <c r="Y117" s="218">
        <f>+IF(AND(X$8&lt;=V117,X$9&gt;=V117),+MIN($B117-SUMIF($H$17:X$17,Y$17,$H117:X117),((INDEX(ROUTE_PER_DAY_BY_SHIP,MATCH(CONCATENATE(X$4,X$5,X$7),ROUTE_PER_DAY_ROUTES,0),MATCH(X$6,ROUTE_PER_DAY_SHIPS,0))*(V118-V117))-(INDEX(ROUTE_PER_DAY_BY_SHIP,MATCH(CONCATENATE(X$4,X$5,X$7),ROUTE_PER_DAY_ROUTES,0),MATCH(X$6,ROUTE_PER_DAY_SHIPS,0))*(V118-V117))*HLOOKUP(X$6,SHIPS,7,0)*INDEX(LADEN_VOYAGE_DAYS,MATCH(CONCATENATE(X$4,X$5,X$7),LADEN_VOYAGE_ROUTES,0),MATCH(X$6,LADEN_VOYAGE_SHIPS,0)))),0)</f>
        <v>0</v>
      </c>
      <c r="Z117" s="118">
        <f t="shared" si="46"/>
        <v>0</v>
      </c>
      <c r="AA117" s="215">
        <f t="shared" si="32"/>
        <v>0</v>
      </c>
      <c r="AB117" s="202"/>
      <c r="AC117" s="186">
        <f t="shared" si="59"/>
        <v>39722</v>
      </c>
      <c r="AD117" s="232">
        <f>+AA117*(VLOOKUP(AC117,CURVECALC!$C$6:$J$312,4,0)+AE$5)</f>
        <v>0</v>
      </c>
      <c r="AE117" s="208">
        <f>-W117*INDEX(ship_curves,MATCH(AC117,'SHIP CURVES'!$A$9:$A$316,0),MATCH(CONCATENATE(AG$4,AG$5,AG$6,AG$7),'SHIP CURVES'!$A$9:$AZ$9,0))</f>
        <v>0</v>
      </c>
      <c r="AF117" s="209">
        <f>-Y117*INDEX(port_processing_fee,MATCH(AC117,PORTS!$H$626:$H$933,0),MATCH(AG$5,PORTS!$H$626:$Z$626,0))</f>
        <v>0</v>
      </c>
      <c r="AG117" s="405">
        <f>(((VLOOKUP(AC117,curvecalc,4,0))*IF(W117=0,0,AA117/W117)-INDEX(ship_curves,MATCH(AC117,'SHIP CURVES'!$A$9:$A$316,0),MATCH(CONCATENATE(AG$4,AG$5,AG$6,AG$7),'SHIP CURVES'!$A$9:$Z$9,0))-INDEX(terminal_curves,MATCH(AC117,'TERMINAL CURVES'!$A$4:$A$313,0),MATCH(AG$5,'TERMINAL CURVES'!$A$4:$N$4,0))*IF(W117=0,0,Y117/W117))-(AE$8)*((AE$7-$N$5)-(INDEX(ship_curves,MATCH(AC117,'SHIP CURVES'!$A$9:$A$316,0),MATCH(CONCATENATE(AG$4,AG$5,AG$6,AG$7),'SHIP CURVES'!$A$9:$Z$9,0))-INDEX(ship_curves,MATCH(AC117,'SHIP CURVES'!$A$9:$A$316,0),MATCH(CONCATENATE(AG$4,AE$6,AG$6,AG$7),'SHIP CURVES'!$A$9:$Z$9,0)))-(INDEX(terminal_curves,MATCH(AC117,'TERMINAL CURVES'!$A$4:$A$313,0),MATCH(AG$5,'TERMINAL CURVES'!$A$4:$N$4,0))-INDEX(terminal_curves,MATCH(AC117,'TERMINAL CURVES'!$A$4:$A$313,0),MATCH(AE$6,'TERMINAL CURVES'!$A$4:$N$4,0)))*IF(W117=0,0,Y117/W117)))*-W117</f>
        <v>0</v>
      </c>
      <c r="AH117" s="343">
        <f t="shared" si="47"/>
        <v>0</v>
      </c>
      <c r="AI117" s="338">
        <f>(-Y117/((HLOOKUP(AG$5,port_specs,2,0)/(365.25))*(AC118-AC117)))*(INDEX(fixed_capacity_charge,MATCH(AC117,PORTS!$H$11:$H$317,0),MATCH(AG$5,PORTS!$H$11:$N$11,0))+INDEX(variable_om_charge,MATCH(AC117,PORTS!$H$318:$H$625,0),MATCH(AG$5,PORTS!$H$318:$N$318,0)))</f>
        <v>0</v>
      </c>
      <c r="AJ117" s="232">
        <f t="shared" si="48"/>
        <v>0</v>
      </c>
      <c r="AK117" s="241">
        <f t="shared" si="49"/>
        <v>0</v>
      </c>
      <c r="AM117" s="186">
        <f t="shared" si="60"/>
        <v>39722</v>
      </c>
      <c r="AN117" s="215">
        <f t="shared" si="50"/>
        <v>5395761.4773599124</v>
      </c>
      <c r="AO117" s="191">
        <f t="shared" si="51"/>
        <v>-56655.495512278751</v>
      </c>
      <c r="AP117" s="218">
        <f>+IF(AND(AO$8&lt;=AM117,AO$9&gt;=AM117),+MIN($B117-SUMIF($H$17:AO$17,AP$17,$H117:AO117),((INDEX(ROUTE_PER_DAY_BY_SHIP,MATCH(CONCATENATE(AO$4,AO$5,AO$7),ROUTE_PER_DAY_ROUTES,0),MATCH(AO$6,ROUTE_PER_DAY_SHIPS,0))*(AM118-AM117))-(INDEX(ROUTE_PER_DAY_BY_SHIP,MATCH(CONCATENATE(AO$4,AO$5,AO$7),ROUTE_PER_DAY_ROUTES,0),MATCH(AO$6,ROUTE_PER_DAY_SHIPS,0))*(AM118-AM117))*HLOOKUP(AO$6,SHIPS,7,0)*INDEX(LADEN_VOYAGE_DAYS,MATCH(CONCATENATE(AO$4,AO$5,AO$7),LADEN_VOYAGE_ROUTES,0),MATCH(AO$6,LADEN_VOYAGE_SHIPS,0)))),0)</f>
        <v>5339105.9818476336</v>
      </c>
      <c r="AQ117" s="118">
        <f>-(AP117)*PORTS!$I$6</f>
        <v>-133477.64954619083</v>
      </c>
      <c r="AR117" s="215">
        <f t="shared" si="33"/>
        <v>5205628.3323014425</v>
      </c>
      <c r="AS117" s="202"/>
      <c r="AT117" s="186">
        <f t="shared" si="61"/>
        <v>39722</v>
      </c>
      <c r="AU117" s="232">
        <f>+AR117*(VLOOKUP(AT117,CURVECALC!$C$6:$J$312,4,0)+AV$5)</f>
        <v>16918292.079979688</v>
      </c>
      <c r="AV117" s="208">
        <f>-AN117*INDEX(ship_curves,MATCH(AT117,'SHIP CURVES'!$A$9:$A$316,0),MATCH(CONCATENATE(AX$4,AX$5,AX$6,AX$7),'SHIP CURVES'!$A$9:$AZ$9,0))</f>
        <v>-1784761.0995262659</v>
      </c>
      <c r="AW117" s="209">
        <f>-AP117*INDEX(port_processing_fee,MATCH(AT117,PORTS!$H$626:$H$933,0),MATCH(AX$5,PORTS!$H$626:$Z$626,0))</f>
        <v>-156785.12916548966</v>
      </c>
      <c r="AX117" s="405">
        <f>(((VLOOKUP(AT117,curvecalc,4,0))*IF(AN117=0,0,AR117/AN117)-INDEX(ship_curves,MATCH(AT117,'SHIP CURVES'!$A$9:$A$316,0),MATCH(CONCATENATE(AX$4,AX$5,AX$6,AX$7),'SHIP CURVES'!$A$9:$Z$9,0))-INDEX(terminal_curves,MATCH(AT117,'TERMINAL CURVES'!$A$4:$A$313,0),MATCH(AX$5,'TERMINAL CURVES'!$A$4:$N$4,0))*IF(AN117=0,0,AP117/AN117))-(AV$8)*((AV$7-$N$5)-(INDEX(ship_curves,MATCH(AT117,'SHIP CURVES'!$A$9:$A$316,0),MATCH(CONCATENATE(AX$4,AX$5,AX$6,AX$7),'SHIP CURVES'!$A$9:$Z$9,0))-INDEX(ship_curves,MATCH(AT117,'SHIP CURVES'!$A$9:$A$316,0),MATCH(CONCATENATE(AX$4,AV$6,AX$6,AX$7),'SHIP CURVES'!$A$9:$Z$9,0)))-(INDEX(terminal_curves,MATCH(AT117,'TERMINAL CURVES'!$A$4:$A$313,0),MATCH(AX$5,'TERMINAL CURVES'!$A$4:$N$4,0))-INDEX(terminal_curves,MATCH(AT117,'TERMINAL CURVES'!$A$4:$A$313,0),MATCH(AV$6,'TERMINAL CURVES'!$A$4:$N$4,0)))*IF(AN117=0,0,AP117/AN117)))*-AN117</f>
        <v>-13882348.741431169</v>
      </c>
      <c r="AY117" s="343">
        <f t="shared" si="52"/>
        <v>-15823894.970122924</v>
      </c>
      <c r="AZ117" s="338">
        <f>(-AP117/((HLOOKUP(AX$5,port_specs,2,0)/(365.25))*(AT118-AT117)))*(INDEX(fixed_capacity_charge,MATCH(AT117,PORTS!$H$11:$H$317,0),MATCH(AX$5,PORTS!$H$11:$N$11,0))+INDEX(variable_om_charge,MATCH(AT117,PORTS!$H$318:$H$625,0),MATCH(AX$5,PORTS!$H$318:$N$318,0)))</f>
        <v>-990284.54321073333</v>
      </c>
      <c r="BA117" s="232">
        <f t="shared" si="53"/>
        <v>-16814179.513333656</v>
      </c>
      <c r="BB117" s="241">
        <f t="shared" si="54"/>
        <v>104112.56664603204</v>
      </c>
      <c r="BC117" s="408"/>
      <c r="BD117" s="338">
        <f>+PORTS!I111+PORTS!I419</f>
        <v>990284.54321073333</v>
      </c>
    </row>
    <row r="118" spans="1:56" x14ac:dyDescent="0.2">
      <c r="A118" s="186">
        <f t="shared" si="55"/>
        <v>39753</v>
      </c>
      <c r="B118" s="215">
        <f>+IF(AND($A118&gt;=$C$8,$A118&lt;=$C$9),1,0)*PORTS!$I$5/(365.25)*(A119-A118)</f>
        <v>5166876.756626742</v>
      </c>
      <c r="C118" s="351">
        <f t="shared" si="34"/>
        <v>0</v>
      </c>
      <c r="D118">
        <f t="shared" si="35"/>
        <v>2008</v>
      </c>
      <c r="E118" s="186">
        <f t="shared" si="56"/>
        <v>39753</v>
      </c>
      <c r="F118" s="215">
        <f t="shared" si="36"/>
        <v>0</v>
      </c>
      <c r="G118" s="191">
        <f t="shared" si="37"/>
        <v>0</v>
      </c>
      <c r="H118" s="218">
        <f t="shared" si="38"/>
        <v>0</v>
      </c>
      <c r="I118" s="118">
        <f t="shared" si="39"/>
        <v>0</v>
      </c>
      <c r="J118" s="215">
        <f t="shared" si="40"/>
        <v>0</v>
      </c>
      <c r="K118" s="202"/>
      <c r="L118" s="186">
        <f t="shared" si="57"/>
        <v>39753</v>
      </c>
      <c r="M118" s="400">
        <f>+J118*(VLOOKUP(L118,CURVECALC!$C$6:$J$312,4,0)+N$5)</f>
        <v>0</v>
      </c>
      <c r="N118" s="208">
        <f>-F118*INDEX(ship_curves,MATCH(L118,'SHIP CURVES'!$A$9:$A$316,0),MATCH(CONCATENATE(P$4,P$5,P$6,P$7),'SHIP CURVES'!$A$9:$AZ$9,0))</f>
        <v>0</v>
      </c>
      <c r="O118" s="209">
        <f>-H118*INDEX(port_processing_fee,MATCH(L118,PORTS!$H$626:$H$933,0),MATCH(P$5,PORTS!$H$626:$Z$626,0))</f>
        <v>0</v>
      </c>
      <c r="P118" s="405">
        <f>(((VLOOKUP(L118,curvecalc,4,0))*IF(F118=0,0,J118/F118)-INDEX(ship_curves,MATCH(L118,'SHIP CURVES'!$A$9:$A$316,0),MATCH(CONCATENATE(P$4,P$5,P$6,P$7),'SHIP CURVES'!$A$9:$Z$9,0))-INDEX(terminal_curves,MATCH(L118,'TERMINAL CURVES'!$A$4:$A$313,0),MATCH(P$5,'TERMINAL CURVES'!$A$4:$N$4,0))*IF(F118=0,0,H118/F118))-(N$8)*((N$7-$N$5)-(INDEX(ship_curves,MATCH(L118,'SHIP CURVES'!$A$9:$A$316,0),MATCH(CONCATENATE(P$4,P$5,P$6,P$7),'SHIP CURVES'!$A$9:$Z$9,0))-INDEX(ship_curves,MATCH(L118,'SHIP CURVES'!$A$9:$A$316,0),MATCH(CONCATENATE(P$4,N$6,P$6,P$7),'SHIP CURVES'!$A$9:$Z$9,0)))-(INDEX(terminal_curves,MATCH(L118,'TERMINAL CURVES'!$A$4:$A$313,0),MATCH(P$5,'TERMINAL CURVES'!$A$4:$N$4,0))-INDEX(terminal_curves,MATCH(L118,'TERMINAL CURVES'!$A$4:$A$313,0),MATCH(N$6,'TERMINAL CURVES'!$A$4:$N$4,0)))*IF(F118=0,0,H118/F118)))*-F118</f>
        <v>0</v>
      </c>
      <c r="Q118" s="403">
        <f t="shared" si="41"/>
        <v>0</v>
      </c>
      <c r="R118" s="338">
        <f>(-H118/((HLOOKUP(P$5,port_specs,2,0)/(365.25))*(L119-L118)))*(INDEX(fixed_capacity_charge,MATCH(L118,PORTS!$H$11:$H$317,0),MATCH(P$5,PORTS!$H$11:$N$11,0))+INDEX(variable_om_charge,MATCH(L118,PORTS!$H$318:$H$625,0),MATCH(P$5,PORTS!$H$318:$N$318,0)))</f>
        <v>0</v>
      </c>
      <c r="S118" s="232">
        <f t="shared" si="42"/>
        <v>0</v>
      </c>
      <c r="T118" s="241">
        <f t="shared" si="43"/>
        <v>0</v>
      </c>
      <c r="V118" s="186">
        <f t="shared" si="58"/>
        <v>39753</v>
      </c>
      <c r="W118" s="215">
        <f t="shared" si="44"/>
        <v>0</v>
      </c>
      <c r="X118" s="191">
        <f t="shared" si="45"/>
        <v>0</v>
      </c>
      <c r="Y118" s="218">
        <f>+IF(AND(X$8&lt;=V118,X$9&gt;=V118),+MIN($B118-SUMIF($H$17:X$17,Y$17,$H118:X118),((INDEX(ROUTE_PER_DAY_BY_SHIP,MATCH(CONCATENATE(X$4,X$5,X$7),ROUTE_PER_DAY_ROUTES,0),MATCH(X$6,ROUTE_PER_DAY_SHIPS,0))*(V119-V118))-(INDEX(ROUTE_PER_DAY_BY_SHIP,MATCH(CONCATENATE(X$4,X$5,X$7),ROUTE_PER_DAY_ROUTES,0),MATCH(X$6,ROUTE_PER_DAY_SHIPS,0))*(V119-V118))*HLOOKUP(X$6,SHIPS,7,0)*INDEX(LADEN_VOYAGE_DAYS,MATCH(CONCATENATE(X$4,X$5,X$7),LADEN_VOYAGE_ROUTES,0),MATCH(X$6,LADEN_VOYAGE_SHIPS,0)))),0)</f>
        <v>0</v>
      </c>
      <c r="Z118" s="118">
        <f t="shared" si="46"/>
        <v>0</v>
      </c>
      <c r="AA118" s="215">
        <f t="shared" si="32"/>
        <v>0</v>
      </c>
      <c r="AB118" s="202"/>
      <c r="AC118" s="186">
        <f t="shared" si="59"/>
        <v>39753</v>
      </c>
      <c r="AD118" s="232">
        <f>+AA118*(VLOOKUP(AC118,CURVECALC!$C$6:$J$312,4,0)+AE$5)</f>
        <v>0</v>
      </c>
      <c r="AE118" s="208">
        <f>-W118*INDEX(ship_curves,MATCH(AC118,'SHIP CURVES'!$A$9:$A$316,0),MATCH(CONCATENATE(AG$4,AG$5,AG$6,AG$7),'SHIP CURVES'!$A$9:$AZ$9,0))</f>
        <v>0</v>
      </c>
      <c r="AF118" s="209">
        <f>-Y118*INDEX(port_processing_fee,MATCH(AC118,PORTS!$H$626:$H$933,0),MATCH(AG$5,PORTS!$H$626:$Z$626,0))</f>
        <v>0</v>
      </c>
      <c r="AG118" s="405">
        <f>(((VLOOKUP(AC118,curvecalc,4,0))*IF(W118=0,0,AA118/W118)-INDEX(ship_curves,MATCH(AC118,'SHIP CURVES'!$A$9:$A$316,0),MATCH(CONCATENATE(AG$4,AG$5,AG$6,AG$7),'SHIP CURVES'!$A$9:$Z$9,0))-INDEX(terminal_curves,MATCH(AC118,'TERMINAL CURVES'!$A$4:$A$313,0),MATCH(AG$5,'TERMINAL CURVES'!$A$4:$N$4,0))*IF(W118=0,0,Y118/W118))-(AE$8)*((AE$7-$N$5)-(INDEX(ship_curves,MATCH(AC118,'SHIP CURVES'!$A$9:$A$316,0),MATCH(CONCATENATE(AG$4,AG$5,AG$6,AG$7),'SHIP CURVES'!$A$9:$Z$9,0))-INDEX(ship_curves,MATCH(AC118,'SHIP CURVES'!$A$9:$A$316,0),MATCH(CONCATENATE(AG$4,AE$6,AG$6,AG$7),'SHIP CURVES'!$A$9:$Z$9,0)))-(INDEX(terminal_curves,MATCH(AC118,'TERMINAL CURVES'!$A$4:$A$313,0),MATCH(AG$5,'TERMINAL CURVES'!$A$4:$N$4,0))-INDEX(terminal_curves,MATCH(AC118,'TERMINAL CURVES'!$A$4:$A$313,0),MATCH(AE$6,'TERMINAL CURVES'!$A$4:$N$4,0)))*IF(W118=0,0,Y118/W118)))*-W118</f>
        <v>0</v>
      </c>
      <c r="AH118" s="343">
        <f t="shared" si="47"/>
        <v>0</v>
      </c>
      <c r="AI118" s="338">
        <f>(-Y118/((HLOOKUP(AG$5,port_specs,2,0)/(365.25))*(AC119-AC118)))*(INDEX(fixed_capacity_charge,MATCH(AC118,PORTS!$H$11:$H$317,0),MATCH(AG$5,PORTS!$H$11:$N$11,0))+INDEX(variable_om_charge,MATCH(AC118,PORTS!$H$318:$H$625,0),MATCH(AG$5,PORTS!$H$318:$N$318,0)))</f>
        <v>0</v>
      </c>
      <c r="AJ118" s="232">
        <f t="shared" si="48"/>
        <v>0</v>
      </c>
      <c r="AK118" s="241">
        <f t="shared" si="49"/>
        <v>0</v>
      </c>
      <c r="AM118" s="186">
        <f t="shared" si="60"/>
        <v>39753</v>
      </c>
      <c r="AN118" s="215">
        <f t="shared" si="50"/>
        <v>5221704.655509592</v>
      </c>
      <c r="AO118" s="191">
        <f t="shared" si="51"/>
        <v>-54827.898882850073</v>
      </c>
      <c r="AP118" s="218">
        <f>+IF(AND(AO$8&lt;=AM118,AO$9&gt;=AM118),+MIN($B118-SUMIF($H$17:AO$17,AP$17,$H118:AO118),((INDEX(ROUTE_PER_DAY_BY_SHIP,MATCH(CONCATENATE(AO$4,AO$5,AO$7),ROUTE_PER_DAY_ROUTES,0),MATCH(AO$6,ROUTE_PER_DAY_SHIPS,0))*(AM119-AM118))-(INDEX(ROUTE_PER_DAY_BY_SHIP,MATCH(CONCATENATE(AO$4,AO$5,AO$7),ROUTE_PER_DAY_ROUTES,0),MATCH(AO$6,ROUTE_PER_DAY_SHIPS,0))*(AM119-AM118))*HLOOKUP(AO$6,SHIPS,7,0)*INDEX(LADEN_VOYAGE_DAYS,MATCH(CONCATENATE(AO$4,AO$5,AO$7),LADEN_VOYAGE_ROUTES,0),MATCH(AO$6,LADEN_VOYAGE_SHIPS,0)))),0)</f>
        <v>5166876.756626742</v>
      </c>
      <c r="AQ118" s="118">
        <f>-(AP118)*PORTS!$I$6</f>
        <v>-129171.91891566856</v>
      </c>
      <c r="AR118" s="215">
        <f t="shared" si="33"/>
        <v>5037704.8377110735</v>
      </c>
      <c r="AS118" s="202"/>
      <c r="AT118" s="186">
        <f t="shared" si="61"/>
        <v>39753</v>
      </c>
      <c r="AU118" s="232">
        <f>+AR118*(VLOOKUP(AT118,CURVECALC!$C$6:$J$312,4,0)+AV$5)</f>
        <v>16795707.928928718</v>
      </c>
      <c r="AV118" s="208">
        <f>-AN118*INDEX(ship_curves,MATCH(AT118,'SHIP CURVES'!$A$9:$A$316,0),MATCH(CONCATENATE(AX$4,AX$5,AX$6,AX$7),'SHIP CURVES'!$A$9:$AZ$9,0))</f>
        <v>-1727693.8732764472</v>
      </c>
      <c r="AW118" s="209">
        <f>-AP118*INDEX(port_processing_fee,MATCH(AT118,PORTS!$H$626:$H$933,0),MATCH(AX$5,PORTS!$H$626:$Z$626,0))</f>
        <v>-151885.5938790681</v>
      </c>
      <c r="AX118" s="405">
        <f>(((VLOOKUP(AT118,curvecalc,4,0))*IF(AN118=0,0,AR118/AN118)-INDEX(ship_curves,MATCH(AT118,'SHIP CURVES'!$A$9:$A$316,0),MATCH(CONCATENATE(AX$4,AX$5,AX$6,AX$7),'SHIP CURVES'!$A$9:$Z$9,0))-INDEX(terminal_curves,MATCH(AT118,'TERMINAL CURVES'!$A$4:$A$313,0),MATCH(AX$5,'TERMINAL CURVES'!$A$4:$N$4,0))*IF(AN118=0,0,AP118/AN118))-(AV$8)*((AV$7-$N$5)-(INDEX(ship_curves,MATCH(AT118,'SHIP CURVES'!$A$9:$A$316,0),MATCH(CONCATENATE(AX$4,AX$5,AX$6,AX$7),'SHIP CURVES'!$A$9:$Z$9,0))-INDEX(ship_curves,MATCH(AT118,'SHIP CURVES'!$A$9:$A$316,0),MATCH(CONCATENATE(AX$4,AV$6,AX$6,AX$7),'SHIP CURVES'!$A$9:$Z$9,0)))-(INDEX(terminal_curves,MATCH(AT118,'TERMINAL CURVES'!$A$4:$A$313,0),MATCH(AX$5,'TERMINAL CURVES'!$A$4:$N$4,0))-INDEX(terminal_curves,MATCH(AT118,'TERMINAL CURVES'!$A$4:$A$313,0),MATCH(AV$6,'TERMINAL CURVES'!$A$4:$N$4,0)))*IF(AN118=0,0,AP118/AN118)))*-AN118</f>
        <v>-13824563.678087097</v>
      </c>
      <c r="AY118" s="343">
        <f t="shared" si="52"/>
        <v>-15704143.145242613</v>
      </c>
      <c r="AZ118" s="338">
        <f>(-AP118/((HLOOKUP(AX$5,port_specs,2,0)/(365.25))*(AT119-AT118)))*(INDEX(fixed_capacity_charge,MATCH(AT118,PORTS!$H$11:$H$317,0),MATCH(AX$5,PORTS!$H$11:$N$11,0))+INDEX(variable_om_charge,MATCH(AT118,PORTS!$H$318:$H$625,0),MATCH(AX$5,PORTS!$H$318:$N$318,0)))</f>
        <v>-990810.68693188159</v>
      </c>
      <c r="BA118" s="232">
        <f t="shared" si="53"/>
        <v>-16694953.832174495</v>
      </c>
      <c r="BB118" s="241">
        <f t="shared" si="54"/>
        <v>100754.09675422311</v>
      </c>
      <c r="BC118" s="408"/>
      <c r="BD118" s="338">
        <f>+PORTS!I112+PORTS!I420</f>
        <v>990810.68693188159</v>
      </c>
    </row>
    <row r="119" spans="1:56" x14ac:dyDescent="0.2">
      <c r="A119" s="186">
        <f t="shared" si="55"/>
        <v>39783</v>
      </c>
      <c r="B119" s="215">
        <f>+IF(AND($A119&gt;=$C$8,$A119&lt;=$C$9),1,0)*PORTS!$I$5/(365.25)*(A120-A119)</f>
        <v>5339105.9818476336</v>
      </c>
      <c r="C119" s="351">
        <f t="shared" si="34"/>
        <v>0</v>
      </c>
      <c r="D119">
        <f t="shared" si="35"/>
        <v>2008</v>
      </c>
      <c r="E119" s="186">
        <f t="shared" si="56"/>
        <v>39783</v>
      </c>
      <c r="F119" s="215">
        <f t="shared" si="36"/>
        <v>0</v>
      </c>
      <c r="G119" s="191">
        <f t="shared" si="37"/>
        <v>0</v>
      </c>
      <c r="H119" s="218">
        <f t="shared" si="38"/>
        <v>0</v>
      </c>
      <c r="I119" s="118">
        <f t="shared" si="39"/>
        <v>0</v>
      </c>
      <c r="J119" s="215">
        <f t="shared" si="40"/>
        <v>0</v>
      </c>
      <c r="K119" s="202"/>
      <c r="L119" s="186">
        <f t="shared" si="57"/>
        <v>39783</v>
      </c>
      <c r="M119" s="400">
        <f>+J119*(VLOOKUP(L119,CURVECALC!$C$6:$J$312,4,0)+N$5)</f>
        <v>0</v>
      </c>
      <c r="N119" s="208">
        <f>-F119*INDEX(ship_curves,MATCH(L119,'SHIP CURVES'!$A$9:$A$316,0),MATCH(CONCATENATE(P$4,P$5,P$6,P$7),'SHIP CURVES'!$A$9:$AZ$9,0))</f>
        <v>0</v>
      </c>
      <c r="O119" s="209">
        <f>-H119*INDEX(port_processing_fee,MATCH(L119,PORTS!$H$626:$H$933,0),MATCH(P$5,PORTS!$H$626:$Z$626,0))</f>
        <v>0</v>
      </c>
      <c r="P119" s="405">
        <f>(((VLOOKUP(L119,curvecalc,4,0))*IF(F119=0,0,J119/F119)-INDEX(ship_curves,MATCH(L119,'SHIP CURVES'!$A$9:$A$316,0),MATCH(CONCATENATE(P$4,P$5,P$6,P$7),'SHIP CURVES'!$A$9:$Z$9,0))-INDEX(terminal_curves,MATCH(L119,'TERMINAL CURVES'!$A$4:$A$313,0),MATCH(P$5,'TERMINAL CURVES'!$A$4:$N$4,0))*IF(F119=0,0,H119/F119))-(N$8)*((N$7-$N$5)-(INDEX(ship_curves,MATCH(L119,'SHIP CURVES'!$A$9:$A$316,0),MATCH(CONCATENATE(P$4,P$5,P$6,P$7),'SHIP CURVES'!$A$9:$Z$9,0))-INDEX(ship_curves,MATCH(L119,'SHIP CURVES'!$A$9:$A$316,0),MATCH(CONCATENATE(P$4,N$6,P$6,P$7),'SHIP CURVES'!$A$9:$Z$9,0)))-(INDEX(terminal_curves,MATCH(L119,'TERMINAL CURVES'!$A$4:$A$313,0),MATCH(P$5,'TERMINAL CURVES'!$A$4:$N$4,0))-INDEX(terminal_curves,MATCH(L119,'TERMINAL CURVES'!$A$4:$A$313,0),MATCH(N$6,'TERMINAL CURVES'!$A$4:$N$4,0)))*IF(F119=0,0,H119/F119)))*-F119</f>
        <v>0</v>
      </c>
      <c r="Q119" s="403">
        <f t="shared" si="41"/>
        <v>0</v>
      </c>
      <c r="R119" s="338">
        <f>(-H119/((HLOOKUP(P$5,port_specs,2,0)/(365.25))*(L120-L119)))*(INDEX(fixed_capacity_charge,MATCH(L119,PORTS!$H$11:$H$317,0),MATCH(P$5,PORTS!$H$11:$N$11,0))+INDEX(variable_om_charge,MATCH(L119,PORTS!$H$318:$H$625,0),MATCH(P$5,PORTS!$H$318:$N$318,0)))</f>
        <v>0</v>
      </c>
      <c r="S119" s="232">
        <f t="shared" si="42"/>
        <v>0</v>
      </c>
      <c r="T119" s="241">
        <f t="shared" si="43"/>
        <v>0</v>
      </c>
      <c r="V119" s="186">
        <f t="shared" si="58"/>
        <v>39783</v>
      </c>
      <c r="W119" s="215">
        <f t="shared" si="44"/>
        <v>0</v>
      </c>
      <c r="X119" s="191">
        <f t="shared" si="45"/>
        <v>0</v>
      </c>
      <c r="Y119" s="218">
        <f>+IF(AND(X$8&lt;=V119,X$9&gt;=V119),+MIN($B119-SUMIF($H$17:X$17,Y$17,$H119:X119),((INDEX(ROUTE_PER_DAY_BY_SHIP,MATCH(CONCATENATE(X$4,X$5,X$7),ROUTE_PER_DAY_ROUTES,0),MATCH(X$6,ROUTE_PER_DAY_SHIPS,0))*(V120-V119))-(INDEX(ROUTE_PER_DAY_BY_SHIP,MATCH(CONCATENATE(X$4,X$5,X$7),ROUTE_PER_DAY_ROUTES,0),MATCH(X$6,ROUTE_PER_DAY_SHIPS,0))*(V120-V119))*HLOOKUP(X$6,SHIPS,7,0)*INDEX(LADEN_VOYAGE_DAYS,MATCH(CONCATENATE(X$4,X$5,X$7),LADEN_VOYAGE_ROUTES,0),MATCH(X$6,LADEN_VOYAGE_SHIPS,0)))),0)</f>
        <v>0</v>
      </c>
      <c r="Z119" s="118">
        <f t="shared" si="46"/>
        <v>0</v>
      </c>
      <c r="AA119" s="215">
        <f t="shared" si="32"/>
        <v>0</v>
      </c>
      <c r="AB119" s="202"/>
      <c r="AC119" s="186">
        <f t="shared" si="59"/>
        <v>39783</v>
      </c>
      <c r="AD119" s="232">
        <f>+AA119*(VLOOKUP(AC119,CURVECALC!$C$6:$J$312,4,0)+AE$5)</f>
        <v>0</v>
      </c>
      <c r="AE119" s="208">
        <f>-W119*INDEX(ship_curves,MATCH(AC119,'SHIP CURVES'!$A$9:$A$316,0),MATCH(CONCATENATE(AG$4,AG$5,AG$6,AG$7),'SHIP CURVES'!$A$9:$AZ$9,0))</f>
        <v>0</v>
      </c>
      <c r="AF119" s="209">
        <f>-Y119*INDEX(port_processing_fee,MATCH(AC119,PORTS!$H$626:$H$933,0),MATCH(AG$5,PORTS!$H$626:$Z$626,0))</f>
        <v>0</v>
      </c>
      <c r="AG119" s="405">
        <f>(((VLOOKUP(AC119,curvecalc,4,0))*IF(W119=0,0,AA119/W119)-INDEX(ship_curves,MATCH(AC119,'SHIP CURVES'!$A$9:$A$316,0),MATCH(CONCATENATE(AG$4,AG$5,AG$6,AG$7),'SHIP CURVES'!$A$9:$Z$9,0))-INDEX(terminal_curves,MATCH(AC119,'TERMINAL CURVES'!$A$4:$A$313,0),MATCH(AG$5,'TERMINAL CURVES'!$A$4:$N$4,0))*IF(W119=0,0,Y119/W119))-(AE$8)*((AE$7-$N$5)-(INDEX(ship_curves,MATCH(AC119,'SHIP CURVES'!$A$9:$A$316,0),MATCH(CONCATENATE(AG$4,AG$5,AG$6,AG$7),'SHIP CURVES'!$A$9:$Z$9,0))-INDEX(ship_curves,MATCH(AC119,'SHIP CURVES'!$A$9:$A$316,0),MATCH(CONCATENATE(AG$4,AE$6,AG$6,AG$7),'SHIP CURVES'!$A$9:$Z$9,0)))-(INDEX(terminal_curves,MATCH(AC119,'TERMINAL CURVES'!$A$4:$A$313,0),MATCH(AG$5,'TERMINAL CURVES'!$A$4:$N$4,0))-INDEX(terminal_curves,MATCH(AC119,'TERMINAL CURVES'!$A$4:$A$313,0),MATCH(AE$6,'TERMINAL CURVES'!$A$4:$N$4,0)))*IF(W119=0,0,Y119/W119)))*-W119</f>
        <v>0</v>
      </c>
      <c r="AH119" s="343">
        <f t="shared" si="47"/>
        <v>0</v>
      </c>
      <c r="AI119" s="338">
        <f>(-Y119/((HLOOKUP(AG$5,port_specs,2,0)/(365.25))*(AC120-AC119)))*(INDEX(fixed_capacity_charge,MATCH(AC119,PORTS!$H$11:$H$317,0),MATCH(AG$5,PORTS!$H$11:$N$11,0))+INDEX(variable_om_charge,MATCH(AC119,PORTS!$H$318:$H$625,0),MATCH(AG$5,PORTS!$H$318:$N$318,0)))</f>
        <v>0</v>
      </c>
      <c r="AJ119" s="232">
        <f t="shared" si="48"/>
        <v>0</v>
      </c>
      <c r="AK119" s="241">
        <f t="shared" si="49"/>
        <v>0</v>
      </c>
      <c r="AM119" s="186">
        <f t="shared" si="60"/>
        <v>39783</v>
      </c>
      <c r="AN119" s="215">
        <f t="shared" si="50"/>
        <v>5395761.4773599124</v>
      </c>
      <c r="AO119" s="191">
        <f t="shared" si="51"/>
        <v>-56655.495512278751</v>
      </c>
      <c r="AP119" s="218">
        <f>+IF(AND(AO$8&lt;=AM119,AO$9&gt;=AM119),+MIN($B119-SUMIF($H$17:AO$17,AP$17,$H119:AO119),((INDEX(ROUTE_PER_DAY_BY_SHIP,MATCH(CONCATENATE(AO$4,AO$5,AO$7),ROUTE_PER_DAY_ROUTES,0),MATCH(AO$6,ROUTE_PER_DAY_SHIPS,0))*(AM120-AM119))-(INDEX(ROUTE_PER_DAY_BY_SHIP,MATCH(CONCATENATE(AO$4,AO$5,AO$7),ROUTE_PER_DAY_ROUTES,0),MATCH(AO$6,ROUTE_PER_DAY_SHIPS,0))*(AM120-AM119))*HLOOKUP(AO$6,SHIPS,7,0)*INDEX(LADEN_VOYAGE_DAYS,MATCH(CONCATENATE(AO$4,AO$5,AO$7),LADEN_VOYAGE_ROUTES,0),MATCH(AO$6,LADEN_VOYAGE_SHIPS,0)))),0)</f>
        <v>5339105.9818476336</v>
      </c>
      <c r="AQ119" s="118">
        <f>-(AP119)*PORTS!$I$6</f>
        <v>-133477.64954619083</v>
      </c>
      <c r="AR119" s="215">
        <f t="shared" si="33"/>
        <v>5205628.3323014425</v>
      </c>
      <c r="AS119" s="202"/>
      <c r="AT119" s="186">
        <f t="shared" si="61"/>
        <v>39783</v>
      </c>
      <c r="AU119" s="232">
        <f>+AR119*(VLOOKUP(AT119,CURVECALC!$C$6:$J$312,4,0)+AV$5)</f>
        <v>17824071.409800142</v>
      </c>
      <c r="AV119" s="208">
        <f>-AN119*INDEX(ship_curves,MATCH(AT119,'SHIP CURVES'!$A$9:$A$316,0),MATCH(CONCATENATE(AX$4,AX$5,AX$6,AX$7),'SHIP CURVES'!$A$9:$AZ$9,0))</f>
        <v>-1785807.3272649038</v>
      </c>
      <c r="AW119" s="209">
        <f>-AP119*INDEX(port_processing_fee,MATCH(AT119,PORTS!$H$626:$H$933,0),MATCH(AX$5,PORTS!$H$626:$Z$626,0))</f>
        <v>-157111.93497400408</v>
      </c>
      <c r="AX119" s="405">
        <f>(((VLOOKUP(AT119,curvecalc,4,0))*IF(AN119=0,0,AR119/AN119)-INDEX(ship_curves,MATCH(AT119,'SHIP CURVES'!$A$9:$A$316,0),MATCH(CONCATENATE(AX$4,AX$5,AX$6,AX$7),'SHIP CURVES'!$A$9:$Z$9,0))-INDEX(terminal_curves,MATCH(AT119,'TERMINAL CURVES'!$A$4:$A$313,0),MATCH(AX$5,'TERMINAL CURVES'!$A$4:$N$4,0))*IF(AN119=0,0,AP119/AN119))-(AV$8)*((AV$7-$N$5)-(INDEX(ship_curves,MATCH(AT119,'SHIP CURVES'!$A$9:$A$316,0),MATCH(CONCATENATE(AX$4,AX$5,AX$6,AX$7),'SHIP CURVES'!$A$9:$Z$9,0))-INDEX(ship_curves,MATCH(AT119,'SHIP CURVES'!$A$9:$A$316,0),MATCH(CONCATENATE(AX$4,AV$6,AX$6,AX$7),'SHIP CURVES'!$A$9:$Z$9,0)))-(INDEX(terminal_curves,MATCH(AT119,'TERMINAL CURVES'!$A$4:$A$313,0),MATCH(AX$5,'TERMINAL CURVES'!$A$4:$N$4,0))-INDEX(terminal_curves,MATCH(AT119,'TERMINAL CURVES'!$A$4:$A$313,0),MATCH(AV$6,'TERMINAL CURVES'!$A$4:$N$4,0)))*IF(AN119=0,0,AP119/AN119)))*-AN119</f>
        <v>-14785702.202195797</v>
      </c>
      <c r="AY119" s="343">
        <f t="shared" si="52"/>
        <v>-16728621.464434706</v>
      </c>
      <c r="AZ119" s="338">
        <f>(-AP119/((HLOOKUP(AX$5,port_specs,2,0)/(365.25))*(AT120-AT119)))*(INDEX(fixed_capacity_charge,MATCH(AT119,PORTS!$H$11:$H$317,0),MATCH(AX$5,PORTS!$H$11:$N$11,0))+INDEX(variable_om_charge,MATCH(AT119,PORTS!$H$318:$H$625,0),MATCH(AX$5,PORTS!$H$318:$N$318,0)))</f>
        <v>-991337.3787194062</v>
      </c>
      <c r="BA119" s="232">
        <f t="shared" si="53"/>
        <v>-17719958.84315411</v>
      </c>
      <c r="BB119" s="241">
        <f t="shared" si="54"/>
        <v>104112.56664603204</v>
      </c>
      <c r="BC119" s="408"/>
      <c r="BD119" s="338">
        <f>+PORTS!I113+PORTS!I421</f>
        <v>991337.3787194062</v>
      </c>
    </row>
    <row r="120" spans="1:56" x14ac:dyDescent="0.2">
      <c r="A120" s="186">
        <f t="shared" si="55"/>
        <v>39814</v>
      </c>
      <c r="B120" s="215">
        <f>+IF(AND($A120&gt;=$C$8,$A120&lt;=$C$9),1,0)*PORTS!$I$5/(365.25)*(A121-A120)</f>
        <v>5339105.9818476336</v>
      </c>
      <c r="C120" s="351">
        <f t="shared" si="34"/>
        <v>0</v>
      </c>
      <c r="D120">
        <f t="shared" si="35"/>
        <v>2009</v>
      </c>
      <c r="E120" s="186">
        <f t="shared" si="56"/>
        <v>39814</v>
      </c>
      <c r="F120" s="215">
        <f t="shared" si="36"/>
        <v>0</v>
      </c>
      <c r="G120" s="191">
        <f t="shared" si="37"/>
        <v>0</v>
      </c>
      <c r="H120" s="218">
        <f t="shared" si="38"/>
        <v>0</v>
      </c>
      <c r="I120" s="118">
        <f t="shared" si="39"/>
        <v>0</v>
      </c>
      <c r="J120" s="215">
        <f t="shared" si="40"/>
        <v>0</v>
      </c>
      <c r="K120" s="202"/>
      <c r="L120" s="186">
        <f t="shared" si="57"/>
        <v>39814</v>
      </c>
      <c r="M120" s="400">
        <f>+J120*(VLOOKUP(L120,CURVECALC!$C$6:$J$312,4,0)+N$5)</f>
        <v>0</v>
      </c>
      <c r="N120" s="208">
        <f>-F120*INDEX(ship_curves,MATCH(L120,'SHIP CURVES'!$A$9:$A$316,0),MATCH(CONCATENATE(P$4,P$5,P$6,P$7),'SHIP CURVES'!$A$9:$AZ$9,0))</f>
        <v>0</v>
      </c>
      <c r="O120" s="209">
        <f>-H120*INDEX(port_processing_fee,MATCH(L120,PORTS!$H$626:$H$933,0),MATCH(P$5,PORTS!$H$626:$Z$626,0))</f>
        <v>0</v>
      </c>
      <c r="P120" s="405">
        <f>(((VLOOKUP(L120,curvecalc,4,0))*IF(F120=0,0,J120/F120)-INDEX(ship_curves,MATCH(L120,'SHIP CURVES'!$A$9:$A$316,0),MATCH(CONCATENATE(P$4,P$5,P$6,P$7),'SHIP CURVES'!$A$9:$Z$9,0))-INDEX(terminal_curves,MATCH(L120,'TERMINAL CURVES'!$A$4:$A$313,0),MATCH(P$5,'TERMINAL CURVES'!$A$4:$N$4,0))*IF(F120=0,0,H120/F120))-(N$8)*((N$7-$N$5)-(INDEX(ship_curves,MATCH(L120,'SHIP CURVES'!$A$9:$A$316,0),MATCH(CONCATENATE(P$4,P$5,P$6,P$7),'SHIP CURVES'!$A$9:$Z$9,0))-INDEX(ship_curves,MATCH(L120,'SHIP CURVES'!$A$9:$A$316,0),MATCH(CONCATENATE(P$4,N$6,P$6,P$7),'SHIP CURVES'!$A$9:$Z$9,0)))-(INDEX(terminal_curves,MATCH(L120,'TERMINAL CURVES'!$A$4:$A$313,0),MATCH(P$5,'TERMINAL CURVES'!$A$4:$N$4,0))-INDEX(terminal_curves,MATCH(L120,'TERMINAL CURVES'!$A$4:$A$313,0),MATCH(N$6,'TERMINAL CURVES'!$A$4:$N$4,0)))*IF(F120=0,0,H120/F120)))*-F120</f>
        <v>0</v>
      </c>
      <c r="Q120" s="403">
        <f t="shared" si="41"/>
        <v>0</v>
      </c>
      <c r="R120" s="338">
        <f>(-H120/((HLOOKUP(P$5,port_specs,2,0)/(365.25))*(L121-L120)))*(INDEX(fixed_capacity_charge,MATCH(L120,PORTS!$H$11:$H$317,0),MATCH(P$5,PORTS!$H$11:$N$11,0))+INDEX(variable_om_charge,MATCH(L120,PORTS!$H$318:$H$625,0),MATCH(P$5,PORTS!$H$318:$N$318,0)))</f>
        <v>0</v>
      </c>
      <c r="S120" s="232">
        <f t="shared" si="42"/>
        <v>0</v>
      </c>
      <c r="T120" s="241">
        <f t="shared" si="43"/>
        <v>0</v>
      </c>
      <c r="V120" s="186">
        <f t="shared" si="58"/>
        <v>39814</v>
      </c>
      <c r="W120" s="215">
        <f t="shared" si="44"/>
        <v>0</v>
      </c>
      <c r="X120" s="191">
        <f t="shared" si="45"/>
        <v>0</v>
      </c>
      <c r="Y120" s="218">
        <f>+IF(AND(X$8&lt;=V120,X$9&gt;=V120),+MIN($B120-SUMIF($H$17:X$17,Y$17,$H120:X120),((INDEX(ROUTE_PER_DAY_BY_SHIP,MATCH(CONCATENATE(X$4,X$5,X$7),ROUTE_PER_DAY_ROUTES,0),MATCH(X$6,ROUTE_PER_DAY_SHIPS,0))*(V121-V120))-(INDEX(ROUTE_PER_DAY_BY_SHIP,MATCH(CONCATENATE(X$4,X$5,X$7),ROUTE_PER_DAY_ROUTES,0),MATCH(X$6,ROUTE_PER_DAY_SHIPS,0))*(V121-V120))*HLOOKUP(X$6,SHIPS,7,0)*INDEX(LADEN_VOYAGE_DAYS,MATCH(CONCATENATE(X$4,X$5,X$7),LADEN_VOYAGE_ROUTES,0),MATCH(X$6,LADEN_VOYAGE_SHIPS,0)))),0)</f>
        <v>0</v>
      </c>
      <c r="Z120" s="118">
        <f t="shared" si="46"/>
        <v>0</v>
      </c>
      <c r="AA120" s="215">
        <f t="shared" si="32"/>
        <v>0</v>
      </c>
      <c r="AB120" s="202"/>
      <c r="AC120" s="186">
        <f t="shared" si="59"/>
        <v>39814</v>
      </c>
      <c r="AD120" s="232">
        <f>+AA120*(VLOOKUP(AC120,CURVECALC!$C$6:$J$312,4,0)+AE$5)</f>
        <v>0</v>
      </c>
      <c r="AE120" s="208">
        <f>-W120*INDEX(ship_curves,MATCH(AC120,'SHIP CURVES'!$A$9:$A$316,0),MATCH(CONCATENATE(AG$4,AG$5,AG$6,AG$7),'SHIP CURVES'!$A$9:$AZ$9,0))</f>
        <v>0</v>
      </c>
      <c r="AF120" s="209">
        <f>-Y120*INDEX(port_processing_fee,MATCH(AC120,PORTS!$H$626:$H$933,0),MATCH(AG$5,PORTS!$H$626:$Z$626,0))</f>
        <v>0</v>
      </c>
      <c r="AG120" s="405">
        <f>(((VLOOKUP(AC120,curvecalc,4,0))*IF(W120=0,0,AA120/W120)-INDEX(ship_curves,MATCH(AC120,'SHIP CURVES'!$A$9:$A$316,0),MATCH(CONCATENATE(AG$4,AG$5,AG$6,AG$7),'SHIP CURVES'!$A$9:$Z$9,0))-INDEX(terminal_curves,MATCH(AC120,'TERMINAL CURVES'!$A$4:$A$313,0),MATCH(AG$5,'TERMINAL CURVES'!$A$4:$N$4,0))*IF(W120=0,0,Y120/W120))-(AE$8)*((AE$7-$N$5)-(INDEX(ship_curves,MATCH(AC120,'SHIP CURVES'!$A$9:$A$316,0),MATCH(CONCATENATE(AG$4,AG$5,AG$6,AG$7),'SHIP CURVES'!$A$9:$Z$9,0))-INDEX(ship_curves,MATCH(AC120,'SHIP CURVES'!$A$9:$A$316,0),MATCH(CONCATENATE(AG$4,AE$6,AG$6,AG$7),'SHIP CURVES'!$A$9:$Z$9,0)))-(INDEX(terminal_curves,MATCH(AC120,'TERMINAL CURVES'!$A$4:$A$313,0),MATCH(AG$5,'TERMINAL CURVES'!$A$4:$N$4,0))-INDEX(terminal_curves,MATCH(AC120,'TERMINAL CURVES'!$A$4:$A$313,0),MATCH(AE$6,'TERMINAL CURVES'!$A$4:$N$4,0)))*IF(W120=0,0,Y120/W120)))*-W120</f>
        <v>0</v>
      </c>
      <c r="AH120" s="343">
        <f t="shared" si="47"/>
        <v>0</v>
      </c>
      <c r="AI120" s="338">
        <f>(-Y120/((HLOOKUP(AG$5,port_specs,2,0)/(365.25))*(AC121-AC120)))*(INDEX(fixed_capacity_charge,MATCH(AC120,PORTS!$H$11:$H$317,0),MATCH(AG$5,PORTS!$H$11:$N$11,0))+INDEX(variable_om_charge,MATCH(AC120,PORTS!$H$318:$H$625,0),MATCH(AG$5,PORTS!$H$318:$N$318,0)))</f>
        <v>0</v>
      </c>
      <c r="AJ120" s="232">
        <f t="shared" si="48"/>
        <v>0</v>
      </c>
      <c r="AK120" s="241">
        <f t="shared" si="49"/>
        <v>0</v>
      </c>
      <c r="AM120" s="186">
        <f t="shared" si="60"/>
        <v>39814</v>
      </c>
      <c r="AN120" s="215">
        <f t="shared" si="50"/>
        <v>5395761.4773599124</v>
      </c>
      <c r="AO120" s="191">
        <f t="shared" si="51"/>
        <v>-56655.495512278751</v>
      </c>
      <c r="AP120" s="218">
        <f>+IF(AND(AO$8&lt;=AM120,AO$9&gt;=AM120),+MIN($B120-SUMIF($H$17:AO$17,AP$17,$H120:AO120),((INDEX(ROUTE_PER_DAY_BY_SHIP,MATCH(CONCATENATE(AO$4,AO$5,AO$7),ROUTE_PER_DAY_ROUTES,0),MATCH(AO$6,ROUTE_PER_DAY_SHIPS,0))*(AM121-AM120))-(INDEX(ROUTE_PER_DAY_BY_SHIP,MATCH(CONCATENATE(AO$4,AO$5,AO$7),ROUTE_PER_DAY_ROUTES,0),MATCH(AO$6,ROUTE_PER_DAY_SHIPS,0))*(AM121-AM120))*HLOOKUP(AO$6,SHIPS,7,0)*INDEX(LADEN_VOYAGE_DAYS,MATCH(CONCATENATE(AO$4,AO$5,AO$7),LADEN_VOYAGE_ROUTES,0),MATCH(AO$6,LADEN_VOYAGE_SHIPS,0)))),0)</f>
        <v>5339105.9818476336</v>
      </c>
      <c r="AQ120" s="118">
        <f>-(AP120)*PORTS!$I$6</f>
        <v>-133477.64954619083</v>
      </c>
      <c r="AR120" s="215">
        <f t="shared" si="33"/>
        <v>5205628.3323014425</v>
      </c>
      <c r="AS120" s="202"/>
      <c r="AT120" s="186">
        <f t="shared" si="61"/>
        <v>39814</v>
      </c>
      <c r="AU120" s="232">
        <f>+AR120*(VLOOKUP(AT120,CURVECALC!$C$6:$J$312,4,0)+AV$5)</f>
        <v>18620532.544642258</v>
      </c>
      <c r="AV120" s="208">
        <f>-AN120*INDEX(ship_curves,MATCH(AT120,'SHIP CURVES'!$A$9:$A$316,0),MATCH(CONCATENATE(AX$4,AX$5,AX$6,AX$7),'SHIP CURVES'!$A$9:$AZ$9,0))</f>
        <v>-1786332.0764320886</v>
      </c>
      <c r="AW120" s="209">
        <f>-AP120*INDEX(port_processing_fee,MATCH(AT120,PORTS!$H$626:$H$933,0),MATCH(AX$5,PORTS!$H$626:$Z$626,0))</f>
        <v>-157275.59323960199</v>
      </c>
      <c r="AX120" s="405">
        <f>(((VLOOKUP(AT120,curvecalc,4,0))*IF(AN120=0,0,AR120/AN120)-INDEX(ship_curves,MATCH(AT120,'SHIP CURVES'!$A$9:$A$316,0),MATCH(CONCATENATE(AX$4,AX$5,AX$6,AX$7),'SHIP CURVES'!$A$9:$Z$9,0))-INDEX(terminal_curves,MATCH(AT120,'TERMINAL CURVES'!$A$4:$A$313,0),MATCH(AX$5,'TERMINAL CURVES'!$A$4:$N$4,0))*IF(AN120=0,0,AP120/AN120))-(AV$8)*((AV$7-$N$5)-(INDEX(ship_curves,MATCH(AT120,'SHIP CURVES'!$A$9:$A$316,0),MATCH(CONCATENATE(AX$4,AX$5,AX$6,AX$7),'SHIP CURVES'!$A$9:$Z$9,0))-INDEX(ship_curves,MATCH(AT120,'SHIP CURVES'!$A$9:$A$316,0),MATCH(CONCATENATE(AX$4,AV$6,AX$6,AX$7),'SHIP CURVES'!$A$9:$Z$9,0)))-(INDEX(terminal_curves,MATCH(AT120,'TERMINAL CURVES'!$A$4:$A$313,0),MATCH(AX$5,'TERMINAL CURVES'!$A$4:$N$4,0))-INDEX(terminal_curves,MATCH(AT120,'TERMINAL CURVES'!$A$4:$A$313,0),MATCH(AV$6,'TERMINAL CURVES'!$A$4:$N$4,0)))*IF(AN120=0,0,AP120/AN120)))*-AN120</f>
        <v>-15580947.689180331</v>
      </c>
      <c r="AY120" s="343">
        <f t="shared" si="52"/>
        <v>-17524555.358852021</v>
      </c>
      <c r="AZ120" s="338">
        <f>(-AP120/((HLOOKUP(AX$5,port_specs,2,0)/(365.25))*(AT121-AT120)))*(INDEX(fixed_capacity_charge,MATCH(AT120,PORTS!$H$11:$H$317,0),MATCH(AX$5,PORTS!$H$11:$N$11,0))+INDEX(variable_om_charge,MATCH(AT120,PORTS!$H$318:$H$625,0),MATCH(AX$5,PORTS!$H$318:$N$318,0)))</f>
        <v>-991864.61914420931</v>
      </c>
      <c r="BA120" s="232">
        <f t="shared" si="53"/>
        <v>-18516419.97799623</v>
      </c>
      <c r="BB120" s="241">
        <f t="shared" si="54"/>
        <v>104112.56664602831</v>
      </c>
      <c r="BC120" s="408"/>
      <c r="BD120" s="338">
        <f>+PORTS!I114+PORTS!I422</f>
        <v>991864.61914420931</v>
      </c>
    </row>
    <row r="121" spans="1:56" x14ac:dyDescent="0.2">
      <c r="A121" s="186">
        <f t="shared" si="55"/>
        <v>39845</v>
      </c>
      <c r="B121" s="215">
        <f>+IF(AND($A121&gt;=$C$8,$A121&lt;=$C$9),1,0)*PORTS!$I$5/(365.25)*(A122-A121)</f>
        <v>4822418.3061849596</v>
      </c>
      <c r="C121" s="351">
        <f t="shared" si="34"/>
        <v>0</v>
      </c>
      <c r="D121">
        <f t="shared" si="35"/>
        <v>2009</v>
      </c>
      <c r="E121" s="186">
        <f t="shared" si="56"/>
        <v>39845</v>
      </c>
      <c r="F121" s="215">
        <f t="shared" si="36"/>
        <v>0</v>
      </c>
      <c r="G121" s="191">
        <f t="shared" si="37"/>
        <v>0</v>
      </c>
      <c r="H121" s="218">
        <f t="shared" si="38"/>
        <v>0</v>
      </c>
      <c r="I121" s="118">
        <f t="shared" si="39"/>
        <v>0</v>
      </c>
      <c r="J121" s="215">
        <f t="shared" si="40"/>
        <v>0</v>
      </c>
      <c r="K121" s="202"/>
      <c r="L121" s="186">
        <f t="shared" si="57"/>
        <v>39845</v>
      </c>
      <c r="M121" s="400">
        <f>+J121*(VLOOKUP(L121,CURVECALC!$C$6:$J$312,4,0)+N$5)</f>
        <v>0</v>
      </c>
      <c r="N121" s="208">
        <f>-F121*INDEX(ship_curves,MATCH(L121,'SHIP CURVES'!$A$9:$A$316,0),MATCH(CONCATENATE(P$4,P$5,P$6,P$7),'SHIP CURVES'!$A$9:$AZ$9,0))</f>
        <v>0</v>
      </c>
      <c r="O121" s="209">
        <f>-H121*INDEX(port_processing_fee,MATCH(L121,PORTS!$H$626:$H$933,0),MATCH(P$5,PORTS!$H$626:$Z$626,0))</f>
        <v>0</v>
      </c>
      <c r="P121" s="405">
        <f>(((VLOOKUP(L121,curvecalc,4,0))*IF(F121=0,0,J121/F121)-INDEX(ship_curves,MATCH(L121,'SHIP CURVES'!$A$9:$A$316,0),MATCH(CONCATENATE(P$4,P$5,P$6,P$7),'SHIP CURVES'!$A$9:$Z$9,0))-INDEX(terminal_curves,MATCH(L121,'TERMINAL CURVES'!$A$4:$A$313,0),MATCH(P$5,'TERMINAL CURVES'!$A$4:$N$4,0))*IF(F121=0,0,H121/F121))-(N$8)*((N$7-$N$5)-(INDEX(ship_curves,MATCH(L121,'SHIP CURVES'!$A$9:$A$316,0),MATCH(CONCATENATE(P$4,P$5,P$6,P$7),'SHIP CURVES'!$A$9:$Z$9,0))-INDEX(ship_curves,MATCH(L121,'SHIP CURVES'!$A$9:$A$316,0),MATCH(CONCATENATE(P$4,N$6,P$6,P$7),'SHIP CURVES'!$A$9:$Z$9,0)))-(INDEX(terminal_curves,MATCH(L121,'TERMINAL CURVES'!$A$4:$A$313,0),MATCH(P$5,'TERMINAL CURVES'!$A$4:$N$4,0))-INDEX(terminal_curves,MATCH(L121,'TERMINAL CURVES'!$A$4:$A$313,0),MATCH(N$6,'TERMINAL CURVES'!$A$4:$N$4,0)))*IF(F121=0,0,H121/F121)))*-F121</f>
        <v>0</v>
      </c>
      <c r="Q121" s="403">
        <f t="shared" si="41"/>
        <v>0</v>
      </c>
      <c r="R121" s="338">
        <f>(-H121/((HLOOKUP(P$5,port_specs,2,0)/(365.25))*(L122-L121)))*(INDEX(fixed_capacity_charge,MATCH(L121,PORTS!$H$11:$H$317,0),MATCH(P$5,PORTS!$H$11:$N$11,0))+INDEX(variable_om_charge,MATCH(L121,PORTS!$H$318:$H$625,0),MATCH(P$5,PORTS!$H$318:$N$318,0)))</f>
        <v>0</v>
      </c>
      <c r="S121" s="232">
        <f t="shared" si="42"/>
        <v>0</v>
      </c>
      <c r="T121" s="241">
        <f t="shared" si="43"/>
        <v>0</v>
      </c>
      <c r="V121" s="186">
        <f t="shared" si="58"/>
        <v>39845</v>
      </c>
      <c r="W121" s="215">
        <f t="shared" si="44"/>
        <v>0</v>
      </c>
      <c r="X121" s="191">
        <f t="shared" si="45"/>
        <v>0</v>
      </c>
      <c r="Y121" s="218">
        <f>+IF(AND(X$8&lt;=V121,X$9&gt;=V121),+MIN($B121-SUMIF($H$17:X$17,Y$17,$H121:X121),((INDEX(ROUTE_PER_DAY_BY_SHIP,MATCH(CONCATENATE(X$4,X$5,X$7),ROUTE_PER_DAY_ROUTES,0),MATCH(X$6,ROUTE_PER_DAY_SHIPS,0))*(V122-V121))-(INDEX(ROUTE_PER_DAY_BY_SHIP,MATCH(CONCATENATE(X$4,X$5,X$7),ROUTE_PER_DAY_ROUTES,0),MATCH(X$6,ROUTE_PER_DAY_SHIPS,0))*(V122-V121))*HLOOKUP(X$6,SHIPS,7,0)*INDEX(LADEN_VOYAGE_DAYS,MATCH(CONCATENATE(X$4,X$5,X$7),LADEN_VOYAGE_ROUTES,0),MATCH(X$6,LADEN_VOYAGE_SHIPS,0)))),0)</f>
        <v>0</v>
      </c>
      <c r="Z121" s="118">
        <f t="shared" si="46"/>
        <v>0</v>
      </c>
      <c r="AA121" s="215">
        <f t="shared" si="32"/>
        <v>0</v>
      </c>
      <c r="AB121" s="202"/>
      <c r="AC121" s="186">
        <f t="shared" si="59"/>
        <v>39845</v>
      </c>
      <c r="AD121" s="232">
        <f>+AA121*(VLOOKUP(AC121,CURVECALC!$C$6:$J$312,4,0)+AE$5)</f>
        <v>0</v>
      </c>
      <c r="AE121" s="208">
        <f>-W121*INDEX(ship_curves,MATCH(AC121,'SHIP CURVES'!$A$9:$A$316,0),MATCH(CONCATENATE(AG$4,AG$5,AG$6,AG$7),'SHIP CURVES'!$A$9:$AZ$9,0))</f>
        <v>0</v>
      </c>
      <c r="AF121" s="209">
        <f>-Y121*INDEX(port_processing_fee,MATCH(AC121,PORTS!$H$626:$H$933,0),MATCH(AG$5,PORTS!$H$626:$Z$626,0))</f>
        <v>0</v>
      </c>
      <c r="AG121" s="405">
        <f>(((VLOOKUP(AC121,curvecalc,4,0))*IF(W121=0,0,AA121/W121)-INDEX(ship_curves,MATCH(AC121,'SHIP CURVES'!$A$9:$A$316,0),MATCH(CONCATENATE(AG$4,AG$5,AG$6,AG$7),'SHIP CURVES'!$A$9:$Z$9,0))-INDEX(terminal_curves,MATCH(AC121,'TERMINAL CURVES'!$A$4:$A$313,0),MATCH(AG$5,'TERMINAL CURVES'!$A$4:$N$4,0))*IF(W121=0,0,Y121/W121))-(AE$8)*((AE$7-$N$5)-(INDEX(ship_curves,MATCH(AC121,'SHIP CURVES'!$A$9:$A$316,0),MATCH(CONCATENATE(AG$4,AG$5,AG$6,AG$7),'SHIP CURVES'!$A$9:$Z$9,0))-INDEX(ship_curves,MATCH(AC121,'SHIP CURVES'!$A$9:$A$316,0),MATCH(CONCATENATE(AG$4,AE$6,AG$6,AG$7),'SHIP CURVES'!$A$9:$Z$9,0)))-(INDEX(terminal_curves,MATCH(AC121,'TERMINAL CURVES'!$A$4:$A$313,0),MATCH(AG$5,'TERMINAL CURVES'!$A$4:$N$4,0))-INDEX(terminal_curves,MATCH(AC121,'TERMINAL CURVES'!$A$4:$A$313,0),MATCH(AE$6,'TERMINAL CURVES'!$A$4:$N$4,0)))*IF(W121=0,0,Y121/W121)))*-W121</f>
        <v>0</v>
      </c>
      <c r="AH121" s="343">
        <f t="shared" si="47"/>
        <v>0</v>
      </c>
      <c r="AI121" s="338">
        <f>(-Y121/((HLOOKUP(AG$5,port_specs,2,0)/(365.25))*(AC122-AC121)))*(INDEX(fixed_capacity_charge,MATCH(AC121,PORTS!$H$11:$H$317,0),MATCH(AG$5,PORTS!$H$11:$N$11,0))+INDEX(variable_om_charge,MATCH(AC121,PORTS!$H$318:$H$625,0),MATCH(AG$5,PORTS!$H$318:$N$318,0)))</f>
        <v>0</v>
      </c>
      <c r="AJ121" s="232">
        <f t="shared" si="48"/>
        <v>0</v>
      </c>
      <c r="AK121" s="241">
        <f t="shared" si="49"/>
        <v>0</v>
      </c>
      <c r="AM121" s="186">
        <f t="shared" si="60"/>
        <v>39845</v>
      </c>
      <c r="AN121" s="215">
        <f t="shared" si="50"/>
        <v>4873591.0118089532</v>
      </c>
      <c r="AO121" s="191">
        <f t="shared" si="51"/>
        <v>-51172.70562399365</v>
      </c>
      <c r="AP121" s="218">
        <f>+IF(AND(AO$8&lt;=AM121,AO$9&gt;=AM121),+MIN($B121-SUMIF($H$17:AO$17,AP$17,$H121:AO121),((INDEX(ROUTE_PER_DAY_BY_SHIP,MATCH(CONCATENATE(AO$4,AO$5,AO$7),ROUTE_PER_DAY_ROUTES,0),MATCH(AO$6,ROUTE_PER_DAY_SHIPS,0))*(AM122-AM121))-(INDEX(ROUTE_PER_DAY_BY_SHIP,MATCH(CONCATENATE(AO$4,AO$5,AO$7),ROUTE_PER_DAY_ROUTES,0),MATCH(AO$6,ROUTE_PER_DAY_SHIPS,0))*(AM122-AM121))*HLOOKUP(AO$6,SHIPS,7,0)*INDEX(LADEN_VOYAGE_DAYS,MATCH(CONCATENATE(AO$4,AO$5,AO$7),LADEN_VOYAGE_ROUTES,0),MATCH(AO$6,LADEN_VOYAGE_SHIPS,0)))),0)</f>
        <v>4822418.3061849596</v>
      </c>
      <c r="AQ121" s="118">
        <f>-(AP121)*PORTS!$I$6</f>
        <v>-120560.457654624</v>
      </c>
      <c r="AR121" s="215">
        <f t="shared" si="33"/>
        <v>4701857.8485303354</v>
      </c>
      <c r="AS121" s="202"/>
      <c r="AT121" s="186">
        <f t="shared" si="61"/>
        <v>39845</v>
      </c>
      <c r="AU121" s="232">
        <f>+AR121*(VLOOKUP(AT121,CURVECALC!$C$6:$J$312,4,0)+AV$5)</f>
        <v>16320148.592248794</v>
      </c>
      <c r="AV121" s="208">
        <f>-AN121*INDEX(ship_curves,MATCH(AT121,'SHIP CURVES'!$A$9:$A$316,0),MATCH(CONCATENATE(AX$4,AX$5,AX$6,AX$7),'SHIP CURVES'!$A$9:$AZ$9,0))</f>
        <v>-1613936.1847467013</v>
      </c>
      <c r="AW121" s="209">
        <f>-AP121*INDEX(port_processing_fee,MATCH(AT121,PORTS!$H$626:$H$933,0),MATCH(AX$5,PORTS!$H$626:$Z$626,0))</f>
        <v>-142203.34888747346</v>
      </c>
      <c r="AX121" s="405">
        <f>(((VLOOKUP(AT121,curvecalc,4,0))*IF(AN121=0,0,AR121/AN121)-INDEX(ship_curves,MATCH(AT121,'SHIP CURVES'!$A$9:$A$316,0),MATCH(CONCATENATE(AX$4,AX$5,AX$6,AX$7),'SHIP CURVES'!$A$9:$Z$9,0))-INDEX(terminal_curves,MATCH(AT121,'TERMINAL CURVES'!$A$4:$A$313,0),MATCH(AX$5,'TERMINAL CURVES'!$A$4:$N$4,0))*IF(AN121=0,0,AP121/AN121))-(AV$8)*((AV$7-$N$5)-(INDEX(ship_curves,MATCH(AT121,'SHIP CURVES'!$A$9:$A$316,0),MATCH(CONCATENATE(AX$4,AX$5,AX$6,AX$7),'SHIP CURVES'!$A$9:$Z$9,0))-INDEX(ship_curves,MATCH(AT121,'SHIP CURVES'!$A$9:$A$316,0),MATCH(CONCATENATE(AX$4,AV$6,AX$6,AX$7),'SHIP CURVES'!$A$9:$Z$9,0)))-(INDEX(terminal_curves,MATCH(AT121,'TERMINAL CURVES'!$A$4:$A$313,0),MATCH(AX$5,'TERMINAL CURVES'!$A$4:$N$4,0))-INDEX(terminal_curves,MATCH(AT121,'TERMINAL CURVES'!$A$4:$A$313,0),MATCH(AV$6,'TERMINAL CURVES'!$A$4:$N$4,0)))*IF(AN121=0,0,AP121/AN121)))*-AN121</f>
        <v>-13477579.492866226</v>
      </c>
      <c r="AY121" s="343">
        <f t="shared" si="52"/>
        <v>-15233719.0265004</v>
      </c>
      <c r="AZ121" s="338">
        <f>(-AP121/((HLOOKUP(AX$5,port_specs,2,0)/(365.25))*(AT122-AT121)))*(INDEX(fixed_capacity_charge,MATCH(AT121,PORTS!$H$11:$H$317,0),MATCH(AX$5,PORTS!$H$11:$N$11,0))+INDEX(variable_om_charge,MATCH(AT121,PORTS!$H$318:$H$625,0),MATCH(AX$5,PORTS!$H$318:$N$318,0)))</f>
        <v>-992392.40877778828</v>
      </c>
      <c r="BA121" s="232">
        <f t="shared" si="53"/>
        <v>-16226111.435278188</v>
      </c>
      <c r="BB121" s="241">
        <f t="shared" si="54"/>
        <v>94037.156970605254</v>
      </c>
      <c r="BC121" s="408"/>
      <c r="BD121" s="338">
        <f>+PORTS!I115+PORTS!I423</f>
        <v>992392.40877778828</v>
      </c>
    </row>
    <row r="122" spans="1:56" x14ac:dyDescent="0.2">
      <c r="A122" s="186">
        <f t="shared" si="55"/>
        <v>39873</v>
      </c>
      <c r="B122" s="215">
        <f>+IF(AND($A122&gt;=$C$8,$A122&lt;=$C$9),1,0)*PORTS!$I$5/(365.25)*(A123-A122)</f>
        <v>5339105.9818476336</v>
      </c>
      <c r="C122" s="351">
        <f t="shared" si="34"/>
        <v>0</v>
      </c>
      <c r="D122">
        <f t="shared" si="35"/>
        <v>2009</v>
      </c>
      <c r="E122" s="186">
        <f t="shared" si="56"/>
        <v>39873</v>
      </c>
      <c r="F122" s="215">
        <f t="shared" si="36"/>
        <v>0</v>
      </c>
      <c r="G122" s="191">
        <f t="shared" si="37"/>
        <v>0</v>
      </c>
      <c r="H122" s="218">
        <f t="shared" si="38"/>
        <v>0</v>
      </c>
      <c r="I122" s="118">
        <f t="shared" si="39"/>
        <v>0</v>
      </c>
      <c r="J122" s="215">
        <f t="shared" si="40"/>
        <v>0</v>
      </c>
      <c r="K122" s="202"/>
      <c r="L122" s="186">
        <f t="shared" si="57"/>
        <v>39873</v>
      </c>
      <c r="M122" s="400">
        <f>+J122*(VLOOKUP(L122,CURVECALC!$C$6:$J$312,4,0)+N$5)</f>
        <v>0</v>
      </c>
      <c r="N122" s="208">
        <f>-F122*INDEX(ship_curves,MATCH(L122,'SHIP CURVES'!$A$9:$A$316,0),MATCH(CONCATENATE(P$4,P$5,P$6,P$7),'SHIP CURVES'!$A$9:$AZ$9,0))</f>
        <v>0</v>
      </c>
      <c r="O122" s="209">
        <f>-H122*INDEX(port_processing_fee,MATCH(L122,PORTS!$H$626:$H$933,0),MATCH(P$5,PORTS!$H$626:$Z$626,0))</f>
        <v>0</v>
      </c>
      <c r="P122" s="405">
        <f>(((VLOOKUP(L122,curvecalc,4,0))*IF(F122=0,0,J122/F122)-INDEX(ship_curves,MATCH(L122,'SHIP CURVES'!$A$9:$A$316,0),MATCH(CONCATENATE(P$4,P$5,P$6,P$7),'SHIP CURVES'!$A$9:$Z$9,0))-INDEX(terminal_curves,MATCH(L122,'TERMINAL CURVES'!$A$4:$A$313,0),MATCH(P$5,'TERMINAL CURVES'!$A$4:$N$4,0))*IF(F122=0,0,H122/F122))-(N$8)*((N$7-$N$5)-(INDEX(ship_curves,MATCH(L122,'SHIP CURVES'!$A$9:$A$316,0),MATCH(CONCATENATE(P$4,P$5,P$6,P$7),'SHIP CURVES'!$A$9:$Z$9,0))-INDEX(ship_curves,MATCH(L122,'SHIP CURVES'!$A$9:$A$316,0),MATCH(CONCATENATE(P$4,N$6,P$6,P$7),'SHIP CURVES'!$A$9:$Z$9,0)))-(INDEX(terminal_curves,MATCH(L122,'TERMINAL CURVES'!$A$4:$A$313,0),MATCH(P$5,'TERMINAL CURVES'!$A$4:$N$4,0))-INDEX(terminal_curves,MATCH(L122,'TERMINAL CURVES'!$A$4:$A$313,0),MATCH(N$6,'TERMINAL CURVES'!$A$4:$N$4,0)))*IF(F122=0,0,H122/F122)))*-F122</f>
        <v>0</v>
      </c>
      <c r="Q122" s="403">
        <f t="shared" si="41"/>
        <v>0</v>
      </c>
      <c r="R122" s="338">
        <f>(-H122/((HLOOKUP(P$5,port_specs,2,0)/(365.25))*(L123-L122)))*(INDEX(fixed_capacity_charge,MATCH(L122,PORTS!$H$11:$H$317,0),MATCH(P$5,PORTS!$H$11:$N$11,0))+INDEX(variable_om_charge,MATCH(L122,PORTS!$H$318:$H$625,0),MATCH(P$5,PORTS!$H$318:$N$318,0)))</f>
        <v>0</v>
      </c>
      <c r="S122" s="232">
        <f t="shared" si="42"/>
        <v>0</v>
      </c>
      <c r="T122" s="241">
        <f t="shared" si="43"/>
        <v>0</v>
      </c>
      <c r="V122" s="186">
        <f t="shared" si="58"/>
        <v>39873</v>
      </c>
      <c r="W122" s="215">
        <f t="shared" si="44"/>
        <v>0</v>
      </c>
      <c r="X122" s="191">
        <f t="shared" si="45"/>
        <v>0</v>
      </c>
      <c r="Y122" s="218">
        <f>+IF(AND(X$8&lt;=V122,X$9&gt;=V122),+MIN($B122-SUMIF($H$17:X$17,Y$17,$H122:X122),((INDEX(ROUTE_PER_DAY_BY_SHIP,MATCH(CONCATENATE(X$4,X$5,X$7),ROUTE_PER_DAY_ROUTES,0),MATCH(X$6,ROUTE_PER_DAY_SHIPS,0))*(V123-V122))-(INDEX(ROUTE_PER_DAY_BY_SHIP,MATCH(CONCATENATE(X$4,X$5,X$7),ROUTE_PER_DAY_ROUTES,0),MATCH(X$6,ROUTE_PER_DAY_SHIPS,0))*(V123-V122))*HLOOKUP(X$6,SHIPS,7,0)*INDEX(LADEN_VOYAGE_DAYS,MATCH(CONCATENATE(X$4,X$5,X$7),LADEN_VOYAGE_ROUTES,0),MATCH(X$6,LADEN_VOYAGE_SHIPS,0)))),0)</f>
        <v>0</v>
      </c>
      <c r="Z122" s="118">
        <f t="shared" si="46"/>
        <v>0</v>
      </c>
      <c r="AA122" s="215">
        <f t="shared" si="32"/>
        <v>0</v>
      </c>
      <c r="AB122" s="202"/>
      <c r="AC122" s="186">
        <f t="shared" si="59"/>
        <v>39873</v>
      </c>
      <c r="AD122" s="232">
        <f>+AA122*(VLOOKUP(AC122,CURVECALC!$C$6:$J$312,4,0)+AE$5)</f>
        <v>0</v>
      </c>
      <c r="AE122" s="208">
        <f>-W122*INDEX(ship_curves,MATCH(AC122,'SHIP CURVES'!$A$9:$A$316,0),MATCH(CONCATENATE(AG$4,AG$5,AG$6,AG$7),'SHIP CURVES'!$A$9:$AZ$9,0))</f>
        <v>0</v>
      </c>
      <c r="AF122" s="209">
        <f>-Y122*INDEX(port_processing_fee,MATCH(AC122,PORTS!$H$626:$H$933,0),MATCH(AG$5,PORTS!$H$626:$Z$626,0))</f>
        <v>0</v>
      </c>
      <c r="AG122" s="405">
        <f>(((VLOOKUP(AC122,curvecalc,4,0))*IF(W122=0,0,AA122/W122)-INDEX(ship_curves,MATCH(AC122,'SHIP CURVES'!$A$9:$A$316,0),MATCH(CONCATENATE(AG$4,AG$5,AG$6,AG$7),'SHIP CURVES'!$A$9:$Z$9,0))-INDEX(terminal_curves,MATCH(AC122,'TERMINAL CURVES'!$A$4:$A$313,0),MATCH(AG$5,'TERMINAL CURVES'!$A$4:$N$4,0))*IF(W122=0,0,Y122/W122))-(AE$8)*((AE$7-$N$5)-(INDEX(ship_curves,MATCH(AC122,'SHIP CURVES'!$A$9:$A$316,0),MATCH(CONCATENATE(AG$4,AG$5,AG$6,AG$7),'SHIP CURVES'!$A$9:$Z$9,0))-INDEX(ship_curves,MATCH(AC122,'SHIP CURVES'!$A$9:$A$316,0),MATCH(CONCATENATE(AG$4,AE$6,AG$6,AG$7),'SHIP CURVES'!$A$9:$Z$9,0)))-(INDEX(terminal_curves,MATCH(AC122,'TERMINAL CURVES'!$A$4:$A$313,0),MATCH(AG$5,'TERMINAL CURVES'!$A$4:$N$4,0))-INDEX(terminal_curves,MATCH(AC122,'TERMINAL CURVES'!$A$4:$A$313,0),MATCH(AE$6,'TERMINAL CURVES'!$A$4:$N$4,0)))*IF(W122=0,0,Y122/W122)))*-W122</f>
        <v>0</v>
      </c>
      <c r="AH122" s="343">
        <f t="shared" si="47"/>
        <v>0</v>
      </c>
      <c r="AI122" s="338">
        <f>(-Y122/((HLOOKUP(AG$5,port_specs,2,0)/(365.25))*(AC123-AC122)))*(INDEX(fixed_capacity_charge,MATCH(AC122,PORTS!$H$11:$H$317,0),MATCH(AG$5,PORTS!$H$11:$N$11,0))+INDEX(variable_om_charge,MATCH(AC122,PORTS!$H$318:$H$625,0),MATCH(AG$5,PORTS!$H$318:$N$318,0)))</f>
        <v>0</v>
      </c>
      <c r="AJ122" s="232">
        <f t="shared" si="48"/>
        <v>0</v>
      </c>
      <c r="AK122" s="241">
        <f t="shared" si="49"/>
        <v>0</v>
      </c>
      <c r="AM122" s="186">
        <f t="shared" si="60"/>
        <v>39873</v>
      </c>
      <c r="AN122" s="215">
        <f t="shared" si="50"/>
        <v>5395761.4773599124</v>
      </c>
      <c r="AO122" s="191">
        <f t="shared" si="51"/>
        <v>-56655.495512278751</v>
      </c>
      <c r="AP122" s="218">
        <f>+IF(AND(AO$8&lt;=AM122,AO$9&gt;=AM122),+MIN($B122-SUMIF($H$17:AO$17,AP$17,$H122:AO122),((INDEX(ROUTE_PER_DAY_BY_SHIP,MATCH(CONCATENATE(AO$4,AO$5,AO$7),ROUTE_PER_DAY_ROUTES,0),MATCH(AO$6,ROUTE_PER_DAY_SHIPS,0))*(AM123-AM122))-(INDEX(ROUTE_PER_DAY_BY_SHIP,MATCH(CONCATENATE(AO$4,AO$5,AO$7),ROUTE_PER_DAY_ROUTES,0),MATCH(AO$6,ROUTE_PER_DAY_SHIPS,0))*(AM123-AM122))*HLOOKUP(AO$6,SHIPS,7,0)*INDEX(LADEN_VOYAGE_DAYS,MATCH(CONCATENATE(AO$4,AO$5,AO$7),LADEN_VOYAGE_ROUTES,0),MATCH(AO$6,LADEN_VOYAGE_SHIPS,0)))),0)</f>
        <v>5339105.9818476336</v>
      </c>
      <c r="AQ122" s="118">
        <f>-(AP122)*PORTS!$I$6</f>
        <v>-133477.64954619083</v>
      </c>
      <c r="AR122" s="215">
        <f t="shared" si="33"/>
        <v>5205628.3323014425</v>
      </c>
      <c r="AS122" s="202"/>
      <c r="AT122" s="186">
        <f t="shared" si="61"/>
        <v>39873</v>
      </c>
      <c r="AU122" s="232">
        <f>+AR122*(VLOOKUP(AT122,CURVECALC!$C$6:$J$312,4,0)+AV$5)</f>
        <v>17433649.284877531</v>
      </c>
      <c r="AV122" s="208">
        <f>-AN122*INDEX(ship_curves,MATCH(AT122,'SHIP CURVES'!$A$9:$A$316,0),MATCH(CONCATENATE(AX$4,AX$5,AX$6,AX$7),'SHIP CURVES'!$A$9:$AZ$9,0))</f>
        <v>-1787384.8567263102</v>
      </c>
      <c r="AW122" s="209">
        <f>-AP122*INDEX(port_processing_fee,MATCH(AT122,PORTS!$H$626:$H$933,0),MATCH(AX$5,PORTS!$H$626:$Z$626,0))</f>
        <v>-157603.4213804584</v>
      </c>
      <c r="AX122" s="405">
        <f>(((VLOOKUP(AT122,curvecalc,4,0))*IF(AN122=0,0,AR122/AN122)-INDEX(ship_curves,MATCH(AT122,'SHIP CURVES'!$A$9:$A$316,0),MATCH(CONCATENATE(AX$4,AX$5,AX$6,AX$7),'SHIP CURVES'!$A$9:$Z$9,0))-INDEX(terminal_curves,MATCH(AT122,'TERMINAL CURVES'!$A$4:$A$313,0),MATCH(AX$5,'TERMINAL CURVES'!$A$4:$N$4,0))*IF(AN122=0,0,AP122/AN122))-(AV$8)*((AV$7-$N$5)-(INDEX(ship_curves,MATCH(AT122,'SHIP CURVES'!$A$9:$A$316,0),MATCH(CONCATENATE(AX$4,AX$5,AX$6,AX$7),'SHIP CURVES'!$A$9:$Z$9,0))-INDEX(ship_curves,MATCH(AT122,'SHIP CURVES'!$A$9:$A$316,0),MATCH(CONCATENATE(AX$4,AV$6,AX$6,AX$7),'SHIP CURVES'!$A$9:$Z$9,0)))-(INDEX(terminal_curves,MATCH(AT122,'TERMINAL CURVES'!$A$4:$A$313,0),MATCH(AX$5,'TERMINAL CURVES'!$A$4:$N$4,0))-INDEX(terminal_curves,MATCH(AT122,'TERMINAL CURVES'!$A$4:$A$313,0),MATCH(AV$6,'TERMINAL CURVES'!$A$4:$N$4,0)))*IF(AN122=0,0,AP122/AN122)))*-AN122</f>
        <v>-14391627.691932496</v>
      </c>
      <c r="AY122" s="343">
        <f t="shared" si="52"/>
        <v>-16336615.970039263</v>
      </c>
      <c r="AZ122" s="338">
        <f>(-AP122/((HLOOKUP(AX$5,port_specs,2,0)/(365.25))*(AT123-AT122)))*(INDEX(fixed_capacity_charge,MATCH(AT122,PORTS!$H$11:$H$317,0),MATCH(AX$5,PORTS!$H$11:$N$11,0))+INDEX(variable_om_charge,MATCH(AT122,PORTS!$H$318:$H$625,0),MATCH(AX$5,PORTS!$H$318:$N$318,0)))</f>
        <v>-992920.74819223559</v>
      </c>
      <c r="BA122" s="232">
        <f t="shared" si="53"/>
        <v>-17329536.718231499</v>
      </c>
      <c r="BB122" s="241">
        <f t="shared" si="54"/>
        <v>104112.56664603204</v>
      </c>
      <c r="BC122" s="408"/>
      <c r="BD122" s="338">
        <f>+PORTS!I116+PORTS!I424</f>
        <v>992920.74819223559</v>
      </c>
    </row>
    <row r="123" spans="1:56" x14ac:dyDescent="0.2">
      <c r="A123" s="186">
        <f t="shared" si="55"/>
        <v>39904</v>
      </c>
      <c r="B123" s="215">
        <f>+IF(AND($A123&gt;=$C$8,$A123&lt;=$C$9),1,0)*PORTS!$I$5/(365.25)*(A124-A123)</f>
        <v>5166876.756626742</v>
      </c>
      <c r="C123" s="351">
        <f t="shared" si="34"/>
        <v>0</v>
      </c>
      <c r="D123">
        <f t="shared" si="35"/>
        <v>2009</v>
      </c>
      <c r="E123" s="186">
        <f t="shared" si="56"/>
        <v>39904</v>
      </c>
      <c r="F123" s="215">
        <f t="shared" si="36"/>
        <v>0</v>
      </c>
      <c r="G123" s="191">
        <f t="shared" si="37"/>
        <v>0</v>
      </c>
      <c r="H123" s="218">
        <f t="shared" si="38"/>
        <v>0</v>
      </c>
      <c r="I123" s="118">
        <f t="shared" si="39"/>
        <v>0</v>
      </c>
      <c r="J123" s="215">
        <f t="shared" si="40"/>
        <v>0</v>
      </c>
      <c r="K123" s="202"/>
      <c r="L123" s="186">
        <f t="shared" si="57"/>
        <v>39904</v>
      </c>
      <c r="M123" s="400">
        <f>+J123*(VLOOKUP(L123,CURVECALC!$C$6:$J$312,4,0)+N$5)</f>
        <v>0</v>
      </c>
      <c r="N123" s="208">
        <f>-F123*INDEX(ship_curves,MATCH(L123,'SHIP CURVES'!$A$9:$A$316,0),MATCH(CONCATENATE(P$4,P$5,P$6,P$7),'SHIP CURVES'!$A$9:$AZ$9,0))</f>
        <v>0</v>
      </c>
      <c r="O123" s="209">
        <f>-H123*INDEX(port_processing_fee,MATCH(L123,PORTS!$H$626:$H$933,0),MATCH(P$5,PORTS!$H$626:$Z$626,0))</f>
        <v>0</v>
      </c>
      <c r="P123" s="405">
        <f>(((VLOOKUP(L123,curvecalc,4,0))*IF(F123=0,0,J123/F123)-INDEX(ship_curves,MATCH(L123,'SHIP CURVES'!$A$9:$A$316,0),MATCH(CONCATENATE(P$4,P$5,P$6,P$7),'SHIP CURVES'!$A$9:$Z$9,0))-INDEX(terminal_curves,MATCH(L123,'TERMINAL CURVES'!$A$4:$A$313,0),MATCH(P$5,'TERMINAL CURVES'!$A$4:$N$4,0))*IF(F123=0,0,H123/F123))-(N$8)*((N$7-$N$5)-(INDEX(ship_curves,MATCH(L123,'SHIP CURVES'!$A$9:$A$316,0),MATCH(CONCATENATE(P$4,P$5,P$6,P$7),'SHIP CURVES'!$A$9:$Z$9,0))-INDEX(ship_curves,MATCH(L123,'SHIP CURVES'!$A$9:$A$316,0),MATCH(CONCATENATE(P$4,N$6,P$6,P$7),'SHIP CURVES'!$A$9:$Z$9,0)))-(INDEX(terminal_curves,MATCH(L123,'TERMINAL CURVES'!$A$4:$A$313,0),MATCH(P$5,'TERMINAL CURVES'!$A$4:$N$4,0))-INDEX(terminal_curves,MATCH(L123,'TERMINAL CURVES'!$A$4:$A$313,0),MATCH(N$6,'TERMINAL CURVES'!$A$4:$N$4,0)))*IF(F123=0,0,H123/F123)))*-F123</f>
        <v>0</v>
      </c>
      <c r="Q123" s="403">
        <f t="shared" si="41"/>
        <v>0</v>
      </c>
      <c r="R123" s="338">
        <f>(-H123/((HLOOKUP(P$5,port_specs,2,0)/(365.25))*(L124-L123)))*(INDEX(fixed_capacity_charge,MATCH(L123,PORTS!$H$11:$H$317,0),MATCH(P$5,PORTS!$H$11:$N$11,0))+INDEX(variable_om_charge,MATCH(L123,PORTS!$H$318:$H$625,0),MATCH(P$5,PORTS!$H$318:$N$318,0)))</f>
        <v>0</v>
      </c>
      <c r="S123" s="232">
        <f t="shared" si="42"/>
        <v>0</v>
      </c>
      <c r="T123" s="241">
        <f t="shared" si="43"/>
        <v>0</v>
      </c>
      <c r="V123" s="186">
        <f t="shared" si="58"/>
        <v>39904</v>
      </c>
      <c r="W123" s="215">
        <f t="shared" si="44"/>
        <v>0</v>
      </c>
      <c r="X123" s="191">
        <f t="shared" si="45"/>
        <v>0</v>
      </c>
      <c r="Y123" s="218">
        <f>+IF(AND(X$8&lt;=V123,X$9&gt;=V123),+MIN($B123-SUMIF($H$17:X$17,Y$17,$H123:X123),((INDEX(ROUTE_PER_DAY_BY_SHIP,MATCH(CONCATENATE(X$4,X$5,X$7),ROUTE_PER_DAY_ROUTES,0),MATCH(X$6,ROUTE_PER_DAY_SHIPS,0))*(V124-V123))-(INDEX(ROUTE_PER_DAY_BY_SHIP,MATCH(CONCATENATE(X$4,X$5,X$7),ROUTE_PER_DAY_ROUTES,0),MATCH(X$6,ROUTE_PER_DAY_SHIPS,0))*(V124-V123))*HLOOKUP(X$6,SHIPS,7,0)*INDEX(LADEN_VOYAGE_DAYS,MATCH(CONCATENATE(X$4,X$5,X$7),LADEN_VOYAGE_ROUTES,0),MATCH(X$6,LADEN_VOYAGE_SHIPS,0)))),0)</f>
        <v>0</v>
      </c>
      <c r="Z123" s="118">
        <f t="shared" si="46"/>
        <v>0</v>
      </c>
      <c r="AA123" s="215">
        <f t="shared" si="32"/>
        <v>0</v>
      </c>
      <c r="AB123" s="202"/>
      <c r="AC123" s="186">
        <f t="shared" si="59"/>
        <v>39904</v>
      </c>
      <c r="AD123" s="232">
        <f>+AA123*(VLOOKUP(AC123,CURVECALC!$C$6:$J$312,4,0)+AE$5)</f>
        <v>0</v>
      </c>
      <c r="AE123" s="208">
        <f>-W123*INDEX(ship_curves,MATCH(AC123,'SHIP CURVES'!$A$9:$A$316,0),MATCH(CONCATENATE(AG$4,AG$5,AG$6,AG$7),'SHIP CURVES'!$A$9:$AZ$9,0))</f>
        <v>0</v>
      </c>
      <c r="AF123" s="209">
        <f>-Y123*INDEX(port_processing_fee,MATCH(AC123,PORTS!$H$626:$H$933,0),MATCH(AG$5,PORTS!$H$626:$Z$626,0))</f>
        <v>0</v>
      </c>
      <c r="AG123" s="405">
        <f>(((VLOOKUP(AC123,curvecalc,4,0))*IF(W123=0,0,AA123/W123)-INDEX(ship_curves,MATCH(AC123,'SHIP CURVES'!$A$9:$A$316,0),MATCH(CONCATENATE(AG$4,AG$5,AG$6,AG$7),'SHIP CURVES'!$A$9:$Z$9,0))-INDEX(terminal_curves,MATCH(AC123,'TERMINAL CURVES'!$A$4:$A$313,0),MATCH(AG$5,'TERMINAL CURVES'!$A$4:$N$4,0))*IF(W123=0,0,Y123/W123))-(AE$8)*((AE$7-$N$5)-(INDEX(ship_curves,MATCH(AC123,'SHIP CURVES'!$A$9:$A$316,0),MATCH(CONCATENATE(AG$4,AG$5,AG$6,AG$7),'SHIP CURVES'!$A$9:$Z$9,0))-INDEX(ship_curves,MATCH(AC123,'SHIP CURVES'!$A$9:$A$316,0),MATCH(CONCATENATE(AG$4,AE$6,AG$6,AG$7),'SHIP CURVES'!$A$9:$Z$9,0)))-(INDEX(terminal_curves,MATCH(AC123,'TERMINAL CURVES'!$A$4:$A$313,0),MATCH(AG$5,'TERMINAL CURVES'!$A$4:$N$4,0))-INDEX(terminal_curves,MATCH(AC123,'TERMINAL CURVES'!$A$4:$A$313,0),MATCH(AE$6,'TERMINAL CURVES'!$A$4:$N$4,0)))*IF(W123=0,0,Y123/W123)))*-W123</f>
        <v>0</v>
      </c>
      <c r="AH123" s="343">
        <f t="shared" si="47"/>
        <v>0</v>
      </c>
      <c r="AI123" s="338">
        <f>(-Y123/((HLOOKUP(AG$5,port_specs,2,0)/(365.25))*(AC124-AC123)))*(INDEX(fixed_capacity_charge,MATCH(AC123,PORTS!$H$11:$H$317,0),MATCH(AG$5,PORTS!$H$11:$N$11,0))+INDEX(variable_om_charge,MATCH(AC123,PORTS!$H$318:$H$625,0),MATCH(AG$5,PORTS!$H$318:$N$318,0)))</f>
        <v>0</v>
      </c>
      <c r="AJ123" s="232">
        <f t="shared" si="48"/>
        <v>0</v>
      </c>
      <c r="AK123" s="241">
        <f t="shared" si="49"/>
        <v>0</v>
      </c>
      <c r="AM123" s="186">
        <f t="shared" si="60"/>
        <v>39904</v>
      </c>
      <c r="AN123" s="215">
        <f t="shared" si="50"/>
        <v>5221704.655509592</v>
      </c>
      <c r="AO123" s="191">
        <f t="shared" si="51"/>
        <v>-54827.898882850073</v>
      </c>
      <c r="AP123" s="218">
        <f>+IF(AND(AO$8&lt;=AM123,AO$9&gt;=AM123),+MIN($B123-SUMIF($H$17:AO$17,AP$17,$H123:AO123),((INDEX(ROUTE_PER_DAY_BY_SHIP,MATCH(CONCATENATE(AO$4,AO$5,AO$7),ROUTE_PER_DAY_ROUTES,0),MATCH(AO$6,ROUTE_PER_DAY_SHIPS,0))*(AM124-AM123))-(INDEX(ROUTE_PER_DAY_BY_SHIP,MATCH(CONCATENATE(AO$4,AO$5,AO$7),ROUTE_PER_DAY_ROUTES,0),MATCH(AO$6,ROUTE_PER_DAY_SHIPS,0))*(AM124-AM123))*HLOOKUP(AO$6,SHIPS,7,0)*INDEX(LADEN_VOYAGE_DAYS,MATCH(CONCATENATE(AO$4,AO$5,AO$7),LADEN_VOYAGE_ROUTES,0),MATCH(AO$6,LADEN_VOYAGE_SHIPS,0)))),0)</f>
        <v>5166876.756626742</v>
      </c>
      <c r="AQ123" s="118">
        <f>-(AP123)*PORTS!$I$6</f>
        <v>-129171.91891566856</v>
      </c>
      <c r="AR123" s="215">
        <f t="shared" si="33"/>
        <v>5037704.8377110735</v>
      </c>
      <c r="AS123" s="202"/>
      <c r="AT123" s="186">
        <f t="shared" si="61"/>
        <v>39904</v>
      </c>
      <c r="AU123" s="232">
        <f>+AR123*(VLOOKUP(AT123,CURVECALC!$C$6:$J$312,4,0)+AV$5)</f>
        <v>16256673.511293633</v>
      </c>
      <c r="AV123" s="208">
        <f>-AN123*INDEX(ship_curves,MATCH(AT123,'SHIP CURVES'!$A$9:$A$316,0),MATCH(CONCATENATE(AX$4,AX$5,AX$6,AX$7),'SHIP CURVES'!$A$9:$AZ$9,0))</f>
        <v>-1730238.2829805219</v>
      </c>
      <c r="AW123" s="209">
        <f>-AP123*INDEX(port_processing_fee,MATCH(AT123,PORTS!$H$626:$H$933,0),MATCH(AX$5,PORTS!$H$626:$Z$626,0))</f>
        <v>-152678.31446231907</v>
      </c>
      <c r="AX123" s="405">
        <f>(((VLOOKUP(AT123,curvecalc,4,0))*IF(AN123=0,0,AR123/AN123)-INDEX(ship_curves,MATCH(AT123,'SHIP CURVES'!$A$9:$A$316,0),MATCH(CONCATENATE(AX$4,AX$5,AX$6,AX$7),'SHIP CURVES'!$A$9:$Z$9,0))-INDEX(terminal_curves,MATCH(AT123,'TERMINAL CURVES'!$A$4:$A$313,0),MATCH(AX$5,'TERMINAL CURVES'!$A$4:$N$4,0))*IF(AN123=0,0,AP123/AN123))-(AV$8)*((AV$7-$N$5)-(INDEX(ship_curves,MATCH(AT123,'SHIP CURVES'!$A$9:$A$316,0),MATCH(CONCATENATE(AX$4,AX$5,AX$6,AX$7),'SHIP CURVES'!$A$9:$Z$9,0))-INDEX(ship_curves,MATCH(AT123,'SHIP CURVES'!$A$9:$A$316,0),MATCH(CONCATENATE(AX$4,AV$6,AX$6,AX$7),'SHIP CURVES'!$A$9:$Z$9,0)))-(INDEX(terminal_curves,MATCH(AT123,'TERMINAL CURVES'!$A$4:$A$313,0),MATCH(AX$5,'TERMINAL CURVES'!$A$4:$N$4,0))-INDEX(terminal_curves,MATCH(AT123,'TERMINAL CURVES'!$A$4:$A$313,0),MATCH(AV$6,'TERMINAL CURVES'!$A$4:$N$4,0)))*IF(AN123=0,0,AP123/AN123)))*-AN123</f>
        <v>-13279553.179136328</v>
      </c>
      <c r="AY123" s="343">
        <f t="shared" si="52"/>
        <v>-15162469.77657917</v>
      </c>
      <c r="AZ123" s="338">
        <f>(-AP123/((HLOOKUP(AX$5,port_specs,2,0)/(365.25))*(AT124-AT123)))*(INDEX(fixed_capacity_charge,MATCH(AT123,PORTS!$H$11:$H$317,0),MATCH(AX$5,PORTS!$H$11:$N$11,0))+INDEX(variable_om_charge,MATCH(AT123,PORTS!$H$318:$H$625,0),MATCH(AX$5,PORTS!$H$318:$N$318,0)))</f>
        <v>-993449.63796023966</v>
      </c>
      <c r="BA123" s="232">
        <f t="shared" si="53"/>
        <v>-16155919.41453941</v>
      </c>
      <c r="BB123" s="241">
        <f t="shared" si="54"/>
        <v>100754.09675422311</v>
      </c>
      <c r="BC123" s="408"/>
      <c r="BD123" s="338">
        <f>+PORTS!I117+PORTS!I425</f>
        <v>993449.63796023966</v>
      </c>
    </row>
    <row r="124" spans="1:56" x14ac:dyDescent="0.2">
      <c r="A124" s="186">
        <f t="shared" si="55"/>
        <v>39934</v>
      </c>
      <c r="B124" s="215">
        <f>+IF(AND($A124&gt;=$C$8,$A124&lt;=$C$9),1,0)*PORTS!$I$5/(365.25)*(A125-A124)</f>
        <v>5339105.9818476336</v>
      </c>
      <c r="C124" s="351">
        <f t="shared" si="34"/>
        <v>0</v>
      </c>
      <c r="D124">
        <f t="shared" si="35"/>
        <v>2009</v>
      </c>
      <c r="E124" s="186">
        <f t="shared" si="56"/>
        <v>39934</v>
      </c>
      <c r="F124" s="215">
        <f t="shared" si="36"/>
        <v>0</v>
      </c>
      <c r="G124" s="191">
        <f t="shared" si="37"/>
        <v>0</v>
      </c>
      <c r="H124" s="218">
        <f t="shared" si="38"/>
        <v>0</v>
      </c>
      <c r="I124" s="118">
        <f t="shared" si="39"/>
        <v>0</v>
      </c>
      <c r="J124" s="215">
        <f t="shared" si="40"/>
        <v>0</v>
      </c>
      <c r="K124" s="202"/>
      <c r="L124" s="186">
        <f t="shared" si="57"/>
        <v>39934</v>
      </c>
      <c r="M124" s="400">
        <f>+J124*(VLOOKUP(L124,CURVECALC!$C$6:$J$312,4,0)+N$5)</f>
        <v>0</v>
      </c>
      <c r="N124" s="208">
        <f>-F124*INDEX(ship_curves,MATCH(L124,'SHIP CURVES'!$A$9:$A$316,0),MATCH(CONCATENATE(P$4,P$5,P$6,P$7),'SHIP CURVES'!$A$9:$AZ$9,0))</f>
        <v>0</v>
      </c>
      <c r="O124" s="209">
        <f>-H124*INDEX(port_processing_fee,MATCH(L124,PORTS!$H$626:$H$933,0),MATCH(P$5,PORTS!$H$626:$Z$626,0))</f>
        <v>0</v>
      </c>
      <c r="P124" s="405">
        <f>(((VLOOKUP(L124,curvecalc,4,0))*IF(F124=0,0,J124/F124)-INDEX(ship_curves,MATCH(L124,'SHIP CURVES'!$A$9:$A$316,0),MATCH(CONCATENATE(P$4,P$5,P$6,P$7),'SHIP CURVES'!$A$9:$Z$9,0))-INDEX(terminal_curves,MATCH(L124,'TERMINAL CURVES'!$A$4:$A$313,0),MATCH(P$5,'TERMINAL CURVES'!$A$4:$N$4,0))*IF(F124=0,0,H124/F124))-(N$8)*((N$7-$N$5)-(INDEX(ship_curves,MATCH(L124,'SHIP CURVES'!$A$9:$A$316,0),MATCH(CONCATENATE(P$4,P$5,P$6,P$7),'SHIP CURVES'!$A$9:$Z$9,0))-INDEX(ship_curves,MATCH(L124,'SHIP CURVES'!$A$9:$A$316,0),MATCH(CONCATENATE(P$4,N$6,P$6,P$7),'SHIP CURVES'!$A$9:$Z$9,0)))-(INDEX(terminal_curves,MATCH(L124,'TERMINAL CURVES'!$A$4:$A$313,0),MATCH(P$5,'TERMINAL CURVES'!$A$4:$N$4,0))-INDEX(terminal_curves,MATCH(L124,'TERMINAL CURVES'!$A$4:$A$313,0),MATCH(N$6,'TERMINAL CURVES'!$A$4:$N$4,0)))*IF(F124=0,0,H124/F124)))*-F124</f>
        <v>0</v>
      </c>
      <c r="Q124" s="403">
        <f t="shared" si="41"/>
        <v>0</v>
      </c>
      <c r="R124" s="338">
        <f>(-H124/((HLOOKUP(P$5,port_specs,2,0)/(365.25))*(L125-L124)))*(INDEX(fixed_capacity_charge,MATCH(L124,PORTS!$H$11:$H$317,0),MATCH(P$5,PORTS!$H$11:$N$11,0))+INDEX(variable_om_charge,MATCH(L124,PORTS!$H$318:$H$625,0),MATCH(P$5,PORTS!$H$318:$N$318,0)))</f>
        <v>0</v>
      </c>
      <c r="S124" s="232">
        <f t="shared" si="42"/>
        <v>0</v>
      </c>
      <c r="T124" s="241">
        <f t="shared" si="43"/>
        <v>0</v>
      </c>
      <c r="V124" s="186">
        <f t="shared" si="58"/>
        <v>39934</v>
      </c>
      <c r="W124" s="215">
        <f t="shared" si="44"/>
        <v>0</v>
      </c>
      <c r="X124" s="191">
        <f t="shared" si="45"/>
        <v>0</v>
      </c>
      <c r="Y124" s="218">
        <f>+IF(AND(X$8&lt;=V124,X$9&gt;=V124),+MIN($B124-SUMIF($H$17:X$17,Y$17,$H124:X124),((INDEX(ROUTE_PER_DAY_BY_SHIP,MATCH(CONCATENATE(X$4,X$5,X$7),ROUTE_PER_DAY_ROUTES,0),MATCH(X$6,ROUTE_PER_DAY_SHIPS,0))*(V125-V124))-(INDEX(ROUTE_PER_DAY_BY_SHIP,MATCH(CONCATENATE(X$4,X$5,X$7),ROUTE_PER_DAY_ROUTES,0),MATCH(X$6,ROUTE_PER_DAY_SHIPS,0))*(V125-V124))*HLOOKUP(X$6,SHIPS,7,0)*INDEX(LADEN_VOYAGE_DAYS,MATCH(CONCATENATE(X$4,X$5,X$7),LADEN_VOYAGE_ROUTES,0),MATCH(X$6,LADEN_VOYAGE_SHIPS,0)))),0)</f>
        <v>0</v>
      </c>
      <c r="Z124" s="118">
        <f t="shared" si="46"/>
        <v>0</v>
      </c>
      <c r="AA124" s="215">
        <f t="shared" si="32"/>
        <v>0</v>
      </c>
      <c r="AB124" s="202"/>
      <c r="AC124" s="186">
        <f t="shared" si="59"/>
        <v>39934</v>
      </c>
      <c r="AD124" s="232">
        <f>+AA124*(VLOOKUP(AC124,CURVECALC!$C$6:$J$312,4,0)+AE$5)</f>
        <v>0</v>
      </c>
      <c r="AE124" s="208">
        <f>-W124*INDEX(ship_curves,MATCH(AC124,'SHIP CURVES'!$A$9:$A$316,0),MATCH(CONCATENATE(AG$4,AG$5,AG$6,AG$7),'SHIP CURVES'!$A$9:$AZ$9,0))</f>
        <v>0</v>
      </c>
      <c r="AF124" s="209">
        <f>-Y124*INDEX(port_processing_fee,MATCH(AC124,PORTS!$H$626:$H$933,0),MATCH(AG$5,PORTS!$H$626:$Z$626,0))</f>
        <v>0</v>
      </c>
      <c r="AG124" s="405">
        <f>(((VLOOKUP(AC124,curvecalc,4,0))*IF(W124=0,0,AA124/W124)-INDEX(ship_curves,MATCH(AC124,'SHIP CURVES'!$A$9:$A$316,0),MATCH(CONCATENATE(AG$4,AG$5,AG$6,AG$7),'SHIP CURVES'!$A$9:$Z$9,0))-INDEX(terminal_curves,MATCH(AC124,'TERMINAL CURVES'!$A$4:$A$313,0),MATCH(AG$5,'TERMINAL CURVES'!$A$4:$N$4,0))*IF(W124=0,0,Y124/W124))-(AE$8)*((AE$7-$N$5)-(INDEX(ship_curves,MATCH(AC124,'SHIP CURVES'!$A$9:$A$316,0),MATCH(CONCATENATE(AG$4,AG$5,AG$6,AG$7),'SHIP CURVES'!$A$9:$Z$9,0))-INDEX(ship_curves,MATCH(AC124,'SHIP CURVES'!$A$9:$A$316,0),MATCH(CONCATENATE(AG$4,AE$6,AG$6,AG$7),'SHIP CURVES'!$A$9:$Z$9,0)))-(INDEX(terminal_curves,MATCH(AC124,'TERMINAL CURVES'!$A$4:$A$313,0),MATCH(AG$5,'TERMINAL CURVES'!$A$4:$N$4,0))-INDEX(terminal_curves,MATCH(AC124,'TERMINAL CURVES'!$A$4:$A$313,0),MATCH(AE$6,'TERMINAL CURVES'!$A$4:$N$4,0)))*IF(W124=0,0,Y124/W124)))*-W124</f>
        <v>0</v>
      </c>
      <c r="AH124" s="343">
        <f t="shared" si="47"/>
        <v>0</v>
      </c>
      <c r="AI124" s="338">
        <f>(-Y124/((HLOOKUP(AG$5,port_specs,2,0)/(365.25))*(AC125-AC124)))*(INDEX(fixed_capacity_charge,MATCH(AC124,PORTS!$H$11:$H$317,0),MATCH(AG$5,PORTS!$H$11:$N$11,0))+INDEX(variable_om_charge,MATCH(AC124,PORTS!$H$318:$H$625,0),MATCH(AG$5,PORTS!$H$318:$N$318,0)))</f>
        <v>0</v>
      </c>
      <c r="AJ124" s="232">
        <f t="shared" si="48"/>
        <v>0</v>
      </c>
      <c r="AK124" s="241">
        <f t="shared" si="49"/>
        <v>0</v>
      </c>
      <c r="AM124" s="186">
        <f t="shared" si="60"/>
        <v>39934</v>
      </c>
      <c r="AN124" s="215">
        <f t="shared" si="50"/>
        <v>5395761.4773599124</v>
      </c>
      <c r="AO124" s="191">
        <f t="shared" si="51"/>
        <v>-56655.495512278751</v>
      </c>
      <c r="AP124" s="218">
        <f>+IF(AND(AO$8&lt;=AM124,AO$9&gt;=AM124),+MIN($B124-SUMIF($H$17:AO$17,AP$17,$H124:AO124),((INDEX(ROUTE_PER_DAY_BY_SHIP,MATCH(CONCATENATE(AO$4,AO$5,AO$7),ROUTE_PER_DAY_ROUTES,0),MATCH(AO$6,ROUTE_PER_DAY_SHIPS,0))*(AM125-AM124))-(INDEX(ROUTE_PER_DAY_BY_SHIP,MATCH(CONCATENATE(AO$4,AO$5,AO$7),ROUTE_PER_DAY_ROUTES,0),MATCH(AO$6,ROUTE_PER_DAY_SHIPS,0))*(AM125-AM124))*HLOOKUP(AO$6,SHIPS,7,0)*INDEX(LADEN_VOYAGE_DAYS,MATCH(CONCATENATE(AO$4,AO$5,AO$7),LADEN_VOYAGE_ROUTES,0),MATCH(AO$6,LADEN_VOYAGE_SHIPS,0)))),0)</f>
        <v>5339105.9818476336</v>
      </c>
      <c r="AQ124" s="118">
        <f>-(AP124)*PORTS!$I$6</f>
        <v>-133477.64954619083</v>
      </c>
      <c r="AR124" s="215">
        <f t="shared" si="33"/>
        <v>5205628.3323014425</v>
      </c>
      <c r="AS124" s="202"/>
      <c r="AT124" s="186">
        <f t="shared" si="61"/>
        <v>39934</v>
      </c>
      <c r="AU124" s="232">
        <f>+AR124*(VLOOKUP(AT124,CURVECALC!$C$6:$J$312,4,0)+AV$5)</f>
        <v>16751711.973346042</v>
      </c>
      <c r="AV124" s="208">
        <f>-AN124*INDEX(ship_curves,MATCH(AT124,'SHIP CURVES'!$A$9:$A$316,0),MATCH(CONCATENATE(AX$4,AX$5,AX$6,AX$7),'SHIP CURVES'!$A$9:$AZ$9,0))</f>
        <v>-1788442.0281744499</v>
      </c>
      <c r="AW124" s="209">
        <f>-AP124*INDEX(port_processing_fee,MATCH(AT124,PORTS!$H$626:$H$933,0),MATCH(AX$5,PORTS!$H$626:$Z$626,0))</f>
        <v>-157931.93285232456</v>
      </c>
      <c r="AX124" s="405">
        <f>(((VLOOKUP(AT124,curvecalc,4,0))*IF(AN124=0,0,AR124/AN124)-INDEX(ship_curves,MATCH(AT124,'SHIP CURVES'!$A$9:$A$316,0),MATCH(CONCATENATE(AX$4,AX$5,AX$6,AX$7),'SHIP CURVES'!$A$9:$Z$9,0))-INDEX(terminal_curves,MATCH(AT124,'TERMINAL CURVES'!$A$4:$A$313,0),MATCH(AX$5,'TERMINAL CURVES'!$A$4:$N$4,0))*IF(AN124=0,0,AP124/AN124))-(AV$8)*((AV$7-$N$5)-(INDEX(ship_curves,MATCH(AT124,'SHIP CURVES'!$A$9:$A$316,0),MATCH(CONCATENATE(AX$4,AX$5,AX$6,AX$7),'SHIP CURVES'!$A$9:$Z$9,0))-INDEX(ship_curves,MATCH(AT124,'SHIP CURVES'!$A$9:$A$316,0),MATCH(CONCATENATE(AX$4,AV$6,AX$6,AX$7),'SHIP CURVES'!$A$9:$Z$9,0)))-(INDEX(terminal_curves,MATCH(AT124,'TERMINAL CURVES'!$A$4:$A$313,0),MATCH(AX$5,'TERMINAL CURVES'!$A$4:$N$4,0))-INDEX(terminal_curves,MATCH(AT124,'TERMINAL CURVES'!$A$4:$A$313,0),MATCH(AV$6,'TERMINAL CURVES'!$A$4:$N$4,0)))*IF(AN124=0,0,AP124/AN124)))*-AN124</f>
        <v>-13707246.367018154</v>
      </c>
      <c r="AY124" s="343">
        <f t="shared" si="52"/>
        <v>-15653620.328044929</v>
      </c>
      <c r="AZ124" s="338">
        <f>(-AP124/((HLOOKUP(AX$5,port_specs,2,0)/(365.25))*(AT125-AT124)))*(INDEX(fixed_capacity_charge,MATCH(AT124,PORTS!$H$11:$H$317,0),MATCH(AX$5,PORTS!$H$11:$N$11,0))+INDEX(variable_om_charge,MATCH(AT124,PORTS!$H$318:$H$625,0),MATCH(AX$5,PORTS!$H$318:$N$318,0)))</f>
        <v>-993979.07865508529</v>
      </c>
      <c r="BA124" s="232">
        <f t="shared" si="53"/>
        <v>-16647599.406700013</v>
      </c>
      <c r="BB124" s="241">
        <f t="shared" si="54"/>
        <v>104112.56664602831</v>
      </c>
      <c r="BC124" s="408"/>
      <c r="BD124" s="338">
        <f>+PORTS!I118+PORTS!I426</f>
        <v>993979.07865508529</v>
      </c>
    </row>
    <row r="125" spans="1:56" x14ac:dyDescent="0.2">
      <c r="A125" s="186">
        <f t="shared" si="55"/>
        <v>39965</v>
      </c>
      <c r="B125" s="215">
        <f>+IF(AND($A125&gt;=$C$8,$A125&lt;=$C$9),1,0)*PORTS!$I$5/(365.25)*(A126-A125)</f>
        <v>5166876.756626742</v>
      </c>
      <c r="C125" s="351">
        <f t="shared" si="34"/>
        <v>0</v>
      </c>
      <c r="D125">
        <f t="shared" si="35"/>
        <v>2009</v>
      </c>
      <c r="E125" s="186">
        <f t="shared" si="56"/>
        <v>39965</v>
      </c>
      <c r="F125" s="215">
        <f t="shared" si="36"/>
        <v>0</v>
      </c>
      <c r="G125" s="191">
        <f t="shared" si="37"/>
        <v>0</v>
      </c>
      <c r="H125" s="218">
        <f t="shared" si="38"/>
        <v>0</v>
      </c>
      <c r="I125" s="118">
        <f t="shared" si="39"/>
        <v>0</v>
      </c>
      <c r="J125" s="215">
        <f t="shared" si="40"/>
        <v>0</v>
      </c>
      <c r="K125" s="202"/>
      <c r="L125" s="186">
        <f t="shared" si="57"/>
        <v>39965</v>
      </c>
      <c r="M125" s="400">
        <f>+J125*(VLOOKUP(L125,CURVECALC!$C$6:$J$312,4,0)+N$5)</f>
        <v>0</v>
      </c>
      <c r="N125" s="208">
        <f>-F125*INDEX(ship_curves,MATCH(L125,'SHIP CURVES'!$A$9:$A$316,0),MATCH(CONCATENATE(P$4,P$5,P$6,P$7),'SHIP CURVES'!$A$9:$AZ$9,0))</f>
        <v>0</v>
      </c>
      <c r="O125" s="209">
        <f>-H125*INDEX(port_processing_fee,MATCH(L125,PORTS!$H$626:$H$933,0),MATCH(P$5,PORTS!$H$626:$Z$626,0))</f>
        <v>0</v>
      </c>
      <c r="P125" s="405">
        <f>(((VLOOKUP(L125,curvecalc,4,0))*IF(F125=0,0,J125/F125)-INDEX(ship_curves,MATCH(L125,'SHIP CURVES'!$A$9:$A$316,0),MATCH(CONCATENATE(P$4,P$5,P$6,P$7),'SHIP CURVES'!$A$9:$Z$9,0))-INDEX(terminal_curves,MATCH(L125,'TERMINAL CURVES'!$A$4:$A$313,0),MATCH(P$5,'TERMINAL CURVES'!$A$4:$N$4,0))*IF(F125=0,0,H125/F125))-(N$8)*((N$7-$N$5)-(INDEX(ship_curves,MATCH(L125,'SHIP CURVES'!$A$9:$A$316,0),MATCH(CONCATENATE(P$4,P$5,P$6,P$7),'SHIP CURVES'!$A$9:$Z$9,0))-INDEX(ship_curves,MATCH(L125,'SHIP CURVES'!$A$9:$A$316,0),MATCH(CONCATENATE(P$4,N$6,P$6,P$7),'SHIP CURVES'!$A$9:$Z$9,0)))-(INDEX(terminal_curves,MATCH(L125,'TERMINAL CURVES'!$A$4:$A$313,0),MATCH(P$5,'TERMINAL CURVES'!$A$4:$N$4,0))-INDEX(terminal_curves,MATCH(L125,'TERMINAL CURVES'!$A$4:$A$313,0),MATCH(N$6,'TERMINAL CURVES'!$A$4:$N$4,0)))*IF(F125=0,0,H125/F125)))*-F125</f>
        <v>0</v>
      </c>
      <c r="Q125" s="403">
        <f t="shared" si="41"/>
        <v>0</v>
      </c>
      <c r="R125" s="338">
        <f>(-H125/((HLOOKUP(P$5,port_specs,2,0)/(365.25))*(L126-L125)))*(INDEX(fixed_capacity_charge,MATCH(L125,PORTS!$H$11:$H$317,0),MATCH(P$5,PORTS!$H$11:$N$11,0))+INDEX(variable_om_charge,MATCH(L125,PORTS!$H$318:$H$625,0),MATCH(P$5,PORTS!$H$318:$N$318,0)))</f>
        <v>0</v>
      </c>
      <c r="S125" s="232">
        <f t="shared" si="42"/>
        <v>0</v>
      </c>
      <c r="T125" s="241">
        <f t="shared" si="43"/>
        <v>0</v>
      </c>
      <c r="V125" s="186">
        <f t="shared" si="58"/>
        <v>39965</v>
      </c>
      <c r="W125" s="215">
        <f t="shared" si="44"/>
        <v>0</v>
      </c>
      <c r="X125" s="191">
        <f t="shared" si="45"/>
        <v>0</v>
      </c>
      <c r="Y125" s="218">
        <f>+IF(AND(X$8&lt;=V125,X$9&gt;=V125),+MIN($B125-SUMIF($H$17:X$17,Y$17,$H125:X125),((INDEX(ROUTE_PER_DAY_BY_SHIP,MATCH(CONCATENATE(X$4,X$5,X$7),ROUTE_PER_DAY_ROUTES,0),MATCH(X$6,ROUTE_PER_DAY_SHIPS,0))*(V126-V125))-(INDEX(ROUTE_PER_DAY_BY_SHIP,MATCH(CONCATENATE(X$4,X$5,X$7),ROUTE_PER_DAY_ROUTES,0),MATCH(X$6,ROUTE_PER_DAY_SHIPS,0))*(V126-V125))*HLOOKUP(X$6,SHIPS,7,0)*INDEX(LADEN_VOYAGE_DAYS,MATCH(CONCATENATE(X$4,X$5,X$7),LADEN_VOYAGE_ROUTES,0),MATCH(X$6,LADEN_VOYAGE_SHIPS,0)))),0)</f>
        <v>0</v>
      </c>
      <c r="Z125" s="118">
        <f t="shared" si="46"/>
        <v>0</v>
      </c>
      <c r="AA125" s="215">
        <f t="shared" si="32"/>
        <v>0</v>
      </c>
      <c r="AB125" s="202"/>
      <c r="AC125" s="186">
        <f t="shared" si="59"/>
        <v>39965</v>
      </c>
      <c r="AD125" s="232">
        <f>+AA125*(VLOOKUP(AC125,CURVECALC!$C$6:$J$312,4,0)+AE$5)</f>
        <v>0</v>
      </c>
      <c r="AE125" s="208">
        <f>-W125*INDEX(ship_curves,MATCH(AC125,'SHIP CURVES'!$A$9:$A$316,0),MATCH(CONCATENATE(AG$4,AG$5,AG$6,AG$7),'SHIP CURVES'!$A$9:$AZ$9,0))</f>
        <v>0</v>
      </c>
      <c r="AF125" s="209">
        <f>-Y125*INDEX(port_processing_fee,MATCH(AC125,PORTS!$H$626:$H$933,0),MATCH(AG$5,PORTS!$H$626:$Z$626,0))</f>
        <v>0</v>
      </c>
      <c r="AG125" s="405">
        <f>(((VLOOKUP(AC125,curvecalc,4,0))*IF(W125=0,0,AA125/W125)-INDEX(ship_curves,MATCH(AC125,'SHIP CURVES'!$A$9:$A$316,0),MATCH(CONCATENATE(AG$4,AG$5,AG$6,AG$7),'SHIP CURVES'!$A$9:$Z$9,0))-INDEX(terminal_curves,MATCH(AC125,'TERMINAL CURVES'!$A$4:$A$313,0),MATCH(AG$5,'TERMINAL CURVES'!$A$4:$N$4,0))*IF(W125=0,0,Y125/W125))-(AE$8)*((AE$7-$N$5)-(INDEX(ship_curves,MATCH(AC125,'SHIP CURVES'!$A$9:$A$316,0),MATCH(CONCATENATE(AG$4,AG$5,AG$6,AG$7),'SHIP CURVES'!$A$9:$Z$9,0))-INDEX(ship_curves,MATCH(AC125,'SHIP CURVES'!$A$9:$A$316,0),MATCH(CONCATENATE(AG$4,AE$6,AG$6,AG$7),'SHIP CURVES'!$A$9:$Z$9,0)))-(INDEX(terminal_curves,MATCH(AC125,'TERMINAL CURVES'!$A$4:$A$313,0),MATCH(AG$5,'TERMINAL CURVES'!$A$4:$N$4,0))-INDEX(terminal_curves,MATCH(AC125,'TERMINAL CURVES'!$A$4:$A$313,0),MATCH(AE$6,'TERMINAL CURVES'!$A$4:$N$4,0)))*IF(W125=0,0,Y125/W125)))*-W125</f>
        <v>0</v>
      </c>
      <c r="AH125" s="343">
        <f t="shared" si="47"/>
        <v>0</v>
      </c>
      <c r="AI125" s="338">
        <f>(-Y125/((HLOOKUP(AG$5,port_specs,2,0)/(365.25))*(AC126-AC125)))*(INDEX(fixed_capacity_charge,MATCH(AC125,PORTS!$H$11:$H$317,0),MATCH(AG$5,PORTS!$H$11:$N$11,0))+INDEX(variable_om_charge,MATCH(AC125,PORTS!$H$318:$H$625,0),MATCH(AG$5,PORTS!$H$318:$N$318,0)))</f>
        <v>0</v>
      </c>
      <c r="AJ125" s="232">
        <f t="shared" si="48"/>
        <v>0</v>
      </c>
      <c r="AK125" s="241">
        <f t="shared" si="49"/>
        <v>0</v>
      </c>
      <c r="AM125" s="186">
        <f t="shared" si="60"/>
        <v>39965</v>
      </c>
      <c r="AN125" s="215">
        <f t="shared" si="50"/>
        <v>5221704.655509592</v>
      </c>
      <c r="AO125" s="191">
        <f t="shared" si="51"/>
        <v>-54827.898882850073</v>
      </c>
      <c r="AP125" s="218">
        <f>+IF(AND(AO$8&lt;=AM125,AO$9&gt;=AM125),+MIN($B125-SUMIF($H$17:AO$17,AP$17,$H125:AO125),((INDEX(ROUTE_PER_DAY_BY_SHIP,MATCH(CONCATENATE(AO$4,AO$5,AO$7),ROUTE_PER_DAY_ROUTES,0),MATCH(AO$6,ROUTE_PER_DAY_SHIPS,0))*(AM126-AM125))-(INDEX(ROUTE_PER_DAY_BY_SHIP,MATCH(CONCATENATE(AO$4,AO$5,AO$7),ROUTE_PER_DAY_ROUTES,0),MATCH(AO$6,ROUTE_PER_DAY_SHIPS,0))*(AM126-AM125))*HLOOKUP(AO$6,SHIPS,7,0)*INDEX(LADEN_VOYAGE_DAYS,MATCH(CONCATENATE(AO$4,AO$5,AO$7),LADEN_VOYAGE_ROUTES,0),MATCH(AO$6,LADEN_VOYAGE_SHIPS,0)))),0)</f>
        <v>5166876.756626742</v>
      </c>
      <c r="AQ125" s="118">
        <f>-(AP125)*PORTS!$I$6</f>
        <v>-129171.91891566856</v>
      </c>
      <c r="AR125" s="215">
        <f t="shared" si="33"/>
        <v>5037704.8377110735</v>
      </c>
      <c r="AS125" s="202"/>
      <c r="AT125" s="186">
        <f t="shared" si="61"/>
        <v>39965</v>
      </c>
      <c r="AU125" s="232">
        <f>+AR125*(VLOOKUP(AT125,CURVECALC!$C$6:$J$312,4,0)+AV$5)</f>
        <v>16392691.541911833</v>
      </c>
      <c r="AV125" s="208">
        <f>-AN125*INDEX(ship_curves,MATCH(AT125,'SHIP CURVES'!$A$9:$A$316,0),MATCH(CONCATENATE(AX$4,AX$5,AX$6,AX$7),'SHIP CURVES'!$A$9:$AZ$9,0))</f>
        <v>-1731263.4835179315</v>
      </c>
      <c r="AW125" s="209">
        <f>-AP125*INDEX(port_processing_fee,MATCH(AT125,PORTS!$H$626:$H$933,0),MATCH(AX$5,PORTS!$H$626:$Z$626,0))</f>
        <v>-152996.55995068941</v>
      </c>
      <c r="AX125" s="405">
        <f>(((VLOOKUP(AT125,curvecalc,4,0))*IF(AN125=0,0,AR125/AN125)-INDEX(ship_curves,MATCH(AT125,'SHIP CURVES'!$A$9:$A$316,0),MATCH(CONCATENATE(AX$4,AX$5,AX$6,AX$7),'SHIP CURVES'!$A$9:$Z$9,0))-INDEX(terminal_curves,MATCH(AT125,'TERMINAL CURVES'!$A$4:$A$313,0),MATCH(AX$5,'TERMINAL CURVES'!$A$4:$N$4,0))*IF(AN125=0,0,AP125/AN125))-(AV$8)*((AV$7-$N$5)-(INDEX(ship_curves,MATCH(AT125,'SHIP CURVES'!$A$9:$A$316,0),MATCH(CONCATENATE(AX$4,AX$5,AX$6,AX$7),'SHIP CURVES'!$A$9:$Z$9,0))-INDEX(ship_curves,MATCH(AT125,'SHIP CURVES'!$A$9:$A$316,0),MATCH(CONCATENATE(AX$4,AV$6,AX$6,AX$7),'SHIP CURVES'!$A$9:$Z$9,0)))-(INDEX(terminal_curves,MATCH(AT125,'TERMINAL CURVES'!$A$4:$A$313,0),MATCH(AX$5,'TERMINAL CURVES'!$A$4:$N$4,0))-INDEX(terminal_curves,MATCH(AT125,'TERMINAL CURVES'!$A$4:$A$313,0),MATCH(AV$6,'TERMINAL CURVES'!$A$4:$N$4,0)))*IF(AN125=0,0,AP125/AN125)))*-AN125</f>
        <v>-13413168.330838334</v>
      </c>
      <c r="AY125" s="343">
        <f t="shared" si="52"/>
        <v>-15297428.374306954</v>
      </c>
      <c r="AZ125" s="338">
        <f>(-AP125/((HLOOKUP(AX$5,port_specs,2,0)/(365.25))*(AT126-AT125)))*(INDEX(fixed_capacity_charge,MATCH(AT125,PORTS!$H$11:$H$317,0),MATCH(AX$5,PORTS!$H$11:$N$11,0))+INDEX(variable_om_charge,MATCH(AT125,PORTS!$H$318:$H$625,0),MATCH(AX$5,PORTS!$H$318:$N$318,0)))</f>
        <v>-994509.07085065485</v>
      </c>
      <c r="BA125" s="232">
        <f t="shared" si="53"/>
        <v>-16291937.44515761</v>
      </c>
      <c r="BB125" s="241">
        <f t="shared" si="54"/>
        <v>100754.09675422311</v>
      </c>
      <c r="BC125" s="408"/>
      <c r="BD125" s="338">
        <f>+PORTS!I119+PORTS!I427</f>
        <v>994509.07085065485</v>
      </c>
    </row>
    <row r="126" spans="1:56" x14ac:dyDescent="0.2">
      <c r="A126" s="186">
        <f t="shared" si="55"/>
        <v>39995</v>
      </c>
      <c r="B126" s="215">
        <f>+IF(AND($A126&gt;=$C$8,$A126&lt;=$C$9),1,0)*PORTS!$I$5/(365.25)*(A127-A126)</f>
        <v>5339105.9818476336</v>
      </c>
      <c r="C126" s="351">
        <f t="shared" si="34"/>
        <v>0</v>
      </c>
      <c r="D126">
        <f t="shared" si="35"/>
        <v>2009</v>
      </c>
      <c r="E126" s="186">
        <f t="shared" si="56"/>
        <v>39995</v>
      </c>
      <c r="F126" s="215">
        <f t="shared" si="36"/>
        <v>0</v>
      </c>
      <c r="G126" s="191">
        <f t="shared" si="37"/>
        <v>0</v>
      </c>
      <c r="H126" s="218">
        <f t="shared" si="38"/>
        <v>0</v>
      </c>
      <c r="I126" s="118">
        <f t="shared" si="39"/>
        <v>0</v>
      </c>
      <c r="J126" s="215">
        <f t="shared" si="40"/>
        <v>0</v>
      </c>
      <c r="K126" s="202"/>
      <c r="L126" s="186">
        <f t="shared" si="57"/>
        <v>39995</v>
      </c>
      <c r="M126" s="400">
        <f>+J126*(VLOOKUP(L126,CURVECALC!$C$6:$J$312,4,0)+N$5)</f>
        <v>0</v>
      </c>
      <c r="N126" s="208">
        <f>-F126*INDEX(ship_curves,MATCH(L126,'SHIP CURVES'!$A$9:$A$316,0),MATCH(CONCATENATE(P$4,P$5,P$6,P$7),'SHIP CURVES'!$A$9:$AZ$9,0))</f>
        <v>0</v>
      </c>
      <c r="O126" s="209">
        <f>-H126*INDEX(port_processing_fee,MATCH(L126,PORTS!$H$626:$H$933,0),MATCH(P$5,PORTS!$H$626:$Z$626,0))</f>
        <v>0</v>
      </c>
      <c r="P126" s="405">
        <f>(((VLOOKUP(L126,curvecalc,4,0))*IF(F126=0,0,J126/F126)-INDEX(ship_curves,MATCH(L126,'SHIP CURVES'!$A$9:$A$316,0),MATCH(CONCATENATE(P$4,P$5,P$6,P$7),'SHIP CURVES'!$A$9:$Z$9,0))-INDEX(terminal_curves,MATCH(L126,'TERMINAL CURVES'!$A$4:$A$313,0),MATCH(P$5,'TERMINAL CURVES'!$A$4:$N$4,0))*IF(F126=0,0,H126/F126))-(N$8)*((N$7-$N$5)-(INDEX(ship_curves,MATCH(L126,'SHIP CURVES'!$A$9:$A$316,0),MATCH(CONCATENATE(P$4,P$5,P$6,P$7),'SHIP CURVES'!$A$9:$Z$9,0))-INDEX(ship_curves,MATCH(L126,'SHIP CURVES'!$A$9:$A$316,0),MATCH(CONCATENATE(P$4,N$6,P$6,P$7),'SHIP CURVES'!$A$9:$Z$9,0)))-(INDEX(terminal_curves,MATCH(L126,'TERMINAL CURVES'!$A$4:$A$313,0),MATCH(P$5,'TERMINAL CURVES'!$A$4:$N$4,0))-INDEX(terminal_curves,MATCH(L126,'TERMINAL CURVES'!$A$4:$A$313,0),MATCH(N$6,'TERMINAL CURVES'!$A$4:$N$4,0)))*IF(F126=0,0,H126/F126)))*-F126</f>
        <v>0</v>
      </c>
      <c r="Q126" s="403">
        <f t="shared" si="41"/>
        <v>0</v>
      </c>
      <c r="R126" s="338">
        <f>(-H126/((HLOOKUP(P$5,port_specs,2,0)/(365.25))*(L127-L126)))*(INDEX(fixed_capacity_charge,MATCH(L126,PORTS!$H$11:$H$317,0),MATCH(P$5,PORTS!$H$11:$N$11,0))+INDEX(variable_om_charge,MATCH(L126,PORTS!$H$318:$H$625,0),MATCH(P$5,PORTS!$H$318:$N$318,0)))</f>
        <v>0</v>
      </c>
      <c r="S126" s="232">
        <f t="shared" si="42"/>
        <v>0</v>
      </c>
      <c r="T126" s="241">
        <f t="shared" si="43"/>
        <v>0</v>
      </c>
      <c r="V126" s="186">
        <f t="shared" si="58"/>
        <v>39995</v>
      </c>
      <c r="W126" s="215">
        <f t="shared" si="44"/>
        <v>0</v>
      </c>
      <c r="X126" s="191">
        <f t="shared" si="45"/>
        <v>0</v>
      </c>
      <c r="Y126" s="218">
        <f>+IF(AND(X$8&lt;=V126,X$9&gt;=V126),+MIN($B126-SUMIF($H$17:X$17,Y$17,$H126:X126),((INDEX(ROUTE_PER_DAY_BY_SHIP,MATCH(CONCATENATE(X$4,X$5,X$7),ROUTE_PER_DAY_ROUTES,0),MATCH(X$6,ROUTE_PER_DAY_SHIPS,0))*(V127-V126))-(INDEX(ROUTE_PER_DAY_BY_SHIP,MATCH(CONCATENATE(X$4,X$5,X$7),ROUTE_PER_DAY_ROUTES,0),MATCH(X$6,ROUTE_PER_DAY_SHIPS,0))*(V127-V126))*HLOOKUP(X$6,SHIPS,7,0)*INDEX(LADEN_VOYAGE_DAYS,MATCH(CONCATENATE(X$4,X$5,X$7),LADEN_VOYAGE_ROUTES,0),MATCH(X$6,LADEN_VOYAGE_SHIPS,0)))),0)</f>
        <v>0</v>
      </c>
      <c r="Z126" s="118">
        <f t="shared" si="46"/>
        <v>0</v>
      </c>
      <c r="AA126" s="215">
        <f t="shared" si="32"/>
        <v>0</v>
      </c>
      <c r="AB126" s="202"/>
      <c r="AC126" s="186">
        <f t="shared" si="59"/>
        <v>39995</v>
      </c>
      <c r="AD126" s="232">
        <f>+AA126*(VLOOKUP(AC126,CURVECALC!$C$6:$J$312,4,0)+AE$5)</f>
        <v>0</v>
      </c>
      <c r="AE126" s="208">
        <f>-W126*INDEX(ship_curves,MATCH(AC126,'SHIP CURVES'!$A$9:$A$316,0),MATCH(CONCATENATE(AG$4,AG$5,AG$6,AG$7),'SHIP CURVES'!$A$9:$AZ$9,0))</f>
        <v>0</v>
      </c>
      <c r="AF126" s="209">
        <f>-Y126*INDEX(port_processing_fee,MATCH(AC126,PORTS!$H$626:$H$933,0),MATCH(AG$5,PORTS!$H$626:$Z$626,0))</f>
        <v>0</v>
      </c>
      <c r="AG126" s="405">
        <f>(((VLOOKUP(AC126,curvecalc,4,0))*IF(W126=0,0,AA126/W126)-INDEX(ship_curves,MATCH(AC126,'SHIP CURVES'!$A$9:$A$316,0),MATCH(CONCATENATE(AG$4,AG$5,AG$6,AG$7),'SHIP CURVES'!$A$9:$Z$9,0))-INDEX(terminal_curves,MATCH(AC126,'TERMINAL CURVES'!$A$4:$A$313,0),MATCH(AG$5,'TERMINAL CURVES'!$A$4:$N$4,0))*IF(W126=0,0,Y126/W126))-(AE$8)*((AE$7-$N$5)-(INDEX(ship_curves,MATCH(AC126,'SHIP CURVES'!$A$9:$A$316,0),MATCH(CONCATENATE(AG$4,AG$5,AG$6,AG$7),'SHIP CURVES'!$A$9:$Z$9,0))-INDEX(ship_curves,MATCH(AC126,'SHIP CURVES'!$A$9:$A$316,0),MATCH(CONCATENATE(AG$4,AE$6,AG$6,AG$7),'SHIP CURVES'!$A$9:$Z$9,0)))-(INDEX(terminal_curves,MATCH(AC126,'TERMINAL CURVES'!$A$4:$A$313,0),MATCH(AG$5,'TERMINAL CURVES'!$A$4:$N$4,0))-INDEX(terminal_curves,MATCH(AC126,'TERMINAL CURVES'!$A$4:$A$313,0),MATCH(AE$6,'TERMINAL CURVES'!$A$4:$N$4,0)))*IF(W126=0,0,Y126/W126)))*-W126</f>
        <v>0</v>
      </c>
      <c r="AH126" s="343">
        <f t="shared" si="47"/>
        <v>0</v>
      </c>
      <c r="AI126" s="338">
        <f>(-Y126/((HLOOKUP(AG$5,port_specs,2,0)/(365.25))*(AC127-AC126)))*(INDEX(fixed_capacity_charge,MATCH(AC126,PORTS!$H$11:$H$317,0),MATCH(AG$5,PORTS!$H$11:$N$11,0))+INDEX(variable_om_charge,MATCH(AC126,PORTS!$H$318:$H$625,0),MATCH(AG$5,PORTS!$H$318:$N$318,0)))</f>
        <v>0</v>
      </c>
      <c r="AJ126" s="232">
        <f t="shared" si="48"/>
        <v>0</v>
      </c>
      <c r="AK126" s="241">
        <f t="shared" si="49"/>
        <v>0</v>
      </c>
      <c r="AM126" s="186">
        <f t="shared" si="60"/>
        <v>39995</v>
      </c>
      <c r="AN126" s="215">
        <f t="shared" si="50"/>
        <v>5395761.4773599124</v>
      </c>
      <c r="AO126" s="191">
        <f t="shared" si="51"/>
        <v>-56655.495512278751</v>
      </c>
      <c r="AP126" s="218">
        <f>+IF(AND(AO$8&lt;=AM126,AO$9&gt;=AM126),+MIN($B126-SUMIF($H$17:AO$17,AP$17,$H126:AO126),((INDEX(ROUTE_PER_DAY_BY_SHIP,MATCH(CONCATENATE(AO$4,AO$5,AO$7),ROUTE_PER_DAY_ROUTES,0),MATCH(AO$6,ROUTE_PER_DAY_SHIPS,0))*(AM127-AM126))-(INDEX(ROUTE_PER_DAY_BY_SHIP,MATCH(CONCATENATE(AO$4,AO$5,AO$7),ROUTE_PER_DAY_ROUTES,0),MATCH(AO$6,ROUTE_PER_DAY_SHIPS,0))*(AM127-AM126))*HLOOKUP(AO$6,SHIPS,7,0)*INDEX(LADEN_VOYAGE_DAYS,MATCH(CONCATENATE(AO$4,AO$5,AO$7),LADEN_VOYAGE_ROUTES,0),MATCH(AO$6,LADEN_VOYAGE_SHIPS,0)))),0)</f>
        <v>5339105.9818476336</v>
      </c>
      <c r="AQ126" s="118">
        <f>-(AP126)*PORTS!$I$6</f>
        <v>-133477.64954619083</v>
      </c>
      <c r="AR126" s="215">
        <f t="shared" si="33"/>
        <v>5205628.3323014425</v>
      </c>
      <c r="AS126" s="202"/>
      <c r="AT126" s="186">
        <f t="shared" si="61"/>
        <v>39995</v>
      </c>
      <c r="AU126" s="232">
        <f>+AR126*(VLOOKUP(AT126,CURVECALC!$C$6:$J$312,4,0)+AV$5)</f>
        <v>16939114.593308892</v>
      </c>
      <c r="AV126" s="208">
        <f>-AN126*INDEX(ship_curves,MATCH(AT126,'SHIP CURVES'!$A$9:$A$316,0),MATCH(CONCATENATE(AX$4,AX$5,AX$6,AX$7),'SHIP CURVES'!$A$9:$AZ$9,0))</f>
        <v>-1789503.6090920412</v>
      </c>
      <c r="AW126" s="209">
        <f>-AP126*INDEX(port_processing_fee,MATCH(AT126,PORTS!$H$626:$H$933,0),MATCH(AX$5,PORTS!$H$626:$Z$626,0))</f>
        <v>-158261.12907954818</v>
      </c>
      <c r="AX126" s="405">
        <f>(((VLOOKUP(AT126,curvecalc,4,0))*IF(AN126=0,0,AR126/AN126)-INDEX(ship_curves,MATCH(AT126,'SHIP CURVES'!$A$9:$A$316,0),MATCH(CONCATENATE(AX$4,AX$5,AX$6,AX$7),'SHIP CURVES'!$A$9:$Z$9,0))-INDEX(terminal_curves,MATCH(AT126,'TERMINAL CURVES'!$A$4:$A$313,0),MATCH(AX$5,'TERMINAL CURVES'!$A$4:$N$4,0))*IF(AN126=0,0,AP126/AN126))-(AV$8)*((AV$7-$N$5)-(INDEX(ship_curves,MATCH(AT126,'SHIP CURVES'!$A$9:$A$316,0),MATCH(CONCATENATE(AX$4,AX$5,AX$6,AX$7),'SHIP CURVES'!$A$9:$Z$9,0))-INDEX(ship_curves,MATCH(AT126,'SHIP CURVES'!$A$9:$A$316,0),MATCH(CONCATENATE(AX$4,AV$6,AX$6,AX$7),'SHIP CURVES'!$A$9:$Z$9,0)))-(INDEX(terminal_curves,MATCH(AT126,'TERMINAL CURVES'!$A$4:$A$313,0),MATCH(AX$5,'TERMINAL CURVES'!$A$4:$N$4,0))-INDEX(terminal_curves,MATCH(AT126,'TERMINAL CURVES'!$A$4:$A$313,0),MATCH(AV$6,'TERMINAL CURVES'!$A$4:$N$4,0)))*IF(AN126=0,0,AP126/AN126)))*-AN126</f>
        <v>-13892197.673369845</v>
      </c>
      <c r="AY126" s="343">
        <f t="shared" si="52"/>
        <v>-15839962.411541434</v>
      </c>
      <c r="AZ126" s="338">
        <f>(-AP126/((HLOOKUP(AX$5,port_specs,2,0)/(365.25))*(AT127-AT126)))*(INDEX(fixed_capacity_charge,MATCH(AT126,PORTS!$H$11:$H$317,0),MATCH(AX$5,PORTS!$H$11:$N$11,0))+INDEX(variable_om_charge,MATCH(AT126,PORTS!$H$318:$H$625,0),MATCH(AX$5,PORTS!$H$318:$N$318,0)))</f>
        <v>-995039.61512142816</v>
      </c>
      <c r="BA126" s="232">
        <f t="shared" si="53"/>
        <v>-16835002.026662864</v>
      </c>
      <c r="BB126" s="241">
        <f t="shared" si="54"/>
        <v>104112.56664602831</v>
      </c>
      <c r="BC126" s="408"/>
      <c r="BD126" s="338">
        <f>+PORTS!I120+PORTS!I428</f>
        <v>995039.61512142816</v>
      </c>
    </row>
    <row r="127" spans="1:56" x14ac:dyDescent="0.2">
      <c r="A127" s="186">
        <f t="shared" si="55"/>
        <v>40026</v>
      </c>
      <c r="B127" s="215">
        <f>+IF(AND($A127&gt;=$C$8,$A127&lt;=$C$9),1,0)*PORTS!$I$5/(365.25)*(A128-A127)</f>
        <v>5339105.9818476336</v>
      </c>
      <c r="C127" s="351">
        <f t="shared" si="34"/>
        <v>0</v>
      </c>
      <c r="D127">
        <f t="shared" si="35"/>
        <v>2009</v>
      </c>
      <c r="E127" s="186">
        <f t="shared" si="56"/>
        <v>40026</v>
      </c>
      <c r="F127" s="215">
        <f t="shared" si="36"/>
        <v>0</v>
      </c>
      <c r="G127" s="191">
        <f t="shared" si="37"/>
        <v>0</v>
      </c>
      <c r="H127" s="218">
        <f t="shared" si="38"/>
        <v>0</v>
      </c>
      <c r="I127" s="118">
        <f t="shared" si="39"/>
        <v>0</v>
      </c>
      <c r="J127" s="215">
        <f t="shared" si="40"/>
        <v>0</v>
      </c>
      <c r="K127" s="202"/>
      <c r="L127" s="186">
        <f t="shared" si="57"/>
        <v>40026</v>
      </c>
      <c r="M127" s="400">
        <f>+J127*(VLOOKUP(L127,CURVECALC!$C$6:$J$312,4,0)+N$5)</f>
        <v>0</v>
      </c>
      <c r="N127" s="208">
        <f>-F127*INDEX(ship_curves,MATCH(L127,'SHIP CURVES'!$A$9:$A$316,0),MATCH(CONCATENATE(P$4,P$5,P$6,P$7),'SHIP CURVES'!$A$9:$AZ$9,0))</f>
        <v>0</v>
      </c>
      <c r="O127" s="209">
        <f>-H127*INDEX(port_processing_fee,MATCH(L127,PORTS!$H$626:$H$933,0),MATCH(P$5,PORTS!$H$626:$Z$626,0))</f>
        <v>0</v>
      </c>
      <c r="P127" s="405">
        <f>(((VLOOKUP(L127,curvecalc,4,0))*IF(F127=0,0,J127/F127)-INDEX(ship_curves,MATCH(L127,'SHIP CURVES'!$A$9:$A$316,0),MATCH(CONCATENATE(P$4,P$5,P$6,P$7),'SHIP CURVES'!$A$9:$Z$9,0))-INDEX(terminal_curves,MATCH(L127,'TERMINAL CURVES'!$A$4:$A$313,0),MATCH(P$5,'TERMINAL CURVES'!$A$4:$N$4,0))*IF(F127=0,0,H127/F127))-(N$8)*((N$7-$N$5)-(INDEX(ship_curves,MATCH(L127,'SHIP CURVES'!$A$9:$A$316,0),MATCH(CONCATENATE(P$4,P$5,P$6,P$7),'SHIP CURVES'!$A$9:$Z$9,0))-INDEX(ship_curves,MATCH(L127,'SHIP CURVES'!$A$9:$A$316,0),MATCH(CONCATENATE(P$4,N$6,P$6,P$7),'SHIP CURVES'!$A$9:$Z$9,0)))-(INDEX(terminal_curves,MATCH(L127,'TERMINAL CURVES'!$A$4:$A$313,0),MATCH(P$5,'TERMINAL CURVES'!$A$4:$N$4,0))-INDEX(terminal_curves,MATCH(L127,'TERMINAL CURVES'!$A$4:$A$313,0),MATCH(N$6,'TERMINAL CURVES'!$A$4:$N$4,0)))*IF(F127=0,0,H127/F127)))*-F127</f>
        <v>0</v>
      </c>
      <c r="Q127" s="403">
        <f t="shared" si="41"/>
        <v>0</v>
      </c>
      <c r="R127" s="338">
        <f>(-H127/((HLOOKUP(P$5,port_specs,2,0)/(365.25))*(L128-L127)))*(INDEX(fixed_capacity_charge,MATCH(L127,PORTS!$H$11:$H$317,0),MATCH(P$5,PORTS!$H$11:$N$11,0))+INDEX(variable_om_charge,MATCH(L127,PORTS!$H$318:$H$625,0),MATCH(P$5,PORTS!$H$318:$N$318,0)))</f>
        <v>0</v>
      </c>
      <c r="S127" s="232">
        <f t="shared" si="42"/>
        <v>0</v>
      </c>
      <c r="T127" s="241">
        <f t="shared" si="43"/>
        <v>0</v>
      </c>
      <c r="V127" s="186">
        <f t="shared" si="58"/>
        <v>40026</v>
      </c>
      <c r="W127" s="215">
        <f t="shared" si="44"/>
        <v>0</v>
      </c>
      <c r="X127" s="191">
        <f t="shared" si="45"/>
        <v>0</v>
      </c>
      <c r="Y127" s="218">
        <f>+IF(AND(X$8&lt;=V127,X$9&gt;=V127),+MIN($B127-SUMIF($H$17:X$17,Y$17,$H127:X127),((INDEX(ROUTE_PER_DAY_BY_SHIP,MATCH(CONCATENATE(X$4,X$5,X$7),ROUTE_PER_DAY_ROUTES,0),MATCH(X$6,ROUTE_PER_DAY_SHIPS,0))*(V128-V127))-(INDEX(ROUTE_PER_DAY_BY_SHIP,MATCH(CONCATENATE(X$4,X$5,X$7),ROUTE_PER_DAY_ROUTES,0),MATCH(X$6,ROUTE_PER_DAY_SHIPS,0))*(V128-V127))*HLOOKUP(X$6,SHIPS,7,0)*INDEX(LADEN_VOYAGE_DAYS,MATCH(CONCATENATE(X$4,X$5,X$7),LADEN_VOYAGE_ROUTES,0),MATCH(X$6,LADEN_VOYAGE_SHIPS,0)))),0)</f>
        <v>0</v>
      </c>
      <c r="Z127" s="118">
        <f t="shared" si="46"/>
        <v>0</v>
      </c>
      <c r="AA127" s="215">
        <f t="shared" si="32"/>
        <v>0</v>
      </c>
      <c r="AB127" s="202"/>
      <c r="AC127" s="186">
        <f t="shared" si="59"/>
        <v>40026</v>
      </c>
      <c r="AD127" s="232">
        <f>+AA127*(VLOOKUP(AC127,CURVECALC!$C$6:$J$312,4,0)+AE$5)</f>
        <v>0</v>
      </c>
      <c r="AE127" s="208">
        <f>-W127*INDEX(ship_curves,MATCH(AC127,'SHIP CURVES'!$A$9:$A$316,0),MATCH(CONCATENATE(AG$4,AG$5,AG$6,AG$7),'SHIP CURVES'!$A$9:$AZ$9,0))</f>
        <v>0</v>
      </c>
      <c r="AF127" s="209">
        <f>-Y127*INDEX(port_processing_fee,MATCH(AC127,PORTS!$H$626:$H$933,0),MATCH(AG$5,PORTS!$H$626:$Z$626,0))</f>
        <v>0</v>
      </c>
      <c r="AG127" s="405">
        <f>(((VLOOKUP(AC127,curvecalc,4,0))*IF(W127=0,0,AA127/W127)-INDEX(ship_curves,MATCH(AC127,'SHIP CURVES'!$A$9:$A$316,0),MATCH(CONCATENATE(AG$4,AG$5,AG$6,AG$7),'SHIP CURVES'!$A$9:$Z$9,0))-INDEX(terminal_curves,MATCH(AC127,'TERMINAL CURVES'!$A$4:$A$313,0),MATCH(AG$5,'TERMINAL CURVES'!$A$4:$N$4,0))*IF(W127=0,0,Y127/W127))-(AE$8)*((AE$7-$N$5)-(INDEX(ship_curves,MATCH(AC127,'SHIP CURVES'!$A$9:$A$316,0),MATCH(CONCATENATE(AG$4,AG$5,AG$6,AG$7),'SHIP CURVES'!$A$9:$Z$9,0))-INDEX(ship_curves,MATCH(AC127,'SHIP CURVES'!$A$9:$A$316,0),MATCH(CONCATENATE(AG$4,AE$6,AG$6,AG$7),'SHIP CURVES'!$A$9:$Z$9,0)))-(INDEX(terminal_curves,MATCH(AC127,'TERMINAL CURVES'!$A$4:$A$313,0),MATCH(AG$5,'TERMINAL CURVES'!$A$4:$N$4,0))-INDEX(terminal_curves,MATCH(AC127,'TERMINAL CURVES'!$A$4:$A$313,0),MATCH(AE$6,'TERMINAL CURVES'!$A$4:$N$4,0)))*IF(W127=0,0,Y127/W127)))*-W127</f>
        <v>0</v>
      </c>
      <c r="AH127" s="343">
        <f t="shared" si="47"/>
        <v>0</v>
      </c>
      <c r="AI127" s="338">
        <f>(-Y127/((HLOOKUP(AG$5,port_specs,2,0)/(365.25))*(AC128-AC127)))*(INDEX(fixed_capacity_charge,MATCH(AC127,PORTS!$H$11:$H$317,0),MATCH(AG$5,PORTS!$H$11:$N$11,0))+INDEX(variable_om_charge,MATCH(AC127,PORTS!$H$318:$H$625,0),MATCH(AG$5,PORTS!$H$318:$N$318,0)))</f>
        <v>0</v>
      </c>
      <c r="AJ127" s="232">
        <f t="shared" si="48"/>
        <v>0</v>
      </c>
      <c r="AK127" s="241">
        <f t="shared" si="49"/>
        <v>0</v>
      </c>
      <c r="AM127" s="186">
        <f t="shared" si="60"/>
        <v>40026</v>
      </c>
      <c r="AN127" s="215">
        <f t="shared" si="50"/>
        <v>5395761.4773599124</v>
      </c>
      <c r="AO127" s="191">
        <f t="shared" si="51"/>
        <v>-56655.495512278751</v>
      </c>
      <c r="AP127" s="218">
        <f>+IF(AND(AO$8&lt;=AM127,AO$9&gt;=AM127),+MIN($B127-SUMIF($H$17:AO$17,AP$17,$H127:AO127),((INDEX(ROUTE_PER_DAY_BY_SHIP,MATCH(CONCATENATE(AO$4,AO$5,AO$7),ROUTE_PER_DAY_ROUTES,0),MATCH(AO$6,ROUTE_PER_DAY_SHIPS,0))*(AM128-AM127))-(INDEX(ROUTE_PER_DAY_BY_SHIP,MATCH(CONCATENATE(AO$4,AO$5,AO$7),ROUTE_PER_DAY_ROUTES,0),MATCH(AO$6,ROUTE_PER_DAY_SHIPS,0))*(AM128-AM127))*HLOOKUP(AO$6,SHIPS,7,0)*INDEX(LADEN_VOYAGE_DAYS,MATCH(CONCATENATE(AO$4,AO$5,AO$7),LADEN_VOYAGE_ROUTES,0),MATCH(AO$6,LADEN_VOYAGE_SHIPS,0)))),0)</f>
        <v>5339105.9818476336</v>
      </c>
      <c r="AQ127" s="118">
        <f>-(AP127)*PORTS!$I$6</f>
        <v>-133477.64954619083</v>
      </c>
      <c r="AR127" s="215">
        <f t="shared" si="33"/>
        <v>5205628.3323014425</v>
      </c>
      <c r="AS127" s="202"/>
      <c r="AT127" s="186">
        <f t="shared" si="61"/>
        <v>40026</v>
      </c>
      <c r="AU127" s="232">
        <f>+AR127*(VLOOKUP(AT127,CURVECALC!$C$6:$J$312,4,0)+AV$5)</f>
        <v>17251452.293246981</v>
      </c>
      <c r="AV127" s="208">
        <f>-AN127*INDEX(ship_curves,MATCH(AT127,'SHIP CURVES'!$A$9:$A$316,0),MATCH(CONCATENATE(AX$4,AX$5,AX$6,AX$7),'SHIP CURVES'!$A$9:$AZ$9,0))</f>
        <v>-1790036.0588463659</v>
      </c>
      <c r="AW127" s="209">
        <f>-AP127*INDEX(port_processing_fee,MATCH(AT127,PORTS!$H$626:$H$933,0),MATCH(AX$5,PORTS!$H$626:$Z$626,0))</f>
        <v>-158425.98442233936</v>
      </c>
      <c r="AX127" s="405">
        <f>(((VLOOKUP(AT127,curvecalc,4,0))*IF(AN127=0,0,AR127/AN127)-INDEX(ship_curves,MATCH(AT127,'SHIP CURVES'!$A$9:$A$316,0),MATCH(CONCATENATE(AX$4,AX$5,AX$6,AX$7),'SHIP CURVES'!$A$9:$Z$9,0))-INDEX(terminal_curves,MATCH(AT127,'TERMINAL CURVES'!$A$4:$A$313,0),MATCH(AX$5,'TERMINAL CURVES'!$A$4:$N$4,0))*IF(AN127=0,0,AP127/AN127))-(AV$8)*((AV$7-$N$5)-(INDEX(ship_curves,MATCH(AT127,'SHIP CURVES'!$A$9:$A$316,0),MATCH(CONCATENATE(AX$4,AX$5,AX$6,AX$7),'SHIP CURVES'!$A$9:$Z$9,0))-INDEX(ship_curves,MATCH(AT127,'SHIP CURVES'!$A$9:$A$316,0),MATCH(CONCATENATE(AX$4,AV$6,AX$6,AX$7),'SHIP CURVES'!$A$9:$Z$9,0)))-(INDEX(terminal_curves,MATCH(AT127,'TERMINAL CURVES'!$A$4:$A$313,0),MATCH(AX$5,'TERMINAL CURVES'!$A$4:$N$4,0))-INDEX(terminal_curves,MATCH(AT127,'TERMINAL CURVES'!$A$4:$A$313,0),MATCH(AV$6,'TERMINAL CURVES'!$A$4:$N$4,0)))*IF(AN127=0,0,AP127/AN127)))*-AN127</f>
        <v>-14203306.97128976</v>
      </c>
      <c r="AY127" s="343">
        <f t="shared" si="52"/>
        <v>-16151769.014558464</v>
      </c>
      <c r="AZ127" s="338">
        <f>(-AP127/((HLOOKUP(AX$5,port_specs,2,0)/(365.25))*(AT128-AT127)))*(INDEX(fixed_capacity_charge,MATCH(AT127,PORTS!$H$11:$H$317,0),MATCH(AX$5,PORTS!$H$11:$N$11,0))+INDEX(variable_om_charge,MATCH(AT127,PORTS!$H$318:$H$625,0),MATCH(AX$5,PORTS!$H$318:$N$318,0)))</f>
        <v>-995570.71204248338</v>
      </c>
      <c r="BA127" s="232">
        <f t="shared" si="53"/>
        <v>-17147339.726600949</v>
      </c>
      <c r="BB127" s="241">
        <f t="shared" si="54"/>
        <v>104112.56664603204</v>
      </c>
      <c r="BC127" s="408"/>
      <c r="BD127" s="338">
        <f>+PORTS!I121+PORTS!I429</f>
        <v>995570.71204248338</v>
      </c>
    </row>
    <row r="128" spans="1:56" x14ac:dyDescent="0.2">
      <c r="A128" s="186">
        <f t="shared" si="55"/>
        <v>40057</v>
      </c>
      <c r="B128" s="215">
        <f>+IF(AND($A128&gt;=$C$8,$A128&lt;=$C$9),1,0)*PORTS!$I$5/(365.25)*(A129-A128)</f>
        <v>5166876.756626742</v>
      </c>
      <c r="C128" s="351">
        <f t="shared" si="34"/>
        <v>0</v>
      </c>
      <c r="D128">
        <f t="shared" si="35"/>
        <v>2009</v>
      </c>
      <c r="E128" s="186">
        <f t="shared" si="56"/>
        <v>40057</v>
      </c>
      <c r="F128" s="215">
        <f t="shared" si="36"/>
        <v>0</v>
      </c>
      <c r="G128" s="191">
        <f t="shared" si="37"/>
        <v>0</v>
      </c>
      <c r="H128" s="218">
        <f t="shared" si="38"/>
        <v>0</v>
      </c>
      <c r="I128" s="118">
        <f t="shared" si="39"/>
        <v>0</v>
      </c>
      <c r="J128" s="215">
        <f t="shared" si="40"/>
        <v>0</v>
      </c>
      <c r="K128" s="202"/>
      <c r="L128" s="186">
        <f t="shared" si="57"/>
        <v>40057</v>
      </c>
      <c r="M128" s="400">
        <f>+J128*(VLOOKUP(L128,CURVECALC!$C$6:$J$312,4,0)+N$5)</f>
        <v>0</v>
      </c>
      <c r="N128" s="208">
        <f>-F128*INDEX(ship_curves,MATCH(L128,'SHIP CURVES'!$A$9:$A$316,0),MATCH(CONCATENATE(P$4,P$5,P$6,P$7),'SHIP CURVES'!$A$9:$AZ$9,0))</f>
        <v>0</v>
      </c>
      <c r="O128" s="209">
        <f>-H128*INDEX(port_processing_fee,MATCH(L128,PORTS!$H$626:$H$933,0),MATCH(P$5,PORTS!$H$626:$Z$626,0))</f>
        <v>0</v>
      </c>
      <c r="P128" s="405">
        <f>(((VLOOKUP(L128,curvecalc,4,0))*IF(F128=0,0,J128/F128)-INDEX(ship_curves,MATCH(L128,'SHIP CURVES'!$A$9:$A$316,0),MATCH(CONCATENATE(P$4,P$5,P$6,P$7),'SHIP CURVES'!$A$9:$Z$9,0))-INDEX(terminal_curves,MATCH(L128,'TERMINAL CURVES'!$A$4:$A$313,0),MATCH(P$5,'TERMINAL CURVES'!$A$4:$N$4,0))*IF(F128=0,0,H128/F128))-(N$8)*((N$7-$N$5)-(INDEX(ship_curves,MATCH(L128,'SHIP CURVES'!$A$9:$A$316,0),MATCH(CONCATENATE(P$4,P$5,P$6,P$7),'SHIP CURVES'!$A$9:$Z$9,0))-INDEX(ship_curves,MATCH(L128,'SHIP CURVES'!$A$9:$A$316,0),MATCH(CONCATENATE(P$4,N$6,P$6,P$7),'SHIP CURVES'!$A$9:$Z$9,0)))-(INDEX(terminal_curves,MATCH(L128,'TERMINAL CURVES'!$A$4:$A$313,0),MATCH(P$5,'TERMINAL CURVES'!$A$4:$N$4,0))-INDEX(terminal_curves,MATCH(L128,'TERMINAL CURVES'!$A$4:$A$313,0),MATCH(N$6,'TERMINAL CURVES'!$A$4:$N$4,0)))*IF(F128=0,0,H128/F128)))*-F128</f>
        <v>0</v>
      </c>
      <c r="Q128" s="403">
        <f t="shared" si="41"/>
        <v>0</v>
      </c>
      <c r="R128" s="338">
        <f>(-H128/((HLOOKUP(P$5,port_specs,2,0)/(365.25))*(L129-L128)))*(INDEX(fixed_capacity_charge,MATCH(L128,PORTS!$H$11:$H$317,0),MATCH(P$5,PORTS!$H$11:$N$11,0))+INDEX(variable_om_charge,MATCH(L128,PORTS!$H$318:$H$625,0),MATCH(P$5,PORTS!$H$318:$N$318,0)))</f>
        <v>0</v>
      </c>
      <c r="S128" s="232">
        <f t="shared" si="42"/>
        <v>0</v>
      </c>
      <c r="T128" s="241">
        <f t="shared" si="43"/>
        <v>0</v>
      </c>
      <c r="V128" s="186">
        <f t="shared" si="58"/>
        <v>40057</v>
      </c>
      <c r="W128" s="215">
        <f t="shared" si="44"/>
        <v>0</v>
      </c>
      <c r="X128" s="191">
        <f t="shared" si="45"/>
        <v>0</v>
      </c>
      <c r="Y128" s="218">
        <f>+IF(AND(X$8&lt;=V128,X$9&gt;=V128),+MIN($B128-SUMIF($H$17:X$17,Y$17,$H128:X128),((INDEX(ROUTE_PER_DAY_BY_SHIP,MATCH(CONCATENATE(X$4,X$5,X$7),ROUTE_PER_DAY_ROUTES,0),MATCH(X$6,ROUTE_PER_DAY_SHIPS,0))*(V129-V128))-(INDEX(ROUTE_PER_DAY_BY_SHIP,MATCH(CONCATENATE(X$4,X$5,X$7),ROUTE_PER_DAY_ROUTES,0),MATCH(X$6,ROUTE_PER_DAY_SHIPS,0))*(V129-V128))*HLOOKUP(X$6,SHIPS,7,0)*INDEX(LADEN_VOYAGE_DAYS,MATCH(CONCATENATE(X$4,X$5,X$7),LADEN_VOYAGE_ROUTES,0),MATCH(X$6,LADEN_VOYAGE_SHIPS,0)))),0)</f>
        <v>0</v>
      </c>
      <c r="Z128" s="118">
        <f t="shared" si="46"/>
        <v>0</v>
      </c>
      <c r="AA128" s="215">
        <f t="shared" si="32"/>
        <v>0</v>
      </c>
      <c r="AB128" s="202"/>
      <c r="AC128" s="186">
        <f t="shared" si="59"/>
        <v>40057</v>
      </c>
      <c r="AD128" s="232">
        <f>+AA128*(VLOOKUP(AC128,CURVECALC!$C$6:$J$312,4,0)+AE$5)</f>
        <v>0</v>
      </c>
      <c r="AE128" s="208">
        <f>-W128*INDEX(ship_curves,MATCH(AC128,'SHIP CURVES'!$A$9:$A$316,0),MATCH(CONCATENATE(AG$4,AG$5,AG$6,AG$7),'SHIP CURVES'!$A$9:$AZ$9,0))</f>
        <v>0</v>
      </c>
      <c r="AF128" s="209">
        <f>-Y128*INDEX(port_processing_fee,MATCH(AC128,PORTS!$H$626:$H$933,0),MATCH(AG$5,PORTS!$H$626:$Z$626,0))</f>
        <v>0</v>
      </c>
      <c r="AG128" s="405">
        <f>(((VLOOKUP(AC128,curvecalc,4,0))*IF(W128=0,0,AA128/W128)-INDEX(ship_curves,MATCH(AC128,'SHIP CURVES'!$A$9:$A$316,0),MATCH(CONCATENATE(AG$4,AG$5,AG$6,AG$7),'SHIP CURVES'!$A$9:$Z$9,0))-INDEX(terminal_curves,MATCH(AC128,'TERMINAL CURVES'!$A$4:$A$313,0),MATCH(AG$5,'TERMINAL CURVES'!$A$4:$N$4,0))*IF(W128=0,0,Y128/W128))-(AE$8)*((AE$7-$N$5)-(INDEX(ship_curves,MATCH(AC128,'SHIP CURVES'!$A$9:$A$316,0),MATCH(CONCATENATE(AG$4,AG$5,AG$6,AG$7),'SHIP CURVES'!$A$9:$Z$9,0))-INDEX(ship_curves,MATCH(AC128,'SHIP CURVES'!$A$9:$A$316,0),MATCH(CONCATENATE(AG$4,AE$6,AG$6,AG$7),'SHIP CURVES'!$A$9:$Z$9,0)))-(INDEX(terminal_curves,MATCH(AC128,'TERMINAL CURVES'!$A$4:$A$313,0),MATCH(AG$5,'TERMINAL CURVES'!$A$4:$N$4,0))-INDEX(terminal_curves,MATCH(AC128,'TERMINAL CURVES'!$A$4:$A$313,0),MATCH(AE$6,'TERMINAL CURVES'!$A$4:$N$4,0)))*IF(W128=0,0,Y128/W128)))*-W128</f>
        <v>0</v>
      </c>
      <c r="AH128" s="343">
        <f t="shared" si="47"/>
        <v>0</v>
      </c>
      <c r="AI128" s="338">
        <f>(-Y128/((HLOOKUP(AG$5,port_specs,2,0)/(365.25))*(AC129-AC128)))*(INDEX(fixed_capacity_charge,MATCH(AC128,PORTS!$H$11:$H$317,0),MATCH(AG$5,PORTS!$H$11:$N$11,0))+INDEX(variable_om_charge,MATCH(AC128,PORTS!$H$318:$H$625,0),MATCH(AG$5,PORTS!$H$318:$N$318,0)))</f>
        <v>0</v>
      </c>
      <c r="AJ128" s="232">
        <f t="shared" si="48"/>
        <v>0</v>
      </c>
      <c r="AK128" s="241">
        <f t="shared" si="49"/>
        <v>0</v>
      </c>
      <c r="AM128" s="186">
        <f t="shared" si="60"/>
        <v>40057</v>
      </c>
      <c r="AN128" s="215">
        <f t="shared" si="50"/>
        <v>5221704.655509592</v>
      </c>
      <c r="AO128" s="191">
        <f t="shared" si="51"/>
        <v>-54827.898882850073</v>
      </c>
      <c r="AP128" s="218">
        <f>+IF(AND(AO$8&lt;=AM128,AO$9&gt;=AM128),+MIN($B128-SUMIF($H$17:AO$17,AP$17,$H128:AO128),((INDEX(ROUTE_PER_DAY_BY_SHIP,MATCH(CONCATENATE(AO$4,AO$5,AO$7),ROUTE_PER_DAY_ROUTES,0),MATCH(AO$6,ROUTE_PER_DAY_SHIPS,0))*(AM129-AM128))-(INDEX(ROUTE_PER_DAY_BY_SHIP,MATCH(CONCATENATE(AO$4,AO$5,AO$7),ROUTE_PER_DAY_ROUTES,0),MATCH(AO$6,ROUTE_PER_DAY_SHIPS,0))*(AM129-AM128))*HLOOKUP(AO$6,SHIPS,7,0)*INDEX(LADEN_VOYAGE_DAYS,MATCH(CONCATENATE(AO$4,AO$5,AO$7),LADEN_VOYAGE_ROUTES,0),MATCH(AO$6,LADEN_VOYAGE_SHIPS,0)))),0)</f>
        <v>5166876.756626742</v>
      </c>
      <c r="AQ128" s="118">
        <f>-(AP128)*PORTS!$I$6</f>
        <v>-129171.91891566856</v>
      </c>
      <c r="AR128" s="215">
        <f t="shared" si="33"/>
        <v>5037704.8377110735</v>
      </c>
      <c r="AS128" s="202"/>
      <c r="AT128" s="186">
        <f t="shared" si="61"/>
        <v>40057</v>
      </c>
      <c r="AU128" s="232">
        <f>+AR128*(VLOOKUP(AT128,CURVECALC!$C$6:$J$312,4,0)+AV$5)</f>
        <v>16614350.55477112</v>
      </c>
      <c r="AV128" s="208">
        <f>-AN128*INDEX(ship_curves,MATCH(AT128,'SHIP CURVES'!$A$9:$A$316,0),MATCH(CONCATENATE(AX$4,AX$5,AX$6,AX$7),'SHIP CURVES'!$A$9:$AZ$9,0))</f>
        <v>-1732809.3076171081</v>
      </c>
      <c r="AW128" s="209">
        <f>-AP128*INDEX(port_processing_fee,MATCH(AT128,PORTS!$H$626:$H$933,0),MATCH(AX$5,PORTS!$H$626:$Z$626,0))</f>
        <v>-153475.17240914123</v>
      </c>
      <c r="AX128" s="405">
        <f>(((VLOOKUP(AT128,curvecalc,4,0))*IF(AN128=0,0,AR128/AN128)-INDEX(ship_curves,MATCH(AT128,'SHIP CURVES'!$A$9:$A$316,0),MATCH(CONCATENATE(AX$4,AX$5,AX$6,AX$7),'SHIP CURVES'!$A$9:$Z$9,0))-INDEX(terminal_curves,MATCH(AT128,'TERMINAL CURVES'!$A$4:$A$313,0),MATCH(AX$5,'TERMINAL CURVES'!$A$4:$N$4,0))*IF(AN128=0,0,AP128/AN128))-(AV$8)*((AV$7-$N$5)-(INDEX(ship_curves,MATCH(AT128,'SHIP CURVES'!$A$9:$A$316,0),MATCH(CONCATENATE(AX$4,AX$5,AX$6,AX$7),'SHIP CURVES'!$A$9:$Z$9,0))-INDEX(ship_curves,MATCH(AT128,'SHIP CURVES'!$A$9:$A$316,0),MATCH(CONCATENATE(AX$4,AV$6,AX$6,AX$7),'SHIP CURVES'!$A$9:$Z$9,0)))-(INDEX(terminal_curves,MATCH(AT128,'TERMINAL CURVES'!$A$4:$A$313,0),MATCH(AX$5,'TERMINAL CURVES'!$A$4:$N$4,0))-INDEX(terminal_curves,MATCH(AT128,'TERMINAL CURVES'!$A$4:$A$313,0),MATCH(AV$6,'TERMINAL CURVES'!$A$4:$N$4,0)))*IF(AN128=0,0,AP128/AN128)))*-AN128</f>
        <v>-13631209.615801152</v>
      </c>
      <c r="AY128" s="343">
        <f t="shared" si="52"/>
        <v>-15517494.095827401</v>
      </c>
      <c r="AZ128" s="338">
        <f>(-AP128/((HLOOKUP(AX$5,port_specs,2,0)/(365.25))*(AT129-AT128)))*(INDEX(fixed_capacity_charge,MATCH(AT128,PORTS!$H$11:$H$317,0),MATCH(AX$5,PORTS!$H$11:$N$11,0))+INDEX(variable_om_charge,MATCH(AT128,PORTS!$H$318:$H$625,0),MATCH(AX$5,PORTS!$H$318:$N$318,0)))</f>
        <v>-996102.36218949803</v>
      </c>
      <c r="BA128" s="232">
        <f t="shared" si="53"/>
        <v>-16513596.458016898</v>
      </c>
      <c r="BB128" s="241">
        <f t="shared" si="54"/>
        <v>100754.09675422125</v>
      </c>
      <c r="BC128" s="408"/>
      <c r="BD128" s="338">
        <f>+PORTS!I122+PORTS!I430</f>
        <v>996102.36218949803</v>
      </c>
    </row>
    <row r="129" spans="1:56" x14ac:dyDescent="0.2">
      <c r="A129" s="186">
        <f t="shared" si="55"/>
        <v>40087</v>
      </c>
      <c r="B129" s="215">
        <f>+IF(AND($A129&gt;=$C$8,$A129&lt;=$C$9),1,0)*PORTS!$I$5/(365.25)*(A130-A129)</f>
        <v>5339105.9818476336</v>
      </c>
      <c r="C129" s="351">
        <f t="shared" si="34"/>
        <v>0</v>
      </c>
      <c r="D129">
        <f t="shared" si="35"/>
        <v>2009</v>
      </c>
      <c r="E129" s="186">
        <f t="shared" si="56"/>
        <v>40087</v>
      </c>
      <c r="F129" s="215">
        <f t="shared" si="36"/>
        <v>0</v>
      </c>
      <c r="G129" s="191">
        <f t="shared" si="37"/>
        <v>0</v>
      </c>
      <c r="H129" s="218">
        <f t="shared" si="38"/>
        <v>0</v>
      </c>
      <c r="I129" s="118">
        <f t="shared" si="39"/>
        <v>0</v>
      </c>
      <c r="J129" s="215">
        <f t="shared" si="40"/>
        <v>0</v>
      </c>
      <c r="K129" s="202"/>
      <c r="L129" s="186">
        <f t="shared" si="57"/>
        <v>40087</v>
      </c>
      <c r="M129" s="400">
        <f>+J129*(VLOOKUP(L129,CURVECALC!$C$6:$J$312,4,0)+N$5)</f>
        <v>0</v>
      </c>
      <c r="N129" s="208">
        <f>-F129*INDEX(ship_curves,MATCH(L129,'SHIP CURVES'!$A$9:$A$316,0),MATCH(CONCATENATE(P$4,P$5,P$6,P$7),'SHIP CURVES'!$A$9:$AZ$9,0))</f>
        <v>0</v>
      </c>
      <c r="O129" s="209">
        <f>-H129*INDEX(port_processing_fee,MATCH(L129,PORTS!$H$626:$H$933,0),MATCH(P$5,PORTS!$H$626:$Z$626,0))</f>
        <v>0</v>
      </c>
      <c r="P129" s="405">
        <f>(((VLOOKUP(L129,curvecalc,4,0))*IF(F129=0,0,J129/F129)-INDEX(ship_curves,MATCH(L129,'SHIP CURVES'!$A$9:$A$316,0),MATCH(CONCATENATE(P$4,P$5,P$6,P$7),'SHIP CURVES'!$A$9:$Z$9,0))-INDEX(terminal_curves,MATCH(L129,'TERMINAL CURVES'!$A$4:$A$313,0),MATCH(P$5,'TERMINAL CURVES'!$A$4:$N$4,0))*IF(F129=0,0,H129/F129))-(N$8)*((N$7-$N$5)-(INDEX(ship_curves,MATCH(L129,'SHIP CURVES'!$A$9:$A$316,0),MATCH(CONCATENATE(P$4,P$5,P$6,P$7),'SHIP CURVES'!$A$9:$Z$9,0))-INDEX(ship_curves,MATCH(L129,'SHIP CURVES'!$A$9:$A$316,0),MATCH(CONCATENATE(P$4,N$6,P$6,P$7),'SHIP CURVES'!$A$9:$Z$9,0)))-(INDEX(terminal_curves,MATCH(L129,'TERMINAL CURVES'!$A$4:$A$313,0),MATCH(P$5,'TERMINAL CURVES'!$A$4:$N$4,0))-INDEX(terminal_curves,MATCH(L129,'TERMINAL CURVES'!$A$4:$A$313,0),MATCH(N$6,'TERMINAL CURVES'!$A$4:$N$4,0)))*IF(F129=0,0,H129/F129)))*-F129</f>
        <v>0</v>
      </c>
      <c r="Q129" s="403">
        <f t="shared" si="41"/>
        <v>0</v>
      </c>
      <c r="R129" s="338">
        <f>(-H129/((HLOOKUP(P$5,port_specs,2,0)/(365.25))*(L130-L129)))*(INDEX(fixed_capacity_charge,MATCH(L129,PORTS!$H$11:$H$317,0),MATCH(P$5,PORTS!$H$11:$N$11,0))+INDEX(variable_om_charge,MATCH(L129,PORTS!$H$318:$H$625,0),MATCH(P$5,PORTS!$H$318:$N$318,0)))</f>
        <v>0</v>
      </c>
      <c r="S129" s="232">
        <f t="shared" si="42"/>
        <v>0</v>
      </c>
      <c r="T129" s="241">
        <f t="shared" si="43"/>
        <v>0</v>
      </c>
      <c r="V129" s="186">
        <f t="shared" si="58"/>
        <v>40087</v>
      </c>
      <c r="W129" s="215">
        <f t="shared" si="44"/>
        <v>0</v>
      </c>
      <c r="X129" s="191">
        <f t="shared" si="45"/>
        <v>0</v>
      </c>
      <c r="Y129" s="218">
        <f>+IF(AND(X$8&lt;=V129,X$9&gt;=V129),+MIN($B129-SUMIF($H$17:X$17,Y$17,$H129:X129),((INDEX(ROUTE_PER_DAY_BY_SHIP,MATCH(CONCATENATE(X$4,X$5,X$7),ROUTE_PER_DAY_ROUTES,0),MATCH(X$6,ROUTE_PER_DAY_SHIPS,0))*(V130-V129))-(INDEX(ROUTE_PER_DAY_BY_SHIP,MATCH(CONCATENATE(X$4,X$5,X$7),ROUTE_PER_DAY_ROUTES,0),MATCH(X$6,ROUTE_PER_DAY_SHIPS,0))*(V130-V129))*HLOOKUP(X$6,SHIPS,7,0)*INDEX(LADEN_VOYAGE_DAYS,MATCH(CONCATENATE(X$4,X$5,X$7),LADEN_VOYAGE_ROUTES,0),MATCH(X$6,LADEN_VOYAGE_SHIPS,0)))),0)</f>
        <v>0</v>
      </c>
      <c r="Z129" s="118">
        <f t="shared" si="46"/>
        <v>0</v>
      </c>
      <c r="AA129" s="215">
        <f t="shared" si="32"/>
        <v>0</v>
      </c>
      <c r="AB129" s="202"/>
      <c r="AC129" s="186">
        <f t="shared" si="59"/>
        <v>40087</v>
      </c>
      <c r="AD129" s="232">
        <f>+AA129*(VLOOKUP(AC129,CURVECALC!$C$6:$J$312,4,0)+AE$5)</f>
        <v>0</v>
      </c>
      <c r="AE129" s="208">
        <f>-W129*INDEX(ship_curves,MATCH(AC129,'SHIP CURVES'!$A$9:$A$316,0),MATCH(CONCATENATE(AG$4,AG$5,AG$6,AG$7),'SHIP CURVES'!$A$9:$AZ$9,0))</f>
        <v>0</v>
      </c>
      <c r="AF129" s="209">
        <f>-Y129*INDEX(port_processing_fee,MATCH(AC129,PORTS!$H$626:$H$933,0),MATCH(AG$5,PORTS!$H$626:$Z$626,0))</f>
        <v>0</v>
      </c>
      <c r="AG129" s="405">
        <f>(((VLOOKUP(AC129,curvecalc,4,0))*IF(W129=0,0,AA129/W129)-INDEX(ship_curves,MATCH(AC129,'SHIP CURVES'!$A$9:$A$316,0),MATCH(CONCATENATE(AG$4,AG$5,AG$6,AG$7),'SHIP CURVES'!$A$9:$Z$9,0))-INDEX(terminal_curves,MATCH(AC129,'TERMINAL CURVES'!$A$4:$A$313,0),MATCH(AG$5,'TERMINAL CURVES'!$A$4:$N$4,0))*IF(W129=0,0,Y129/W129))-(AE$8)*((AE$7-$N$5)-(INDEX(ship_curves,MATCH(AC129,'SHIP CURVES'!$A$9:$A$316,0),MATCH(CONCATENATE(AG$4,AG$5,AG$6,AG$7),'SHIP CURVES'!$A$9:$Z$9,0))-INDEX(ship_curves,MATCH(AC129,'SHIP CURVES'!$A$9:$A$316,0),MATCH(CONCATENATE(AG$4,AE$6,AG$6,AG$7),'SHIP CURVES'!$A$9:$Z$9,0)))-(INDEX(terminal_curves,MATCH(AC129,'TERMINAL CURVES'!$A$4:$A$313,0),MATCH(AG$5,'TERMINAL CURVES'!$A$4:$N$4,0))-INDEX(terminal_curves,MATCH(AC129,'TERMINAL CURVES'!$A$4:$A$313,0),MATCH(AE$6,'TERMINAL CURVES'!$A$4:$N$4,0)))*IF(W129=0,0,Y129/W129)))*-W129</f>
        <v>0</v>
      </c>
      <c r="AH129" s="343">
        <f t="shared" si="47"/>
        <v>0</v>
      </c>
      <c r="AI129" s="338">
        <f>(-Y129/((HLOOKUP(AG$5,port_specs,2,0)/(365.25))*(AC130-AC129)))*(INDEX(fixed_capacity_charge,MATCH(AC129,PORTS!$H$11:$H$317,0),MATCH(AG$5,PORTS!$H$11:$N$11,0))+INDEX(variable_om_charge,MATCH(AC129,PORTS!$H$318:$H$625,0),MATCH(AG$5,PORTS!$H$318:$N$318,0)))</f>
        <v>0</v>
      </c>
      <c r="AJ129" s="232">
        <f t="shared" si="48"/>
        <v>0</v>
      </c>
      <c r="AK129" s="241">
        <f t="shared" si="49"/>
        <v>0</v>
      </c>
      <c r="AM129" s="186">
        <f t="shared" si="60"/>
        <v>40087</v>
      </c>
      <c r="AN129" s="215">
        <f t="shared" si="50"/>
        <v>5395761.4773599124</v>
      </c>
      <c r="AO129" s="191">
        <f t="shared" si="51"/>
        <v>-56655.495512278751</v>
      </c>
      <c r="AP129" s="218">
        <f>+IF(AND(AO$8&lt;=AM129,AO$9&gt;=AM129),+MIN($B129-SUMIF($H$17:AO$17,AP$17,$H129:AO129),((INDEX(ROUTE_PER_DAY_BY_SHIP,MATCH(CONCATENATE(AO$4,AO$5,AO$7),ROUTE_PER_DAY_ROUTES,0),MATCH(AO$6,ROUTE_PER_DAY_SHIPS,0))*(AM130-AM129))-(INDEX(ROUTE_PER_DAY_BY_SHIP,MATCH(CONCATENATE(AO$4,AO$5,AO$7),ROUTE_PER_DAY_ROUTES,0),MATCH(AO$6,ROUTE_PER_DAY_SHIPS,0))*(AM130-AM129))*HLOOKUP(AO$6,SHIPS,7,0)*INDEX(LADEN_VOYAGE_DAYS,MATCH(CONCATENATE(AO$4,AO$5,AO$7),LADEN_VOYAGE_ROUTES,0),MATCH(AO$6,LADEN_VOYAGE_SHIPS,0)))),0)</f>
        <v>5339105.9818476336</v>
      </c>
      <c r="AQ129" s="118">
        <f>-(AP129)*PORTS!$I$6</f>
        <v>-133477.64954619083</v>
      </c>
      <c r="AR129" s="215">
        <f t="shared" si="33"/>
        <v>5205628.3323014425</v>
      </c>
      <c r="AS129" s="202"/>
      <c r="AT129" s="186">
        <f t="shared" si="61"/>
        <v>40087</v>
      </c>
      <c r="AU129" s="232">
        <f>+AR129*(VLOOKUP(AT129,CURVECALC!$C$6:$J$312,4,0)+AV$5)</f>
        <v>17241041.036582377</v>
      </c>
      <c r="AV129" s="208">
        <f>-AN129*INDEX(ship_curves,MATCH(AT129,'SHIP CURVES'!$A$9:$A$316,0),MATCH(CONCATENATE(AX$4,AX$5,AX$6,AX$7),'SHIP CURVES'!$A$9:$AZ$9,0))</f>
        <v>-1791104.2884769593</v>
      </c>
      <c r="AW129" s="209">
        <f>-AP129*INDEX(port_processing_fee,MATCH(AT129,PORTS!$H$626:$H$933,0),MATCH(AX$5,PORTS!$H$626:$Z$626,0))</f>
        <v>-158756.21045974747</v>
      </c>
      <c r="AX129" s="405">
        <f>(((VLOOKUP(AT129,curvecalc,4,0))*IF(AN129=0,0,AR129/AN129)-INDEX(ship_curves,MATCH(AT129,'SHIP CURVES'!$A$9:$A$316,0),MATCH(CONCATENATE(AX$4,AX$5,AX$6,AX$7),'SHIP CURVES'!$A$9:$Z$9,0))-INDEX(terminal_curves,MATCH(AT129,'TERMINAL CURVES'!$A$4:$A$313,0),MATCH(AX$5,'TERMINAL CURVES'!$A$4:$N$4,0))*IF(AN129=0,0,AP129/AN129))-(AV$8)*((AV$7-$N$5)-(INDEX(ship_curves,MATCH(AT129,'SHIP CURVES'!$A$9:$A$316,0),MATCH(CONCATENATE(AX$4,AX$5,AX$6,AX$7),'SHIP CURVES'!$A$9:$Z$9,0))-INDEX(ship_curves,MATCH(AT129,'SHIP CURVES'!$A$9:$A$316,0),MATCH(CONCATENATE(AX$4,AV$6,AX$6,AX$7),'SHIP CURVES'!$A$9:$Z$9,0)))-(INDEX(terminal_curves,MATCH(AT129,'TERMINAL CURVES'!$A$4:$A$313,0),MATCH(AX$5,'TERMINAL CURVES'!$A$4:$N$4,0))-INDEX(terminal_curves,MATCH(AT129,'TERMINAL CURVES'!$A$4:$A$313,0),MATCH(AV$6,'TERMINAL CURVES'!$A$4:$N$4,0)))*IF(AN129=0,0,AP129/AN129)))*-AN129</f>
        <v>-14190433.404860891</v>
      </c>
      <c r="AY129" s="343">
        <f t="shared" si="52"/>
        <v>-16140293.903797599</v>
      </c>
      <c r="AZ129" s="338">
        <f>(-AP129/((HLOOKUP(AX$5,port_specs,2,0)/(365.25))*(AT130-AT129)))*(INDEX(fixed_capacity_charge,MATCH(AT129,PORTS!$H$11:$H$317,0),MATCH(AX$5,PORTS!$H$11:$N$11,0))+INDEX(variable_om_charge,MATCH(AT129,PORTS!$H$318:$H$625,0),MATCH(AX$5,PORTS!$H$318:$N$318,0)))</f>
        <v>-996634.56613874924</v>
      </c>
      <c r="BA129" s="232">
        <f t="shared" si="53"/>
        <v>-17136928.469936348</v>
      </c>
      <c r="BB129" s="241">
        <f t="shared" si="54"/>
        <v>104112.56664602831</v>
      </c>
      <c r="BC129" s="408"/>
      <c r="BD129" s="338">
        <f>+PORTS!I123+PORTS!I431</f>
        <v>996634.56613874924</v>
      </c>
    </row>
    <row r="130" spans="1:56" x14ac:dyDescent="0.2">
      <c r="A130" s="186">
        <f t="shared" si="55"/>
        <v>40118</v>
      </c>
      <c r="B130" s="215">
        <f>+IF(AND($A130&gt;=$C$8,$A130&lt;=$C$9),1,0)*PORTS!$I$5/(365.25)*(A131-A130)</f>
        <v>5166876.756626742</v>
      </c>
      <c r="C130" s="351">
        <f t="shared" si="34"/>
        <v>0</v>
      </c>
      <c r="D130">
        <f t="shared" si="35"/>
        <v>2009</v>
      </c>
      <c r="E130" s="186">
        <f t="shared" si="56"/>
        <v>40118</v>
      </c>
      <c r="F130" s="215">
        <f t="shared" si="36"/>
        <v>0</v>
      </c>
      <c r="G130" s="191">
        <f t="shared" si="37"/>
        <v>0</v>
      </c>
      <c r="H130" s="218">
        <f t="shared" si="38"/>
        <v>0</v>
      </c>
      <c r="I130" s="118">
        <f t="shared" si="39"/>
        <v>0</v>
      </c>
      <c r="J130" s="215">
        <f t="shared" si="40"/>
        <v>0</v>
      </c>
      <c r="K130" s="202"/>
      <c r="L130" s="186">
        <f t="shared" si="57"/>
        <v>40118</v>
      </c>
      <c r="M130" s="400">
        <f>+J130*(VLOOKUP(L130,CURVECALC!$C$6:$J$312,4,0)+N$5)</f>
        <v>0</v>
      </c>
      <c r="N130" s="208">
        <f>-F130*INDEX(ship_curves,MATCH(L130,'SHIP CURVES'!$A$9:$A$316,0),MATCH(CONCATENATE(P$4,P$5,P$6,P$7),'SHIP CURVES'!$A$9:$AZ$9,0))</f>
        <v>0</v>
      </c>
      <c r="O130" s="209">
        <f>-H130*INDEX(port_processing_fee,MATCH(L130,PORTS!$H$626:$H$933,0),MATCH(P$5,PORTS!$H$626:$Z$626,0))</f>
        <v>0</v>
      </c>
      <c r="P130" s="405">
        <f>(((VLOOKUP(L130,curvecalc,4,0))*IF(F130=0,0,J130/F130)-INDEX(ship_curves,MATCH(L130,'SHIP CURVES'!$A$9:$A$316,0),MATCH(CONCATENATE(P$4,P$5,P$6,P$7),'SHIP CURVES'!$A$9:$Z$9,0))-INDEX(terminal_curves,MATCH(L130,'TERMINAL CURVES'!$A$4:$A$313,0),MATCH(P$5,'TERMINAL CURVES'!$A$4:$N$4,0))*IF(F130=0,0,H130/F130))-(N$8)*((N$7-$N$5)-(INDEX(ship_curves,MATCH(L130,'SHIP CURVES'!$A$9:$A$316,0),MATCH(CONCATENATE(P$4,P$5,P$6,P$7),'SHIP CURVES'!$A$9:$Z$9,0))-INDEX(ship_curves,MATCH(L130,'SHIP CURVES'!$A$9:$A$316,0),MATCH(CONCATENATE(P$4,N$6,P$6,P$7),'SHIP CURVES'!$A$9:$Z$9,0)))-(INDEX(terminal_curves,MATCH(L130,'TERMINAL CURVES'!$A$4:$A$313,0),MATCH(P$5,'TERMINAL CURVES'!$A$4:$N$4,0))-INDEX(terminal_curves,MATCH(L130,'TERMINAL CURVES'!$A$4:$A$313,0),MATCH(N$6,'TERMINAL CURVES'!$A$4:$N$4,0)))*IF(F130=0,0,H130/F130)))*-F130</f>
        <v>0</v>
      </c>
      <c r="Q130" s="403">
        <f t="shared" si="41"/>
        <v>0</v>
      </c>
      <c r="R130" s="338">
        <f>(-H130/((HLOOKUP(P$5,port_specs,2,0)/(365.25))*(L131-L130)))*(INDEX(fixed_capacity_charge,MATCH(L130,PORTS!$H$11:$H$317,0),MATCH(P$5,PORTS!$H$11:$N$11,0))+INDEX(variable_om_charge,MATCH(L130,PORTS!$H$318:$H$625,0),MATCH(P$5,PORTS!$H$318:$N$318,0)))</f>
        <v>0</v>
      </c>
      <c r="S130" s="232">
        <f t="shared" si="42"/>
        <v>0</v>
      </c>
      <c r="T130" s="241">
        <f t="shared" si="43"/>
        <v>0</v>
      </c>
      <c r="V130" s="186">
        <f t="shared" si="58"/>
        <v>40118</v>
      </c>
      <c r="W130" s="215">
        <f t="shared" si="44"/>
        <v>0</v>
      </c>
      <c r="X130" s="191">
        <f t="shared" si="45"/>
        <v>0</v>
      </c>
      <c r="Y130" s="218">
        <f>+IF(AND(X$8&lt;=V130,X$9&gt;=V130),+MIN($B130-SUMIF($H$17:X$17,Y$17,$H130:X130),((INDEX(ROUTE_PER_DAY_BY_SHIP,MATCH(CONCATENATE(X$4,X$5,X$7),ROUTE_PER_DAY_ROUTES,0),MATCH(X$6,ROUTE_PER_DAY_SHIPS,0))*(V131-V130))-(INDEX(ROUTE_PER_DAY_BY_SHIP,MATCH(CONCATENATE(X$4,X$5,X$7),ROUTE_PER_DAY_ROUTES,0),MATCH(X$6,ROUTE_PER_DAY_SHIPS,0))*(V131-V130))*HLOOKUP(X$6,SHIPS,7,0)*INDEX(LADEN_VOYAGE_DAYS,MATCH(CONCATENATE(X$4,X$5,X$7),LADEN_VOYAGE_ROUTES,0),MATCH(X$6,LADEN_VOYAGE_SHIPS,0)))),0)</f>
        <v>0</v>
      </c>
      <c r="Z130" s="118">
        <f t="shared" si="46"/>
        <v>0</v>
      </c>
      <c r="AA130" s="215">
        <f t="shared" si="32"/>
        <v>0</v>
      </c>
      <c r="AB130" s="202"/>
      <c r="AC130" s="186">
        <f t="shared" si="59"/>
        <v>40118</v>
      </c>
      <c r="AD130" s="232">
        <f>+AA130*(VLOOKUP(AC130,CURVECALC!$C$6:$J$312,4,0)+AE$5)</f>
        <v>0</v>
      </c>
      <c r="AE130" s="208">
        <f>-W130*INDEX(ship_curves,MATCH(AC130,'SHIP CURVES'!$A$9:$A$316,0),MATCH(CONCATENATE(AG$4,AG$5,AG$6,AG$7),'SHIP CURVES'!$A$9:$AZ$9,0))</f>
        <v>0</v>
      </c>
      <c r="AF130" s="209">
        <f>-Y130*INDEX(port_processing_fee,MATCH(AC130,PORTS!$H$626:$H$933,0),MATCH(AG$5,PORTS!$H$626:$Z$626,0))</f>
        <v>0</v>
      </c>
      <c r="AG130" s="405">
        <f>(((VLOOKUP(AC130,curvecalc,4,0))*IF(W130=0,0,AA130/W130)-INDEX(ship_curves,MATCH(AC130,'SHIP CURVES'!$A$9:$A$316,0),MATCH(CONCATENATE(AG$4,AG$5,AG$6,AG$7),'SHIP CURVES'!$A$9:$Z$9,0))-INDEX(terminal_curves,MATCH(AC130,'TERMINAL CURVES'!$A$4:$A$313,0),MATCH(AG$5,'TERMINAL CURVES'!$A$4:$N$4,0))*IF(W130=0,0,Y130/W130))-(AE$8)*((AE$7-$N$5)-(INDEX(ship_curves,MATCH(AC130,'SHIP CURVES'!$A$9:$A$316,0),MATCH(CONCATENATE(AG$4,AG$5,AG$6,AG$7),'SHIP CURVES'!$A$9:$Z$9,0))-INDEX(ship_curves,MATCH(AC130,'SHIP CURVES'!$A$9:$A$316,0),MATCH(CONCATENATE(AG$4,AE$6,AG$6,AG$7),'SHIP CURVES'!$A$9:$Z$9,0)))-(INDEX(terminal_curves,MATCH(AC130,'TERMINAL CURVES'!$A$4:$A$313,0),MATCH(AG$5,'TERMINAL CURVES'!$A$4:$N$4,0))-INDEX(terminal_curves,MATCH(AC130,'TERMINAL CURVES'!$A$4:$A$313,0),MATCH(AE$6,'TERMINAL CURVES'!$A$4:$N$4,0)))*IF(W130=0,0,Y130/W130)))*-W130</f>
        <v>0</v>
      </c>
      <c r="AH130" s="343">
        <f t="shared" si="47"/>
        <v>0</v>
      </c>
      <c r="AI130" s="338">
        <f>(-Y130/((HLOOKUP(AG$5,port_specs,2,0)/(365.25))*(AC131-AC130)))*(INDEX(fixed_capacity_charge,MATCH(AC130,PORTS!$H$11:$H$317,0),MATCH(AG$5,PORTS!$H$11:$N$11,0))+INDEX(variable_om_charge,MATCH(AC130,PORTS!$H$318:$H$625,0),MATCH(AG$5,PORTS!$H$318:$N$318,0)))</f>
        <v>0</v>
      </c>
      <c r="AJ130" s="232">
        <f t="shared" si="48"/>
        <v>0</v>
      </c>
      <c r="AK130" s="241">
        <f t="shared" si="49"/>
        <v>0</v>
      </c>
      <c r="AM130" s="186">
        <f t="shared" si="60"/>
        <v>40118</v>
      </c>
      <c r="AN130" s="215">
        <f t="shared" si="50"/>
        <v>5221704.655509592</v>
      </c>
      <c r="AO130" s="191">
        <f t="shared" si="51"/>
        <v>-54827.898882850073</v>
      </c>
      <c r="AP130" s="218">
        <f>+IF(AND(AO$8&lt;=AM130,AO$9&gt;=AM130),+MIN($B130-SUMIF($H$17:AO$17,AP$17,$H130:AO130),((INDEX(ROUTE_PER_DAY_BY_SHIP,MATCH(CONCATENATE(AO$4,AO$5,AO$7),ROUTE_PER_DAY_ROUTES,0),MATCH(AO$6,ROUTE_PER_DAY_SHIPS,0))*(AM131-AM130))-(INDEX(ROUTE_PER_DAY_BY_SHIP,MATCH(CONCATENATE(AO$4,AO$5,AO$7),ROUTE_PER_DAY_ROUTES,0),MATCH(AO$6,ROUTE_PER_DAY_SHIPS,0))*(AM131-AM130))*HLOOKUP(AO$6,SHIPS,7,0)*INDEX(LADEN_VOYAGE_DAYS,MATCH(CONCATENATE(AO$4,AO$5,AO$7),LADEN_VOYAGE_ROUTES,0),MATCH(AO$6,LADEN_VOYAGE_SHIPS,0)))),0)</f>
        <v>5166876.756626742</v>
      </c>
      <c r="AQ130" s="118">
        <f>-(AP130)*PORTS!$I$6</f>
        <v>-129171.91891566856</v>
      </c>
      <c r="AR130" s="215">
        <f t="shared" si="33"/>
        <v>5037704.8377110735</v>
      </c>
      <c r="AS130" s="202"/>
      <c r="AT130" s="186">
        <f t="shared" si="61"/>
        <v>40118</v>
      </c>
      <c r="AU130" s="232">
        <f>+AR130*(VLOOKUP(AT130,CURVECALC!$C$6:$J$312,4,0)+AV$5)</f>
        <v>17082857.104678251</v>
      </c>
      <c r="AV130" s="208">
        <f>-AN130*INDEX(ship_curves,MATCH(AT130,'SHIP CURVES'!$A$9:$A$316,0),MATCH(CONCATENATE(AX$4,AX$5,AX$6,AX$7),'SHIP CURVES'!$A$9:$AZ$9,0))</f>
        <v>-1733845.2319161312</v>
      </c>
      <c r="AW130" s="209">
        <f>-AP130*INDEX(port_processing_fee,MATCH(AT130,PORTS!$H$626:$H$933,0),MATCH(AX$5,PORTS!$H$626:$Z$626,0))</f>
        <v>-153795.07888288033</v>
      </c>
      <c r="AX130" s="405">
        <f>(((VLOOKUP(AT130,curvecalc,4,0))*IF(AN130=0,0,AR130/AN130)-INDEX(ship_curves,MATCH(AT130,'SHIP CURVES'!$A$9:$A$316,0),MATCH(CONCATENATE(AX$4,AX$5,AX$6,AX$7),'SHIP CURVES'!$A$9:$Z$9,0))-INDEX(terminal_curves,MATCH(AT130,'TERMINAL CURVES'!$A$4:$A$313,0),MATCH(AX$5,'TERMINAL CURVES'!$A$4:$N$4,0))*IF(AN130=0,0,AP130/AN130))-(AV$8)*((AV$7-$N$5)-(INDEX(ship_curves,MATCH(AT130,'SHIP CURVES'!$A$9:$A$316,0),MATCH(CONCATENATE(AX$4,AX$5,AX$6,AX$7),'SHIP CURVES'!$A$9:$Z$9,0))-INDEX(ship_curves,MATCH(AT130,'SHIP CURVES'!$A$9:$A$316,0),MATCH(CONCATENATE(AX$4,AV$6,AX$6,AX$7),'SHIP CURVES'!$A$9:$Z$9,0)))-(INDEX(terminal_curves,MATCH(AT130,'TERMINAL CURVES'!$A$4:$A$313,0),MATCH(AX$5,'TERMINAL CURVES'!$A$4:$N$4,0))-INDEX(terminal_curves,MATCH(AT130,'TERMINAL CURVES'!$A$4:$A$313,0),MATCH(AV$6,'TERMINAL CURVES'!$A$4:$N$4,0)))*IF(AN130=0,0,AP130/AN130)))*-AN130</f>
        <v>-14097295.372657904</v>
      </c>
      <c r="AY130" s="343">
        <f t="shared" si="52"/>
        <v>-15984935.683456916</v>
      </c>
      <c r="AZ130" s="338">
        <f>(-AP130/((HLOOKUP(AX$5,port_specs,2,0)/(365.25))*(AT131-AT130)))*(INDEX(fixed_capacity_charge,MATCH(AT130,PORTS!$H$11:$H$317,0),MATCH(AX$5,PORTS!$H$11:$N$11,0))+INDEX(variable_om_charge,MATCH(AT130,PORTS!$H$318:$H$625,0),MATCH(AX$5,PORTS!$H$318:$N$318,0)))</f>
        <v>-997167.32446711417</v>
      </c>
      <c r="BA130" s="232">
        <f t="shared" si="53"/>
        <v>-16982103.007924031</v>
      </c>
      <c r="BB130" s="241">
        <f t="shared" si="54"/>
        <v>100754.09675421938</v>
      </c>
      <c r="BC130" s="408"/>
      <c r="BD130" s="338">
        <f>+PORTS!I124+PORTS!I432</f>
        <v>997167.32446711417</v>
      </c>
    </row>
    <row r="131" spans="1:56" x14ac:dyDescent="0.2">
      <c r="A131" s="186">
        <f t="shared" si="55"/>
        <v>40148</v>
      </c>
      <c r="B131" s="215">
        <f>+IF(AND($A131&gt;=$C$8,$A131&lt;=$C$9),1,0)*PORTS!$I$5/(365.25)*(A132-A131)</f>
        <v>5339105.9818476336</v>
      </c>
      <c r="C131" s="351">
        <f t="shared" si="34"/>
        <v>0</v>
      </c>
      <c r="D131">
        <f t="shared" si="35"/>
        <v>2009</v>
      </c>
      <c r="E131" s="186">
        <f t="shared" si="56"/>
        <v>40148</v>
      </c>
      <c r="F131" s="215">
        <f t="shared" si="36"/>
        <v>0</v>
      </c>
      <c r="G131" s="191">
        <f t="shared" si="37"/>
        <v>0</v>
      </c>
      <c r="H131" s="218">
        <f t="shared" si="38"/>
        <v>0</v>
      </c>
      <c r="I131" s="118">
        <f t="shared" si="39"/>
        <v>0</v>
      </c>
      <c r="J131" s="215">
        <f t="shared" si="40"/>
        <v>0</v>
      </c>
      <c r="K131" s="202"/>
      <c r="L131" s="186">
        <f t="shared" si="57"/>
        <v>40148</v>
      </c>
      <c r="M131" s="400">
        <f>+J131*(VLOOKUP(L131,CURVECALC!$C$6:$J$312,4,0)+N$5)</f>
        <v>0</v>
      </c>
      <c r="N131" s="208">
        <f>-F131*INDEX(ship_curves,MATCH(L131,'SHIP CURVES'!$A$9:$A$316,0),MATCH(CONCATENATE(P$4,P$5,P$6,P$7),'SHIP CURVES'!$A$9:$AZ$9,0))</f>
        <v>0</v>
      </c>
      <c r="O131" s="209">
        <f>-H131*INDEX(port_processing_fee,MATCH(L131,PORTS!$H$626:$H$933,0),MATCH(P$5,PORTS!$H$626:$Z$626,0))</f>
        <v>0</v>
      </c>
      <c r="P131" s="405">
        <f>(((VLOOKUP(L131,curvecalc,4,0))*IF(F131=0,0,J131/F131)-INDEX(ship_curves,MATCH(L131,'SHIP CURVES'!$A$9:$A$316,0),MATCH(CONCATENATE(P$4,P$5,P$6,P$7),'SHIP CURVES'!$A$9:$Z$9,0))-INDEX(terminal_curves,MATCH(L131,'TERMINAL CURVES'!$A$4:$A$313,0),MATCH(P$5,'TERMINAL CURVES'!$A$4:$N$4,0))*IF(F131=0,0,H131/F131))-(N$8)*((N$7-$N$5)-(INDEX(ship_curves,MATCH(L131,'SHIP CURVES'!$A$9:$A$316,0),MATCH(CONCATENATE(P$4,P$5,P$6,P$7),'SHIP CURVES'!$A$9:$Z$9,0))-INDEX(ship_curves,MATCH(L131,'SHIP CURVES'!$A$9:$A$316,0),MATCH(CONCATENATE(P$4,N$6,P$6,P$7),'SHIP CURVES'!$A$9:$Z$9,0)))-(INDEX(terminal_curves,MATCH(L131,'TERMINAL CURVES'!$A$4:$A$313,0),MATCH(P$5,'TERMINAL CURVES'!$A$4:$N$4,0))-INDEX(terminal_curves,MATCH(L131,'TERMINAL CURVES'!$A$4:$A$313,0),MATCH(N$6,'TERMINAL CURVES'!$A$4:$N$4,0)))*IF(F131=0,0,H131/F131)))*-F131</f>
        <v>0</v>
      </c>
      <c r="Q131" s="403">
        <f t="shared" si="41"/>
        <v>0</v>
      </c>
      <c r="R131" s="338">
        <f>(-H131/((HLOOKUP(P$5,port_specs,2,0)/(365.25))*(L132-L131)))*(INDEX(fixed_capacity_charge,MATCH(L131,PORTS!$H$11:$H$317,0),MATCH(P$5,PORTS!$H$11:$N$11,0))+INDEX(variable_om_charge,MATCH(L131,PORTS!$H$318:$H$625,0),MATCH(P$5,PORTS!$H$318:$N$318,0)))</f>
        <v>0</v>
      </c>
      <c r="S131" s="232">
        <f t="shared" si="42"/>
        <v>0</v>
      </c>
      <c r="T131" s="241">
        <f t="shared" si="43"/>
        <v>0</v>
      </c>
      <c r="V131" s="186">
        <f t="shared" si="58"/>
        <v>40148</v>
      </c>
      <c r="W131" s="215">
        <f t="shared" si="44"/>
        <v>0</v>
      </c>
      <c r="X131" s="191">
        <f t="shared" si="45"/>
        <v>0</v>
      </c>
      <c r="Y131" s="218">
        <f>+IF(AND(X$8&lt;=V131,X$9&gt;=V131),+MIN($B131-SUMIF($H$17:X$17,Y$17,$H131:X131),((INDEX(ROUTE_PER_DAY_BY_SHIP,MATCH(CONCATENATE(X$4,X$5,X$7),ROUTE_PER_DAY_ROUTES,0),MATCH(X$6,ROUTE_PER_DAY_SHIPS,0))*(V132-V131))-(INDEX(ROUTE_PER_DAY_BY_SHIP,MATCH(CONCATENATE(X$4,X$5,X$7),ROUTE_PER_DAY_ROUTES,0),MATCH(X$6,ROUTE_PER_DAY_SHIPS,0))*(V132-V131))*HLOOKUP(X$6,SHIPS,7,0)*INDEX(LADEN_VOYAGE_DAYS,MATCH(CONCATENATE(X$4,X$5,X$7),LADEN_VOYAGE_ROUTES,0),MATCH(X$6,LADEN_VOYAGE_SHIPS,0)))),0)</f>
        <v>0</v>
      </c>
      <c r="Z131" s="118">
        <f t="shared" si="46"/>
        <v>0</v>
      </c>
      <c r="AA131" s="215">
        <f t="shared" si="32"/>
        <v>0</v>
      </c>
      <c r="AB131" s="202"/>
      <c r="AC131" s="186">
        <f t="shared" si="59"/>
        <v>40148</v>
      </c>
      <c r="AD131" s="232">
        <f>+AA131*(VLOOKUP(AC131,CURVECALC!$C$6:$J$312,4,0)+AE$5)</f>
        <v>0</v>
      </c>
      <c r="AE131" s="208">
        <f>-W131*INDEX(ship_curves,MATCH(AC131,'SHIP CURVES'!$A$9:$A$316,0),MATCH(CONCATENATE(AG$4,AG$5,AG$6,AG$7),'SHIP CURVES'!$A$9:$AZ$9,0))</f>
        <v>0</v>
      </c>
      <c r="AF131" s="209">
        <f>-Y131*INDEX(port_processing_fee,MATCH(AC131,PORTS!$H$626:$H$933,0),MATCH(AG$5,PORTS!$H$626:$Z$626,0))</f>
        <v>0</v>
      </c>
      <c r="AG131" s="405">
        <f>(((VLOOKUP(AC131,curvecalc,4,0))*IF(W131=0,0,AA131/W131)-INDEX(ship_curves,MATCH(AC131,'SHIP CURVES'!$A$9:$A$316,0),MATCH(CONCATENATE(AG$4,AG$5,AG$6,AG$7),'SHIP CURVES'!$A$9:$Z$9,0))-INDEX(terminal_curves,MATCH(AC131,'TERMINAL CURVES'!$A$4:$A$313,0),MATCH(AG$5,'TERMINAL CURVES'!$A$4:$N$4,0))*IF(W131=0,0,Y131/W131))-(AE$8)*((AE$7-$N$5)-(INDEX(ship_curves,MATCH(AC131,'SHIP CURVES'!$A$9:$A$316,0),MATCH(CONCATENATE(AG$4,AG$5,AG$6,AG$7),'SHIP CURVES'!$A$9:$Z$9,0))-INDEX(ship_curves,MATCH(AC131,'SHIP CURVES'!$A$9:$A$316,0),MATCH(CONCATENATE(AG$4,AE$6,AG$6,AG$7),'SHIP CURVES'!$A$9:$Z$9,0)))-(INDEX(terminal_curves,MATCH(AC131,'TERMINAL CURVES'!$A$4:$A$313,0),MATCH(AG$5,'TERMINAL CURVES'!$A$4:$N$4,0))-INDEX(terminal_curves,MATCH(AC131,'TERMINAL CURVES'!$A$4:$A$313,0),MATCH(AE$6,'TERMINAL CURVES'!$A$4:$N$4,0)))*IF(W131=0,0,Y131/W131)))*-W131</f>
        <v>0</v>
      </c>
      <c r="AH131" s="343">
        <f t="shared" si="47"/>
        <v>0</v>
      </c>
      <c r="AI131" s="338">
        <f>(-Y131/((HLOOKUP(AG$5,port_specs,2,0)/(365.25))*(AC132-AC131)))*(INDEX(fixed_capacity_charge,MATCH(AC131,PORTS!$H$11:$H$317,0),MATCH(AG$5,PORTS!$H$11:$N$11,0))+INDEX(variable_om_charge,MATCH(AC131,PORTS!$H$318:$H$625,0),MATCH(AG$5,PORTS!$H$318:$N$318,0)))</f>
        <v>0</v>
      </c>
      <c r="AJ131" s="232">
        <f t="shared" si="48"/>
        <v>0</v>
      </c>
      <c r="AK131" s="241">
        <f t="shared" si="49"/>
        <v>0</v>
      </c>
      <c r="AM131" s="186">
        <f t="shared" si="60"/>
        <v>40148</v>
      </c>
      <c r="AN131" s="215">
        <f t="shared" si="50"/>
        <v>5395761.4773599124</v>
      </c>
      <c r="AO131" s="191">
        <f t="shared" si="51"/>
        <v>-56655.495512278751</v>
      </c>
      <c r="AP131" s="218">
        <f>+IF(AND(AO$8&lt;=AM131,AO$9&gt;=AM131),+MIN($B131-SUMIF($H$17:AO$17,AP$17,$H131:AO131),((INDEX(ROUTE_PER_DAY_BY_SHIP,MATCH(CONCATENATE(AO$4,AO$5,AO$7),ROUTE_PER_DAY_ROUTES,0),MATCH(AO$6,ROUTE_PER_DAY_SHIPS,0))*(AM132-AM131))-(INDEX(ROUTE_PER_DAY_BY_SHIP,MATCH(CONCATENATE(AO$4,AO$5,AO$7),ROUTE_PER_DAY_ROUTES,0),MATCH(AO$6,ROUTE_PER_DAY_SHIPS,0))*(AM132-AM131))*HLOOKUP(AO$6,SHIPS,7,0)*INDEX(LADEN_VOYAGE_DAYS,MATCH(CONCATENATE(AO$4,AO$5,AO$7),LADEN_VOYAGE_ROUTES,0),MATCH(AO$6,LADEN_VOYAGE_SHIPS,0)))),0)</f>
        <v>5339105.9818476336</v>
      </c>
      <c r="AQ131" s="118">
        <f>-(AP131)*PORTS!$I$6</f>
        <v>-133477.64954619083</v>
      </c>
      <c r="AR131" s="215">
        <f t="shared" si="33"/>
        <v>5205628.3323014425</v>
      </c>
      <c r="AS131" s="202"/>
      <c r="AT131" s="186">
        <f t="shared" si="61"/>
        <v>40148</v>
      </c>
      <c r="AU131" s="232">
        <f>+AR131*(VLOOKUP(AT131,CURVECALC!$C$6:$J$312,4,0)+AV$5)</f>
        <v>18105175.339744419</v>
      </c>
      <c r="AV131" s="208">
        <f>-AN131*INDEX(ship_curves,MATCH(AT131,'SHIP CURVES'!$A$9:$A$316,0),MATCH(CONCATENATE(AX$4,AX$5,AX$6,AX$7),'SHIP CURVES'!$A$9:$AZ$9,0))</f>
        <v>-1792176.9737007604</v>
      </c>
      <c r="AW131" s="209">
        <f>-AP131*INDEX(port_processing_fee,MATCH(AT131,PORTS!$H$626:$H$933,0),MATCH(AX$5,PORTS!$H$626:$Z$626,0))</f>
        <v>-159087.124826385</v>
      </c>
      <c r="AX131" s="405">
        <f>(((VLOOKUP(AT131,curvecalc,4,0))*IF(AN131=0,0,AR131/AN131)-INDEX(ship_curves,MATCH(AT131,'SHIP CURVES'!$A$9:$A$316,0),MATCH(CONCATENATE(AX$4,AX$5,AX$6,AX$7),'SHIP CURVES'!$A$9:$Z$9,0))-INDEX(terminal_curves,MATCH(AT131,'TERMINAL CURVES'!$A$4:$A$313,0),MATCH(AX$5,'TERMINAL CURVES'!$A$4:$N$4,0))*IF(AN131=0,0,AP131/AN131))-(AV$8)*((AV$7-$N$5)-(INDEX(ship_curves,MATCH(AT131,'SHIP CURVES'!$A$9:$A$316,0),MATCH(CONCATENATE(AX$4,AX$5,AX$6,AX$7),'SHIP CURVES'!$A$9:$Z$9,0))-INDEX(ship_curves,MATCH(AT131,'SHIP CURVES'!$A$9:$A$316,0),MATCH(CONCATENATE(AX$4,AV$6,AX$6,AX$7),'SHIP CURVES'!$A$9:$Z$9,0)))-(INDEX(terminal_curves,MATCH(AT131,'TERMINAL CURVES'!$A$4:$A$313,0),MATCH(AX$5,'TERMINAL CURVES'!$A$4:$N$4,0))-INDEX(terminal_curves,MATCH(AT131,'TERMINAL CURVES'!$A$4:$A$313,0),MATCH(AV$6,'TERMINAL CURVES'!$A$4:$N$4,0)))*IF(AN131=0,0,AP131/AN131)))*-AN131</f>
        <v>-15052098.036819171</v>
      </c>
      <c r="AY131" s="343">
        <f t="shared" si="52"/>
        <v>-17003362.135346316</v>
      </c>
      <c r="AZ131" s="338">
        <f>(-AP131/((HLOOKUP(AX$5,port_specs,2,0)/(365.25))*(AT132-AT131)))*(INDEX(fixed_capacity_charge,MATCH(AT131,PORTS!$H$11:$H$317,0),MATCH(AX$5,PORTS!$H$11:$N$11,0))+INDEX(variable_om_charge,MATCH(AT131,PORTS!$H$318:$H$625,0),MATCH(AX$5,PORTS!$H$318:$N$318,0)))</f>
        <v>-997700.63775207126</v>
      </c>
      <c r="BA131" s="232">
        <f t="shared" si="53"/>
        <v>-18001062.773098387</v>
      </c>
      <c r="BB131" s="241">
        <f t="shared" si="54"/>
        <v>104112.56664603204</v>
      </c>
      <c r="BC131" s="408"/>
      <c r="BD131" s="338">
        <f>+PORTS!I125+PORTS!I433</f>
        <v>997700.63775207126</v>
      </c>
    </row>
    <row r="132" spans="1:56" x14ac:dyDescent="0.2">
      <c r="A132" s="186">
        <f t="shared" si="55"/>
        <v>40179</v>
      </c>
      <c r="B132" s="215">
        <f>+IF(AND($A132&gt;=$C$8,$A132&lt;=$C$9),1,0)*PORTS!$I$5/(365.25)*(A133-A132)</f>
        <v>5339105.9818476336</v>
      </c>
      <c r="C132" s="351">
        <f t="shared" si="34"/>
        <v>0</v>
      </c>
      <c r="D132">
        <f t="shared" si="35"/>
        <v>2010</v>
      </c>
      <c r="E132" s="186">
        <f t="shared" si="56"/>
        <v>40179</v>
      </c>
      <c r="F132" s="215">
        <f t="shared" si="36"/>
        <v>0</v>
      </c>
      <c r="G132" s="191">
        <f t="shared" si="37"/>
        <v>0</v>
      </c>
      <c r="H132" s="218">
        <f t="shared" si="38"/>
        <v>0</v>
      </c>
      <c r="I132" s="118">
        <f t="shared" si="39"/>
        <v>0</v>
      </c>
      <c r="J132" s="215">
        <f t="shared" si="40"/>
        <v>0</v>
      </c>
      <c r="K132" s="202"/>
      <c r="L132" s="186">
        <f t="shared" si="57"/>
        <v>40179</v>
      </c>
      <c r="M132" s="400">
        <f>+J132*(VLOOKUP(L132,CURVECALC!$C$6:$J$312,4,0)+N$5)</f>
        <v>0</v>
      </c>
      <c r="N132" s="208">
        <f>-F132*INDEX(ship_curves,MATCH(L132,'SHIP CURVES'!$A$9:$A$316,0),MATCH(CONCATENATE(P$4,P$5,P$6,P$7),'SHIP CURVES'!$A$9:$AZ$9,0))</f>
        <v>0</v>
      </c>
      <c r="O132" s="209">
        <f>-H132*INDEX(port_processing_fee,MATCH(L132,PORTS!$H$626:$H$933,0),MATCH(P$5,PORTS!$H$626:$Z$626,0))</f>
        <v>0</v>
      </c>
      <c r="P132" s="405">
        <f>(((VLOOKUP(L132,curvecalc,4,0))*IF(F132=0,0,J132/F132)-INDEX(ship_curves,MATCH(L132,'SHIP CURVES'!$A$9:$A$316,0),MATCH(CONCATENATE(P$4,P$5,P$6,P$7),'SHIP CURVES'!$A$9:$Z$9,0))-INDEX(terminal_curves,MATCH(L132,'TERMINAL CURVES'!$A$4:$A$313,0),MATCH(P$5,'TERMINAL CURVES'!$A$4:$N$4,0))*IF(F132=0,0,H132/F132))-(N$8)*((N$7-$N$5)-(INDEX(ship_curves,MATCH(L132,'SHIP CURVES'!$A$9:$A$316,0),MATCH(CONCATENATE(P$4,P$5,P$6,P$7),'SHIP CURVES'!$A$9:$Z$9,0))-INDEX(ship_curves,MATCH(L132,'SHIP CURVES'!$A$9:$A$316,0),MATCH(CONCATENATE(P$4,N$6,P$6,P$7),'SHIP CURVES'!$A$9:$Z$9,0)))-(INDEX(terminal_curves,MATCH(L132,'TERMINAL CURVES'!$A$4:$A$313,0),MATCH(P$5,'TERMINAL CURVES'!$A$4:$N$4,0))-INDEX(terminal_curves,MATCH(L132,'TERMINAL CURVES'!$A$4:$A$313,0),MATCH(N$6,'TERMINAL CURVES'!$A$4:$N$4,0)))*IF(F132=0,0,H132/F132)))*-F132</f>
        <v>0</v>
      </c>
      <c r="Q132" s="403">
        <f t="shared" si="41"/>
        <v>0</v>
      </c>
      <c r="R132" s="338">
        <f>(-H132/((HLOOKUP(P$5,port_specs,2,0)/(365.25))*(L133-L132)))*(INDEX(fixed_capacity_charge,MATCH(L132,PORTS!$H$11:$H$317,0),MATCH(P$5,PORTS!$H$11:$N$11,0))+INDEX(variable_om_charge,MATCH(L132,PORTS!$H$318:$H$625,0),MATCH(P$5,PORTS!$H$318:$N$318,0)))</f>
        <v>0</v>
      </c>
      <c r="S132" s="232">
        <f t="shared" si="42"/>
        <v>0</v>
      </c>
      <c r="T132" s="241">
        <f t="shared" si="43"/>
        <v>0</v>
      </c>
      <c r="V132" s="186">
        <f t="shared" si="58"/>
        <v>40179</v>
      </c>
      <c r="W132" s="215">
        <f t="shared" si="44"/>
        <v>0</v>
      </c>
      <c r="X132" s="191">
        <f t="shared" si="45"/>
        <v>0</v>
      </c>
      <c r="Y132" s="218">
        <f>+IF(AND(X$8&lt;=V132,X$9&gt;=V132),+MIN($B132-SUMIF($H$17:X$17,Y$17,$H132:X132),((INDEX(ROUTE_PER_DAY_BY_SHIP,MATCH(CONCATENATE(X$4,X$5,X$7),ROUTE_PER_DAY_ROUTES,0),MATCH(X$6,ROUTE_PER_DAY_SHIPS,0))*(V133-V132))-(INDEX(ROUTE_PER_DAY_BY_SHIP,MATCH(CONCATENATE(X$4,X$5,X$7),ROUTE_PER_DAY_ROUTES,0),MATCH(X$6,ROUTE_PER_DAY_SHIPS,0))*(V133-V132))*HLOOKUP(X$6,SHIPS,7,0)*INDEX(LADEN_VOYAGE_DAYS,MATCH(CONCATENATE(X$4,X$5,X$7),LADEN_VOYAGE_ROUTES,0),MATCH(X$6,LADEN_VOYAGE_SHIPS,0)))),0)</f>
        <v>0</v>
      </c>
      <c r="Z132" s="118">
        <f t="shared" si="46"/>
        <v>0</v>
      </c>
      <c r="AA132" s="215">
        <f t="shared" si="32"/>
        <v>0</v>
      </c>
      <c r="AB132" s="202"/>
      <c r="AC132" s="186">
        <f t="shared" si="59"/>
        <v>40179</v>
      </c>
      <c r="AD132" s="232">
        <f>+AA132*(VLOOKUP(AC132,CURVECALC!$C$6:$J$312,4,0)+AE$5)</f>
        <v>0</v>
      </c>
      <c r="AE132" s="208">
        <f>-W132*INDEX(ship_curves,MATCH(AC132,'SHIP CURVES'!$A$9:$A$316,0),MATCH(CONCATENATE(AG$4,AG$5,AG$6,AG$7),'SHIP CURVES'!$A$9:$AZ$9,0))</f>
        <v>0</v>
      </c>
      <c r="AF132" s="209">
        <f>-Y132*INDEX(port_processing_fee,MATCH(AC132,PORTS!$H$626:$H$933,0),MATCH(AG$5,PORTS!$H$626:$Z$626,0))</f>
        <v>0</v>
      </c>
      <c r="AG132" s="405">
        <f>(((VLOOKUP(AC132,curvecalc,4,0))*IF(W132=0,0,AA132/W132)-INDEX(ship_curves,MATCH(AC132,'SHIP CURVES'!$A$9:$A$316,0),MATCH(CONCATENATE(AG$4,AG$5,AG$6,AG$7),'SHIP CURVES'!$A$9:$Z$9,0))-INDEX(terminal_curves,MATCH(AC132,'TERMINAL CURVES'!$A$4:$A$313,0),MATCH(AG$5,'TERMINAL CURVES'!$A$4:$N$4,0))*IF(W132=0,0,Y132/W132))-(AE$8)*((AE$7-$N$5)-(INDEX(ship_curves,MATCH(AC132,'SHIP CURVES'!$A$9:$A$316,0),MATCH(CONCATENATE(AG$4,AG$5,AG$6,AG$7),'SHIP CURVES'!$A$9:$Z$9,0))-INDEX(ship_curves,MATCH(AC132,'SHIP CURVES'!$A$9:$A$316,0),MATCH(CONCATENATE(AG$4,AE$6,AG$6,AG$7),'SHIP CURVES'!$A$9:$Z$9,0)))-(INDEX(terminal_curves,MATCH(AC132,'TERMINAL CURVES'!$A$4:$A$313,0),MATCH(AG$5,'TERMINAL CURVES'!$A$4:$N$4,0))-INDEX(terminal_curves,MATCH(AC132,'TERMINAL CURVES'!$A$4:$A$313,0),MATCH(AE$6,'TERMINAL CURVES'!$A$4:$N$4,0)))*IF(W132=0,0,Y132/W132)))*-W132</f>
        <v>0</v>
      </c>
      <c r="AH132" s="343">
        <f t="shared" si="47"/>
        <v>0</v>
      </c>
      <c r="AI132" s="338">
        <f>(-Y132/((HLOOKUP(AG$5,port_specs,2,0)/(365.25))*(AC133-AC132)))*(INDEX(fixed_capacity_charge,MATCH(AC132,PORTS!$H$11:$H$317,0),MATCH(AG$5,PORTS!$H$11:$N$11,0))+INDEX(variable_om_charge,MATCH(AC132,PORTS!$H$318:$H$625,0),MATCH(AG$5,PORTS!$H$318:$N$318,0)))</f>
        <v>0</v>
      </c>
      <c r="AJ132" s="232">
        <f t="shared" si="48"/>
        <v>0</v>
      </c>
      <c r="AK132" s="241">
        <f t="shared" si="49"/>
        <v>0</v>
      </c>
      <c r="AM132" s="186">
        <f t="shared" si="60"/>
        <v>40179</v>
      </c>
      <c r="AN132" s="215">
        <f t="shared" si="50"/>
        <v>5395761.4773599124</v>
      </c>
      <c r="AO132" s="191">
        <f t="shared" si="51"/>
        <v>-56655.495512278751</v>
      </c>
      <c r="AP132" s="218">
        <f>+IF(AND(AO$8&lt;=AM132,AO$9&gt;=AM132),+MIN($B132-SUMIF($H$17:AO$17,AP$17,$H132:AO132),((INDEX(ROUTE_PER_DAY_BY_SHIP,MATCH(CONCATENATE(AO$4,AO$5,AO$7),ROUTE_PER_DAY_ROUTES,0),MATCH(AO$6,ROUTE_PER_DAY_SHIPS,0))*(AM133-AM132))-(INDEX(ROUTE_PER_DAY_BY_SHIP,MATCH(CONCATENATE(AO$4,AO$5,AO$7),ROUTE_PER_DAY_ROUTES,0),MATCH(AO$6,ROUTE_PER_DAY_SHIPS,0))*(AM133-AM132))*HLOOKUP(AO$6,SHIPS,7,0)*INDEX(LADEN_VOYAGE_DAYS,MATCH(CONCATENATE(AO$4,AO$5,AO$7),LADEN_VOYAGE_ROUTES,0),MATCH(AO$6,LADEN_VOYAGE_SHIPS,0)))),0)</f>
        <v>5339105.9818476336</v>
      </c>
      <c r="AQ132" s="118">
        <f>-(AP132)*PORTS!$I$6</f>
        <v>-133477.64954619083</v>
      </c>
      <c r="AR132" s="215">
        <f t="shared" si="33"/>
        <v>5205628.3323014425</v>
      </c>
      <c r="AS132" s="202"/>
      <c r="AT132" s="186">
        <f t="shared" si="61"/>
        <v>40179</v>
      </c>
      <c r="AU132" s="232">
        <f>+AR132*(VLOOKUP(AT132,CURVECALC!$C$6:$J$312,4,0)+AV$5)</f>
        <v>18943281.501244951</v>
      </c>
      <c r="AV132" s="208">
        <f>-AN132*INDEX(ship_curves,MATCH(AT132,'SHIP CURVES'!$A$9:$A$316,0),MATCH(CONCATENATE(AX$4,AX$5,AX$6,AX$7),'SHIP CURVES'!$A$9:$AZ$9,0))</f>
        <v>-1792714.9929646864</v>
      </c>
      <c r="AW132" s="209">
        <f>-AP132*INDEX(port_processing_fee,MATCH(AT132,PORTS!$H$626:$H$933,0),MATCH(AX$5,PORTS!$H$626:$Z$626,0))</f>
        <v>-159252.84058141246</v>
      </c>
      <c r="AX132" s="405">
        <f>(((VLOOKUP(AT132,curvecalc,4,0))*IF(AN132=0,0,AR132/AN132)-INDEX(ship_curves,MATCH(AT132,'SHIP CURVES'!$A$9:$A$316,0),MATCH(CONCATENATE(AX$4,AX$5,AX$6,AX$7),'SHIP CURVES'!$A$9:$Z$9,0))-INDEX(terminal_curves,MATCH(AT132,'TERMINAL CURVES'!$A$4:$A$313,0),MATCH(AX$5,'TERMINAL CURVES'!$A$4:$N$4,0))*IF(AN132=0,0,AP132/AN132))-(AV$8)*((AV$7-$N$5)-(INDEX(ship_curves,MATCH(AT132,'SHIP CURVES'!$A$9:$A$316,0),MATCH(CONCATENATE(AX$4,AX$5,AX$6,AX$7),'SHIP CURVES'!$A$9:$Z$9,0))-INDEX(ship_curves,MATCH(AT132,'SHIP CURVES'!$A$9:$A$316,0),MATCH(CONCATENATE(AX$4,AV$6,AX$6,AX$7),'SHIP CURVES'!$A$9:$Z$9,0)))-(INDEX(terminal_curves,MATCH(AT132,'TERMINAL CURVES'!$A$4:$A$313,0),MATCH(AX$5,'TERMINAL CURVES'!$A$4:$N$4,0))-INDEX(terminal_curves,MATCH(AT132,'TERMINAL CURVES'!$A$4:$A$313,0),MATCH(AV$6,'TERMINAL CURVES'!$A$4:$N$4,0)))*IF(AN132=0,0,AP132/AN132)))*-AN132</f>
        <v>-15888966.594481122</v>
      </c>
      <c r="AY132" s="343">
        <f t="shared" si="52"/>
        <v>-17840934.42802722</v>
      </c>
      <c r="AZ132" s="338">
        <f>(-AP132/((HLOOKUP(AX$5,port_specs,2,0)/(365.25))*(AT133-AT132)))*(INDEX(fixed_capacity_charge,MATCH(AT132,PORTS!$H$11:$H$317,0),MATCH(AX$5,PORTS!$H$11:$N$11,0))+INDEX(variable_om_charge,MATCH(AT132,PORTS!$H$318:$H$625,0),MATCH(AX$5,PORTS!$H$318:$N$318,0)))</f>
        <v>-998234.5065717001</v>
      </c>
      <c r="BA132" s="232">
        <f t="shared" si="53"/>
        <v>-18839168.934598919</v>
      </c>
      <c r="BB132" s="241">
        <f t="shared" si="54"/>
        <v>104112.56664603204</v>
      </c>
      <c r="BC132" s="408"/>
      <c r="BD132" s="338">
        <f>+PORTS!I126+PORTS!I434</f>
        <v>998234.5065717001</v>
      </c>
    </row>
    <row r="133" spans="1:56" x14ac:dyDescent="0.2">
      <c r="A133" s="186">
        <f t="shared" si="55"/>
        <v>40210</v>
      </c>
      <c r="B133" s="215">
        <f>+IF(AND($A133&gt;=$C$8,$A133&lt;=$C$9),1,0)*PORTS!$I$5/(365.25)*(A134-A133)</f>
        <v>4822418.3061849596</v>
      </c>
      <c r="C133" s="351">
        <f t="shared" si="34"/>
        <v>0</v>
      </c>
      <c r="D133">
        <f t="shared" si="35"/>
        <v>2010</v>
      </c>
      <c r="E133" s="186">
        <f t="shared" si="56"/>
        <v>40210</v>
      </c>
      <c r="F133" s="215">
        <f t="shared" si="36"/>
        <v>0</v>
      </c>
      <c r="G133" s="191">
        <f t="shared" si="37"/>
        <v>0</v>
      </c>
      <c r="H133" s="218">
        <f t="shared" si="38"/>
        <v>0</v>
      </c>
      <c r="I133" s="118">
        <f t="shared" si="39"/>
        <v>0</v>
      </c>
      <c r="J133" s="215">
        <f t="shared" si="40"/>
        <v>0</v>
      </c>
      <c r="K133" s="202"/>
      <c r="L133" s="186">
        <f t="shared" si="57"/>
        <v>40210</v>
      </c>
      <c r="M133" s="400">
        <f>+J133*(VLOOKUP(L133,CURVECALC!$C$6:$J$312,4,0)+N$5)</f>
        <v>0</v>
      </c>
      <c r="N133" s="208">
        <f>-F133*INDEX(ship_curves,MATCH(L133,'SHIP CURVES'!$A$9:$A$316,0),MATCH(CONCATENATE(P$4,P$5,P$6,P$7),'SHIP CURVES'!$A$9:$AZ$9,0))</f>
        <v>0</v>
      </c>
      <c r="O133" s="209">
        <f>-H133*INDEX(port_processing_fee,MATCH(L133,PORTS!$H$626:$H$933,0),MATCH(P$5,PORTS!$H$626:$Z$626,0))</f>
        <v>0</v>
      </c>
      <c r="P133" s="405">
        <f>(((VLOOKUP(L133,curvecalc,4,0))*IF(F133=0,0,J133/F133)-INDEX(ship_curves,MATCH(L133,'SHIP CURVES'!$A$9:$A$316,0),MATCH(CONCATENATE(P$4,P$5,P$6,P$7),'SHIP CURVES'!$A$9:$Z$9,0))-INDEX(terminal_curves,MATCH(L133,'TERMINAL CURVES'!$A$4:$A$313,0),MATCH(P$5,'TERMINAL CURVES'!$A$4:$N$4,0))*IF(F133=0,0,H133/F133))-(N$8)*((N$7-$N$5)-(INDEX(ship_curves,MATCH(L133,'SHIP CURVES'!$A$9:$A$316,0),MATCH(CONCATENATE(P$4,P$5,P$6,P$7),'SHIP CURVES'!$A$9:$Z$9,0))-INDEX(ship_curves,MATCH(L133,'SHIP CURVES'!$A$9:$A$316,0),MATCH(CONCATENATE(P$4,N$6,P$6,P$7),'SHIP CURVES'!$A$9:$Z$9,0)))-(INDEX(terminal_curves,MATCH(L133,'TERMINAL CURVES'!$A$4:$A$313,0),MATCH(P$5,'TERMINAL CURVES'!$A$4:$N$4,0))-INDEX(terminal_curves,MATCH(L133,'TERMINAL CURVES'!$A$4:$A$313,0),MATCH(N$6,'TERMINAL CURVES'!$A$4:$N$4,0)))*IF(F133=0,0,H133/F133)))*-F133</f>
        <v>0</v>
      </c>
      <c r="Q133" s="403">
        <f t="shared" si="41"/>
        <v>0</v>
      </c>
      <c r="R133" s="338">
        <f>(-H133/((HLOOKUP(P$5,port_specs,2,0)/(365.25))*(L134-L133)))*(INDEX(fixed_capacity_charge,MATCH(L133,PORTS!$H$11:$H$317,0),MATCH(P$5,PORTS!$H$11:$N$11,0))+INDEX(variable_om_charge,MATCH(L133,PORTS!$H$318:$H$625,0),MATCH(P$5,PORTS!$H$318:$N$318,0)))</f>
        <v>0</v>
      </c>
      <c r="S133" s="232">
        <f t="shared" si="42"/>
        <v>0</v>
      </c>
      <c r="T133" s="241">
        <f t="shared" si="43"/>
        <v>0</v>
      </c>
      <c r="V133" s="186">
        <f t="shared" si="58"/>
        <v>40210</v>
      </c>
      <c r="W133" s="215">
        <f t="shared" si="44"/>
        <v>0</v>
      </c>
      <c r="X133" s="191">
        <f t="shared" si="45"/>
        <v>0</v>
      </c>
      <c r="Y133" s="218">
        <f>+IF(AND(X$8&lt;=V133,X$9&gt;=V133),+MIN($B133-SUMIF($H$17:X$17,Y$17,$H133:X133),((INDEX(ROUTE_PER_DAY_BY_SHIP,MATCH(CONCATENATE(X$4,X$5,X$7),ROUTE_PER_DAY_ROUTES,0),MATCH(X$6,ROUTE_PER_DAY_SHIPS,0))*(V134-V133))-(INDEX(ROUTE_PER_DAY_BY_SHIP,MATCH(CONCATENATE(X$4,X$5,X$7),ROUTE_PER_DAY_ROUTES,0),MATCH(X$6,ROUTE_PER_DAY_SHIPS,0))*(V134-V133))*HLOOKUP(X$6,SHIPS,7,0)*INDEX(LADEN_VOYAGE_DAYS,MATCH(CONCATENATE(X$4,X$5,X$7),LADEN_VOYAGE_ROUTES,0),MATCH(X$6,LADEN_VOYAGE_SHIPS,0)))),0)</f>
        <v>0</v>
      </c>
      <c r="Z133" s="118">
        <f t="shared" si="46"/>
        <v>0</v>
      </c>
      <c r="AA133" s="215">
        <f t="shared" si="32"/>
        <v>0</v>
      </c>
      <c r="AB133" s="202"/>
      <c r="AC133" s="186">
        <f t="shared" si="59"/>
        <v>40210</v>
      </c>
      <c r="AD133" s="232">
        <f>+AA133*(VLOOKUP(AC133,CURVECALC!$C$6:$J$312,4,0)+AE$5)</f>
        <v>0</v>
      </c>
      <c r="AE133" s="208">
        <f>-W133*INDEX(ship_curves,MATCH(AC133,'SHIP CURVES'!$A$9:$A$316,0),MATCH(CONCATENATE(AG$4,AG$5,AG$6,AG$7),'SHIP CURVES'!$A$9:$AZ$9,0))</f>
        <v>0</v>
      </c>
      <c r="AF133" s="209">
        <f>-Y133*INDEX(port_processing_fee,MATCH(AC133,PORTS!$H$626:$H$933,0),MATCH(AG$5,PORTS!$H$626:$Z$626,0))</f>
        <v>0</v>
      </c>
      <c r="AG133" s="405">
        <f>(((VLOOKUP(AC133,curvecalc,4,0))*IF(W133=0,0,AA133/W133)-INDEX(ship_curves,MATCH(AC133,'SHIP CURVES'!$A$9:$A$316,0),MATCH(CONCATENATE(AG$4,AG$5,AG$6,AG$7),'SHIP CURVES'!$A$9:$Z$9,0))-INDEX(terminal_curves,MATCH(AC133,'TERMINAL CURVES'!$A$4:$A$313,0),MATCH(AG$5,'TERMINAL CURVES'!$A$4:$N$4,0))*IF(W133=0,0,Y133/W133))-(AE$8)*((AE$7-$N$5)-(INDEX(ship_curves,MATCH(AC133,'SHIP CURVES'!$A$9:$A$316,0),MATCH(CONCATENATE(AG$4,AG$5,AG$6,AG$7),'SHIP CURVES'!$A$9:$Z$9,0))-INDEX(ship_curves,MATCH(AC133,'SHIP CURVES'!$A$9:$A$316,0),MATCH(CONCATENATE(AG$4,AE$6,AG$6,AG$7),'SHIP CURVES'!$A$9:$Z$9,0)))-(INDEX(terminal_curves,MATCH(AC133,'TERMINAL CURVES'!$A$4:$A$313,0),MATCH(AG$5,'TERMINAL CURVES'!$A$4:$N$4,0))-INDEX(terminal_curves,MATCH(AC133,'TERMINAL CURVES'!$A$4:$A$313,0),MATCH(AE$6,'TERMINAL CURVES'!$A$4:$N$4,0)))*IF(W133=0,0,Y133/W133)))*-W133</f>
        <v>0</v>
      </c>
      <c r="AH133" s="343">
        <f t="shared" si="47"/>
        <v>0</v>
      </c>
      <c r="AI133" s="338">
        <f>(-Y133/((HLOOKUP(AG$5,port_specs,2,0)/(365.25))*(AC134-AC133)))*(INDEX(fixed_capacity_charge,MATCH(AC133,PORTS!$H$11:$H$317,0),MATCH(AG$5,PORTS!$H$11:$N$11,0))+INDEX(variable_om_charge,MATCH(AC133,PORTS!$H$318:$H$625,0),MATCH(AG$5,PORTS!$H$318:$N$318,0)))</f>
        <v>0</v>
      </c>
      <c r="AJ133" s="232">
        <f t="shared" si="48"/>
        <v>0</v>
      </c>
      <c r="AK133" s="241">
        <f t="shared" si="49"/>
        <v>0</v>
      </c>
      <c r="AM133" s="186">
        <f t="shared" si="60"/>
        <v>40210</v>
      </c>
      <c r="AN133" s="215">
        <f t="shared" si="50"/>
        <v>4873591.0118089532</v>
      </c>
      <c r="AO133" s="191">
        <f t="shared" si="51"/>
        <v>-51172.70562399365</v>
      </c>
      <c r="AP133" s="218">
        <f>+IF(AND(AO$8&lt;=AM133,AO$9&gt;=AM133),+MIN($B133-SUMIF($H$17:AO$17,AP$17,$H133:AO133),((INDEX(ROUTE_PER_DAY_BY_SHIP,MATCH(CONCATENATE(AO$4,AO$5,AO$7),ROUTE_PER_DAY_ROUTES,0),MATCH(AO$6,ROUTE_PER_DAY_SHIPS,0))*(AM134-AM133))-(INDEX(ROUTE_PER_DAY_BY_SHIP,MATCH(CONCATENATE(AO$4,AO$5,AO$7),ROUTE_PER_DAY_ROUTES,0),MATCH(AO$6,ROUTE_PER_DAY_SHIPS,0))*(AM134-AM133))*HLOOKUP(AO$6,SHIPS,7,0)*INDEX(LADEN_VOYAGE_DAYS,MATCH(CONCATENATE(AO$4,AO$5,AO$7),LADEN_VOYAGE_ROUTES,0),MATCH(AO$6,LADEN_VOYAGE_SHIPS,0)))),0)</f>
        <v>4822418.3061849596</v>
      </c>
      <c r="AQ133" s="118">
        <f>-(AP133)*PORTS!$I$6</f>
        <v>-120560.457654624</v>
      </c>
      <c r="AR133" s="215">
        <f t="shared" si="33"/>
        <v>4701857.8485303354</v>
      </c>
      <c r="AS133" s="202"/>
      <c r="AT133" s="186">
        <f t="shared" si="61"/>
        <v>40210</v>
      </c>
      <c r="AU133" s="232">
        <f>+AR133*(VLOOKUP(AT133,CURVECALC!$C$6:$J$312,4,0)+AV$5)</f>
        <v>16630471.210251795</v>
      </c>
      <c r="AV133" s="208">
        <f>-AN133*INDEX(ship_curves,MATCH(AT133,'SHIP CURVES'!$A$9:$A$316,0),MATCH(CONCATENATE(AX$4,AX$5,AX$6,AX$7),'SHIP CURVES'!$A$9:$AZ$9,0))</f>
        <v>-1619713.4105438136</v>
      </c>
      <c r="AW133" s="209">
        <f>-AP133*INDEX(port_processing_fee,MATCH(AT133,PORTS!$H$626:$H$933,0),MATCH(AX$5,PORTS!$H$626:$Z$626,0))</f>
        <v>-143991.11002569378</v>
      </c>
      <c r="AX133" s="405">
        <f>(((VLOOKUP(AT133,curvecalc,4,0))*IF(AN133=0,0,AR133/AN133)-INDEX(ship_curves,MATCH(AT133,'SHIP CURVES'!$A$9:$A$316,0),MATCH(CONCATENATE(AX$4,AX$5,AX$6,AX$7),'SHIP CURVES'!$A$9:$Z$9,0))-INDEX(terminal_curves,MATCH(AT133,'TERMINAL CURVES'!$A$4:$A$313,0),MATCH(AX$5,'TERMINAL CURVES'!$A$4:$N$4,0))*IF(AN133=0,0,AP133/AN133))-(AV$8)*((AV$7-$N$5)-(INDEX(ship_curves,MATCH(AT133,'SHIP CURVES'!$A$9:$A$316,0),MATCH(CONCATENATE(AX$4,AX$5,AX$6,AX$7),'SHIP CURVES'!$A$9:$Z$9,0))-INDEX(ship_curves,MATCH(AT133,'SHIP CURVES'!$A$9:$A$316,0),MATCH(CONCATENATE(AX$4,AV$6,AX$6,AX$7),'SHIP CURVES'!$A$9:$Z$9,0)))-(INDEX(terminal_curves,MATCH(AT133,'TERMINAL CURVES'!$A$4:$A$313,0),MATCH(AX$5,'TERMINAL CURVES'!$A$4:$N$4,0))-INDEX(terminal_curves,MATCH(AT133,'TERMINAL CURVES'!$A$4:$A$313,0),MATCH(AV$6,'TERMINAL CURVES'!$A$4:$N$4,0)))*IF(AN133=0,0,AP133/AN133)))*-AN133</f>
        <v>-13773960.601206999</v>
      </c>
      <c r="AY133" s="343">
        <f t="shared" si="52"/>
        <v>-15537665.121776506</v>
      </c>
      <c r="AZ133" s="338">
        <f>(-AP133/((HLOOKUP(AX$5,port_specs,2,0)/(365.25))*(AT134-AT133)))*(INDEX(fixed_capacity_charge,MATCH(AT133,PORTS!$H$11:$H$317,0),MATCH(AX$5,PORTS!$H$11:$N$11,0))+INDEX(variable_om_charge,MATCH(AT133,PORTS!$H$318:$H$625,0),MATCH(AX$5,PORTS!$H$318:$N$318,0)))</f>
        <v>-998768.93150468275</v>
      </c>
      <c r="BA133" s="232">
        <f t="shared" si="53"/>
        <v>-16536434.05328119</v>
      </c>
      <c r="BB133" s="241">
        <f t="shared" si="54"/>
        <v>94037.156970605254</v>
      </c>
      <c r="BC133" s="408"/>
      <c r="BD133" s="338">
        <f>+PORTS!I127+PORTS!I435</f>
        <v>998768.93150468275</v>
      </c>
    </row>
    <row r="134" spans="1:56" x14ac:dyDescent="0.2">
      <c r="A134" s="186">
        <f t="shared" si="55"/>
        <v>40238</v>
      </c>
      <c r="B134" s="215">
        <f>+IF(AND($A134&gt;=$C$8,$A134&lt;=$C$9),1,0)*PORTS!$I$5/(365.25)*(A135-A134)</f>
        <v>5339105.9818476336</v>
      </c>
      <c r="C134" s="351">
        <f t="shared" si="34"/>
        <v>0</v>
      </c>
      <c r="D134">
        <f t="shared" si="35"/>
        <v>2010</v>
      </c>
      <c r="E134" s="186">
        <f t="shared" si="56"/>
        <v>40238</v>
      </c>
      <c r="F134" s="215">
        <f t="shared" si="36"/>
        <v>0</v>
      </c>
      <c r="G134" s="191">
        <f t="shared" si="37"/>
        <v>0</v>
      </c>
      <c r="H134" s="218">
        <f t="shared" si="38"/>
        <v>0</v>
      </c>
      <c r="I134" s="118">
        <f t="shared" si="39"/>
        <v>0</v>
      </c>
      <c r="J134" s="215">
        <f t="shared" si="40"/>
        <v>0</v>
      </c>
      <c r="K134" s="202"/>
      <c r="L134" s="186">
        <f t="shared" si="57"/>
        <v>40238</v>
      </c>
      <c r="M134" s="400">
        <f>+J134*(VLOOKUP(L134,CURVECALC!$C$6:$J$312,4,0)+N$5)</f>
        <v>0</v>
      </c>
      <c r="N134" s="208">
        <f>-F134*INDEX(ship_curves,MATCH(L134,'SHIP CURVES'!$A$9:$A$316,0),MATCH(CONCATENATE(P$4,P$5,P$6,P$7),'SHIP CURVES'!$A$9:$AZ$9,0))</f>
        <v>0</v>
      </c>
      <c r="O134" s="209">
        <f>-H134*INDEX(port_processing_fee,MATCH(L134,PORTS!$H$626:$H$933,0),MATCH(P$5,PORTS!$H$626:$Z$626,0))</f>
        <v>0</v>
      </c>
      <c r="P134" s="405">
        <f>(((VLOOKUP(L134,curvecalc,4,0))*IF(F134=0,0,J134/F134)-INDEX(ship_curves,MATCH(L134,'SHIP CURVES'!$A$9:$A$316,0),MATCH(CONCATENATE(P$4,P$5,P$6,P$7),'SHIP CURVES'!$A$9:$Z$9,0))-INDEX(terminal_curves,MATCH(L134,'TERMINAL CURVES'!$A$4:$A$313,0),MATCH(P$5,'TERMINAL CURVES'!$A$4:$N$4,0))*IF(F134=0,0,H134/F134))-(N$8)*((N$7-$N$5)-(INDEX(ship_curves,MATCH(L134,'SHIP CURVES'!$A$9:$A$316,0),MATCH(CONCATENATE(P$4,P$5,P$6,P$7),'SHIP CURVES'!$A$9:$Z$9,0))-INDEX(ship_curves,MATCH(L134,'SHIP CURVES'!$A$9:$A$316,0),MATCH(CONCATENATE(P$4,N$6,P$6,P$7),'SHIP CURVES'!$A$9:$Z$9,0)))-(INDEX(terminal_curves,MATCH(L134,'TERMINAL CURVES'!$A$4:$A$313,0),MATCH(P$5,'TERMINAL CURVES'!$A$4:$N$4,0))-INDEX(terminal_curves,MATCH(L134,'TERMINAL CURVES'!$A$4:$A$313,0),MATCH(N$6,'TERMINAL CURVES'!$A$4:$N$4,0)))*IF(F134=0,0,H134/F134)))*-F134</f>
        <v>0</v>
      </c>
      <c r="Q134" s="403">
        <f t="shared" si="41"/>
        <v>0</v>
      </c>
      <c r="R134" s="338">
        <f>(-H134/((HLOOKUP(P$5,port_specs,2,0)/(365.25))*(L135-L134)))*(INDEX(fixed_capacity_charge,MATCH(L134,PORTS!$H$11:$H$317,0),MATCH(P$5,PORTS!$H$11:$N$11,0))+INDEX(variable_om_charge,MATCH(L134,PORTS!$H$318:$H$625,0),MATCH(P$5,PORTS!$H$318:$N$318,0)))</f>
        <v>0</v>
      </c>
      <c r="S134" s="232">
        <f t="shared" si="42"/>
        <v>0</v>
      </c>
      <c r="T134" s="241">
        <f t="shared" si="43"/>
        <v>0</v>
      </c>
      <c r="V134" s="186">
        <f t="shared" si="58"/>
        <v>40238</v>
      </c>
      <c r="W134" s="215">
        <f t="shared" si="44"/>
        <v>0</v>
      </c>
      <c r="X134" s="191">
        <f t="shared" si="45"/>
        <v>0</v>
      </c>
      <c r="Y134" s="218">
        <f>+IF(AND(X$8&lt;=V134,X$9&gt;=V134),+MIN($B134-SUMIF($H$17:X$17,Y$17,$H134:X134),((INDEX(ROUTE_PER_DAY_BY_SHIP,MATCH(CONCATENATE(X$4,X$5,X$7),ROUTE_PER_DAY_ROUTES,0),MATCH(X$6,ROUTE_PER_DAY_SHIPS,0))*(V135-V134))-(INDEX(ROUTE_PER_DAY_BY_SHIP,MATCH(CONCATENATE(X$4,X$5,X$7),ROUTE_PER_DAY_ROUTES,0),MATCH(X$6,ROUTE_PER_DAY_SHIPS,0))*(V135-V134))*HLOOKUP(X$6,SHIPS,7,0)*INDEX(LADEN_VOYAGE_DAYS,MATCH(CONCATENATE(X$4,X$5,X$7),LADEN_VOYAGE_ROUTES,0),MATCH(X$6,LADEN_VOYAGE_SHIPS,0)))),0)</f>
        <v>0</v>
      </c>
      <c r="Z134" s="118">
        <f t="shared" si="46"/>
        <v>0</v>
      </c>
      <c r="AA134" s="215">
        <f t="shared" si="32"/>
        <v>0</v>
      </c>
      <c r="AB134" s="202"/>
      <c r="AC134" s="186">
        <f t="shared" si="59"/>
        <v>40238</v>
      </c>
      <c r="AD134" s="232">
        <f>+AA134*(VLOOKUP(AC134,CURVECALC!$C$6:$J$312,4,0)+AE$5)</f>
        <v>0</v>
      </c>
      <c r="AE134" s="208">
        <f>-W134*INDEX(ship_curves,MATCH(AC134,'SHIP CURVES'!$A$9:$A$316,0),MATCH(CONCATENATE(AG$4,AG$5,AG$6,AG$7),'SHIP CURVES'!$A$9:$AZ$9,0))</f>
        <v>0</v>
      </c>
      <c r="AF134" s="209">
        <f>-Y134*INDEX(port_processing_fee,MATCH(AC134,PORTS!$H$626:$H$933,0),MATCH(AG$5,PORTS!$H$626:$Z$626,0))</f>
        <v>0</v>
      </c>
      <c r="AG134" s="405">
        <f>(((VLOOKUP(AC134,curvecalc,4,0))*IF(W134=0,0,AA134/W134)-INDEX(ship_curves,MATCH(AC134,'SHIP CURVES'!$A$9:$A$316,0),MATCH(CONCATENATE(AG$4,AG$5,AG$6,AG$7),'SHIP CURVES'!$A$9:$Z$9,0))-INDEX(terminal_curves,MATCH(AC134,'TERMINAL CURVES'!$A$4:$A$313,0),MATCH(AG$5,'TERMINAL CURVES'!$A$4:$N$4,0))*IF(W134=0,0,Y134/W134))-(AE$8)*((AE$7-$N$5)-(INDEX(ship_curves,MATCH(AC134,'SHIP CURVES'!$A$9:$A$316,0),MATCH(CONCATENATE(AG$4,AG$5,AG$6,AG$7),'SHIP CURVES'!$A$9:$Z$9,0))-INDEX(ship_curves,MATCH(AC134,'SHIP CURVES'!$A$9:$A$316,0),MATCH(CONCATENATE(AG$4,AE$6,AG$6,AG$7),'SHIP CURVES'!$A$9:$Z$9,0)))-(INDEX(terminal_curves,MATCH(AC134,'TERMINAL CURVES'!$A$4:$A$313,0),MATCH(AG$5,'TERMINAL CURVES'!$A$4:$N$4,0))-INDEX(terminal_curves,MATCH(AC134,'TERMINAL CURVES'!$A$4:$A$313,0),MATCH(AE$6,'TERMINAL CURVES'!$A$4:$N$4,0)))*IF(W134=0,0,Y134/W134)))*-W134</f>
        <v>0</v>
      </c>
      <c r="AH134" s="343">
        <f t="shared" si="47"/>
        <v>0</v>
      </c>
      <c r="AI134" s="338">
        <f>(-Y134/((HLOOKUP(AG$5,port_specs,2,0)/(365.25))*(AC135-AC134)))*(INDEX(fixed_capacity_charge,MATCH(AC134,PORTS!$H$11:$H$317,0),MATCH(AG$5,PORTS!$H$11:$N$11,0))+INDEX(variable_om_charge,MATCH(AC134,PORTS!$H$318:$H$625,0),MATCH(AG$5,PORTS!$H$318:$N$318,0)))</f>
        <v>0</v>
      </c>
      <c r="AJ134" s="232">
        <f t="shared" si="48"/>
        <v>0</v>
      </c>
      <c r="AK134" s="241">
        <f t="shared" si="49"/>
        <v>0</v>
      </c>
      <c r="AM134" s="186">
        <f t="shared" si="60"/>
        <v>40238</v>
      </c>
      <c r="AN134" s="215">
        <f t="shared" si="50"/>
        <v>5395761.4773599124</v>
      </c>
      <c r="AO134" s="191">
        <f t="shared" si="51"/>
        <v>-56655.495512278751</v>
      </c>
      <c r="AP134" s="218">
        <f>+IF(AND(AO$8&lt;=AM134,AO$9&gt;=AM134),+MIN($B134-SUMIF($H$17:AO$17,AP$17,$H134:AO134),((INDEX(ROUTE_PER_DAY_BY_SHIP,MATCH(CONCATENATE(AO$4,AO$5,AO$7),ROUTE_PER_DAY_ROUTES,0),MATCH(AO$6,ROUTE_PER_DAY_SHIPS,0))*(AM135-AM134))-(INDEX(ROUTE_PER_DAY_BY_SHIP,MATCH(CONCATENATE(AO$4,AO$5,AO$7),ROUTE_PER_DAY_ROUTES,0),MATCH(AO$6,ROUTE_PER_DAY_SHIPS,0))*(AM135-AM134))*HLOOKUP(AO$6,SHIPS,7,0)*INDEX(LADEN_VOYAGE_DAYS,MATCH(CONCATENATE(AO$4,AO$5,AO$7),LADEN_VOYAGE_ROUTES,0),MATCH(AO$6,LADEN_VOYAGE_SHIPS,0)))),0)</f>
        <v>5339105.9818476336</v>
      </c>
      <c r="AQ134" s="118">
        <f>-(AP134)*PORTS!$I$6</f>
        <v>-133477.64954619083</v>
      </c>
      <c r="AR134" s="215">
        <f t="shared" si="33"/>
        <v>5205628.3323014425</v>
      </c>
      <c r="AS134" s="202"/>
      <c r="AT134" s="186">
        <f t="shared" si="61"/>
        <v>40238</v>
      </c>
      <c r="AU134" s="232">
        <f>+AR134*(VLOOKUP(AT134,CURVECALC!$C$6:$J$312,4,0)+AV$5)</f>
        <v>17792837.63980633</v>
      </c>
      <c r="AV134" s="208">
        <f>-AN134*INDEX(ship_curves,MATCH(AT134,'SHIP CURVES'!$A$9:$A$316,0),MATCH(CONCATENATE(AX$4,AX$5,AX$6,AX$7),'SHIP CURVES'!$A$9:$AZ$9,0))</f>
        <v>-1793794.3964480914</v>
      </c>
      <c r="AW134" s="209">
        <f>-AP134*INDEX(port_processing_fee,MATCH(AT134,PORTS!$H$626:$H$933,0),MATCH(AX$5,PORTS!$H$626:$Z$626,0))</f>
        <v>-159584.79013301499</v>
      </c>
      <c r="AX134" s="405">
        <f>(((VLOOKUP(AT134,curvecalc,4,0))*IF(AN134=0,0,AR134/AN134)-INDEX(ship_curves,MATCH(AT134,'SHIP CURVES'!$A$9:$A$316,0),MATCH(CONCATENATE(AX$4,AX$5,AX$6,AX$7),'SHIP CURVES'!$A$9:$Z$9,0))-INDEX(terminal_curves,MATCH(AT134,'TERMINAL CURVES'!$A$4:$A$313,0),MATCH(AX$5,'TERMINAL CURVES'!$A$4:$N$4,0))*IF(AN134=0,0,AP134/AN134))-(AV$8)*((AV$7-$N$5)-(INDEX(ship_curves,MATCH(AT134,'SHIP CURVES'!$A$9:$A$316,0),MATCH(CONCATENATE(AX$4,AX$5,AX$6,AX$7),'SHIP CURVES'!$A$9:$Z$9,0))-INDEX(ship_curves,MATCH(AT134,'SHIP CURVES'!$A$9:$A$316,0),MATCH(CONCATENATE(AX$4,AV$6,AX$6,AX$7),'SHIP CURVES'!$A$9:$Z$9,0)))-(INDEX(terminal_curves,MATCH(AT134,'TERMINAL CURVES'!$A$4:$A$313,0),MATCH(AX$5,'TERMINAL CURVES'!$A$4:$N$4,0))-INDEX(terminal_curves,MATCH(AT134,'TERMINAL CURVES'!$A$4:$A$313,0),MATCH(AV$6,'TERMINAL CURVES'!$A$4:$N$4,0)))*IF(AN134=0,0,AP134/AN134)))*-AN134</f>
        <v>-14736041.973448891</v>
      </c>
      <c r="AY134" s="343">
        <f t="shared" si="52"/>
        <v>-16689421.160029998</v>
      </c>
      <c r="AZ134" s="338">
        <f>(-AP134/((HLOOKUP(AX$5,port_specs,2,0)/(365.25))*(AT135-AT134)))*(INDEX(fixed_capacity_charge,MATCH(AT134,PORTS!$H$11:$H$317,0),MATCH(AX$5,PORTS!$H$11:$N$11,0))+INDEX(variable_om_charge,MATCH(AT134,PORTS!$H$318:$H$625,0),MATCH(AX$5,PORTS!$H$318:$N$318,0)))</f>
        <v>-999303.91313030384</v>
      </c>
      <c r="BA134" s="232">
        <f t="shared" si="53"/>
        <v>-17688725.073160302</v>
      </c>
      <c r="BB134" s="241">
        <f t="shared" si="54"/>
        <v>104112.56664602831</v>
      </c>
      <c r="BC134" s="408"/>
      <c r="BD134" s="338">
        <f>+PORTS!I128+PORTS!I436</f>
        <v>999303.91313030384</v>
      </c>
    </row>
    <row r="135" spans="1:56" x14ac:dyDescent="0.2">
      <c r="A135" s="186">
        <f t="shared" si="55"/>
        <v>40269</v>
      </c>
      <c r="B135" s="215">
        <f>+IF(AND($A135&gt;=$C$8,$A135&lt;=$C$9),1,0)*PORTS!$I$5/(365.25)*(A136-A135)</f>
        <v>5166876.756626742</v>
      </c>
      <c r="C135" s="351">
        <f t="shared" si="34"/>
        <v>0</v>
      </c>
      <c r="D135">
        <f t="shared" si="35"/>
        <v>2010</v>
      </c>
      <c r="E135" s="186">
        <f t="shared" si="56"/>
        <v>40269</v>
      </c>
      <c r="F135" s="215">
        <f t="shared" si="36"/>
        <v>0</v>
      </c>
      <c r="G135" s="191">
        <f t="shared" si="37"/>
        <v>0</v>
      </c>
      <c r="H135" s="218">
        <f t="shared" si="38"/>
        <v>0</v>
      </c>
      <c r="I135" s="118">
        <f t="shared" si="39"/>
        <v>0</v>
      </c>
      <c r="J135" s="215">
        <f t="shared" si="40"/>
        <v>0</v>
      </c>
      <c r="K135" s="202"/>
      <c r="L135" s="186">
        <f t="shared" si="57"/>
        <v>40269</v>
      </c>
      <c r="M135" s="400">
        <f>+J135*(VLOOKUP(L135,CURVECALC!$C$6:$J$312,4,0)+N$5)</f>
        <v>0</v>
      </c>
      <c r="N135" s="208">
        <f>-F135*INDEX(ship_curves,MATCH(L135,'SHIP CURVES'!$A$9:$A$316,0),MATCH(CONCATENATE(P$4,P$5,P$6,P$7),'SHIP CURVES'!$A$9:$AZ$9,0))</f>
        <v>0</v>
      </c>
      <c r="O135" s="209">
        <f>-H135*INDEX(port_processing_fee,MATCH(L135,PORTS!$H$626:$H$933,0),MATCH(P$5,PORTS!$H$626:$Z$626,0))</f>
        <v>0</v>
      </c>
      <c r="P135" s="405">
        <f>(((VLOOKUP(L135,curvecalc,4,0))*IF(F135=0,0,J135/F135)-INDEX(ship_curves,MATCH(L135,'SHIP CURVES'!$A$9:$A$316,0),MATCH(CONCATENATE(P$4,P$5,P$6,P$7),'SHIP CURVES'!$A$9:$Z$9,0))-INDEX(terminal_curves,MATCH(L135,'TERMINAL CURVES'!$A$4:$A$313,0),MATCH(P$5,'TERMINAL CURVES'!$A$4:$N$4,0))*IF(F135=0,0,H135/F135))-(N$8)*((N$7-$N$5)-(INDEX(ship_curves,MATCH(L135,'SHIP CURVES'!$A$9:$A$316,0),MATCH(CONCATENATE(P$4,P$5,P$6,P$7),'SHIP CURVES'!$A$9:$Z$9,0))-INDEX(ship_curves,MATCH(L135,'SHIP CURVES'!$A$9:$A$316,0),MATCH(CONCATENATE(P$4,N$6,P$6,P$7),'SHIP CURVES'!$A$9:$Z$9,0)))-(INDEX(terminal_curves,MATCH(L135,'TERMINAL CURVES'!$A$4:$A$313,0),MATCH(P$5,'TERMINAL CURVES'!$A$4:$N$4,0))-INDEX(terminal_curves,MATCH(L135,'TERMINAL CURVES'!$A$4:$A$313,0),MATCH(N$6,'TERMINAL CURVES'!$A$4:$N$4,0)))*IF(F135=0,0,H135/F135)))*-F135</f>
        <v>0</v>
      </c>
      <c r="Q135" s="403">
        <f t="shared" si="41"/>
        <v>0</v>
      </c>
      <c r="R135" s="338">
        <f>(-H135/((HLOOKUP(P$5,port_specs,2,0)/(365.25))*(L136-L135)))*(INDEX(fixed_capacity_charge,MATCH(L135,PORTS!$H$11:$H$317,0),MATCH(P$5,PORTS!$H$11:$N$11,0))+INDEX(variable_om_charge,MATCH(L135,PORTS!$H$318:$H$625,0),MATCH(P$5,PORTS!$H$318:$N$318,0)))</f>
        <v>0</v>
      </c>
      <c r="S135" s="232">
        <f t="shared" si="42"/>
        <v>0</v>
      </c>
      <c r="T135" s="241">
        <f t="shared" si="43"/>
        <v>0</v>
      </c>
      <c r="V135" s="186">
        <f t="shared" si="58"/>
        <v>40269</v>
      </c>
      <c r="W135" s="215">
        <f t="shared" si="44"/>
        <v>0</v>
      </c>
      <c r="X135" s="191">
        <f t="shared" si="45"/>
        <v>0</v>
      </c>
      <c r="Y135" s="218">
        <f>+IF(AND(X$8&lt;=V135,X$9&gt;=V135),+MIN($B135-SUMIF($H$17:X$17,Y$17,$H135:X135),((INDEX(ROUTE_PER_DAY_BY_SHIP,MATCH(CONCATENATE(X$4,X$5,X$7),ROUTE_PER_DAY_ROUTES,0),MATCH(X$6,ROUTE_PER_DAY_SHIPS,0))*(V136-V135))-(INDEX(ROUTE_PER_DAY_BY_SHIP,MATCH(CONCATENATE(X$4,X$5,X$7),ROUTE_PER_DAY_ROUTES,0),MATCH(X$6,ROUTE_PER_DAY_SHIPS,0))*(V136-V135))*HLOOKUP(X$6,SHIPS,7,0)*INDEX(LADEN_VOYAGE_DAYS,MATCH(CONCATENATE(X$4,X$5,X$7),LADEN_VOYAGE_ROUTES,0),MATCH(X$6,LADEN_VOYAGE_SHIPS,0)))),0)</f>
        <v>0</v>
      </c>
      <c r="Z135" s="118">
        <f t="shared" si="46"/>
        <v>0</v>
      </c>
      <c r="AA135" s="215">
        <f t="shared" si="32"/>
        <v>0</v>
      </c>
      <c r="AB135" s="202"/>
      <c r="AC135" s="186">
        <f t="shared" si="59"/>
        <v>40269</v>
      </c>
      <c r="AD135" s="232">
        <f>+AA135*(VLOOKUP(AC135,CURVECALC!$C$6:$J$312,4,0)+AE$5)</f>
        <v>0</v>
      </c>
      <c r="AE135" s="208">
        <f>-W135*INDEX(ship_curves,MATCH(AC135,'SHIP CURVES'!$A$9:$A$316,0),MATCH(CONCATENATE(AG$4,AG$5,AG$6,AG$7),'SHIP CURVES'!$A$9:$AZ$9,0))</f>
        <v>0</v>
      </c>
      <c r="AF135" s="209">
        <f>-Y135*INDEX(port_processing_fee,MATCH(AC135,PORTS!$H$626:$H$933,0),MATCH(AG$5,PORTS!$H$626:$Z$626,0))</f>
        <v>0</v>
      </c>
      <c r="AG135" s="405">
        <f>(((VLOOKUP(AC135,curvecalc,4,0))*IF(W135=0,0,AA135/W135)-INDEX(ship_curves,MATCH(AC135,'SHIP CURVES'!$A$9:$A$316,0),MATCH(CONCATENATE(AG$4,AG$5,AG$6,AG$7),'SHIP CURVES'!$A$9:$Z$9,0))-INDEX(terminal_curves,MATCH(AC135,'TERMINAL CURVES'!$A$4:$A$313,0),MATCH(AG$5,'TERMINAL CURVES'!$A$4:$N$4,0))*IF(W135=0,0,Y135/W135))-(AE$8)*((AE$7-$N$5)-(INDEX(ship_curves,MATCH(AC135,'SHIP CURVES'!$A$9:$A$316,0),MATCH(CONCATENATE(AG$4,AG$5,AG$6,AG$7),'SHIP CURVES'!$A$9:$Z$9,0))-INDEX(ship_curves,MATCH(AC135,'SHIP CURVES'!$A$9:$A$316,0),MATCH(CONCATENATE(AG$4,AE$6,AG$6,AG$7),'SHIP CURVES'!$A$9:$Z$9,0)))-(INDEX(terminal_curves,MATCH(AC135,'TERMINAL CURVES'!$A$4:$A$313,0),MATCH(AG$5,'TERMINAL CURVES'!$A$4:$N$4,0))-INDEX(terminal_curves,MATCH(AC135,'TERMINAL CURVES'!$A$4:$A$313,0),MATCH(AE$6,'TERMINAL CURVES'!$A$4:$N$4,0)))*IF(W135=0,0,Y135/W135)))*-W135</f>
        <v>0</v>
      </c>
      <c r="AH135" s="343">
        <f t="shared" si="47"/>
        <v>0</v>
      </c>
      <c r="AI135" s="338">
        <f>(-Y135/((HLOOKUP(AG$5,port_specs,2,0)/(365.25))*(AC136-AC135)))*(INDEX(fixed_capacity_charge,MATCH(AC135,PORTS!$H$11:$H$317,0),MATCH(AG$5,PORTS!$H$11:$N$11,0))+INDEX(variable_om_charge,MATCH(AC135,PORTS!$H$318:$H$625,0),MATCH(AG$5,PORTS!$H$318:$N$318,0)))</f>
        <v>0</v>
      </c>
      <c r="AJ135" s="232">
        <f t="shared" si="48"/>
        <v>0</v>
      </c>
      <c r="AK135" s="241">
        <f t="shared" si="49"/>
        <v>0</v>
      </c>
      <c r="AM135" s="186">
        <f t="shared" si="60"/>
        <v>40269</v>
      </c>
      <c r="AN135" s="215">
        <f t="shared" si="50"/>
        <v>5221704.655509592</v>
      </c>
      <c r="AO135" s="191">
        <f t="shared" si="51"/>
        <v>-54827.898882850073</v>
      </c>
      <c r="AP135" s="218">
        <f>+IF(AND(AO$8&lt;=AM135,AO$9&gt;=AM135),+MIN($B135-SUMIF($H$17:AO$17,AP$17,$H135:AO135),((INDEX(ROUTE_PER_DAY_BY_SHIP,MATCH(CONCATENATE(AO$4,AO$5,AO$7),ROUTE_PER_DAY_ROUTES,0),MATCH(AO$6,ROUTE_PER_DAY_SHIPS,0))*(AM136-AM135))-(INDEX(ROUTE_PER_DAY_BY_SHIP,MATCH(CONCATENATE(AO$4,AO$5,AO$7),ROUTE_PER_DAY_ROUTES,0),MATCH(AO$6,ROUTE_PER_DAY_SHIPS,0))*(AM136-AM135))*HLOOKUP(AO$6,SHIPS,7,0)*INDEX(LADEN_VOYAGE_DAYS,MATCH(CONCATENATE(AO$4,AO$5,AO$7),LADEN_VOYAGE_ROUTES,0),MATCH(AO$6,LADEN_VOYAGE_SHIPS,0)))),0)</f>
        <v>5166876.756626742</v>
      </c>
      <c r="AQ135" s="118">
        <f>-(AP135)*PORTS!$I$6</f>
        <v>-129171.91891566856</v>
      </c>
      <c r="AR135" s="215">
        <f t="shared" si="33"/>
        <v>5037704.8377110735</v>
      </c>
      <c r="AS135" s="202"/>
      <c r="AT135" s="186">
        <f t="shared" si="61"/>
        <v>40269</v>
      </c>
      <c r="AU135" s="232">
        <f>+AR135*(VLOOKUP(AT135,CURVECALC!$C$6:$J$312,4,0)+AV$5)</f>
        <v>16619388.259608833</v>
      </c>
      <c r="AV135" s="208">
        <f>-AN135*INDEX(ship_curves,MATCH(AT135,'SHIP CURVES'!$A$9:$A$316,0),MATCH(CONCATENATE(AX$4,AX$5,AX$6,AX$7),'SHIP CURVES'!$A$9:$AZ$9,0))</f>
        <v>-1736453.9858155556</v>
      </c>
      <c r="AW135" s="209">
        <f>-AP135*INDEX(port_processing_fee,MATCH(AT135,PORTS!$H$626:$H$933,0),MATCH(AX$5,PORTS!$H$626:$Z$626,0))</f>
        <v>-154597.76544135826</v>
      </c>
      <c r="AX135" s="405">
        <f>(((VLOOKUP(AT135,curvecalc,4,0))*IF(AN135=0,0,AR135/AN135)-INDEX(ship_curves,MATCH(AT135,'SHIP CURVES'!$A$9:$A$316,0),MATCH(CONCATENATE(AX$4,AX$5,AX$6,AX$7),'SHIP CURVES'!$A$9:$Z$9,0))-INDEX(terminal_curves,MATCH(AT135,'TERMINAL CURVES'!$A$4:$A$313,0),MATCH(AX$5,'TERMINAL CURVES'!$A$4:$N$4,0))*IF(AN135=0,0,AP135/AN135))-(AV$8)*((AV$7-$N$5)-(INDEX(ship_curves,MATCH(AT135,'SHIP CURVES'!$A$9:$A$316,0),MATCH(CONCATENATE(AX$4,AX$5,AX$6,AX$7),'SHIP CURVES'!$A$9:$Z$9,0))-INDEX(ship_curves,MATCH(AT135,'SHIP CURVES'!$A$9:$A$316,0),MATCH(CONCATENATE(AX$4,AV$6,AX$6,AX$7),'SHIP CURVES'!$A$9:$Z$9,0)))-(INDEX(terminal_curves,MATCH(AT135,'TERMINAL CURVES'!$A$4:$A$313,0),MATCH(AX$5,'TERMINAL CURVES'!$A$4:$N$4,0))-INDEX(terminal_curves,MATCH(AT135,'TERMINAL CURVES'!$A$4:$A$313,0),MATCH(AV$6,'TERMINAL CURVES'!$A$4:$N$4,0)))*IF(AN135=0,0,AP135/AN135)))*-AN135</f>
        <v>-13627742.959569244</v>
      </c>
      <c r="AY135" s="343">
        <f t="shared" si="52"/>
        <v>-15518794.710826159</v>
      </c>
      <c r="AZ135" s="338">
        <f>(-AP135/((HLOOKUP(AX$5,port_specs,2,0)/(365.25))*(AT136-AT135)))*(INDEX(fixed_capacity_charge,MATCH(AT135,PORTS!$H$11:$H$317,0),MATCH(AX$5,PORTS!$H$11:$N$11,0))+INDEX(variable_om_charge,MATCH(AT135,PORTS!$H$318:$H$625,0),MATCH(AX$5,PORTS!$H$318:$N$318,0)))</f>
        <v>-999839.45202845172</v>
      </c>
      <c r="BA135" s="232">
        <f t="shared" si="53"/>
        <v>-16518634.16285461</v>
      </c>
      <c r="BB135" s="241">
        <f t="shared" si="54"/>
        <v>100754.09675422311</v>
      </c>
      <c r="BC135" s="408"/>
      <c r="BD135" s="338">
        <f>+PORTS!I129+PORTS!I437</f>
        <v>999839.45202845172</v>
      </c>
    </row>
    <row r="136" spans="1:56" x14ac:dyDescent="0.2">
      <c r="A136" s="186">
        <f t="shared" si="55"/>
        <v>40299</v>
      </c>
      <c r="B136" s="215">
        <f>+IF(AND($A136&gt;=$C$8,$A136&lt;=$C$9),1,0)*PORTS!$I$5/(365.25)*(A137-A136)</f>
        <v>5339105.9818476336</v>
      </c>
      <c r="C136" s="351">
        <f t="shared" si="34"/>
        <v>0</v>
      </c>
      <c r="D136">
        <f t="shared" si="35"/>
        <v>2010</v>
      </c>
      <c r="E136" s="186">
        <f t="shared" si="56"/>
        <v>40299</v>
      </c>
      <c r="F136" s="215">
        <f t="shared" si="36"/>
        <v>0</v>
      </c>
      <c r="G136" s="191">
        <f t="shared" si="37"/>
        <v>0</v>
      </c>
      <c r="H136" s="218">
        <f t="shared" si="38"/>
        <v>0</v>
      </c>
      <c r="I136" s="118">
        <f t="shared" si="39"/>
        <v>0</v>
      </c>
      <c r="J136" s="215">
        <f t="shared" si="40"/>
        <v>0</v>
      </c>
      <c r="K136" s="202"/>
      <c r="L136" s="186">
        <f t="shared" si="57"/>
        <v>40299</v>
      </c>
      <c r="M136" s="400">
        <f>+J136*(VLOOKUP(L136,CURVECALC!$C$6:$J$312,4,0)+N$5)</f>
        <v>0</v>
      </c>
      <c r="N136" s="208">
        <f>-F136*INDEX(ship_curves,MATCH(L136,'SHIP CURVES'!$A$9:$A$316,0),MATCH(CONCATENATE(P$4,P$5,P$6,P$7),'SHIP CURVES'!$A$9:$AZ$9,0))</f>
        <v>0</v>
      </c>
      <c r="O136" s="209">
        <f>-H136*INDEX(port_processing_fee,MATCH(L136,PORTS!$H$626:$H$933,0),MATCH(P$5,PORTS!$H$626:$Z$626,0))</f>
        <v>0</v>
      </c>
      <c r="P136" s="405">
        <f>(((VLOOKUP(L136,curvecalc,4,0))*IF(F136=0,0,J136/F136)-INDEX(ship_curves,MATCH(L136,'SHIP CURVES'!$A$9:$A$316,0),MATCH(CONCATENATE(P$4,P$5,P$6,P$7),'SHIP CURVES'!$A$9:$Z$9,0))-INDEX(terminal_curves,MATCH(L136,'TERMINAL CURVES'!$A$4:$A$313,0),MATCH(P$5,'TERMINAL CURVES'!$A$4:$N$4,0))*IF(F136=0,0,H136/F136))-(N$8)*((N$7-$N$5)-(INDEX(ship_curves,MATCH(L136,'SHIP CURVES'!$A$9:$A$316,0),MATCH(CONCATENATE(P$4,P$5,P$6,P$7),'SHIP CURVES'!$A$9:$Z$9,0))-INDEX(ship_curves,MATCH(L136,'SHIP CURVES'!$A$9:$A$316,0),MATCH(CONCATENATE(P$4,N$6,P$6,P$7),'SHIP CURVES'!$A$9:$Z$9,0)))-(INDEX(terminal_curves,MATCH(L136,'TERMINAL CURVES'!$A$4:$A$313,0),MATCH(P$5,'TERMINAL CURVES'!$A$4:$N$4,0))-INDEX(terminal_curves,MATCH(L136,'TERMINAL CURVES'!$A$4:$A$313,0),MATCH(N$6,'TERMINAL CURVES'!$A$4:$N$4,0)))*IF(F136=0,0,H136/F136)))*-F136</f>
        <v>0</v>
      </c>
      <c r="Q136" s="403">
        <f t="shared" si="41"/>
        <v>0</v>
      </c>
      <c r="R136" s="338">
        <f>(-H136/((HLOOKUP(P$5,port_specs,2,0)/(365.25))*(L137-L136)))*(INDEX(fixed_capacity_charge,MATCH(L136,PORTS!$H$11:$H$317,0),MATCH(P$5,PORTS!$H$11:$N$11,0))+INDEX(variable_om_charge,MATCH(L136,PORTS!$H$318:$H$625,0),MATCH(P$5,PORTS!$H$318:$N$318,0)))</f>
        <v>0</v>
      </c>
      <c r="S136" s="232">
        <f t="shared" si="42"/>
        <v>0</v>
      </c>
      <c r="T136" s="241">
        <f t="shared" si="43"/>
        <v>0</v>
      </c>
      <c r="V136" s="186">
        <f t="shared" si="58"/>
        <v>40299</v>
      </c>
      <c r="W136" s="215">
        <f t="shared" si="44"/>
        <v>0</v>
      </c>
      <c r="X136" s="191">
        <f t="shared" si="45"/>
        <v>0</v>
      </c>
      <c r="Y136" s="218">
        <f>+IF(AND(X$8&lt;=V136,X$9&gt;=V136),+MIN($B136-SUMIF($H$17:X$17,Y$17,$H136:X136),((INDEX(ROUTE_PER_DAY_BY_SHIP,MATCH(CONCATENATE(X$4,X$5,X$7),ROUTE_PER_DAY_ROUTES,0),MATCH(X$6,ROUTE_PER_DAY_SHIPS,0))*(V137-V136))-(INDEX(ROUTE_PER_DAY_BY_SHIP,MATCH(CONCATENATE(X$4,X$5,X$7),ROUTE_PER_DAY_ROUTES,0),MATCH(X$6,ROUTE_PER_DAY_SHIPS,0))*(V137-V136))*HLOOKUP(X$6,SHIPS,7,0)*INDEX(LADEN_VOYAGE_DAYS,MATCH(CONCATENATE(X$4,X$5,X$7),LADEN_VOYAGE_ROUTES,0),MATCH(X$6,LADEN_VOYAGE_SHIPS,0)))),0)</f>
        <v>0</v>
      </c>
      <c r="Z136" s="118">
        <f t="shared" si="46"/>
        <v>0</v>
      </c>
      <c r="AA136" s="215">
        <f t="shared" si="32"/>
        <v>0</v>
      </c>
      <c r="AB136" s="202"/>
      <c r="AC136" s="186">
        <f t="shared" si="59"/>
        <v>40299</v>
      </c>
      <c r="AD136" s="232">
        <f>+AA136*(VLOOKUP(AC136,CURVECALC!$C$6:$J$312,4,0)+AE$5)</f>
        <v>0</v>
      </c>
      <c r="AE136" s="208">
        <f>-W136*INDEX(ship_curves,MATCH(AC136,'SHIP CURVES'!$A$9:$A$316,0),MATCH(CONCATENATE(AG$4,AG$5,AG$6,AG$7),'SHIP CURVES'!$A$9:$AZ$9,0))</f>
        <v>0</v>
      </c>
      <c r="AF136" s="209">
        <f>-Y136*INDEX(port_processing_fee,MATCH(AC136,PORTS!$H$626:$H$933,0),MATCH(AG$5,PORTS!$H$626:$Z$626,0))</f>
        <v>0</v>
      </c>
      <c r="AG136" s="405">
        <f>(((VLOOKUP(AC136,curvecalc,4,0))*IF(W136=0,0,AA136/W136)-INDEX(ship_curves,MATCH(AC136,'SHIP CURVES'!$A$9:$A$316,0),MATCH(CONCATENATE(AG$4,AG$5,AG$6,AG$7),'SHIP CURVES'!$A$9:$Z$9,0))-INDEX(terminal_curves,MATCH(AC136,'TERMINAL CURVES'!$A$4:$A$313,0),MATCH(AG$5,'TERMINAL CURVES'!$A$4:$N$4,0))*IF(W136=0,0,Y136/W136))-(AE$8)*((AE$7-$N$5)-(INDEX(ship_curves,MATCH(AC136,'SHIP CURVES'!$A$9:$A$316,0),MATCH(CONCATENATE(AG$4,AG$5,AG$6,AG$7),'SHIP CURVES'!$A$9:$Z$9,0))-INDEX(ship_curves,MATCH(AC136,'SHIP CURVES'!$A$9:$A$316,0),MATCH(CONCATENATE(AG$4,AE$6,AG$6,AG$7),'SHIP CURVES'!$A$9:$Z$9,0)))-(INDEX(terminal_curves,MATCH(AC136,'TERMINAL CURVES'!$A$4:$A$313,0),MATCH(AG$5,'TERMINAL CURVES'!$A$4:$N$4,0))-INDEX(terminal_curves,MATCH(AC136,'TERMINAL CURVES'!$A$4:$A$313,0),MATCH(AE$6,'TERMINAL CURVES'!$A$4:$N$4,0)))*IF(W136=0,0,Y136/W136)))*-W136</f>
        <v>0</v>
      </c>
      <c r="AH136" s="343">
        <f t="shared" si="47"/>
        <v>0</v>
      </c>
      <c r="AI136" s="338">
        <f>(-Y136/((HLOOKUP(AG$5,port_specs,2,0)/(365.25))*(AC137-AC136)))*(INDEX(fixed_capacity_charge,MATCH(AC136,PORTS!$H$11:$H$317,0),MATCH(AG$5,PORTS!$H$11:$N$11,0))+INDEX(variable_om_charge,MATCH(AC136,PORTS!$H$318:$H$625,0),MATCH(AG$5,PORTS!$H$318:$N$318,0)))</f>
        <v>0</v>
      </c>
      <c r="AJ136" s="232">
        <f t="shared" si="48"/>
        <v>0</v>
      </c>
      <c r="AK136" s="241">
        <f t="shared" si="49"/>
        <v>0</v>
      </c>
      <c r="AM136" s="186">
        <f t="shared" si="60"/>
        <v>40299</v>
      </c>
      <c r="AN136" s="215">
        <f t="shared" si="50"/>
        <v>5395761.4773599124</v>
      </c>
      <c r="AO136" s="191">
        <f t="shared" si="51"/>
        <v>-56655.495512278751</v>
      </c>
      <c r="AP136" s="218">
        <f>+IF(AND(AO$8&lt;=AM136,AO$9&gt;=AM136),+MIN($B136-SUMIF($H$17:AO$17,AP$17,$H136:AO136),((INDEX(ROUTE_PER_DAY_BY_SHIP,MATCH(CONCATENATE(AO$4,AO$5,AO$7),ROUTE_PER_DAY_ROUTES,0),MATCH(AO$6,ROUTE_PER_DAY_SHIPS,0))*(AM137-AM136))-(INDEX(ROUTE_PER_DAY_BY_SHIP,MATCH(CONCATENATE(AO$4,AO$5,AO$7),ROUTE_PER_DAY_ROUTES,0),MATCH(AO$6,ROUTE_PER_DAY_SHIPS,0))*(AM137-AM136))*HLOOKUP(AO$6,SHIPS,7,0)*INDEX(LADEN_VOYAGE_DAYS,MATCH(CONCATENATE(AO$4,AO$5,AO$7),LADEN_VOYAGE_ROUTES,0),MATCH(AO$6,LADEN_VOYAGE_SHIPS,0)))),0)</f>
        <v>5339105.9818476336</v>
      </c>
      <c r="AQ136" s="118">
        <f>-(AP136)*PORTS!$I$6</f>
        <v>-133477.64954619083</v>
      </c>
      <c r="AR136" s="215">
        <f t="shared" si="33"/>
        <v>5205628.3323014425</v>
      </c>
      <c r="AS136" s="202"/>
      <c r="AT136" s="186">
        <f t="shared" si="61"/>
        <v>40299</v>
      </c>
      <c r="AU136" s="232">
        <f>+AR136*(VLOOKUP(AT136,CURVECALC!$C$6:$J$312,4,0)+AV$5)</f>
        <v>17131722.841604047</v>
      </c>
      <c r="AV136" s="208">
        <f>-AN136*INDEX(ship_curves,MATCH(AT136,'SHIP CURVES'!$A$9:$A$316,0),MATCH(CONCATENATE(AX$4,AX$5,AX$6,AX$7),'SHIP CURVES'!$A$9:$AZ$9,0))</f>
        <v>-1794878.3021309213</v>
      </c>
      <c r="AW136" s="209">
        <f>-AP136*INDEX(port_processing_fee,MATCH(AT136,PORTS!$H$626:$H$933,0),MATCH(AX$5,PORTS!$H$626:$Z$626,0))</f>
        <v>-159917.43160637165</v>
      </c>
      <c r="AX136" s="405">
        <f>(((VLOOKUP(AT136,curvecalc,4,0))*IF(AN136=0,0,AR136/AN136)-INDEX(ship_curves,MATCH(AT136,'SHIP CURVES'!$A$9:$A$316,0),MATCH(CONCATENATE(AX$4,AX$5,AX$6,AX$7),'SHIP CURVES'!$A$9:$Z$9,0))-INDEX(terminal_curves,MATCH(AT136,'TERMINAL CURVES'!$A$4:$A$313,0),MATCH(AX$5,'TERMINAL CURVES'!$A$4:$N$4,0))*IF(AN136=0,0,AP136/AN136))-(AV$8)*((AV$7-$N$5)-(INDEX(ship_curves,MATCH(AT136,'SHIP CURVES'!$A$9:$A$316,0),MATCH(CONCATENATE(AX$4,AX$5,AX$6,AX$7),'SHIP CURVES'!$A$9:$Z$9,0))-INDEX(ship_curves,MATCH(AT136,'SHIP CURVES'!$A$9:$A$316,0),MATCH(CONCATENATE(AX$4,AV$6,AX$6,AX$7),'SHIP CURVES'!$A$9:$Z$9,0)))-(INDEX(terminal_curves,MATCH(AT136,'TERMINAL CURVES'!$A$4:$A$313,0),MATCH(AX$5,'TERMINAL CURVES'!$A$4:$N$4,0))-INDEX(terminal_curves,MATCH(AT136,'TERMINAL CURVES'!$A$4:$A$313,0),MATCH(AV$6,'TERMINAL CURVES'!$A$4:$N$4,0)))*IF(AN136=0,0,AP136/AN136)))*-AN136</f>
        <v>-14072438.992441107</v>
      </c>
      <c r="AY136" s="343">
        <f t="shared" si="52"/>
        <v>-16027234.7261784</v>
      </c>
      <c r="AZ136" s="338">
        <f>(-AP136/((HLOOKUP(AX$5,port_specs,2,0)/(365.25))*(AT137-AT136)))*(INDEX(fixed_capacity_charge,MATCH(AT136,PORTS!$H$11:$H$317,0),MATCH(AX$5,PORTS!$H$11:$N$11,0))+INDEX(variable_om_charge,MATCH(AT136,PORTS!$H$318:$H$625,0),MATCH(AX$5,PORTS!$H$318:$N$318,0)))</f>
        <v>-1000375.5487796185</v>
      </c>
      <c r="BA136" s="232">
        <f t="shared" si="53"/>
        <v>-17027610.274958018</v>
      </c>
      <c r="BB136" s="241">
        <f t="shared" si="54"/>
        <v>104112.56664602831</v>
      </c>
      <c r="BC136" s="408"/>
      <c r="BD136" s="338">
        <f>+PORTS!I130+PORTS!I438</f>
        <v>1000375.5487796185</v>
      </c>
    </row>
    <row r="137" spans="1:56" x14ac:dyDescent="0.2">
      <c r="A137" s="186">
        <f t="shared" si="55"/>
        <v>40330</v>
      </c>
      <c r="B137" s="215">
        <f>+IF(AND($A137&gt;=$C$8,$A137&lt;=$C$9),1,0)*PORTS!$I$5/(365.25)*(A138-A137)</f>
        <v>5166876.756626742</v>
      </c>
      <c r="C137" s="351">
        <f t="shared" si="34"/>
        <v>0</v>
      </c>
      <c r="D137">
        <f t="shared" si="35"/>
        <v>2010</v>
      </c>
      <c r="E137" s="186">
        <f t="shared" si="56"/>
        <v>40330</v>
      </c>
      <c r="F137" s="215">
        <f t="shared" si="36"/>
        <v>0</v>
      </c>
      <c r="G137" s="191">
        <f t="shared" si="37"/>
        <v>0</v>
      </c>
      <c r="H137" s="218">
        <f t="shared" si="38"/>
        <v>0</v>
      </c>
      <c r="I137" s="118">
        <f t="shared" si="39"/>
        <v>0</v>
      </c>
      <c r="J137" s="215">
        <f t="shared" si="40"/>
        <v>0</v>
      </c>
      <c r="K137" s="202"/>
      <c r="L137" s="186">
        <f t="shared" si="57"/>
        <v>40330</v>
      </c>
      <c r="M137" s="400">
        <f>+J137*(VLOOKUP(L137,CURVECALC!$C$6:$J$312,4,0)+N$5)</f>
        <v>0</v>
      </c>
      <c r="N137" s="208">
        <f>-F137*INDEX(ship_curves,MATCH(L137,'SHIP CURVES'!$A$9:$A$316,0),MATCH(CONCATENATE(P$4,P$5,P$6,P$7),'SHIP CURVES'!$A$9:$AZ$9,0))</f>
        <v>0</v>
      </c>
      <c r="O137" s="209">
        <f>-H137*INDEX(port_processing_fee,MATCH(L137,PORTS!$H$626:$H$933,0),MATCH(P$5,PORTS!$H$626:$Z$626,0))</f>
        <v>0</v>
      </c>
      <c r="P137" s="405">
        <f>(((VLOOKUP(L137,curvecalc,4,0))*IF(F137=0,0,J137/F137)-INDEX(ship_curves,MATCH(L137,'SHIP CURVES'!$A$9:$A$316,0),MATCH(CONCATENATE(P$4,P$5,P$6,P$7),'SHIP CURVES'!$A$9:$Z$9,0))-INDEX(terminal_curves,MATCH(L137,'TERMINAL CURVES'!$A$4:$A$313,0),MATCH(P$5,'TERMINAL CURVES'!$A$4:$N$4,0))*IF(F137=0,0,H137/F137))-(N$8)*((N$7-$N$5)-(INDEX(ship_curves,MATCH(L137,'SHIP CURVES'!$A$9:$A$316,0),MATCH(CONCATENATE(P$4,P$5,P$6,P$7),'SHIP CURVES'!$A$9:$Z$9,0))-INDEX(ship_curves,MATCH(L137,'SHIP CURVES'!$A$9:$A$316,0),MATCH(CONCATENATE(P$4,N$6,P$6,P$7),'SHIP CURVES'!$A$9:$Z$9,0)))-(INDEX(terminal_curves,MATCH(L137,'TERMINAL CURVES'!$A$4:$A$313,0),MATCH(P$5,'TERMINAL CURVES'!$A$4:$N$4,0))-INDEX(terminal_curves,MATCH(L137,'TERMINAL CURVES'!$A$4:$A$313,0),MATCH(N$6,'TERMINAL CURVES'!$A$4:$N$4,0)))*IF(F137=0,0,H137/F137)))*-F137</f>
        <v>0</v>
      </c>
      <c r="Q137" s="403">
        <f t="shared" si="41"/>
        <v>0</v>
      </c>
      <c r="R137" s="338">
        <f>(-H137/((HLOOKUP(P$5,port_specs,2,0)/(365.25))*(L138-L137)))*(INDEX(fixed_capacity_charge,MATCH(L137,PORTS!$H$11:$H$317,0),MATCH(P$5,PORTS!$H$11:$N$11,0))+INDEX(variable_om_charge,MATCH(L137,PORTS!$H$318:$H$625,0),MATCH(P$5,PORTS!$H$318:$N$318,0)))</f>
        <v>0</v>
      </c>
      <c r="S137" s="232">
        <f t="shared" si="42"/>
        <v>0</v>
      </c>
      <c r="T137" s="241">
        <f t="shared" si="43"/>
        <v>0</v>
      </c>
      <c r="V137" s="186">
        <f t="shared" si="58"/>
        <v>40330</v>
      </c>
      <c r="W137" s="215">
        <f t="shared" si="44"/>
        <v>0</v>
      </c>
      <c r="X137" s="191">
        <f t="shared" si="45"/>
        <v>0</v>
      </c>
      <c r="Y137" s="218">
        <f>+IF(AND(X$8&lt;=V137,X$9&gt;=V137),+MIN($B137-SUMIF($H$17:X$17,Y$17,$H137:X137),((INDEX(ROUTE_PER_DAY_BY_SHIP,MATCH(CONCATENATE(X$4,X$5,X$7),ROUTE_PER_DAY_ROUTES,0),MATCH(X$6,ROUTE_PER_DAY_SHIPS,0))*(V138-V137))-(INDEX(ROUTE_PER_DAY_BY_SHIP,MATCH(CONCATENATE(X$4,X$5,X$7),ROUTE_PER_DAY_ROUTES,0),MATCH(X$6,ROUTE_PER_DAY_SHIPS,0))*(V138-V137))*HLOOKUP(X$6,SHIPS,7,0)*INDEX(LADEN_VOYAGE_DAYS,MATCH(CONCATENATE(X$4,X$5,X$7),LADEN_VOYAGE_ROUTES,0),MATCH(X$6,LADEN_VOYAGE_SHIPS,0)))),0)</f>
        <v>0</v>
      </c>
      <c r="Z137" s="118">
        <f t="shared" si="46"/>
        <v>0</v>
      </c>
      <c r="AA137" s="215">
        <f t="shared" si="32"/>
        <v>0</v>
      </c>
      <c r="AB137" s="202"/>
      <c r="AC137" s="186">
        <f t="shared" si="59"/>
        <v>40330</v>
      </c>
      <c r="AD137" s="232">
        <f>+AA137*(VLOOKUP(AC137,CURVECALC!$C$6:$J$312,4,0)+AE$5)</f>
        <v>0</v>
      </c>
      <c r="AE137" s="208">
        <f>-W137*INDEX(ship_curves,MATCH(AC137,'SHIP CURVES'!$A$9:$A$316,0),MATCH(CONCATENATE(AG$4,AG$5,AG$6,AG$7),'SHIP CURVES'!$A$9:$AZ$9,0))</f>
        <v>0</v>
      </c>
      <c r="AF137" s="209">
        <f>-Y137*INDEX(port_processing_fee,MATCH(AC137,PORTS!$H$626:$H$933,0),MATCH(AG$5,PORTS!$H$626:$Z$626,0))</f>
        <v>0</v>
      </c>
      <c r="AG137" s="405">
        <f>(((VLOOKUP(AC137,curvecalc,4,0))*IF(W137=0,0,AA137/W137)-INDEX(ship_curves,MATCH(AC137,'SHIP CURVES'!$A$9:$A$316,0),MATCH(CONCATENATE(AG$4,AG$5,AG$6,AG$7),'SHIP CURVES'!$A$9:$Z$9,0))-INDEX(terminal_curves,MATCH(AC137,'TERMINAL CURVES'!$A$4:$A$313,0),MATCH(AG$5,'TERMINAL CURVES'!$A$4:$N$4,0))*IF(W137=0,0,Y137/W137))-(AE$8)*((AE$7-$N$5)-(INDEX(ship_curves,MATCH(AC137,'SHIP CURVES'!$A$9:$A$316,0),MATCH(CONCATENATE(AG$4,AG$5,AG$6,AG$7),'SHIP CURVES'!$A$9:$Z$9,0))-INDEX(ship_curves,MATCH(AC137,'SHIP CURVES'!$A$9:$A$316,0),MATCH(CONCATENATE(AG$4,AE$6,AG$6,AG$7),'SHIP CURVES'!$A$9:$Z$9,0)))-(INDEX(terminal_curves,MATCH(AC137,'TERMINAL CURVES'!$A$4:$A$313,0),MATCH(AG$5,'TERMINAL CURVES'!$A$4:$N$4,0))-INDEX(terminal_curves,MATCH(AC137,'TERMINAL CURVES'!$A$4:$A$313,0),MATCH(AE$6,'TERMINAL CURVES'!$A$4:$N$4,0)))*IF(W137=0,0,Y137/W137)))*-W137</f>
        <v>0</v>
      </c>
      <c r="AH137" s="343">
        <f t="shared" si="47"/>
        <v>0</v>
      </c>
      <c r="AI137" s="338">
        <f>(-Y137/((HLOOKUP(AG$5,port_specs,2,0)/(365.25))*(AC138-AC137)))*(INDEX(fixed_capacity_charge,MATCH(AC137,PORTS!$H$11:$H$317,0),MATCH(AG$5,PORTS!$H$11:$N$11,0))+INDEX(variable_om_charge,MATCH(AC137,PORTS!$H$318:$H$625,0),MATCH(AG$5,PORTS!$H$318:$N$318,0)))</f>
        <v>0</v>
      </c>
      <c r="AJ137" s="232">
        <f t="shared" si="48"/>
        <v>0</v>
      </c>
      <c r="AK137" s="241">
        <f t="shared" si="49"/>
        <v>0</v>
      </c>
      <c r="AM137" s="186">
        <f t="shared" si="60"/>
        <v>40330</v>
      </c>
      <c r="AN137" s="215">
        <f t="shared" si="50"/>
        <v>5221704.655509592</v>
      </c>
      <c r="AO137" s="191">
        <f t="shared" si="51"/>
        <v>-54827.898882850073</v>
      </c>
      <c r="AP137" s="218">
        <f>+IF(AND(AO$8&lt;=AM137,AO$9&gt;=AM137),+MIN($B137-SUMIF($H$17:AO$17,AP$17,$H137:AO137),((INDEX(ROUTE_PER_DAY_BY_SHIP,MATCH(CONCATENATE(AO$4,AO$5,AO$7),ROUTE_PER_DAY_ROUTES,0),MATCH(AO$6,ROUTE_PER_DAY_SHIPS,0))*(AM138-AM137))-(INDEX(ROUTE_PER_DAY_BY_SHIP,MATCH(CONCATENATE(AO$4,AO$5,AO$7),ROUTE_PER_DAY_ROUTES,0),MATCH(AO$6,ROUTE_PER_DAY_SHIPS,0))*(AM138-AM137))*HLOOKUP(AO$6,SHIPS,7,0)*INDEX(LADEN_VOYAGE_DAYS,MATCH(CONCATENATE(AO$4,AO$5,AO$7),LADEN_VOYAGE_ROUTES,0),MATCH(AO$6,LADEN_VOYAGE_SHIPS,0)))),0)</f>
        <v>5166876.756626742</v>
      </c>
      <c r="AQ137" s="118">
        <f>-(AP137)*PORTS!$I$6</f>
        <v>-129171.91891566856</v>
      </c>
      <c r="AR137" s="215">
        <f t="shared" si="33"/>
        <v>5037704.8377110735</v>
      </c>
      <c r="AS137" s="202"/>
      <c r="AT137" s="186">
        <f t="shared" si="61"/>
        <v>40330</v>
      </c>
      <c r="AU137" s="232">
        <f>+AR137*(VLOOKUP(AT137,CURVECALC!$C$6:$J$312,4,0)+AV$5)</f>
        <v>16765481.699902453</v>
      </c>
      <c r="AV137" s="208">
        <f>-AN137*INDEX(ship_curves,MATCH(AT137,'SHIP CURVES'!$A$9:$A$316,0),MATCH(CONCATENATE(AX$4,AX$5,AX$6,AX$7),'SHIP CURVES'!$A$9:$AZ$9,0))</f>
        <v>-1737505.1120926549</v>
      </c>
      <c r="AW137" s="209">
        <f>-AP137*INDEX(port_processing_fee,MATCH(AT137,PORTS!$H$626:$H$933,0),MATCH(AX$5,PORTS!$H$626:$Z$626,0))</f>
        <v>-154920.01186867253</v>
      </c>
      <c r="AX137" s="405">
        <f>(((VLOOKUP(AT137,curvecalc,4,0))*IF(AN137=0,0,AR137/AN137)-INDEX(ship_curves,MATCH(AT137,'SHIP CURVES'!$A$9:$A$316,0),MATCH(CONCATENATE(AX$4,AX$5,AX$6,AX$7),'SHIP CURVES'!$A$9:$Z$9,0))-INDEX(terminal_curves,MATCH(AT137,'TERMINAL CURVES'!$A$4:$A$313,0),MATCH(AX$5,'TERMINAL CURVES'!$A$4:$N$4,0))*IF(AN137=0,0,AP137/AN137))-(AV$8)*((AV$7-$N$5)-(INDEX(ship_curves,MATCH(AT137,'SHIP CURVES'!$A$9:$A$316,0),MATCH(CONCATENATE(AX$4,AX$5,AX$6,AX$7),'SHIP CURVES'!$A$9:$Z$9,0))-INDEX(ship_curves,MATCH(AT137,'SHIP CURVES'!$A$9:$A$316,0),MATCH(CONCATENATE(AX$4,AV$6,AX$6,AX$7),'SHIP CURVES'!$A$9:$Z$9,0)))-(INDEX(terminal_curves,MATCH(AT137,'TERMINAL CURVES'!$A$4:$A$313,0),MATCH(AX$5,'TERMINAL CURVES'!$A$4:$N$4,0))-INDEX(terminal_curves,MATCH(AT137,'TERMINAL CURVES'!$A$4:$A$313,0),MATCH(AV$6,'TERMINAL CURVES'!$A$4:$N$4,0)))*IF(AN137=0,0,AP137/AN137)))*-AN137</f>
        <v>-13771390.275222002</v>
      </c>
      <c r="AY137" s="343">
        <f t="shared" si="52"/>
        <v>-15663815.399183329</v>
      </c>
      <c r="AZ137" s="338">
        <f>(-AP137/((HLOOKUP(AX$5,port_specs,2,0)/(365.25))*(AT138-AT137)))*(INDEX(fixed_capacity_charge,MATCH(AT137,PORTS!$H$11:$H$317,0),MATCH(AX$5,PORTS!$H$11:$N$11,0))+INDEX(variable_om_charge,MATCH(AT137,PORTS!$H$318:$H$625,0),MATCH(AX$5,PORTS!$H$318:$N$318,0)))</f>
        <v>-1000912.2039649012</v>
      </c>
      <c r="BA137" s="232">
        <f t="shared" si="53"/>
        <v>-16664727.603148229</v>
      </c>
      <c r="BB137" s="241">
        <f t="shared" si="54"/>
        <v>100754.09675422311</v>
      </c>
      <c r="BC137" s="408"/>
      <c r="BD137" s="338">
        <f>+PORTS!I131+PORTS!I439</f>
        <v>1000912.2039649012</v>
      </c>
    </row>
    <row r="138" spans="1:56" x14ac:dyDescent="0.2">
      <c r="A138" s="186">
        <f t="shared" si="55"/>
        <v>40360</v>
      </c>
      <c r="B138" s="215">
        <f>+IF(AND($A138&gt;=$C$8,$A138&lt;=$C$9),1,0)*PORTS!$I$5/(365.25)*(A139-A138)</f>
        <v>5339105.9818476336</v>
      </c>
      <c r="C138" s="351">
        <f t="shared" si="34"/>
        <v>0</v>
      </c>
      <c r="D138">
        <f t="shared" si="35"/>
        <v>2010</v>
      </c>
      <c r="E138" s="186">
        <f t="shared" si="56"/>
        <v>40360</v>
      </c>
      <c r="F138" s="215">
        <f t="shared" si="36"/>
        <v>0</v>
      </c>
      <c r="G138" s="191">
        <f t="shared" si="37"/>
        <v>0</v>
      </c>
      <c r="H138" s="218">
        <f t="shared" si="38"/>
        <v>0</v>
      </c>
      <c r="I138" s="118">
        <f t="shared" si="39"/>
        <v>0</v>
      </c>
      <c r="J138" s="215">
        <f t="shared" si="40"/>
        <v>0</v>
      </c>
      <c r="K138" s="202"/>
      <c r="L138" s="186">
        <f t="shared" si="57"/>
        <v>40360</v>
      </c>
      <c r="M138" s="400">
        <f>+J138*(VLOOKUP(L138,CURVECALC!$C$6:$J$312,4,0)+N$5)</f>
        <v>0</v>
      </c>
      <c r="N138" s="208">
        <f>-F138*INDEX(ship_curves,MATCH(L138,'SHIP CURVES'!$A$9:$A$316,0),MATCH(CONCATENATE(P$4,P$5,P$6,P$7),'SHIP CURVES'!$A$9:$AZ$9,0))</f>
        <v>0</v>
      </c>
      <c r="O138" s="209">
        <f>-H138*INDEX(port_processing_fee,MATCH(L138,PORTS!$H$626:$H$933,0),MATCH(P$5,PORTS!$H$626:$Z$626,0))</f>
        <v>0</v>
      </c>
      <c r="P138" s="405">
        <f>(((VLOOKUP(L138,curvecalc,4,0))*IF(F138=0,0,J138/F138)-INDEX(ship_curves,MATCH(L138,'SHIP CURVES'!$A$9:$A$316,0),MATCH(CONCATENATE(P$4,P$5,P$6,P$7),'SHIP CURVES'!$A$9:$Z$9,0))-INDEX(terminal_curves,MATCH(L138,'TERMINAL CURVES'!$A$4:$A$313,0),MATCH(P$5,'TERMINAL CURVES'!$A$4:$N$4,0))*IF(F138=0,0,H138/F138))-(N$8)*((N$7-$N$5)-(INDEX(ship_curves,MATCH(L138,'SHIP CURVES'!$A$9:$A$316,0),MATCH(CONCATENATE(P$4,P$5,P$6,P$7),'SHIP CURVES'!$A$9:$Z$9,0))-INDEX(ship_curves,MATCH(L138,'SHIP CURVES'!$A$9:$A$316,0),MATCH(CONCATENATE(P$4,N$6,P$6,P$7),'SHIP CURVES'!$A$9:$Z$9,0)))-(INDEX(terminal_curves,MATCH(L138,'TERMINAL CURVES'!$A$4:$A$313,0),MATCH(P$5,'TERMINAL CURVES'!$A$4:$N$4,0))-INDEX(terminal_curves,MATCH(L138,'TERMINAL CURVES'!$A$4:$A$313,0),MATCH(N$6,'TERMINAL CURVES'!$A$4:$N$4,0)))*IF(F138=0,0,H138/F138)))*-F138</f>
        <v>0</v>
      </c>
      <c r="Q138" s="403">
        <f t="shared" si="41"/>
        <v>0</v>
      </c>
      <c r="R138" s="338">
        <f>(-H138/((HLOOKUP(P$5,port_specs,2,0)/(365.25))*(L139-L138)))*(INDEX(fixed_capacity_charge,MATCH(L138,PORTS!$H$11:$H$317,0),MATCH(P$5,PORTS!$H$11:$N$11,0))+INDEX(variable_om_charge,MATCH(L138,PORTS!$H$318:$H$625,0),MATCH(P$5,PORTS!$H$318:$N$318,0)))</f>
        <v>0</v>
      </c>
      <c r="S138" s="232">
        <f t="shared" si="42"/>
        <v>0</v>
      </c>
      <c r="T138" s="241">
        <f t="shared" si="43"/>
        <v>0</v>
      </c>
      <c r="V138" s="186">
        <f t="shared" si="58"/>
        <v>40360</v>
      </c>
      <c r="W138" s="215">
        <f t="shared" si="44"/>
        <v>0</v>
      </c>
      <c r="X138" s="191">
        <f t="shared" si="45"/>
        <v>0</v>
      </c>
      <c r="Y138" s="218">
        <f>+IF(AND(X$8&lt;=V138,X$9&gt;=V138),+MIN($B138-SUMIF($H$17:X$17,Y$17,$H138:X138),((INDEX(ROUTE_PER_DAY_BY_SHIP,MATCH(CONCATENATE(X$4,X$5,X$7),ROUTE_PER_DAY_ROUTES,0),MATCH(X$6,ROUTE_PER_DAY_SHIPS,0))*(V139-V138))-(INDEX(ROUTE_PER_DAY_BY_SHIP,MATCH(CONCATENATE(X$4,X$5,X$7),ROUTE_PER_DAY_ROUTES,0),MATCH(X$6,ROUTE_PER_DAY_SHIPS,0))*(V139-V138))*HLOOKUP(X$6,SHIPS,7,0)*INDEX(LADEN_VOYAGE_DAYS,MATCH(CONCATENATE(X$4,X$5,X$7),LADEN_VOYAGE_ROUTES,0),MATCH(X$6,LADEN_VOYAGE_SHIPS,0)))),0)</f>
        <v>0</v>
      </c>
      <c r="Z138" s="118">
        <f t="shared" si="46"/>
        <v>0</v>
      </c>
      <c r="AA138" s="215">
        <f t="shared" si="32"/>
        <v>0</v>
      </c>
      <c r="AB138" s="202"/>
      <c r="AC138" s="186">
        <f t="shared" si="59"/>
        <v>40360</v>
      </c>
      <c r="AD138" s="232">
        <f>+AA138*(VLOOKUP(AC138,CURVECALC!$C$6:$J$312,4,0)+AE$5)</f>
        <v>0</v>
      </c>
      <c r="AE138" s="208">
        <f>-W138*INDEX(ship_curves,MATCH(AC138,'SHIP CURVES'!$A$9:$A$316,0),MATCH(CONCATENATE(AG$4,AG$5,AG$6,AG$7),'SHIP CURVES'!$A$9:$AZ$9,0))</f>
        <v>0</v>
      </c>
      <c r="AF138" s="209">
        <f>-Y138*INDEX(port_processing_fee,MATCH(AC138,PORTS!$H$626:$H$933,0),MATCH(AG$5,PORTS!$H$626:$Z$626,0))</f>
        <v>0</v>
      </c>
      <c r="AG138" s="405">
        <f>(((VLOOKUP(AC138,curvecalc,4,0))*IF(W138=0,0,AA138/W138)-INDEX(ship_curves,MATCH(AC138,'SHIP CURVES'!$A$9:$A$316,0),MATCH(CONCATENATE(AG$4,AG$5,AG$6,AG$7),'SHIP CURVES'!$A$9:$Z$9,0))-INDEX(terminal_curves,MATCH(AC138,'TERMINAL CURVES'!$A$4:$A$313,0),MATCH(AG$5,'TERMINAL CURVES'!$A$4:$N$4,0))*IF(W138=0,0,Y138/W138))-(AE$8)*((AE$7-$N$5)-(INDEX(ship_curves,MATCH(AC138,'SHIP CURVES'!$A$9:$A$316,0),MATCH(CONCATENATE(AG$4,AG$5,AG$6,AG$7),'SHIP CURVES'!$A$9:$Z$9,0))-INDEX(ship_curves,MATCH(AC138,'SHIP CURVES'!$A$9:$A$316,0),MATCH(CONCATENATE(AG$4,AE$6,AG$6,AG$7),'SHIP CURVES'!$A$9:$Z$9,0)))-(INDEX(terminal_curves,MATCH(AC138,'TERMINAL CURVES'!$A$4:$A$313,0),MATCH(AG$5,'TERMINAL CURVES'!$A$4:$N$4,0))-INDEX(terminal_curves,MATCH(AC138,'TERMINAL CURVES'!$A$4:$A$313,0),MATCH(AE$6,'TERMINAL CURVES'!$A$4:$N$4,0)))*IF(W138=0,0,Y138/W138)))*-W138</f>
        <v>0</v>
      </c>
      <c r="AH138" s="343">
        <f t="shared" si="47"/>
        <v>0</v>
      </c>
      <c r="AI138" s="338">
        <f>(-Y138/((HLOOKUP(AG$5,port_specs,2,0)/(365.25))*(AC139-AC138)))*(INDEX(fixed_capacity_charge,MATCH(AC138,PORTS!$H$11:$H$317,0),MATCH(AG$5,PORTS!$H$11:$N$11,0))+INDEX(variable_om_charge,MATCH(AC138,PORTS!$H$318:$H$625,0),MATCH(AG$5,PORTS!$H$318:$N$318,0)))</f>
        <v>0</v>
      </c>
      <c r="AJ138" s="232">
        <f t="shared" si="48"/>
        <v>0</v>
      </c>
      <c r="AK138" s="241">
        <f t="shared" si="49"/>
        <v>0</v>
      </c>
      <c r="AM138" s="186">
        <f t="shared" si="60"/>
        <v>40360</v>
      </c>
      <c r="AN138" s="215">
        <f t="shared" si="50"/>
        <v>5395761.4773599124</v>
      </c>
      <c r="AO138" s="191">
        <f t="shared" si="51"/>
        <v>-56655.495512278751</v>
      </c>
      <c r="AP138" s="218">
        <f>+IF(AND(AO$8&lt;=AM138,AO$9&gt;=AM138),+MIN($B138-SUMIF($H$17:AO$17,AP$17,$H138:AO138),((INDEX(ROUTE_PER_DAY_BY_SHIP,MATCH(CONCATENATE(AO$4,AO$5,AO$7),ROUTE_PER_DAY_ROUTES,0),MATCH(AO$6,ROUTE_PER_DAY_SHIPS,0))*(AM139-AM138))-(INDEX(ROUTE_PER_DAY_BY_SHIP,MATCH(CONCATENATE(AO$4,AO$5,AO$7),ROUTE_PER_DAY_ROUTES,0),MATCH(AO$6,ROUTE_PER_DAY_SHIPS,0))*(AM139-AM138))*HLOOKUP(AO$6,SHIPS,7,0)*INDEX(LADEN_VOYAGE_DAYS,MATCH(CONCATENATE(AO$4,AO$5,AO$7),LADEN_VOYAGE_ROUTES,0),MATCH(AO$6,LADEN_VOYAGE_SHIPS,0)))),0)</f>
        <v>5339105.9818476336</v>
      </c>
      <c r="AQ138" s="118">
        <f>-(AP138)*PORTS!$I$6</f>
        <v>-133477.64954619083</v>
      </c>
      <c r="AR138" s="215">
        <f t="shared" si="33"/>
        <v>5205628.3323014425</v>
      </c>
      <c r="AS138" s="202"/>
      <c r="AT138" s="186">
        <f t="shared" si="61"/>
        <v>40360</v>
      </c>
      <c r="AU138" s="232">
        <f>+AR138*(VLOOKUP(AT138,CURVECALC!$C$6:$J$312,4,0)+AV$5)</f>
        <v>17324331.089899201</v>
      </c>
      <c r="AV138" s="208">
        <f>-AN138*INDEX(ship_curves,MATCH(AT138,'SHIP CURVES'!$A$9:$A$316,0),MATCH(CONCATENATE(AX$4,AX$5,AX$6,AX$7),'SHIP CURVES'!$A$9:$AZ$9,0))</f>
        <v>-1795966.7287918816</v>
      </c>
      <c r="AW138" s="209">
        <f>-AP138*INDEX(port_processing_fee,MATCH(AT138,PORTS!$H$626:$H$933,0),MATCH(AX$5,PORTS!$H$626:$Z$626,0))</f>
        <v>-160250.76644373691</v>
      </c>
      <c r="AX138" s="405">
        <f>(((VLOOKUP(AT138,curvecalc,4,0))*IF(AN138=0,0,AR138/AN138)-INDEX(ship_curves,MATCH(AT138,'SHIP CURVES'!$A$9:$A$316,0),MATCH(CONCATENATE(AX$4,AX$5,AX$6,AX$7),'SHIP CURVES'!$A$9:$Z$9,0))-INDEX(terminal_curves,MATCH(AT138,'TERMINAL CURVES'!$A$4:$A$313,0),MATCH(AX$5,'TERMINAL CURVES'!$A$4:$N$4,0))*IF(AN138=0,0,AP138/AN138))-(AV$8)*((AV$7-$N$5)-(INDEX(ship_curves,MATCH(AT138,'SHIP CURVES'!$A$9:$A$316,0),MATCH(CONCATENATE(AX$4,AX$5,AX$6,AX$7),'SHIP CURVES'!$A$9:$Z$9,0))-INDEX(ship_curves,MATCH(AT138,'SHIP CURVES'!$A$9:$A$316,0),MATCH(CONCATENATE(AX$4,AV$6,AX$6,AX$7),'SHIP CURVES'!$A$9:$Z$9,0)))-(INDEX(terminal_curves,MATCH(AT138,'TERMINAL CURVES'!$A$4:$A$313,0),MATCH(AX$5,'TERMINAL CURVES'!$A$4:$N$4,0))-INDEX(terminal_curves,MATCH(AT138,'TERMINAL CURVES'!$A$4:$A$313,0),MATCH(AV$6,'TERMINAL CURVES'!$A$4:$N$4,0)))*IF(AN138=0,0,AP138/AN138)))*-AN138</f>
        <v>-14262551.60985155</v>
      </c>
      <c r="AY138" s="343">
        <f t="shared" si="52"/>
        <v>-16218769.105087169</v>
      </c>
      <c r="AZ138" s="338">
        <f>(-AP138/((HLOOKUP(AX$5,port_specs,2,0)/(365.25))*(AT139-AT138)))*(INDEX(fixed_capacity_charge,MATCH(AT138,PORTS!$H$11:$H$317,0),MATCH(AX$5,PORTS!$H$11:$N$11,0))+INDEX(variable_om_charge,MATCH(AT138,PORTS!$H$318:$H$625,0),MATCH(AX$5,PORTS!$H$318:$N$318,0)))</f>
        <v>-1001449.4181660017</v>
      </c>
      <c r="BA138" s="232">
        <f t="shared" si="53"/>
        <v>-17220218.523253169</v>
      </c>
      <c r="BB138" s="241">
        <f t="shared" si="54"/>
        <v>104112.56664603204</v>
      </c>
      <c r="BC138" s="408"/>
      <c r="BD138" s="338">
        <f>+PORTS!I132+PORTS!I440</f>
        <v>1001449.4181660017</v>
      </c>
    </row>
    <row r="139" spans="1:56" x14ac:dyDescent="0.2">
      <c r="A139" s="186">
        <f t="shared" si="55"/>
        <v>40391</v>
      </c>
      <c r="B139" s="215">
        <f>+IF(AND($A139&gt;=$C$8,$A139&lt;=$C$9),1,0)*PORTS!$I$5/(365.25)*(A140-A139)</f>
        <v>5339105.9818476336</v>
      </c>
      <c r="C139" s="351">
        <f t="shared" si="34"/>
        <v>0</v>
      </c>
      <c r="D139">
        <f t="shared" si="35"/>
        <v>2010</v>
      </c>
      <c r="E139" s="186">
        <f t="shared" si="56"/>
        <v>40391</v>
      </c>
      <c r="F139" s="215">
        <f t="shared" si="36"/>
        <v>0</v>
      </c>
      <c r="G139" s="191">
        <f t="shared" si="37"/>
        <v>0</v>
      </c>
      <c r="H139" s="218">
        <f t="shared" si="38"/>
        <v>0</v>
      </c>
      <c r="I139" s="118">
        <f t="shared" si="39"/>
        <v>0</v>
      </c>
      <c r="J139" s="215">
        <f t="shared" si="40"/>
        <v>0</v>
      </c>
      <c r="K139" s="202"/>
      <c r="L139" s="186">
        <f t="shared" si="57"/>
        <v>40391</v>
      </c>
      <c r="M139" s="400">
        <f>+J139*(VLOOKUP(L139,CURVECALC!$C$6:$J$312,4,0)+N$5)</f>
        <v>0</v>
      </c>
      <c r="N139" s="208">
        <f>-F139*INDEX(ship_curves,MATCH(L139,'SHIP CURVES'!$A$9:$A$316,0),MATCH(CONCATENATE(P$4,P$5,P$6,P$7),'SHIP CURVES'!$A$9:$AZ$9,0))</f>
        <v>0</v>
      </c>
      <c r="O139" s="209">
        <f>-H139*INDEX(port_processing_fee,MATCH(L139,PORTS!$H$626:$H$933,0),MATCH(P$5,PORTS!$H$626:$Z$626,0))</f>
        <v>0</v>
      </c>
      <c r="P139" s="405">
        <f>(((VLOOKUP(L139,curvecalc,4,0))*IF(F139=0,0,J139/F139)-INDEX(ship_curves,MATCH(L139,'SHIP CURVES'!$A$9:$A$316,0),MATCH(CONCATENATE(P$4,P$5,P$6,P$7),'SHIP CURVES'!$A$9:$Z$9,0))-INDEX(terminal_curves,MATCH(L139,'TERMINAL CURVES'!$A$4:$A$313,0),MATCH(P$5,'TERMINAL CURVES'!$A$4:$N$4,0))*IF(F139=0,0,H139/F139))-(N$8)*((N$7-$N$5)-(INDEX(ship_curves,MATCH(L139,'SHIP CURVES'!$A$9:$A$316,0),MATCH(CONCATENATE(P$4,P$5,P$6,P$7),'SHIP CURVES'!$A$9:$Z$9,0))-INDEX(ship_curves,MATCH(L139,'SHIP CURVES'!$A$9:$A$316,0),MATCH(CONCATENATE(P$4,N$6,P$6,P$7),'SHIP CURVES'!$A$9:$Z$9,0)))-(INDEX(terminal_curves,MATCH(L139,'TERMINAL CURVES'!$A$4:$A$313,0),MATCH(P$5,'TERMINAL CURVES'!$A$4:$N$4,0))-INDEX(terminal_curves,MATCH(L139,'TERMINAL CURVES'!$A$4:$A$313,0),MATCH(N$6,'TERMINAL CURVES'!$A$4:$N$4,0)))*IF(F139=0,0,H139/F139)))*-F139</f>
        <v>0</v>
      </c>
      <c r="Q139" s="403">
        <f t="shared" si="41"/>
        <v>0</v>
      </c>
      <c r="R139" s="338">
        <f>(-H139/((HLOOKUP(P$5,port_specs,2,0)/(365.25))*(L140-L139)))*(INDEX(fixed_capacity_charge,MATCH(L139,PORTS!$H$11:$H$317,0),MATCH(P$5,PORTS!$H$11:$N$11,0))+INDEX(variable_om_charge,MATCH(L139,PORTS!$H$318:$H$625,0),MATCH(P$5,PORTS!$H$318:$N$318,0)))</f>
        <v>0</v>
      </c>
      <c r="S139" s="232">
        <f t="shared" si="42"/>
        <v>0</v>
      </c>
      <c r="T139" s="241">
        <f t="shared" si="43"/>
        <v>0</v>
      </c>
      <c r="V139" s="186">
        <f t="shared" si="58"/>
        <v>40391</v>
      </c>
      <c r="W139" s="215">
        <f t="shared" si="44"/>
        <v>0</v>
      </c>
      <c r="X139" s="191">
        <f t="shared" si="45"/>
        <v>0</v>
      </c>
      <c r="Y139" s="218">
        <f>+IF(AND(X$8&lt;=V139,X$9&gt;=V139),+MIN($B139-SUMIF($H$17:X$17,Y$17,$H139:X139),((INDEX(ROUTE_PER_DAY_BY_SHIP,MATCH(CONCATENATE(X$4,X$5,X$7),ROUTE_PER_DAY_ROUTES,0),MATCH(X$6,ROUTE_PER_DAY_SHIPS,0))*(V140-V139))-(INDEX(ROUTE_PER_DAY_BY_SHIP,MATCH(CONCATENATE(X$4,X$5,X$7),ROUTE_PER_DAY_ROUTES,0),MATCH(X$6,ROUTE_PER_DAY_SHIPS,0))*(V140-V139))*HLOOKUP(X$6,SHIPS,7,0)*INDEX(LADEN_VOYAGE_DAYS,MATCH(CONCATENATE(X$4,X$5,X$7),LADEN_VOYAGE_ROUTES,0),MATCH(X$6,LADEN_VOYAGE_SHIPS,0)))),0)</f>
        <v>0</v>
      </c>
      <c r="Z139" s="118">
        <f t="shared" si="46"/>
        <v>0</v>
      </c>
      <c r="AA139" s="215">
        <f t="shared" si="32"/>
        <v>0</v>
      </c>
      <c r="AB139" s="202"/>
      <c r="AC139" s="186">
        <f t="shared" si="59"/>
        <v>40391</v>
      </c>
      <c r="AD139" s="232">
        <f>+AA139*(VLOOKUP(AC139,CURVECALC!$C$6:$J$312,4,0)+AE$5)</f>
        <v>0</v>
      </c>
      <c r="AE139" s="208">
        <f>-W139*INDEX(ship_curves,MATCH(AC139,'SHIP CURVES'!$A$9:$A$316,0),MATCH(CONCATENATE(AG$4,AG$5,AG$6,AG$7),'SHIP CURVES'!$A$9:$AZ$9,0))</f>
        <v>0</v>
      </c>
      <c r="AF139" s="209">
        <f>-Y139*INDEX(port_processing_fee,MATCH(AC139,PORTS!$H$626:$H$933,0),MATCH(AG$5,PORTS!$H$626:$Z$626,0))</f>
        <v>0</v>
      </c>
      <c r="AG139" s="405">
        <f>(((VLOOKUP(AC139,curvecalc,4,0))*IF(W139=0,0,AA139/W139)-INDEX(ship_curves,MATCH(AC139,'SHIP CURVES'!$A$9:$A$316,0),MATCH(CONCATENATE(AG$4,AG$5,AG$6,AG$7),'SHIP CURVES'!$A$9:$Z$9,0))-INDEX(terminal_curves,MATCH(AC139,'TERMINAL CURVES'!$A$4:$A$313,0),MATCH(AG$5,'TERMINAL CURVES'!$A$4:$N$4,0))*IF(W139=0,0,Y139/W139))-(AE$8)*((AE$7-$N$5)-(INDEX(ship_curves,MATCH(AC139,'SHIP CURVES'!$A$9:$A$316,0),MATCH(CONCATENATE(AG$4,AG$5,AG$6,AG$7),'SHIP CURVES'!$A$9:$Z$9,0))-INDEX(ship_curves,MATCH(AC139,'SHIP CURVES'!$A$9:$A$316,0),MATCH(CONCATENATE(AG$4,AE$6,AG$6,AG$7),'SHIP CURVES'!$A$9:$Z$9,0)))-(INDEX(terminal_curves,MATCH(AC139,'TERMINAL CURVES'!$A$4:$A$313,0),MATCH(AG$5,'TERMINAL CURVES'!$A$4:$N$4,0))-INDEX(terminal_curves,MATCH(AC139,'TERMINAL CURVES'!$A$4:$A$313,0),MATCH(AE$6,'TERMINAL CURVES'!$A$4:$N$4,0)))*IF(W139=0,0,Y139/W139)))*-W139</f>
        <v>0</v>
      </c>
      <c r="AH139" s="343">
        <f t="shared" si="47"/>
        <v>0</v>
      </c>
      <c r="AI139" s="338">
        <f>(-Y139/((HLOOKUP(AG$5,port_specs,2,0)/(365.25))*(AC140-AC139)))*(INDEX(fixed_capacity_charge,MATCH(AC139,PORTS!$H$11:$H$317,0),MATCH(AG$5,PORTS!$H$11:$N$11,0))+INDEX(variable_om_charge,MATCH(AC139,PORTS!$H$318:$H$625,0),MATCH(AG$5,PORTS!$H$318:$N$318,0)))</f>
        <v>0</v>
      </c>
      <c r="AJ139" s="232">
        <f t="shared" si="48"/>
        <v>0</v>
      </c>
      <c r="AK139" s="241">
        <f t="shared" si="49"/>
        <v>0</v>
      </c>
      <c r="AM139" s="186">
        <f t="shared" si="60"/>
        <v>40391</v>
      </c>
      <c r="AN139" s="215">
        <f t="shared" si="50"/>
        <v>5395761.4773599124</v>
      </c>
      <c r="AO139" s="191">
        <f t="shared" si="51"/>
        <v>-56655.495512278751</v>
      </c>
      <c r="AP139" s="218">
        <f>+IF(AND(AO$8&lt;=AM139,AO$9&gt;=AM139),+MIN($B139-SUMIF($H$17:AO$17,AP$17,$H139:AO139),((INDEX(ROUTE_PER_DAY_BY_SHIP,MATCH(CONCATENATE(AO$4,AO$5,AO$7),ROUTE_PER_DAY_ROUTES,0),MATCH(AO$6,ROUTE_PER_DAY_SHIPS,0))*(AM140-AM139))-(INDEX(ROUTE_PER_DAY_BY_SHIP,MATCH(CONCATENATE(AO$4,AO$5,AO$7),ROUTE_PER_DAY_ROUTES,0),MATCH(AO$6,ROUTE_PER_DAY_SHIPS,0))*(AM140-AM139))*HLOOKUP(AO$6,SHIPS,7,0)*INDEX(LADEN_VOYAGE_DAYS,MATCH(CONCATENATE(AO$4,AO$5,AO$7),LADEN_VOYAGE_ROUTES,0),MATCH(AO$6,LADEN_VOYAGE_SHIPS,0)))),0)</f>
        <v>5339105.9818476336</v>
      </c>
      <c r="AQ139" s="118">
        <f>-(AP139)*PORTS!$I$6</f>
        <v>-133477.64954619083</v>
      </c>
      <c r="AR139" s="215">
        <f t="shared" si="33"/>
        <v>5205628.3323014425</v>
      </c>
      <c r="AS139" s="202"/>
      <c r="AT139" s="186">
        <f t="shared" si="61"/>
        <v>40391</v>
      </c>
      <c r="AU139" s="232">
        <f>+AR139*(VLOOKUP(AT139,CURVECALC!$C$6:$J$312,4,0)+AV$5)</f>
        <v>17636668.789837286</v>
      </c>
      <c r="AV139" s="208">
        <f>-AN139*INDEX(ship_curves,MATCH(AT139,'SHIP CURVES'!$A$9:$A$316,0),MATCH(CONCATENATE(AX$4,AX$5,AX$6,AX$7),'SHIP CURVES'!$A$9:$AZ$9,0))</f>
        <v>-1796512.6433789141</v>
      </c>
      <c r="AW139" s="209">
        <f>-AP139*INDEX(port_processing_fee,MATCH(AT139,PORTS!$H$626:$H$933,0),MATCH(AX$5,PORTS!$H$626:$Z$626,0))</f>
        <v>-160417.69432544912</v>
      </c>
      <c r="AX139" s="405">
        <f>(((VLOOKUP(AT139,curvecalc,4,0))*IF(AN139=0,0,AR139/AN139)-INDEX(ship_curves,MATCH(AT139,'SHIP CURVES'!$A$9:$A$316,0),MATCH(CONCATENATE(AX$4,AX$5,AX$6,AX$7),'SHIP CURVES'!$A$9:$Z$9,0))-INDEX(terminal_curves,MATCH(AT139,'TERMINAL CURVES'!$A$4:$A$313,0),MATCH(AX$5,'TERMINAL CURVES'!$A$4:$N$4,0))*IF(AN139=0,0,AP139/AN139))-(AV$8)*((AV$7-$N$5)-(INDEX(ship_curves,MATCH(AT139,'SHIP CURVES'!$A$9:$A$316,0),MATCH(CONCATENATE(AX$4,AX$5,AX$6,AX$7),'SHIP CURVES'!$A$9:$Z$9,0))-INDEX(ship_curves,MATCH(AT139,'SHIP CURVES'!$A$9:$A$316,0),MATCH(CONCATENATE(AX$4,AV$6,AX$6,AX$7),'SHIP CURVES'!$A$9:$Z$9,0)))-(INDEX(terminal_curves,MATCH(AT139,'TERMINAL CURVES'!$A$4:$A$313,0),MATCH(AX$5,'TERMINAL CURVES'!$A$4:$N$4,0))-INDEX(terminal_curves,MATCH(AT139,'TERMINAL CURVES'!$A$4:$A$313,0),MATCH(AV$6,'TERMINAL CURVES'!$A$4:$N$4,0)))*IF(AN139=0,0,AP139/AN139)))*-AN139</f>
        <v>-14573638.693521664</v>
      </c>
      <c r="AY139" s="343">
        <f t="shared" si="52"/>
        <v>-16530569.031226028</v>
      </c>
      <c r="AZ139" s="338">
        <f>(-AP139/((HLOOKUP(AX$5,port_specs,2,0)/(365.25))*(AT140-AT139)))*(INDEX(fixed_capacity_charge,MATCH(AT139,PORTS!$H$11:$H$317,0),MATCH(AX$5,PORTS!$H$11:$N$11,0))+INDEX(variable_om_charge,MATCH(AT139,PORTS!$H$318:$H$625,0),MATCH(AX$5,PORTS!$H$318:$N$318,0)))</f>
        <v>-1001987.1919652284</v>
      </c>
      <c r="BA139" s="232">
        <f t="shared" si="53"/>
        <v>-17532556.223191258</v>
      </c>
      <c r="BB139" s="241">
        <f t="shared" si="54"/>
        <v>104112.56664602831</v>
      </c>
      <c r="BC139" s="408"/>
      <c r="BD139" s="338">
        <f>+PORTS!I133+PORTS!I441</f>
        <v>1001987.1919652284</v>
      </c>
    </row>
    <row r="140" spans="1:56" x14ac:dyDescent="0.2">
      <c r="A140" s="186">
        <f t="shared" si="55"/>
        <v>40422</v>
      </c>
      <c r="B140" s="215">
        <f>+IF(AND($A140&gt;=$C$8,$A140&lt;=$C$9),1,0)*PORTS!$I$5/(365.25)*(A141-A140)</f>
        <v>5166876.756626742</v>
      </c>
      <c r="C140" s="351">
        <f t="shared" si="34"/>
        <v>0</v>
      </c>
      <c r="D140">
        <f t="shared" si="35"/>
        <v>2010</v>
      </c>
      <c r="E140" s="186">
        <f t="shared" si="56"/>
        <v>40422</v>
      </c>
      <c r="F140" s="215">
        <f t="shared" si="36"/>
        <v>0</v>
      </c>
      <c r="G140" s="191">
        <f t="shared" si="37"/>
        <v>0</v>
      </c>
      <c r="H140" s="218">
        <f t="shared" si="38"/>
        <v>0</v>
      </c>
      <c r="I140" s="118">
        <f t="shared" si="39"/>
        <v>0</v>
      </c>
      <c r="J140" s="215">
        <f t="shared" si="40"/>
        <v>0</v>
      </c>
      <c r="K140" s="202"/>
      <c r="L140" s="186">
        <f t="shared" si="57"/>
        <v>40422</v>
      </c>
      <c r="M140" s="400">
        <f>+J140*(VLOOKUP(L140,CURVECALC!$C$6:$J$312,4,0)+N$5)</f>
        <v>0</v>
      </c>
      <c r="N140" s="208">
        <f>-F140*INDEX(ship_curves,MATCH(L140,'SHIP CURVES'!$A$9:$A$316,0),MATCH(CONCATENATE(P$4,P$5,P$6,P$7),'SHIP CURVES'!$A$9:$AZ$9,0))</f>
        <v>0</v>
      </c>
      <c r="O140" s="209">
        <f>-H140*INDEX(port_processing_fee,MATCH(L140,PORTS!$H$626:$H$933,0),MATCH(P$5,PORTS!$H$626:$Z$626,0))</f>
        <v>0</v>
      </c>
      <c r="P140" s="405">
        <f>(((VLOOKUP(L140,curvecalc,4,0))*IF(F140=0,0,J140/F140)-INDEX(ship_curves,MATCH(L140,'SHIP CURVES'!$A$9:$A$316,0),MATCH(CONCATENATE(P$4,P$5,P$6,P$7),'SHIP CURVES'!$A$9:$Z$9,0))-INDEX(terminal_curves,MATCH(L140,'TERMINAL CURVES'!$A$4:$A$313,0),MATCH(P$5,'TERMINAL CURVES'!$A$4:$N$4,0))*IF(F140=0,0,H140/F140))-(N$8)*((N$7-$N$5)-(INDEX(ship_curves,MATCH(L140,'SHIP CURVES'!$A$9:$A$316,0),MATCH(CONCATENATE(P$4,P$5,P$6,P$7),'SHIP CURVES'!$A$9:$Z$9,0))-INDEX(ship_curves,MATCH(L140,'SHIP CURVES'!$A$9:$A$316,0),MATCH(CONCATENATE(P$4,N$6,P$6,P$7),'SHIP CURVES'!$A$9:$Z$9,0)))-(INDEX(terminal_curves,MATCH(L140,'TERMINAL CURVES'!$A$4:$A$313,0),MATCH(P$5,'TERMINAL CURVES'!$A$4:$N$4,0))-INDEX(terminal_curves,MATCH(L140,'TERMINAL CURVES'!$A$4:$A$313,0),MATCH(N$6,'TERMINAL CURVES'!$A$4:$N$4,0)))*IF(F140=0,0,H140/F140)))*-F140</f>
        <v>0</v>
      </c>
      <c r="Q140" s="403">
        <f t="shared" si="41"/>
        <v>0</v>
      </c>
      <c r="R140" s="338">
        <f>(-H140/((HLOOKUP(P$5,port_specs,2,0)/(365.25))*(L141-L140)))*(INDEX(fixed_capacity_charge,MATCH(L140,PORTS!$H$11:$H$317,0),MATCH(P$5,PORTS!$H$11:$N$11,0))+INDEX(variable_om_charge,MATCH(L140,PORTS!$H$318:$H$625,0),MATCH(P$5,PORTS!$H$318:$N$318,0)))</f>
        <v>0</v>
      </c>
      <c r="S140" s="232">
        <f t="shared" si="42"/>
        <v>0</v>
      </c>
      <c r="T140" s="241">
        <f t="shared" si="43"/>
        <v>0</v>
      </c>
      <c r="V140" s="186">
        <f t="shared" si="58"/>
        <v>40422</v>
      </c>
      <c r="W140" s="215">
        <f t="shared" si="44"/>
        <v>0</v>
      </c>
      <c r="X140" s="191">
        <f t="shared" si="45"/>
        <v>0</v>
      </c>
      <c r="Y140" s="218">
        <f>+IF(AND(X$8&lt;=V140,X$9&gt;=V140),+MIN($B140-SUMIF($H$17:X$17,Y$17,$H140:X140),((INDEX(ROUTE_PER_DAY_BY_SHIP,MATCH(CONCATENATE(X$4,X$5,X$7),ROUTE_PER_DAY_ROUTES,0),MATCH(X$6,ROUTE_PER_DAY_SHIPS,0))*(V141-V140))-(INDEX(ROUTE_PER_DAY_BY_SHIP,MATCH(CONCATENATE(X$4,X$5,X$7),ROUTE_PER_DAY_ROUTES,0),MATCH(X$6,ROUTE_PER_DAY_SHIPS,0))*(V141-V140))*HLOOKUP(X$6,SHIPS,7,0)*INDEX(LADEN_VOYAGE_DAYS,MATCH(CONCATENATE(X$4,X$5,X$7),LADEN_VOYAGE_ROUTES,0),MATCH(X$6,LADEN_VOYAGE_SHIPS,0)))),0)</f>
        <v>0</v>
      </c>
      <c r="Z140" s="118">
        <f t="shared" si="46"/>
        <v>0</v>
      </c>
      <c r="AA140" s="215">
        <f t="shared" si="32"/>
        <v>0</v>
      </c>
      <c r="AB140" s="202"/>
      <c r="AC140" s="186">
        <f t="shared" si="59"/>
        <v>40422</v>
      </c>
      <c r="AD140" s="232">
        <f>+AA140*(VLOOKUP(AC140,CURVECALC!$C$6:$J$312,4,0)+AE$5)</f>
        <v>0</v>
      </c>
      <c r="AE140" s="208">
        <f>-W140*INDEX(ship_curves,MATCH(AC140,'SHIP CURVES'!$A$9:$A$316,0),MATCH(CONCATENATE(AG$4,AG$5,AG$6,AG$7),'SHIP CURVES'!$A$9:$AZ$9,0))</f>
        <v>0</v>
      </c>
      <c r="AF140" s="209">
        <f>-Y140*INDEX(port_processing_fee,MATCH(AC140,PORTS!$H$626:$H$933,0),MATCH(AG$5,PORTS!$H$626:$Z$626,0))</f>
        <v>0</v>
      </c>
      <c r="AG140" s="405">
        <f>(((VLOOKUP(AC140,curvecalc,4,0))*IF(W140=0,0,AA140/W140)-INDEX(ship_curves,MATCH(AC140,'SHIP CURVES'!$A$9:$A$316,0),MATCH(CONCATENATE(AG$4,AG$5,AG$6,AG$7),'SHIP CURVES'!$A$9:$Z$9,0))-INDEX(terminal_curves,MATCH(AC140,'TERMINAL CURVES'!$A$4:$A$313,0),MATCH(AG$5,'TERMINAL CURVES'!$A$4:$N$4,0))*IF(W140=0,0,Y140/W140))-(AE$8)*((AE$7-$N$5)-(INDEX(ship_curves,MATCH(AC140,'SHIP CURVES'!$A$9:$A$316,0),MATCH(CONCATENATE(AG$4,AG$5,AG$6,AG$7),'SHIP CURVES'!$A$9:$Z$9,0))-INDEX(ship_curves,MATCH(AC140,'SHIP CURVES'!$A$9:$A$316,0),MATCH(CONCATENATE(AG$4,AE$6,AG$6,AG$7),'SHIP CURVES'!$A$9:$Z$9,0)))-(INDEX(terminal_curves,MATCH(AC140,'TERMINAL CURVES'!$A$4:$A$313,0),MATCH(AG$5,'TERMINAL CURVES'!$A$4:$N$4,0))-INDEX(terminal_curves,MATCH(AC140,'TERMINAL CURVES'!$A$4:$A$313,0),MATCH(AE$6,'TERMINAL CURVES'!$A$4:$N$4,0)))*IF(W140=0,0,Y140/W140)))*-W140</f>
        <v>0</v>
      </c>
      <c r="AH140" s="343">
        <f t="shared" si="47"/>
        <v>0</v>
      </c>
      <c r="AI140" s="338">
        <f>(-Y140/((HLOOKUP(AG$5,port_specs,2,0)/(365.25))*(AC141-AC140)))*(INDEX(fixed_capacity_charge,MATCH(AC140,PORTS!$H$11:$H$317,0),MATCH(AG$5,PORTS!$H$11:$N$11,0))+INDEX(variable_om_charge,MATCH(AC140,PORTS!$H$318:$H$625,0),MATCH(AG$5,PORTS!$H$318:$N$318,0)))</f>
        <v>0</v>
      </c>
      <c r="AJ140" s="232">
        <f t="shared" si="48"/>
        <v>0</v>
      </c>
      <c r="AK140" s="241">
        <f t="shared" si="49"/>
        <v>0</v>
      </c>
      <c r="AM140" s="186">
        <f t="shared" si="60"/>
        <v>40422</v>
      </c>
      <c r="AN140" s="215">
        <f t="shared" si="50"/>
        <v>5221704.655509592</v>
      </c>
      <c r="AO140" s="191">
        <f t="shared" si="51"/>
        <v>-54827.898882850073</v>
      </c>
      <c r="AP140" s="218">
        <f>+IF(AND(AO$8&lt;=AM140,AO$9&gt;=AM140),+MIN($B140-SUMIF($H$17:AO$17,AP$17,$H140:AO140),((INDEX(ROUTE_PER_DAY_BY_SHIP,MATCH(CONCATENATE(AO$4,AO$5,AO$7),ROUTE_PER_DAY_ROUTES,0),MATCH(AO$6,ROUTE_PER_DAY_SHIPS,0))*(AM141-AM140))-(INDEX(ROUTE_PER_DAY_BY_SHIP,MATCH(CONCATENATE(AO$4,AO$5,AO$7),ROUTE_PER_DAY_ROUTES,0),MATCH(AO$6,ROUTE_PER_DAY_SHIPS,0))*(AM141-AM140))*HLOOKUP(AO$6,SHIPS,7,0)*INDEX(LADEN_VOYAGE_DAYS,MATCH(CONCATENATE(AO$4,AO$5,AO$7),LADEN_VOYAGE_ROUTES,0),MATCH(AO$6,LADEN_VOYAGE_SHIPS,0)))),0)</f>
        <v>5166876.756626742</v>
      </c>
      <c r="AQ140" s="118">
        <f>-(AP140)*PORTS!$I$6</f>
        <v>-129171.91891566856</v>
      </c>
      <c r="AR140" s="215">
        <f t="shared" si="33"/>
        <v>5037704.8377110735</v>
      </c>
      <c r="AS140" s="202"/>
      <c r="AT140" s="186">
        <f t="shared" si="61"/>
        <v>40422</v>
      </c>
      <c r="AU140" s="232">
        <f>+AR140*(VLOOKUP(AT140,CURVECALC!$C$6:$J$312,4,0)+AV$5)</f>
        <v>16982103.007924028</v>
      </c>
      <c r="AV140" s="208">
        <f>-AN140*INDEX(ship_curves,MATCH(AT140,'SHIP CURVES'!$A$9:$A$316,0),MATCH(CONCATENATE(AX$4,AX$5,AX$6,AX$7),'SHIP CURVES'!$A$9:$AZ$9,0))</f>
        <v>-1739090.027698067</v>
      </c>
      <c r="AW140" s="209">
        <f>-AP140*INDEX(port_processing_fee,MATCH(AT140,PORTS!$H$626:$H$933,0),MATCH(AX$5,PORTS!$H$626:$Z$626,0))</f>
        <v>-155404.64137777881</v>
      </c>
      <c r="AX140" s="405">
        <f>(((VLOOKUP(AT140,curvecalc,4,0))*IF(AN140=0,0,AR140/AN140)-INDEX(ship_curves,MATCH(AT140,'SHIP CURVES'!$A$9:$A$316,0),MATCH(CONCATENATE(AX$4,AX$5,AX$6,AX$7),'SHIP CURVES'!$A$9:$Z$9,0))-INDEX(terminal_curves,MATCH(AT140,'TERMINAL CURVES'!$A$4:$A$313,0),MATCH(AX$5,'TERMINAL CURVES'!$A$4:$N$4,0))*IF(AN140=0,0,AP140/AN140))-(AV$8)*((AV$7-$N$5)-(INDEX(ship_curves,MATCH(AT140,'SHIP CURVES'!$A$9:$A$316,0),MATCH(CONCATENATE(AX$4,AX$5,AX$6,AX$7),'SHIP CURVES'!$A$9:$Z$9,0))-INDEX(ship_curves,MATCH(AT140,'SHIP CURVES'!$A$9:$A$316,0),MATCH(CONCATENATE(AX$4,AV$6,AX$6,AX$7),'SHIP CURVES'!$A$9:$Z$9,0)))-(INDEX(terminal_curves,MATCH(AT140,'TERMINAL CURVES'!$A$4:$A$313,0),MATCH(AX$5,'TERMINAL CURVES'!$A$4:$N$4,0))-INDEX(terminal_curves,MATCH(AT140,'TERMINAL CURVES'!$A$4:$A$313,0),MATCH(AV$6,'TERMINAL CURVES'!$A$4:$N$4,0)))*IF(AN140=0,0,AP140/AN140)))*-AN140</f>
        <v>-13984328.716148462</v>
      </c>
      <c r="AY140" s="343">
        <f t="shared" si="52"/>
        <v>-15878823.385224309</v>
      </c>
      <c r="AZ140" s="338">
        <f>(-AP140/((HLOOKUP(AX$5,port_specs,2,0)/(365.25))*(AT141-AT140)))*(INDEX(fixed_capacity_charge,MATCH(AT140,PORTS!$H$11:$H$317,0),MATCH(AX$5,PORTS!$H$11:$N$11,0))+INDEX(variable_om_charge,MATCH(AT140,PORTS!$H$318:$H$625,0),MATCH(AX$5,PORTS!$H$318:$N$318,0)))</f>
        <v>-1002525.525945496</v>
      </c>
      <c r="BA140" s="232">
        <f t="shared" si="53"/>
        <v>-16881348.911169805</v>
      </c>
      <c r="BB140" s="241">
        <f t="shared" si="54"/>
        <v>100754.09675422311</v>
      </c>
      <c r="BC140" s="408"/>
      <c r="BD140" s="338">
        <f>+PORTS!I134+PORTS!I442</f>
        <v>1002525.525945496</v>
      </c>
    </row>
    <row r="141" spans="1:56" x14ac:dyDescent="0.2">
      <c r="A141" s="186">
        <f t="shared" si="55"/>
        <v>40452</v>
      </c>
      <c r="B141" s="215">
        <f>+IF(AND($A141&gt;=$C$8,$A141&lt;=$C$9),1,0)*PORTS!$I$5/(365.25)*(A142-A141)</f>
        <v>5339105.9818476336</v>
      </c>
      <c r="C141" s="351">
        <f t="shared" si="34"/>
        <v>0</v>
      </c>
      <c r="D141">
        <f t="shared" si="35"/>
        <v>2010</v>
      </c>
      <c r="E141" s="186">
        <f t="shared" si="56"/>
        <v>40452</v>
      </c>
      <c r="F141" s="215">
        <f t="shared" si="36"/>
        <v>0</v>
      </c>
      <c r="G141" s="191">
        <f t="shared" si="37"/>
        <v>0</v>
      </c>
      <c r="H141" s="218">
        <f t="shared" si="38"/>
        <v>0</v>
      </c>
      <c r="I141" s="118">
        <f t="shared" si="39"/>
        <v>0</v>
      </c>
      <c r="J141" s="215">
        <f t="shared" si="40"/>
        <v>0</v>
      </c>
      <c r="K141" s="202"/>
      <c r="L141" s="186">
        <f t="shared" si="57"/>
        <v>40452</v>
      </c>
      <c r="M141" s="400">
        <f>+J141*(VLOOKUP(L141,CURVECALC!$C$6:$J$312,4,0)+N$5)</f>
        <v>0</v>
      </c>
      <c r="N141" s="208">
        <f>-F141*INDEX(ship_curves,MATCH(L141,'SHIP CURVES'!$A$9:$A$316,0),MATCH(CONCATENATE(P$4,P$5,P$6,P$7),'SHIP CURVES'!$A$9:$AZ$9,0))</f>
        <v>0</v>
      </c>
      <c r="O141" s="209">
        <f>-H141*INDEX(port_processing_fee,MATCH(L141,PORTS!$H$626:$H$933,0),MATCH(P$5,PORTS!$H$626:$Z$626,0))</f>
        <v>0</v>
      </c>
      <c r="P141" s="405">
        <f>(((VLOOKUP(L141,curvecalc,4,0))*IF(F141=0,0,J141/F141)-INDEX(ship_curves,MATCH(L141,'SHIP CURVES'!$A$9:$A$316,0),MATCH(CONCATENATE(P$4,P$5,P$6,P$7),'SHIP CURVES'!$A$9:$Z$9,0))-INDEX(terminal_curves,MATCH(L141,'TERMINAL CURVES'!$A$4:$A$313,0),MATCH(P$5,'TERMINAL CURVES'!$A$4:$N$4,0))*IF(F141=0,0,H141/F141))-(N$8)*((N$7-$N$5)-(INDEX(ship_curves,MATCH(L141,'SHIP CURVES'!$A$9:$A$316,0),MATCH(CONCATENATE(P$4,P$5,P$6,P$7),'SHIP CURVES'!$A$9:$Z$9,0))-INDEX(ship_curves,MATCH(L141,'SHIP CURVES'!$A$9:$A$316,0),MATCH(CONCATENATE(P$4,N$6,P$6,P$7),'SHIP CURVES'!$A$9:$Z$9,0)))-(INDEX(terminal_curves,MATCH(L141,'TERMINAL CURVES'!$A$4:$A$313,0),MATCH(P$5,'TERMINAL CURVES'!$A$4:$N$4,0))-INDEX(terminal_curves,MATCH(L141,'TERMINAL CURVES'!$A$4:$A$313,0),MATCH(N$6,'TERMINAL CURVES'!$A$4:$N$4,0)))*IF(F141=0,0,H141/F141)))*-F141</f>
        <v>0</v>
      </c>
      <c r="Q141" s="403">
        <f t="shared" si="41"/>
        <v>0</v>
      </c>
      <c r="R141" s="338">
        <f>(-H141/((HLOOKUP(P$5,port_specs,2,0)/(365.25))*(L142-L141)))*(INDEX(fixed_capacity_charge,MATCH(L141,PORTS!$H$11:$H$317,0),MATCH(P$5,PORTS!$H$11:$N$11,0))+INDEX(variable_om_charge,MATCH(L141,PORTS!$H$318:$H$625,0),MATCH(P$5,PORTS!$H$318:$N$318,0)))</f>
        <v>0</v>
      </c>
      <c r="S141" s="232">
        <f t="shared" si="42"/>
        <v>0</v>
      </c>
      <c r="T141" s="241">
        <f t="shared" si="43"/>
        <v>0</v>
      </c>
      <c r="V141" s="186">
        <f t="shared" si="58"/>
        <v>40452</v>
      </c>
      <c r="W141" s="215">
        <f t="shared" si="44"/>
        <v>0</v>
      </c>
      <c r="X141" s="191">
        <f t="shared" si="45"/>
        <v>0</v>
      </c>
      <c r="Y141" s="218">
        <f>+IF(AND(X$8&lt;=V141,X$9&gt;=V141),+MIN($B141-SUMIF($H$17:X$17,Y$17,$H141:X141),((INDEX(ROUTE_PER_DAY_BY_SHIP,MATCH(CONCATENATE(X$4,X$5,X$7),ROUTE_PER_DAY_ROUTES,0),MATCH(X$6,ROUTE_PER_DAY_SHIPS,0))*(V142-V141))-(INDEX(ROUTE_PER_DAY_BY_SHIP,MATCH(CONCATENATE(X$4,X$5,X$7),ROUTE_PER_DAY_ROUTES,0),MATCH(X$6,ROUTE_PER_DAY_SHIPS,0))*(V142-V141))*HLOOKUP(X$6,SHIPS,7,0)*INDEX(LADEN_VOYAGE_DAYS,MATCH(CONCATENATE(X$4,X$5,X$7),LADEN_VOYAGE_ROUTES,0),MATCH(X$6,LADEN_VOYAGE_SHIPS,0)))),0)</f>
        <v>0</v>
      </c>
      <c r="Z141" s="118">
        <f t="shared" si="46"/>
        <v>0</v>
      </c>
      <c r="AA141" s="215">
        <f t="shared" si="32"/>
        <v>0</v>
      </c>
      <c r="AB141" s="202"/>
      <c r="AC141" s="186">
        <f t="shared" si="59"/>
        <v>40452</v>
      </c>
      <c r="AD141" s="232">
        <f>+AA141*(VLOOKUP(AC141,CURVECALC!$C$6:$J$312,4,0)+AE$5)</f>
        <v>0</v>
      </c>
      <c r="AE141" s="208">
        <f>-W141*INDEX(ship_curves,MATCH(AC141,'SHIP CURVES'!$A$9:$A$316,0),MATCH(CONCATENATE(AG$4,AG$5,AG$6,AG$7),'SHIP CURVES'!$A$9:$AZ$9,0))</f>
        <v>0</v>
      </c>
      <c r="AF141" s="209">
        <f>-Y141*INDEX(port_processing_fee,MATCH(AC141,PORTS!$H$626:$H$933,0),MATCH(AG$5,PORTS!$H$626:$Z$626,0))</f>
        <v>0</v>
      </c>
      <c r="AG141" s="405">
        <f>(((VLOOKUP(AC141,curvecalc,4,0))*IF(W141=0,0,AA141/W141)-INDEX(ship_curves,MATCH(AC141,'SHIP CURVES'!$A$9:$A$316,0),MATCH(CONCATENATE(AG$4,AG$5,AG$6,AG$7),'SHIP CURVES'!$A$9:$Z$9,0))-INDEX(terminal_curves,MATCH(AC141,'TERMINAL CURVES'!$A$4:$A$313,0),MATCH(AG$5,'TERMINAL CURVES'!$A$4:$N$4,0))*IF(W141=0,0,Y141/W141))-(AE$8)*((AE$7-$N$5)-(INDEX(ship_curves,MATCH(AC141,'SHIP CURVES'!$A$9:$A$316,0),MATCH(CONCATENATE(AG$4,AG$5,AG$6,AG$7),'SHIP CURVES'!$A$9:$Z$9,0))-INDEX(ship_curves,MATCH(AC141,'SHIP CURVES'!$A$9:$A$316,0),MATCH(CONCATENATE(AG$4,AE$6,AG$6,AG$7),'SHIP CURVES'!$A$9:$Z$9,0)))-(INDEX(terminal_curves,MATCH(AC141,'TERMINAL CURVES'!$A$4:$A$313,0),MATCH(AG$5,'TERMINAL CURVES'!$A$4:$N$4,0))-INDEX(terminal_curves,MATCH(AC141,'TERMINAL CURVES'!$A$4:$A$313,0),MATCH(AE$6,'TERMINAL CURVES'!$A$4:$N$4,0)))*IF(W141=0,0,Y141/W141)))*-W141</f>
        <v>0</v>
      </c>
      <c r="AH141" s="343">
        <f t="shared" si="47"/>
        <v>0</v>
      </c>
      <c r="AI141" s="338">
        <f>(-Y141/((HLOOKUP(AG$5,port_specs,2,0)/(365.25))*(AC142-AC141)))*(INDEX(fixed_capacity_charge,MATCH(AC141,PORTS!$H$11:$H$317,0),MATCH(AG$5,PORTS!$H$11:$N$11,0))+INDEX(variable_om_charge,MATCH(AC141,PORTS!$H$318:$H$625,0),MATCH(AG$5,PORTS!$H$318:$N$318,0)))</f>
        <v>0</v>
      </c>
      <c r="AJ141" s="232">
        <f t="shared" si="48"/>
        <v>0</v>
      </c>
      <c r="AK141" s="241">
        <f t="shared" si="49"/>
        <v>0</v>
      </c>
      <c r="AM141" s="186">
        <f t="shared" si="60"/>
        <v>40452</v>
      </c>
      <c r="AN141" s="215">
        <f t="shared" si="50"/>
        <v>5395761.4773599124</v>
      </c>
      <c r="AO141" s="191">
        <f t="shared" si="51"/>
        <v>-56655.495512278751</v>
      </c>
      <c r="AP141" s="218">
        <f>+IF(AND(AO$8&lt;=AM141,AO$9&gt;=AM141),+MIN($B141-SUMIF($H$17:AO$17,AP$17,$H141:AO141),((INDEX(ROUTE_PER_DAY_BY_SHIP,MATCH(CONCATENATE(AO$4,AO$5,AO$7),ROUTE_PER_DAY_ROUTES,0),MATCH(AO$6,ROUTE_PER_DAY_SHIPS,0))*(AM142-AM141))-(INDEX(ROUTE_PER_DAY_BY_SHIP,MATCH(CONCATENATE(AO$4,AO$5,AO$7),ROUTE_PER_DAY_ROUTES,0),MATCH(AO$6,ROUTE_PER_DAY_SHIPS,0))*(AM142-AM141))*HLOOKUP(AO$6,SHIPS,7,0)*INDEX(LADEN_VOYAGE_DAYS,MATCH(CONCATENATE(AO$4,AO$5,AO$7),LADEN_VOYAGE_ROUTES,0),MATCH(AO$6,LADEN_VOYAGE_SHIPS,0)))),0)</f>
        <v>5339105.9818476336</v>
      </c>
      <c r="AQ141" s="118">
        <f>-(AP141)*PORTS!$I$6</f>
        <v>-133477.64954619083</v>
      </c>
      <c r="AR141" s="215">
        <f t="shared" si="33"/>
        <v>5205628.3323014425</v>
      </c>
      <c r="AS141" s="202"/>
      <c r="AT141" s="186">
        <f t="shared" si="61"/>
        <v>40452</v>
      </c>
      <c r="AU141" s="232">
        <f>+AR141*(VLOOKUP(AT141,CURVECALC!$C$6:$J$312,4,0)+AV$5)</f>
        <v>17615846.276508082</v>
      </c>
      <c r="AV141" s="208">
        <f>-AN141*INDEX(ship_curves,MATCH(AT141,'SHIP CURVES'!$A$9:$A$316,0),MATCH(CONCATENATE(AX$4,AX$5,AX$6,AX$7),'SHIP CURVES'!$A$9:$AZ$9,0))</f>
        <v>-1797607.8868885692</v>
      </c>
      <c r="AW141" s="209">
        <f>-AP141*INDEX(port_processing_fee,MATCH(AT141,PORTS!$H$626:$H$933,0),MATCH(AX$5,PORTS!$H$626:$Z$626,0))</f>
        <v>-160752.07191963226</v>
      </c>
      <c r="AX141" s="405">
        <f>(((VLOOKUP(AT141,curvecalc,4,0))*IF(AN141=0,0,AR141/AN141)-INDEX(ship_curves,MATCH(AT141,'SHIP CURVES'!$A$9:$A$316,0),MATCH(CONCATENATE(AX$4,AX$5,AX$6,AX$7),'SHIP CURVES'!$A$9:$Z$9,0))-INDEX(terminal_curves,MATCH(AT141,'TERMINAL CURVES'!$A$4:$A$313,0),MATCH(AX$5,'TERMINAL CURVES'!$A$4:$N$4,0))*IF(AN141=0,0,AP141/AN141))-(AV$8)*((AV$7-$N$5)-(INDEX(ship_curves,MATCH(AT141,'SHIP CURVES'!$A$9:$A$316,0),MATCH(CONCATENATE(AX$4,AX$5,AX$6,AX$7),'SHIP CURVES'!$A$9:$Z$9,0))-INDEX(ship_curves,MATCH(AT141,'SHIP CURVES'!$A$9:$A$316,0),MATCH(CONCATENATE(AX$4,AV$6,AX$6,AX$7),'SHIP CURVES'!$A$9:$Z$9,0)))-(INDEX(terminal_curves,MATCH(AT141,'TERMINAL CURVES'!$A$4:$A$313,0),MATCH(AX$5,'TERMINAL CURVES'!$A$4:$N$4,0))-INDEX(terminal_curves,MATCH(AT141,'TERMINAL CURVES'!$A$4:$A$313,0),MATCH(AV$6,'TERMINAL CURVES'!$A$4:$N$4,0)))*IF(AN141=0,0,AP141/AN141)))*-AN141</f>
        <v>-14550309.330363525</v>
      </c>
      <c r="AY141" s="343">
        <f t="shared" si="52"/>
        <v>-16508669.289171726</v>
      </c>
      <c r="AZ141" s="338">
        <f>(-AP141/((HLOOKUP(AX$5,port_specs,2,0)/(365.25))*(AT142-AT141)))*(INDEX(fixed_capacity_charge,MATCH(AT141,PORTS!$H$11:$H$317,0),MATCH(AX$5,PORTS!$H$11:$N$11,0))+INDEX(variable_om_charge,MATCH(AT141,PORTS!$H$318:$H$625,0),MATCH(AX$5,PORTS!$H$318:$N$318,0)))</f>
        <v>-1003064.4206903263</v>
      </c>
      <c r="BA141" s="232">
        <f t="shared" si="53"/>
        <v>-17511733.709862053</v>
      </c>
      <c r="BB141" s="241">
        <f t="shared" si="54"/>
        <v>104112.56664602831</v>
      </c>
      <c r="BC141" s="408"/>
      <c r="BD141" s="338">
        <f>+PORTS!I135+PORTS!I443</f>
        <v>1003064.4206903263</v>
      </c>
    </row>
    <row r="142" spans="1:56" x14ac:dyDescent="0.2">
      <c r="A142" s="186">
        <f t="shared" si="55"/>
        <v>40483</v>
      </c>
      <c r="B142" s="215">
        <f>+IF(AND($A142&gt;=$C$8,$A142&lt;=$C$9),1,0)*PORTS!$I$5/(365.25)*(A143-A142)</f>
        <v>5166876.756626742</v>
      </c>
      <c r="C142" s="351">
        <f t="shared" si="34"/>
        <v>0</v>
      </c>
      <c r="D142">
        <f t="shared" si="35"/>
        <v>2010</v>
      </c>
      <c r="E142" s="186">
        <f t="shared" si="56"/>
        <v>40483</v>
      </c>
      <c r="F142" s="215">
        <f t="shared" si="36"/>
        <v>0</v>
      </c>
      <c r="G142" s="191">
        <f t="shared" si="37"/>
        <v>0</v>
      </c>
      <c r="H142" s="218">
        <f t="shared" si="38"/>
        <v>0</v>
      </c>
      <c r="I142" s="118">
        <f t="shared" si="39"/>
        <v>0</v>
      </c>
      <c r="J142" s="215">
        <f t="shared" si="40"/>
        <v>0</v>
      </c>
      <c r="K142" s="202"/>
      <c r="L142" s="186">
        <f t="shared" si="57"/>
        <v>40483</v>
      </c>
      <c r="M142" s="400">
        <f>+J142*(VLOOKUP(L142,CURVECALC!$C$6:$J$312,4,0)+N$5)</f>
        <v>0</v>
      </c>
      <c r="N142" s="208">
        <f>-F142*INDEX(ship_curves,MATCH(L142,'SHIP CURVES'!$A$9:$A$316,0),MATCH(CONCATENATE(P$4,P$5,P$6,P$7),'SHIP CURVES'!$A$9:$AZ$9,0))</f>
        <v>0</v>
      </c>
      <c r="O142" s="209">
        <f>-H142*INDEX(port_processing_fee,MATCH(L142,PORTS!$H$626:$H$933,0),MATCH(P$5,PORTS!$H$626:$Z$626,0))</f>
        <v>0</v>
      </c>
      <c r="P142" s="405">
        <f>(((VLOOKUP(L142,curvecalc,4,0))*IF(F142=0,0,J142/F142)-INDEX(ship_curves,MATCH(L142,'SHIP CURVES'!$A$9:$A$316,0),MATCH(CONCATENATE(P$4,P$5,P$6,P$7),'SHIP CURVES'!$A$9:$Z$9,0))-INDEX(terminal_curves,MATCH(L142,'TERMINAL CURVES'!$A$4:$A$313,0),MATCH(P$5,'TERMINAL CURVES'!$A$4:$N$4,0))*IF(F142=0,0,H142/F142))-(N$8)*((N$7-$N$5)-(INDEX(ship_curves,MATCH(L142,'SHIP CURVES'!$A$9:$A$316,0),MATCH(CONCATENATE(P$4,P$5,P$6,P$7),'SHIP CURVES'!$A$9:$Z$9,0))-INDEX(ship_curves,MATCH(L142,'SHIP CURVES'!$A$9:$A$316,0),MATCH(CONCATENATE(P$4,N$6,P$6,P$7),'SHIP CURVES'!$A$9:$Z$9,0)))-(INDEX(terminal_curves,MATCH(L142,'TERMINAL CURVES'!$A$4:$A$313,0),MATCH(P$5,'TERMINAL CURVES'!$A$4:$N$4,0))-INDEX(terminal_curves,MATCH(L142,'TERMINAL CURVES'!$A$4:$A$313,0),MATCH(N$6,'TERMINAL CURVES'!$A$4:$N$4,0)))*IF(F142=0,0,H142/F142)))*-F142</f>
        <v>0</v>
      </c>
      <c r="Q142" s="403">
        <f t="shared" si="41"/>
        <v>0</v>
      </c>
      <c r="R142" s="338">
        <f>(-H142/((HLOOKUP(P$5,port_specs,2,0)/(365.25))*(L143-L142)))*(INDEX(fixed_capacity_charge,MATCH(L142,PORTS!$H$11:$H$317,0),MATCH(P$5,PORTS!$H$11:$N$11,0))+INDEX(variable_om_charge,MATCH(L142,PORTS!$H$318:$H$625,0),MATCH(P$5,PORTS!$H$318:$N$318,0)))</f>
        <v>0</v>
      </c>
      <c r="S142" s="232">
        <f t="shared" si="42"/>
        <v>0</v>
      </c>
      <c r="T142" s="241">
        <f t="shared" si="43"/>
        <v>0</v>
      </c>
      <c r="V142" s="186">
        <f t="shared" si="58"/>
        <v>40483</v>
      </c>
      <c r="W142" s="215">
        <f t="shared" si="44"/>
        <v>0</v>
      </c>
      <c r="X142" s="191">
        <f t="shared" si="45"/>
        <v>0</v>
      </c>
      <c r="Y142" s="218">
        <f>+IF(AND(X$8&lt;=V142,X$9&gt;=V142),+MIN($B142-SUMIF($H$17:X$17,Y$17,$H142:X142),((INDEX(ROUTE_PER_DAY_BY_SHIP,MATCH(CONCATENATE(X$4,X$5,X$7),ROUTE_PER_DAY_ROUTES,0),MATCH(X$6,ROUTE_PER_DAY_SHIPS,0))*(V143-V142))-(INDEX(ROUTE_PER_DAY_BY_SHIP,MATCH(CONCATENATE(X$4,X$5,X$7),ROUTE_PER_DAY_ROUTES,0),MATCH(X$6,ROUTE_PER_DAY_SHIPS,0))*(V143-V142))*HLOOKUP(X$6,SHIPS,7,0)*INDEX(LADEN_VOYAGE_DAYS,MATCH(CONCATENATE(X$4,X$5,X$7),LADEN_VOYAGE_ROUTES,0),MATCH(X$6,LADEN_VOYAGE_SHIPS,0)))),0)</f>
        <v>0</v>
      </c>
      <c r="Z142" s="118">
        <f t="shared" si="46"/>
        <v>0</v>
      </c>
      <c r="AA142" s="215">
        <f t="shared" si="32"/>
        <v>0</v>
      </c>
      <c r="AB142" s="202"/>
      <c r="AC142" s="186">
        <f t="shared" si="59"/>
        <v>40483</v>
      </c>
      <c r="AD142" s="232">
        <f>+AA142*(VLOOKUP(AC142,CURVECALC!$C$6:$J$312,4,0)+AE$5)</f>
        <v>0</v>
      </c>
      <c r="AE142" s="208">
        <f>-W142*INDEX(ship_curves,MATCH(AC142,'SHIP CURVES'!$A$9:$A$316,0),MATCH(CONCATENATE(AG$4,AG$5,AG$6,AG$7),'SHIP CURVES'!$A$9:$AZ$9,0))</f>
        <v>0</v>
      </c>
      <c r="AF142" s="209">
        <f>-Y142*INDEX(port_processing_fee,MATCH(AC142,PORTS!$H$626:$H$933,0),MATCH(AG$5,PORTS!$H$626:$Z$626,0))</f>
        <v>0</v>
      </c>
      <c r="AG142" s="405">
        <f>(((VLOOKUP(AC142,curvecalc,4,0))*IF(W142=0,0,AA142/W142)-INDEX(ship_curves,MATCH(AC142,'SHIP CURVES'!$A$9:$A$316,0),MATCH(CONCATENATE(AG$4,AG$5,AG$6,AG$7),'SHIP CURVES'!$A$9:$Z$9,0))-INDEX(terminal_curves,MATCH(AC142,'TERMINAL CURVES'!$A$4:$A$313,0),MATCH(AG$5,'TERMINAL CURVES'!$A$4:$N$4,0))*IF(W142=0,0,Y142/W142))-(AE$8)*((AE$7-$N$5)-(INDEX(ship_curves,MATCH(AC142,'SHIP CURVES'!$A$9:$A$316,0),MATCH(CONCATENATE(AG$4,AG$5,AG$6,AG$7),'SHIP CURVES'!$A$9:$Z$9,0))-INDEX(ship_curves,MATCH(AC142,'SHIP CURVES'!$A$9:$A$316,0),MATCH(CONCATENATE(AG$4,AE$6,AG$6,AG$7),'SHIP CURVES'!$A$9:$Z$9,0)))-(INDEX(terminal_curves,MATCH(AC142,'TERMINAL CURVES'!$A$4:$A$313,0),MATCH(AG$5,'TERMINAL CURVES'!$A$4:$N$4,0))-INDEX(terminal_curves,MATCH(AC142,'TERMINAL CURVES'!$A$4:$A$313,0),MATCH(AE$6,'TERMINAL CURVES'!$A$4:$N$4,0)))*IF(W142=0,0,Y142/W142)))*-W142</f>
        <v>0</v>
      </c>
      <c r="AH142" s="343">
        <f t="shared" si="47"/>
        <v>0</v>
      </c>
      <c r="AI142" s="338">
        <f>(-Y142/((HLOOKUP(AG$5,port_specs,2,0)/(365.25))*(AC143-AC142)))*(INDEX(fixed_capacity_charge,MATCH(AC142,PORTS!$H$11:$H$317,0),MATCH(AG$5,PORTS!$H$11:$N$11,0))+INDEX(variable_om_charge,MATCH(AC142,PORTS!$H$318:$H$625,0),MATCH(AG$5,PORTS!$H$318:$N$318,0)))</f>
        <v>0</v>
      </c>
      <c r="AJ142" s="232">
        <f t="shared" si="48"/>
        <v>0</v>
      </c>
      <c r="AK142" s="241">
        <f t="shared" si="49"/>
        <v>0</v>
      </c>
      <c r="AM142" s="186">
        <f t="shared" si="60"/>
        <v>40483</v>
      </c>
      <c r="AN142" s="215">
        <f t="shared" si="50"/>
        <v>5221704.655509592</v>
      </c>
      <c r="AO142" s="191">
        <f t="shared" si="51"/>
        <v>-54827.898882850073</v>
      </c>
      <c r="AP142" s="218">
        <f>+IF(AND(AO$8&lt;=AM142,AO$9&gt;=AM142),+MIN($B142-SUMIF($H$17:AO$17,AP$17,$H142:AO142),((INDEX(ROUTE_PER_DAY_BY_SHIP,MATCH(CONCATENATE(AO$4,AO$5,AO$7),ROUTE_PER_DAY_ROUTES,0),MATCH(AO$6,ROUTE_PER_DAY_SHIPS,0))*(AM143-AM142))-(INDEX(ROUTE_PER_DAY_BY_SHIP,MATCH(CONCATENATE(AO$4,AO$5,AO$7),ROUTE_PER_DAY_ROUTES,0),MATCH(AO$6,ROUTE_PER_DAY_SHIPS,0))*(AM143-AM142))*HLOOKUP(AO$6,SHIPS,7,0)*INDEX(LADEN_VOYAGE_DAYS,MATCH(CONCATENATE(AO$4,AO$5,AO$7),LADEN_VOYAGE_ROUTES,0),MATCH(AO$6,LADEN_VOYAGE_SHIPS,0)))),0)</f>
        <v>5166876.756626742</v>
      </c>
      <c r="AQ142" s="118">
        <f>-(AP142)*PORTS!$I$6</f>
        <v>-129171.91891566856</v>
      </c>
      <c r="AR142" s="215">
        <f t="shared" si="33"/>
        <v>5037704.8377110735</v>
      </c>
      <c r="AS142" s="202"/>
      <c r="AT142" s="186">
        <f t="shared" si="61"/>
        <v>40483</v>
      </c>
      <c r="AU142" s="232">
        <f>+AR142*(VLOOKUP(AT142,CURVECALC!$C$6:$J$312,4,0)+AV$5)</f>
        <v>17420383.328804892</v>
      </c>
      <c r="AV142" s="208">
        <f>-AN142*INDEX(ship_curves,MATCH(AT142,'SHIP CURVES'!$A$9:$A$316,0),MATCH(CONCATENATE(AX$4,AX$5,AX$6,AX$7),'SHIP CURVES'!$A$9:$AZ$9,0))</f>
        <v>-1740152.1489241642</v>
      </c>
      <c r="AW142" s="209">
        <f>-AP142*INDEX(port_processing_fee,MATCH(AT142,PORTS!$H$626:$H$933,0),MATCH(AX$5,PORTS!$H$626:$Z$626,0))</f>
        <v>-155728.56967214373</v>
      </c>
      <c r="AX142" s="405">
        <f>(((VLOOKUP(AT142,curvecalc,4,0))*IF(AN142=0,0,AR142/AN142)-INDEX(ship_curves,MATCH(AT142,'SHIP CURVES'!$A$9:$A$316,0),MATCH(CONCATENATE(AX$4,AX$5,AX$6,AX$7),'SHIP CURVES'!$A$9:$Z$9,0))-INDEX(terminal_curves,MATCH(AT142,'TERMINAL CURVES'!$A$4:$A$313,0),MATCH(AX$5,'TERMINAL CURVES'!$A$4:$N$4,0))*IF(AN142=0,0,AP142/AN142))-(AV$8)*((AV$7-$N$5)-(INDEX(ship_curves,MATCH(AT142,'SHIP CURVES'!$A$9:$A$316,0),MATCH(CONCATENATE(AX$4,AX$5,AX$6,AX$7),'SHIP CURVES'!$A$9:$Z$9,0))-INDEX(ship_curves,MATCH(AT142,'SHIP CURVES'!$A$9:$A$316,0),MATCH(CONCATENATE(AX$4,AV$6,AX$6,AX$7),'SHIP CURVES'!$A$9:$Z$9,0)))-(INDEX(terminal_curves,MATCH(AT142,'TERMINAL CURVES'!$A$4:$A$313,0),MATCH(AX$5,'TERMINAL CURVES'!$A$4:$N$4,0))-INDEX(terminal_curves,MATCH(AT142,'TERMINAL CURVES'!$A$4:$A$313,0),MATCH(AV$6,'TERMINAL CURVES'!$A$4:$N$4,0)))*IF(AN142=0,0,AP142/AN142)))*-AN142</f>
        <v>-14420144.636670511</v>
      </c>
      <c r="AY142" s="343">
        <f t="shared" si="52"/>
        <v>-16316025.355266819</v>
      </c>
      <c r="AZ142" s="338">
        <f>(-AP142/((HLOOKUP(AX$5,port_specs,2,0)/(365.25))*(AT143-AT142)))*(INDEX(fixed_capacity_charge,MATCH(AT142,PORTS!$H$11:$H$317,0),MATCH(AX$5,PORTS!$H$11:$N$11,0))+INDEX(variable_om_charge,MATCH(AT142,PORTS!$H$318:$H$625,0),MATCH(AX$5,PORTS!$H$318:$N$318,0)))</f>
        <v>-1003603.8767838492</v>
      </c>
      <c r="BA142" s="232">
        <f t="shared" si="53"/>
        <v>-17319629.232050668</v>
      </c>
      <c r="BB142" s="241">
        <f t="shared" si="54"/>
        <v>100754.09675422311</v>
      </c>
      <c r="BC142" s="408"/>
      <c r="BD142" s="338">
        <f>+PORTS!I136+PORTS!I444</f>
        <v>1003603.8767838492</v>
      </c>
    </row>
    <row r="143" spans="1:56" x14ac:dyDescent="0.2">
      <c r="A143" s="186">
        <f t="shared" si="55"/>
        <v>40513</v>
      </c>
      <c r="B143" s="215">
        <f>+IF(AND($A143&gt;=$C$8,$A143&lt;=$C$9),1,0)*PORTS!$I$5/(365.25)*(A144-A143)</f>
        <v>5339105.9818476336</v>
      </c>
      <c r="C143" s="351">
        <f t="shared" si="34"/>
        <v>0</v>
      </c>
      <c r="D143">
        <f t="shared" si="35"/>
        <v>2010</v>
      </c>
      <c r="E143" s="186">
        <f t="shared" si="56"/>
        <v>40513</v>
      </c>
      <c r="F143" s="215">
        <f t="shared" si="36"/>
        <v>0</v>
      </c>
      <c r="G143" s="191">
        <f t="shared" si="37"/>
        <v>0</v>
      </c>
      <c r="H143" s="218">
        <f t="shared" si="38"/>
        <v>0</v>
      </c>
      <c r="I143" s="118">
        <f t="shared" si="39"/>
        <v>0</v>
      </c>
      <c r="J143" s="215">
        <f t="shared" si="40"/>
        <v>0</v>
      </c>
      <c r="K143" s="202"/>
      <c r="L143" s="186">
        <f t="shared" si="57"/>
        <v>40513</v>
      </c>
      <c r="M143" s="400">
        <f>+J143*(VLOOKUP(L143,CURVECALC!$C$6:$J$312,4,0)+N$5)</f>
        <v>0</v>
      </c>
      <c r="N143" s="208">
        <f>-F143*INDEX(ship_curves,MATCH(L143,'SHIP CURVES'!$A$9:$A$316,0),MATCH(CONCATENATE(P$4,P$5,P$6,P$7),'SHIP CURVES'!$A$9:$AZ$9,0))</f>
        <v>0</v>
      </c>
      <c r="O143" s="209">
        <f>-H143*INDEX(port_processing_fee,MATCH(L143,PORTS!$H$626:$H$933,0),MATCH(P$5,PORTS!$H$626:$Z$626,0))</f>
        <v>0</v>
      </c>
      <c r="P143" s="405">
        <f>(((VLOOKUP(L143,curvecalc,4,0))*IF(F143=0,0,J143/F143)-INDEX(ship_curves,MATCH(L143,'SHIP CURVES'!$A$9:$A$316,0),MATCH(CONCATENATE(P$4,P$5,P$6,P$7),'SHIP CURVES'!$A$9:$Z$9,0))-INDEX(terminal_curves,MATCH(L143,'TERMINAL CURVES'!$A$4:$A$313,0),MATCH(P$5,'TERMINAL CURVES'!$A$4:$N$4,0))*IF(F143=0,0,H143/F143))-(N$8)*((N$7-$N$5)-(INDEX(ship_curves,MATCH(L143,'SHIP CURVES'!$A$9:$A$316,0),MATCH(CONCATENATE(P$4,P$5,P$6,P$7),'SHIP CURVES'!$A$9:$Z$9,0))-INDEX(ship_curves,MATCH(L143,'SHIP CURVES'!$A$9:$A$316,0),MATCH(CONCATENATE(P$4,N$6,P$6,P$7),'SHIP CURVES'!$A$9:$Z$9,0)))-(INDEX(terminal_curves,MATCH(L143,'TERMINAL CURVES'!$A$4:$A$313,0),MATCH(P$5,'TERMINAL CURVES'!$A$4:$N$4,0))-INDEX(terminal_curves,MATCH(L143,'TERMINAL CURVES'!$A$4:$A$313,0),MATCH(N$6,'TERMINAL CURVES'!$A$4:$N$4,0)))*IF(F143=0,0,H143/F143)))*-F143</f>
        <v>0</v>
      </c>
      <c r="Q143" s="403">
        <f t="shared" si="41"/>
        <v>0</v>
      </c>
      <c r="R143" s="338">
        <f>(-H143/((HLOOKUP(P$5,port_specs,2,0)/(365.25))*(L144-L143)))*(INDEX(fixed_capacity_charge,MATCH(L143,PORTS!$H$11:$H$317,0),MATCH(P$5,PORTS!$H$11:$N$11,0))+INDEX(variable_om_charge,MATCH(L143,PORTS!$H$318:$H$625,0),MATCH(P$5,PORTS!$H$318:$N$318,0)))</f>
        <v>0</v>
      </c>
      <c r="S143" s="232">
        <f t="shared" si="42"/>
        <v>0</v>
      </c>
      <c r="T143" s="241">
        <f t="shared" si="43"/>
        <v>0</v>
      </c>
      <c r="V143" s="186">
        <f t="shared" si="58"/>
        <v>40513</v>
      </c>
      <c r="W143" s="215">
        <f t="shared" si="44"/>
        <v>0</v>
      </c>
      <c r="X143" s="191">
        <f t="shared" si="45"/>
        <v>0</v>
      </c>
      <c r="Y143" s="218">
        <f>+IF(AND(X$8&lt;=V143,X$9&gt;=V143),+MIN($B143-SUMIF($H$17:X$17,Y$17,$H143:X143),((INDEX(ROUTE_PER_DAY_BY_SHIP,MATCH(CONCATENATE(X$4,X$5,X$7),ROUTE_PER_DAY_ROUTES,0),MATCH(X$6,ROUTE_PER_DAY_SHIPS,0))*(V144-V143))-(INDEX(ROUTE_PER_DAY_BY_SHIP,MATCH(CONCATENATE(X$4,X$5,X$7),ROUTE_PER_DAY_ROUTES,0),MATCH(X$6,ROUTE_PER_DAY_SHIPS,0))*(V144-V143))*HLOOKUP(X$6,SHIPS,7,0)*INDEX(LADEN_VOYAGE_DAYS,MATCH(CONCATENATE(X$4,X$5,X$7),LADEN_VOYAGE_ROUTES,0),MATCH(X$6,LADEN_VOYAGE_SHIPS,0)))),0)</f>
        <v>0</v>
      </c>
      <c r="Z143" s="118">
        <f t="shared" si="46"/>
        <v>0</v>
      </c>
      <c r="AA143" s="215">
        <f t="shared" si="32"/>
        <v>0</v>
      </c>
      <c r="AB143" s="202"/>
      <c r="AC143" s="186">
        <f t="shared" si="59"/>
        <v>40513</v>
      </c>
      <c r="AD143" s="232">
        <f>+AA143*(VLOOKUP(AC143,CURVECALC!$C$6:$J$312,4,0)+AE$5)</f>
        <v>0</v>
      </c>
      <c r="AE143" s="208">
        <f>-W143*INDEX(ship_curves,MATCH(AC143,'SHIP CURVES'!$A$9:$A$316,0),MATCH(CONCATENATE(AG$4,AG$5,AG$6,AG$7),'SHIP CURVES'!$A$9:$AZ$9,0))</f>
        <v>0</v>
      </c>
      <c r="AF143" s="209">
        <f>-Y143*INDEX(port_processing_fee,MATCH(AC143,PORTS!$H$626:$H$933,0),MATCH(AG$5,PORTS!$H$626:$Z$626,0))</f>
        <v>0</v>
      </c>
      <c r="AG143" s="405">
        <f>(((VLOOKUP(AC143,curvecalc,4,0))*IF(W143=0,0,AA143/W143)-INDEX(ship_curves,MATCH(AC143,'SHIP CURVES'!$A$9:$A$316,0),MATCH(CONCATENATE(AG$4,AG$5,AG$6,AG$7),'SHIP CURVES'!$A$9:$Z$9,0))-INDEX(terminal_curves,MATCH(AC143,'TERMINAL CURVES'!$A$4:$A$313,0),MATCH(AG$5,'TERMINAL CURVES'!$A$4:$N$4,0))*IF(W143=0,0,Y143/W143))-(AE$8)*((AE$7-$N$5)-(INDEX(ship_curves,MATCH(AC143,'SHIP CURVES'!$A$9:$A$316,0),MATCH(CONCATENATE(AG$4,AG$5,AG$6,AG$7),'SHIP CURVES'!$A$9:$Z$9,0))-INDEX(ship_curves,MATCH(AC143,'SHIP CURVES'!$A$9:$A$316,0),MATCH(CONCATENATE(AG$4,AE$6,AG$6,AG$7),'SHIP CURVES'!$A$9:$Z$9,0)))-(INDEX(terminal_curves,MATCH(AC143,'TERMINAL CURVES'!$A$4:$A$313,0),MATCH(AG$5,'TERMINAL CURVES'!$A$4:$N$4,0))-INDEX(terminal_curves,MATCH(AC143,'TERMINAL CURVES'!$A$4:$A$313,0),MATCH(AE$6,'TERMINAL CURVES'!$A$4:$N$4,0)))*IF(W143=0,0,Y143/W143)))*-W143</f>
        <v>0</v>
      </c>
      <c r="AH143" s="343">
        <f t="shared" si="47"/>
        <v>0</v>
      </c>
      <c r="AI143" s="338">
        <f>(-Y143/((HLOOKUP(AG$5,port_specs,2,0)/(365.25))*(AC144-AC143)))*(INDEX(fixed_capacity_charge,MATCH(AC143,PORTS!$H$11:$H$317,0),MATCH(AG$5,PORTS!$H$11:$N$11,0))+INDEX(variable_om_charge,MATCH(AC143,PORTS!$H$318:$H$625,0),MATCH(AG$5,PORTS!$H$318:$N$318,0)))</f>
        <v>0</v>
      </c>
      <c r="AJ143" s="232">
        <f t="shared" si="48"/>
        <v>0</v>
      </c>
      <c r="AK143" s="241">
        <f t="shared" si="49"/>
        <v>0</v>
      </c>
      <c r="AM143" s="186">
        <f t="shared" si="60"/>
        <v>40513</v>
      </c>
      <c r="AN143" s="215">
        <f t="shared" si="50"/>
        <v>5395761.4773599124</v>
      </c>
      <c r="AO143" s="191">
        <f t="shared" si="51"/>
        <v>-56655.495512278751</v>
      </c>
      <c r="AP143" s="218">
        <f>+IF(AND(AO$8&lt;=AM143,AO$9&gt;=AM143),+MIN($B143-SUMIF($H$17:AO$17,AP$17,$H143:AO143),((INDEX(ROUTE_PER_DAY_BY_SHIP,MATCH(CONCATENATE(AO$4,AO$5,AO$7),ROUTE_PER_DAY_ROUTES,0),MATCH(AO$6,ROUTE_PER_DAY_SHIPS,0))*(AM144-AM143))-(INDEX(ROUTE_PER_DAY_BY_SHIP,MATCH(CONCATENATE(AO$4,AO$5,AO$7),ROUTE_PER_DAY_ROUTES,0),MATCH(AO$6,ROUTE_PER_DAY_SHIPS,0))*(AM144-AM143))*HLOOKUP(AO$6,SHIPS,7,0)*INDEX(LADEN_VOYAGE_DAYS,MATCH(CONCATENATE(AO$4,AO$5,AO$7),LADEN_VOYAGE_ROUTES,0),MATCH(AO$6,LADEN_VOYAGE_SHIPS,0)))),0)</f>
        <v>5339105.9818476336</v>
      </c>
      <c r="AQ143" s="118">
        <f>-(AP143)*PORTS!$I$6</f>
        <v>-133477.64954619083</v>
      </c>
      <c r="AR143" s="215">
        <f t="shared" si="33"/>
        <v>5205628.3323014425</v>
      </c>
      <c r="AS143" s="202"/>
      <c r="AT143" s="186">
        <f t="shared" si="61"/>
        <v>40513</v>
      </c>
      <c r="AU143" s="232">
        <f>+AR143*(VLOOKUP(AT143,CURVECALC!$C$6:$J$312,4,0)+AV$5)</f>
        <v>18438335.553011708</v>
      </c>
      <c r="AV143" s="208">
        <f>-AN143*INDEX(ship_curves,MATCH(AT143,'SHIP CURVES'!$A$9:$A$316,0),MATCH(CONCATENATE(AX$4,AX$5,AX$6,AX$7),'SHIP CURVES'!$A$9:$AZ$9,0))</f>
        <v>-1798707.6986665088</v>
      </c>
      <c r="AW143" s="209">
        <f>-AP143*INDEX(port_processing_fee,MATCH(AT143,PORTS!$H$626:$H$933,0),MATCH(AX$5,PORTS!$H$626:$Z$626,0))</f>
        <v>-161087.14649662617</v>
      </c>
      <c r="AX143" s="405">
        <f>(((VLOOKUP(AT143,curvecalc,4,0))*IF(AN143=0,0,AR143/AN143)-INDEX(ship_curves,MATCH(AT143,'SHIP CURVES'!$A$9:$A$316,0),MATCH(CONCATENATE(AX$4,AX$5,AX$6,AX$7),'SHIP CURVES'!$A$9:$Z$9,0))-INDEX(terminal_curves,MATCH(AT143,'TERMINAL CURVES'!$A$4:$A$313,0),MATCH(AX$5,'TERMINAL CURVES'!$A$4:$N$4,0))*IF(AN143=0,0,AP143/AN143))-(AV$8)*((AV$7-$N$5)-(INDEX(ship_curves,MATCH(AT143,'SHIP CURVES'!$A$9:$A$316,0),MATCH(CONCATENATE(AX$4,AX$5,AX$6,AX$7),'SHIP CURVES'!$A$9:$Z$9,0))-INDEX(ship_curves,MATCH(AT143,'SHIP CURVES'!$A$9:$A$316,0),MATCH(CONCATENATE(AX$4,AV$6,AX$6,AX$7),'SHIP CURVES'!$A$9:$Z$9,0)))-(INDEX(terminal_curves,MATCH(AT143,'TERMINAL CURVES'!$A$4:$A$313,0),MATCH(AX$5,'TERMINAL CURVES'!$A$4:$N$4,0))-INDEX(terminal_curves,MATCH(AT143,'TERMINAL CURVES'!$A$4:$A$313,0),MATCH(AV$6,'TERMINAL CURVES'!$A$4:$N$4,0)))*IF(AN143=0,0,AP143/AN143)))*-AN143</f>
        <v>-15370284.246391742</v>
      </c>
      <c r="AY143" s="343">
        <f t="shared" si="52"/>
        <v>-17330079.091554876</v>
      </c>
      <c r="AZ143" s="338">
        <f>(-AP143/((HLOOKUP(AX$5,port_specs,2,0)/(365.25))*(AT144-AT143)))*(INDEX(fixed_capacity_charge,MATCH(AT143,PORTS!$H$11:$H$317,0),MATCH(AX$5,PORTS!$H$11:$N$11,0))+INDEX(variable_om_charge,MATCH(AT143,PORTS!$H$318:$H$625,0),MATCH(AX$5,PORTS!$H$318:$N$318,0)))</f>
        <v>-1004143.8948108028</v>
      </c>
      <c r="BA143" s="232">
        <f t="shared" si="53"/>
        <v>-18334222.98636568</v>
      </c>
      <c r="BB143" s="241">
        <f t="shared" si="54"/>
        <v>104112.56664602831</v>
      </c>
      <c r="BC143" s="408"/>
      <c r="BD143" s="338">
        <f>+PORTS!I137+PORTS!I445</f>
        <v>1004143.8948108028</v>
      </c>
    </row>
    <row r="144" spans="1:56" x14ac:dyDescent="0.2">
      <c r="A144" s="186">
        <f t="shared" si="55"/>
        <v>40544</v>
      </c>
      <c r="B144" s="215">
        <f>+IF(AND($A144&gt;=$C$8,$A144&lt;=$C$9),1,0)*PORTS!$I$5/(365.25)*(A145-A144)</f>
        <v>5339105.9818476336</v>
      </c>
      <c r="C144" s="351">
        <f t="shared" si="34"/>
        <v>0</v>
      </c>
      <c r="D144">
        <f t="shared" si="35"/>
        <v>2011</v>
      </c>
      <c r="E144" s="186">
        <f t="shared" si="56"/>
        <v>40544</v>
      </c>
      <c r="F144" s="215">
        <f t="shared" si="36"/>
        <v>0</v>
      </c>
      <c r="G144" s="191">
        <f t="shared" si="37"/>
        <v>0</v>
      </c>
      <c r="H144" s="218">
        <f t="shared" si="38"/>
        <v>0</v>
      </c>
      <c r="I144" s="118">
        <f t="shared" si="39"/>
        <v>0</v>
      </c>
      <c r="J144" s="215">
        <f t="shared" si="40"/>
        <v>0</v>
      </c>
      <c r="K144" s="202"/>
      <c r="L144" s="186">
        <f t="shared" si="57"/>
        <v>40544</v>
      </c>
      <c r="M144" s="400">
        <f>+J144*(VLOOKUP(L144,CURVECALC!$C$6:$J$312,4,0)+N$5)</f>
        <v>0</v>
      </c>
      <c r="N144" s="208">
        <f>-F144*INDEX(ship_curves,MATCH(L144,'SHIP CURVES'!$A$9:$A$316,0),MATCH(CONCATENATE(P$4,P$5,P$6,P$7),'SHIP CURVES'!$A$9:$AZ$9,0))</f>
        <v>0</v>
      </c>
      <c r="O144" s="209">
        <f>-H144*INDEX(port_processing_fee,MATCH(L144,PORTS!$H$626:$H$933,0),MATCH(P$5,PORTS!$H$626:$Z$626,0))</f>
        <v>0</v>
      </c>
      <c r="P144" s="405">
        <f>(((VLOOKUP(L144,curvecalc,4,0))*IF(F144=0,0,J144/F144)-INDEX(ship_curves,MATCH(L144,'SHIP CURVES'!$A$9:$A$316,0),MATCH(CONCATENATE(P$4,P$5,P$6,P$7),'SHIP CURVES'!$A$9:$Z$9,0))-INDEX(terminal_curves,MATCH(L144,'TERMINAL CURVES'!$A$4:$A$313,0),MATCH(P$5,'TERMINAL CURVES'!$A$4:$N$4,0))*IF(F144=0,0,H144/F144))-(N$8)*((N$7-$N$5)-(INDEX(ship_curves,MATCH(L144,'SHIP CURVES'!$A$9:$A$316,0),MATCH(CONCATENATE(P$4,P$5,P$6,P$7),'SHIP CURVES'!$A$9:$Z$9,0))-INDEX(ship_curves,MATCH(L144,'SHIP CURVES'!$A$9:$A$316,0),MATCH(CONCATENATE(P$4,N$6,P$6,P$7),'SHIP CURVES'!$A$9:$Z$9,0)))-(INDEX(terminal_curves,MATCH(L144,'TERMINAL CURVES'!$A$4:$A$313,0),MATCH(P$5,'TERMINAL CURVES'!$A$4:$N$4,0))-INDEX(terminal_curves,MATCH(L144,'TERMINAL CURVES'!$A$4:$A$313,0),MATCH(N$6,'TERMINAL CURVES'!$A$4:$N$4,0)))*IF(F144=0,0,H144/F144)))*-F144</f>
        <v>0</v>
      </c>
      <c r="Q144" s="403">
        <f t="shared" si="41"/>
        <v>0</v>
      </c>
      <c r="R144" s="338">
        <f>(-H144/((HLOOKUP(P$5,port_specs,2,0)/(365.25))*(L145-L144)))*(INDEX(fixed_capacity_charge,MATCH(L144,PORTS!$H$11:$H$317,0),MATCH(P$5,PORTS!$H$11:$N$11,0))+INDEX(variable_om_charge,MATCH(L144,PORTS!$H$318:$H$625,0),MATCH(P$5,PORTS!$H$318:$N$318,0)))</f>
        <v>0</v>
      </c>
      <c r="S144" s="232">
        <f t="shared" si="42"/>
        <v>0</v>
      </c>
      <c r="T144" s="241">
        <f t="shared" si="43"/>
        <v>0</v>
      </c>
      <c r="V144" s="186">
        <f t="shared" si="58"/>
        <v>40544</v>
      </c>
      <c r="W144" s="215">
        <f t="shared" si="44"/>
        <v>0</v>
      </c>
      <c r="X144" s="191">
        <f t="shared" si="45"/>
        <v>0</v>
      </c>
      <c r="Y144" s="218">
        <f>+IF(AND(X$8&lt;=V144,X$9&gt;=V144),+MIN($B144-SUMIF($H$17:X$17,Y$17,$H144:X144),((INDEX(ROUTE_PER_DAY_BY_SHIP,MATCH(CONCATENATE(X$4,X$5,X$7),ROUTE_PER_DAY_ROUTES,0),MATCH(X$6,ROUTE_PER_DAY_SHIPS,0))*(V145-V144))-(INDEX(ROUTE_PER_DAY_BY_SHIP,MATCH(CONCATENATE(X$4,X$5,X$7),ROUTE_PER_DAY_ROUTES,0),MATCH(X$6,ROUTE_PER_DAY_SHIPS,0))*(V145-V144))*HLOOKUP(X$6,SHIPS,7,0)*INDEX(LADEN_VOYAGE_DAYS,MATCH(CONCATENATE(X$4,X$5,X$7),LADEN_VOYAGE_ROUTES,0),MATCH(X$6,LADEN_VOYAGE_SHIPS,0)))),0)</f>
        <v>0</v>
      </c>
      <c r="Z144" s="118">
        <f t="shared" si="46"/>
        <v>0</v>
      </c>
      <c r="AA144" s="215">
        <f t="shared" si="32"/>
        <v>0</v>
      </c>
      <c r="AB144" s="202"/>
      <c r="AC144" s="186">
        <f t="shared" si="59"/>
        <v>40544</v>
      </c>
      <c r="AD144" s="232">
        <f>+AA144*(VLOOKUP(AC144,CURVECALC!$C$6:$J$312,4,0)+AE$5)</f>
        <v>0</v>
      </c>
      <c r="AE144" s="208">
        <f>-W144*INDEX(ship_curves,MATCH(AC144,'SHIP CURVES'!$A$9:$A$316,0),MATCH(CONCATENATE(AG$4,AG$5,AG$6,AG$7),'SHIP CURVES'!$A$9:$AZ$9,0))</f>
        <v>0</v>
      </c>
      <c r="AF144" s="209">
        <f>-Y144*INDEX(port_processing_fee,MATCH(AC144,PORTS!$H$626:$H$933,0),MATCH(AG$5,PORTS!$H$626:$Z$626,0))</f>
        <v>0</v>
      </c>
      <c r="AG144" s="405">
        <f>(((VLOOKUP(AC144,curvecalc,4,0))*IF(W144=0,0,AA144/W144)-INDEX(ship_curves,MATCH(AC144,'SHIP CURVES'!$A$9:$A$316,0),MATCH(CONCATENATE(AG$4,AG$5,AG$6,AG$7),'SHIP CURVES'!$A$9:$Z$9,0))-INDEX(terminal_curves,MATCH(AC144,'TERMINAL CURVES'!$A$4:$A$313,0),MATCH(AG$5,'TERMINAL CURVES'!$A$4:$N$4,0))*IF(W144=0,0,Y144/W144))-(AE$8)*((AE$7-$N$5)-(INDEX(ship_curves,MATCH(AC144,'SHIP CURVES'!$A$9:$A$316,0),MATCH(CONCATENATE(AG$4,AG$5,AG$6,AG$7),'SHIP CURVES'!$A$9:$Z$9,0))-INDEX(ship_curves,MATCH(AC144,'SHIP CURVES'!$A$9:$A$316,0),MATCH(CONCATENATE(AG$4,AE$6,AG$6,AG$7),'SHIP CURVES'!$A$9:$Z$9,0)))-(INDEX(terminal_curves,MATCH(AC144,'TERMINAL CURVES'!$A$4:$A$313,0),MATCH(AG$5,'TERMINAL CURVES'!$A$4:$N$4,0))-INDEX(terminal_curves,MATCH(AC144,'TERMINAL CURVES'!$A$4:$A$313,0),MATCH(AE$6,'TERMINAL CURVES'!$A$4:$N$4,0)))*IF(W144=0,0,Y144/W144)))*-W144</f>
        <v>0</v>
      </c>
      <c r="AH144" s="343">
        <f t="shared" si="47"/>
        <v>0</v>
      </c>
      <c r="AI144" s="338">
        <f>(-Y144/((HLOOKUP(AG$5,port_specs,2,0)/(365.25))*(AC145-AC144)))*(INDEX(fixed_capacity_charge,MATCH(AC144,PORTS!$H$11:$H$317,0),MATCH(AG$5,PORTS!$H$11:$N$11,0))+INDEX(variable_om_charge,MATCH(AC144,PORTS!$H$318:$H$625,0),MATCH(AG$5,PORTS!$H$318:$N$318,0)))</f>
        <v>0</v>
      </c>
      <c r="AJ144" s="232">
        <f t="shared" si="48"/>
        <v>0</v>
      </c>
      <c r="AK144" s="241">
        <f t="shared" si="49"/>
        <v>0</v>
      </c>
      <c r="AM144" s="186">
        <f t="shared" si="60"/>
        <v>40544</v>
      </c>
      <c r="AN144" s="215">
        <f t="shared" si="50"/>
        <v>5395761.4773599124</v>
      </c>
      <c r="AO144" s="191">
        <f t="shared" si="51"/>
        <v>-56655.495512278751</v>
      </c>
      <c r="AP144" s="218">
        <f>+IF(AND(AO$8&lt;=AM144,AO$9&gt;=AM144),+MIN($B144-SUMIF($H$17:AO$17,AP$17,$H144:AO144),((INDEX(ROUTE_PER_DAY_BY_SHIP,MATCH(CONCATENATE(AO$4,AO$5,AO$7),ROUTE_PER_DAY_ROUTES,0),MATCH(AO$6,ROUTE_PER_DAY_SHIPS,0))*(AM145-AM144))-(INDEX(ROUTE_PER_DAY_BY_SHIP,MATCH(CONCATENATE(AO$4,AO$5,AO$7),ROUTE_PER_DAY_ROUTES,0),MATCH(AO$6,ROUTE_PER_DAY_SHIPS,0))*(AM145-AM144))*HLOOKUP(AO$6,SHIPS,7,0)*INDEX(LADEN_VOYAGE_DAYS,MATCH(CONCATENATE(AO$4,AO$5,AO$7),LADEN_VOYAGE_ROUTES,0),MATCH(AO$6,LADEN_VOYAGE_SHIPS,0)))),0)</f>
        <v>5339105.9818476336</v>
      </c>
      <c r="AQ144" s="118">
        <f>-(AP144)*PORTS!$I$6</f>
        <v>-133477.64954619083</v>
      </c>
      <c r="AR144" s="215">
        <f t="shared" si="33"/>
        <v>5205628.3323014425</v>
      </c>
      <c r="AS144" s="202"/>
      <c r="AT144" s="186">
        <f t="shared" si="61"/>
        <v>40544</v>
      </c>
      <c r="AU144" s="232">
        <f>+AR144*(VLOOKUP(AT144,CURVECALC!$C$6:$J$312,4,0)+AV$5)</f>
        <v>19318086.741170656</v>
      </c>
      <c r="AV144" s="208">
        <f>-AN144*INDEX(ship_curves,MATCH(AT144,'SHIP CURVES'!$A$9:$A$316,0),MATCH(CONCATENATE(AX$4,AX$5,AX$6,AX$7),'SHIP CURVES'!$A$9:$AZ$9,0))</f>
        <v>-1799259.3236074466</v>
      </c>
      <c r="AW144" s="209">
        <f>-AP144*INDEX(port_processing_fee,MATCH(AT144,PORTS!$H$626:$H$933,0),MATCH(AX$5,PORTS!$H$626:$Z$626,0))</f>
        <v>-161254.94560756016</v>
      </c>
      <c r="AX144" s="405">
        <f>(((VLOOKUP(AT144,curvecalc,4,0))*IF(AN144=0,0,AR144/AN144)-INDEX(ship_curves,MATCH(AT144,'SHIP CURVES'!$A$9:$A$316,0),MATCH(CONCATENATE(AX$4,AX$5,AX$6,AX$7),'SHIP CURVES'!$A$9:$Z$9,0))-INDEX(terminal_curves,MATCH(AT144,'TERMINAL CURVES'!$A$4:$A$313,0),MATCH(AX$5,'TERMINAL CURVES'!$A$4:$N$4,0))*IF(AN144=0,0,AP144/AN144))-(AV$8)*((AV$7-$N$5)-(INDEX(ship_curves,MATCH(AT144,'SHIP CURVES'!$A$9:$A$316,0),MATCH(CONCATENATE(AX$4,AX$5,AX$6,AX$7),'SHIP CURVES'!$A$9:$Z$9,0))-INDEX(ship_curves,MATCH(AT144,'SHIP CURVES'!$A$9:$A$316,0),MATCH(CONCATENATE(AX$4,AV$6,AX$6,AX$7),'SHIP CURVES'!$A$9:$Z$9,0)))-(INDEX(terminal_curves,MATCH(AT144,'TERMINAL CURVES'!$A$4:$A$313,0),MATCH(AX$5,'TERMINAL CURVES'!$A$4:$N$4,0))-INDEX(terminal_curves,MATCH(AT144,'TERMINAL CURVES'!$A$4:$A$313,0),MATCH(AV$6,'TERMINAL CURVES'!$A$4:$N$4,0)))*IF(AN144=0,0,AP144/AN144)))*-AN144</f>
        <v>-16248775.429953083</v>
      </c>
      <c r="AY144" s="343">
        <f t="shared" si="52"/>
        <v>-18209289.69916809</v>
      </c>
      <c r="AZ144" s="338">
        <f>(-AP144/((HLOOKUP(AX$5,port_specs,2,0)/(365.25))*(AT145-AT144)))*(INDEX(fixed_capacity_charge,MATCH(AT144,PORTS!$H$11:$H$317,0),MATCH(AX$5,PORTS!$H$11:$N$11,0))+INDEX(variable_om_charge,MATCH(AT144,PORTS!$H$318:$H$625,0),MATCH(AX$5,PORTS!$H$318:$N$318,0)))</f>
        <v>-1004684.4753565346</v>
      </c>
      <c r="BA144" s="232">
        <f t="shared" si="53"/>
        <v>-19213974.174524624</v>
      </c>
      <c r="BB144" s="241">
        <f t="shared" si="54"/>
        <v>104112.56664603204</v>
      </c>
      <c r="BC144" s="408"/>
      <c r="BD144" s="338">
        <f>+PORTS!I138+PORTS!I446</f>
        <v>1004684.4753565346</v>
      </c>
    </row>
    <row r="145" spans="1:56" x14ac:dyDescent="0.2">
      <c r="A145" s="186">
        <f t="shared" si="55"/>
        <v>40575</v>
      </c>
      <c r="B145" s="215">
        <f>+IF(AND($A145&gt;=$C$8,$A145&lt;=$C$9),1,0)*PORTS!$I$5/(365.25)*(A146-A145)</f>
        <v>4822418.3061849596</v>
      </c>
      <c r="C145" s="351">
        <f t="shared" si="34"/>
        <v>0</v>
      </c>
      <c r="D145">
        <f t="shared" si="35"/>
        <v>2011</v>
      </c>
      <c r="E145" s="186">
        <f t="shared" si="56"/>
        <v>40575</v>
      </c>
      <c r="F145" s="215">
        <f t="shared" si="36"/>
        <v>0</v>
      </c>
      <c r="G145" s="191">
        <f t="shared" si="37"/>
        <v>0</v>
      </c>
      <c r="H145" s="218">
        <f t="shared" si="38"/>
        <v>0</v>
      </c>
      <c r="I145" s="118">
        <f t="shared" si="39"/>
        <v>0</v>
      </c>
      <c r="J145" s="215">
        <f t="shared" si="40"/>
        <v>0</v>
      </c>
      <c r="K145" s="202"/>
      <c r="L145" s="186">
        <f t="shared" si="57"/>
        <v>40575</v>
      </c>
      <c r="M145" s="400">
        <f>+J145*(VLOOKUP(L145,CURVECALC!$C$6:$J$312,4,0)+N$5)</f>
        <v>0</v>
      </c>
      <c r="N145" s="208">
        <f>-F145*INDEX(ship_curves,MATCH(L145,'SHIP CURVES'!$A$9:$A$316,0),MATCH(CONCATENATE(P$4,P$5,P$6,P$7),'SHIP CURVES'!$A$9:$AZ$9,0))</f>
        <v>0</v>
      </c>
      <c r="O145" s="209">
        <f>-H145*INDEX(port_processing_fee,MATCH(L145,PORTS!$H$626:$H$933,0),MATCH(P$5,PORTS!$H$626:$Z$626,0))</f>
        <v>0</v>
      </c>
      <c r="P145" s="405">
        <f>(((VLOOKUP(L145,curvecalc,4,0))*IF(F145=0,0,J145/F145)-INDEX(ship_curves,MATCH(L145,'SHIP CURVES'!$A$9:$A$316,0),MATCH(CONCATENATE(P$4,P$5,P$6,P$7),'SHIP CURVES'!$A$9:$Z$9,0))-INDEX(terminal_curves,MATCH(L145,'TERMINAL CURVES'!$A$4:$A$313,0),MATCH(P$5,'TERMINAL CURVES'!$A$4:$N$4,0))*IF(F145=0,0,H145/F145))-(N$8)*((N$7-$N$5)-(INDEX(ship_curves,MATCH(L145,'SHIP CURVES'!$A$9:$A$316,0),MATCH(CONCATENATE(P$4,P$5,P$6,P$7),'SHIP CURVES'!$A$9:$Z$9,0))-INDEX(ship_curves,MATCH(L145,'SHIP CURVES'!$A$9:$A$316,0),MATCH(CONCATENATE(P$4,N$6,P$6,P$7),'SHIP CURVES'!$A$9:$Z$9,0)))-(INDEX(terminal_curves,MATCH(L145,'TERMINAL CURVES'!$A$4:$A$313,0),MATCH(P$5,'TERMINAL CURVES'!$A$4:$N$4,0))-INDEX(terminal_curves,MATCH(L145,'TERMINAL CURVES'!$A$4:$A$313,0),MATCH(N$6,'TERMINAL CURVES'!$A$4:$N$4,0)))*IF(F145=0,0,H145/F145)))*-F145</f>
        <v>0</v>
      </c>
      <c r="Q145" s="403">
        <f t="shared" si="41"/>
        <v>0</v>
      </c>
      <c r="R145" s="338">
        <f>(-H145/((HLOOKUP(P$5,port_specs,2,0)/(365.25))*(L146-L145)))*(INDEX(fixed_capacity_charge,MATCH(L145,PORTS!$H$11:$H$317,0),MATCH(P$5,PORTS!$H$11:$N$11,0))+INDEX(variable_om_charge,MATCH(L145,PORTS!$H$318:$H$625,0),MATCH(P$5,PORTS!$H$318:$N$318,0)))</f>
        <v>0</v>
      </c>
      <c r="S145" s="232">
        <f t="shared" si="42"/>
        <v>0</v>
      </c>
      <c r="T145" s="241">
        <f t="shared" si="43"/>
        <v>0</v>
      </c>
      <c r="V145" s="186">
        <f t="shared" si="58"/>
        <v>40575</v>
      </c>
      <c r="W145" s="215">
        <f t="shared" si="44"/>
        <v>0</v>
      </c>
      <c r="X145" s="191">
        <f t="shared" si="45"/>
        <v>0</v>
      </c>
      <c r="Y145" s="218">
        <f>+IF(AND(X$8&lt;=V145,X$9&gt;=V145),+MIN($B145-SUMIF($H$17:X$17,Y$17,$H145:X145),((INDEX(ROUTE_PER_DAY_BY_SHIP,MATCH(CONCATENATE(X$4,X$5,X$7),ROUTE_PER_DAY_ROUTES,0),MATCH(X$6,ROUTE_PER_DAY_SHIPS,0))*(V146-V145))-(INDEX(ROUTE_PER_DAY_BY_SHIP,MATCH(CONCATENATE(X$4,X$5,X$7),ROUTE_PER_DAY_ROUTES,0),MATCH(X$6,ROUTE_PER_DAY_SHIPS,0))*(V146-V145))*HLOOKUP(X$6,SHIPS,7,0)*INDEX(LADEN_VOYAGE_DAYS,MATCH(CONCATENATE(X$4,X$5,X$7),LADEN_VOYAGE_ROUTES,0),MATCH(X$6,LADEN_VOYAGE_SHIPS,0)))),0)</f>
        <v>0</v>
      </c>
      <c r="Z145" s="118">
        <f t="shared" si="46"/>
        <v>0</v>
      </c>
      <c r="AA145" s="215">
        <f t="shared" si="32"/>
        <v>0</v>
      </c>
      <c r="AB145" s="202"/>
      <c r="AC145" s="186">
        <f t="shared" si="59"/>
        <v>40575</v>
      </c>
      <c r="AD145" s="232">
        <f>+AA145*(VLOOKUP(AC145,CURVECALC!$C$6:$J$312,4,0)+AE$5)</f>
        <v>0</v>
      </c>
      <c r="AE145" s="208">
        <f>-W145*INDEX(ship_curves,MATCH(AC145,'SHIP CURVES'!$A$9:$A$316,0),MATCH(CONCATENATE(AG$4,AG$5,AG$6,AG$7),'SHIP CURVES'!$A$9:$AZ$9,0))</f>
        <v>0</v>
      </c>
      <c r="AF145" s="209">
        <f>-Y145*INDEX(port_processing_fee,MATCH(AC145,PORTS!$H$626:$H$933,0),MATCH(AG$5,PORTS!$H$626:$Z$626,0))</f>
        <v>0</v>
      </c>
      <c r="AG145" s="405">
        <f>(((VLOOKUP(AC145,curvecalc,4,0))*IF(W145=0,0,AA145/W145)-INDEX(ship_curves,MATCH(AC145,'SHIP CURVES'!$A$9:$A$316,0),MATCH(CONCATENATE(AG$4,AG$5,AG$6,AG$7),'SHIP CURVES'!$A$9:$Z$9,0))-INDEX(terminal_curves,MATCH(AC145,'TERMINAL CURVES'!$A$4:$A$313,0),MATCH(AG$5,'TERMINAL CURVES'!$A$4:$N$4,0))*IF(W145=0,0,Y145/W145))-(AE$8)*((AE$7-$N$5)-(INDEX(ship_curves,MATCH(AC145,'SHIP CURVES'!$A$9:$A$316,0),MATCH(CONCATENATE(AG$4,AG$5,AG$6,AG$7),'SHIP CURVES'!$A$9:$Z$9,0))-INDEX(ship_curves,MATCH(AC145,'SHIP CURVES'!$A$9:$A$316,0),MATCH(CONCATENATE(AG$4,AE$6,AG$6,AG$7),'SHIP CURVES'!$A$9:$Z$9,0)))-(INDEX(terminal_curves,MATCH(AC145,'TERMINAL CURVES'!$A$4:$A$313,0),MATCH(AG$5,'TERMINAL CURVES'!$A$4:$N$4,0))-INDEX(terminal_curves,MATCH(AC145,'TERMINAL CURVES'!$A$4:$A$313,0),MATCH(AE$6,'TERMINAL CURVES'!$A$4:$N$4,0)))*IF(W145=0,0,Y145/W145)))*-W145</f>
        <v>0</v>
      </c>
      <c r="AH145" s="343">
        <f t="shared" si="47"/>
        <v>0</v>
      </c>
      <c r="AI145" s="338">
        <f>(-Y145/((HLOOKUP(AG$5,port_specs,2,0)/(365.25))*(AC146-AC145)))*(INDEX(fixed_capacity_charge,MATCH(AC145,PORTS!$H$11:$H$317,0),MATCH(AG$5,PORTS!$H$11:$N$11,0))+INDEX(variable_om_charge,MATCH(AC145,PORTS!$H$318:$H$625,0),MATCH(AG$5,PORTS!$H$318:$N$318,0)))</f>
        <v>0</v>
      </c>
      <c r="AJ145" s="232">
        <f t="shared" si="48"/>
        <v>0</v>
      </c>
      <c r="AK145" s="241">
        <f t="shared" si="49"/>
        <v>0</v>
      </c>
      <c r="AM145" s="186">
        <f t="shared" si="60"/>
        <v>40575</v>
      </c>
      <c r="AN145" s="215">
        <f t="shared" si="50"/>
        <v>4873591.0118089532</v>
      </c>
      <c r="AO145" s="191">
        <f t="shared" si="51"/>
        <v>-51172.70562399365</v>
      </c>
      <c r="AP145" s="218">
        <f>+IF(AND(AO$8&lt;=AM145,AO$9&gt;=AM145),+MIN($B145-SUMIF($H$17:AO$17,AP$17,$H145:AO145),((INDEX(ROUTE_PER_DAY_BY_SHIP,MATCH(CONCATENATE(AO$4,AO$5,AO$7),ROUTE_PER_DAY_ROUTES,0),MATCH(AO$6,ROUTE_PER_DAY_SHIPS,0))*(AM146-AM145))-(INDEX(ROUTE_PER_DAY_BY_SHIP,MATCH(CONCATENATE(AO$4,AO$5,AO$7),ROUTE_PER_DAY_ROUTES,0),MATCH(AO$6,ROUTE_PER_DAY_SHIPS,0))*(AM146-AM145))*HLOOKUP(AO$6,SHIPS,7,0)*INDEX(LADEN_VOYAGE_DAYS,MATCH(CONCATENATE(AO$4,AO$5,AO$7),LADEN_VOYAGE_ROUTES,0),MATCH(AO$6,LADEN_VOYAGE_SHIPS,0)))),0)</f>
        <v>4822418.3061849596</v>
      </c>
      <c r="AQ145" s="118">
        <f>-(AP145)*PORTS!$I$6</f>
        <v>-120560.457654624</v>
      </c>
      <c r="AR145" s="215">
        <f t="shared" si="33"/>
        <v>4701857.8485303354</v>
      </c>
      <c r="AS145" s="202"/>
      <c r="AT145" s="186">
        <f t="shared" si="61"/>
        <v>40575</v>
      </c>
      <c r="AU145" s="232">
        <f>+AR145*(VLOOKUP(AT145,CURVECALC!$C$6:$J$312,4,0)+AV$5)</f>
        <v>16987812.406740103</v>
      </c>
      <c r="AV145" s="208">
        <f>-AN145*INDEX(ship_curves,MATCH(AT145,'SHIP CURVES'!$A$9:$A$316,0),MATCH(CONCATENATE(AX$4,AX$5,AX$6,AX$7),'SHIP CURVES'!$A$9:$AZ$9,0))</f>
        <v>-1625636.7334669787</v>
      </c>
      <c r="AW145" s="209">
        <f>-AP145*INDEX(port_processing_fee,MATCH(AT145,PORTS!$H$626:$H$933,0),MATCH(AX$5,PORTS!$H$626:$Z$626,0))</f>
        <v>-145801.34665350232</v>
      </c>
      <c r="AX145" s="405">
        <f>(((VLOOKUP(AT145,curvecalc,4,0))*IF(AN145=0,0,AR145/AN145)-INDEX(ship_curves,MATCH(AT145,'SHIP CURVES'!$A$9:$A$316,0),MATCH(CONCATENATE(AX$4,AX$5,AX$6,AX$7),'SHIP CURVES'!$A$9:$Z$9,0))-INDEX(terminal_curves,MATCH(AT145,'TERMINAL CURVES'!$A$4:$A$313,0),MATCH(AX$5,'TERMINAL CURVES'!$A$4:$N$4,0))*IF(AN145=0,0,AP145/AN145))-(AV$8)*((AV$7-$N$5)-(INDEX(ship_curves,MATCH(AT145,'SHIP CURVES'!$A$9:$A$316,0),MATCH(CONCATENATE(AX$4,AX$5,AX$6,AX$7),'SHIP CURVES'!$A$9:$Z$9,0))-INDEX(ship_curves,MATCH(AT145,'SHIP CURVES'!$A$9:$A$316,0),MATCH(CONCATENATE(AX$4,AV$6,AX$6,AX$7),'SHIP CURVES'!$A$9:$Z$9,0)))-(INDEX(terminal_curves,MATCH(AT145,'TERMINAL CURVES'!$A$4:$A$313,0),MATCH(AX$5,'TERMINAL CURVES'!$A$4:$N$4,0))-INDEX(terminal_curves,MATCH(AT145,'TERMINAL CURVES'!$A$4:$A$313,0),MATCH(AV$6,'TERMINAL CURVES'!$A$4:$N$4,0)))*IF(AN145=0,0,AP145/AN145)))*-AN145</f>
        <v>-14117111.550642012</v>
      </c>
      <c r="AY145" s="343">
        <f t="shared" si="52"/>
        <v>-15888549.630762493</v>
      </c>
      <c r="AZ145" s="338">
        <f>(-AP145/((HLOOKUP(AX$5,port_specs,2,0)/(365.25))*(AT146-AT145)))*(INDEX(fixed_capacity_charge,MATCH(AT145,PORTS!$H$11:$H$317,0),MATCH(AX$5,PORTS!$H$11:$N$11,0))+INDEX(variable_om_charge,MATCH(AT145,PORTS!$H$318:$H$625,0),MATCH(AX$5,PORTS!$H$318:$N$318,0)))</f>
        <v>-1005225.6190070014</v>
      </c>
      <c r="BA145" s="232">
        <f t="shared" si="53"/>
        <v>-16893775.249769494</v>
      </c>
      <c r="BB145" s="241">
        <f t="shared" si="54"/>
        <v>94037.156970608979</v>
      </c>
      <c r="BC145" s="408"/>
      <c r="BD145" s="338">
        <f>+PORTS!I139+PORTS!I447</f>
        <v>1005225.6190070014</v>
      </c>
    </row>
    <row r="146" spans="1:56" x14ac:dyDescent="0.2">
      <c r="A146" s="186">
        <f t="shared" si="55"/>
        <v>40603</v>
      </c>
      <c r="B146" s="215">
        <f>+IF(AND($A146&gt;=$C$8,$A146&lt;=$C$9),1,0)*PORTS!$I$5/(365.25)*(A147-A146)</f>
        <v>5339105.9818476336</v>
      </c>
      <c r="C146" s="351">
        <f t="shared" si="34"/>
        <v>0</v>
      </c>
      <c r="D146">
        <f t="shared" si="35"/>
        <v>2011</v>
      </c>
      <c r="E146" s="186">
        <f t="shared" si="56"/>
        <v>40603</v>
      </c>
      <c r="F146" s="215">
        <f t="shared" si="36"/>
        <v>0</v>
      </c>
      <c r="G146" s="191">
        <f t="shared" si="37"/>
        <v>0</v>
      </c>
      <c r="H146" s="218">
        <f t="shared" si="38"/>
        <v>0</v>
      </c>
      <c r="I146" s="118">
        <f t="shared" si="39"/>
        <v>0</v>
      </c>
      <c r="J146" s="215">
        <f t="shared" si="40"/>
        <v>0</v>
      </c>
      <c r="K146" s="202"/>
      <c r="L146" s="186">
        <f t="shared" si="57"/>
        <v>40603</v>
      </c>
      <c r="M146" s="400">
        <f>+J146*(VLOOKUP(L146,CURVECALC!$C$6:$J$312,4,0)+N$5)</f>
        <v>0</v>
      </c>
      <c r="N146" s="208">
        <f>-F146*INDEX(ship_curves,MATCH(L146,'SHIP CURVES'!$A$9:$A$316,0),MATCH(CONCATENATE(P$4,P$5,P$6,P$7),'SHIP CURVES'!$A$9:$AZ$9,0))</f>
        <v>0</v>
      </c>
      <c r="O146" s="209">
        <f>-H146*INDEX(port_processing_fee,MATCH(L146,PORTS!$H$626:$H$933,0),MATCH(P$5,PORTS!$H$626:$Z$626,0))</f>
        <v>0</v>
      </c>
      <c r="P146" s="405">
        <f>(((VLOOKUP(L146,curvecalc,4,0))*IF(F146=0,0,J146/F146)-INDEX(ship_curves,MATCH(L146,'SHIP CURVES'!$A$9:$A$316,0),MATCH(CONCATENATE(P$4,P$5,P$6,P$7),'SHIP CURVES'!$A$9:$Z$9,0))-INDEX(terminal_curves,MATCH(L146,'TERMINAL CURVES'!$A$4:$A$313,0),MATCH(P$5,'TERMINAL CURVES'!$A$4:$N$4,0))*IF(F146=0,0,H146/F146))-(N$8)*((N$7-$N$5)-(INDEX(ship_curves,MATCH(L146,'SHIP CURVES'!$A$9:$A$316,0),MATCH(CONCATENATE(P$4,P$5,P$6,P$7),'SHIP CURVES'!$A$9:$Z$9,0))-INDEX(ship_curves,MATCH(L146,'SHIP CURVES'!$A$9:$A$316,0),MATCH(CONCATENATE(P$4,N$6,P$6,P$7),'SHIP CURVES'!$A$9:$Z$9,0)))-(INDEX(terminal_curves,MATCH(L146,'TERMINAL CURVES'!$A$4:$A$313,0),MATCH(P$5,'TERMINAL CURVES'!$A$4:$N$4,0))-INDEX(terminal_curves,MATCH(L146,'TERMINAL CURVES'!$A$4:$A$313,0),MATCH(N$6,'TERMINAL CURVES'!$A$4:$N$4,0)))*IF(F146=0,0,H146/F146)))*-F146</f>
        <v>0</v>
      </c>
      <c r="Q146" s="403">
        <f t="shared" si="41"/>
        <v>0</v>
      </c>
      <c r="R146" s="338">
        <f>(-H146/((HLOOKUP(P$5,port_specs,2,0)/(365.25))*(L147-L146)))*(INDEX(fixed_capacity_charge,MATCH(L146,PORTS!$H$11:$H$317,0),MATCH(P$5,PORTS!$H$11:$N$11,0))+INDEX(variable_om_charge,MATCH(L146,PORTS!$H$318:$H$625,0),MATCH(P$5,PORTS!$H$318:$N$318,0)))</f>
        <v>0</v>
      </c>
      <c r="S146" s="232">
        <f t="shared" si="42"/>
        <v>0</v>
      </c>
      <c r="T146" s="241">
        <f t="shared" si="43"/>
        <v>0</v>
      </c>
      <c r="V146" s="186">
        <f t="shared" si="58"/>
        <v>40603</v>
      </c>
      <c r="W146" s="215">
        <f t="shared" si="44"/>
        <v>0</v>
      </c>
      <c r="X146" s="191">
        <f t="shared" si="45"/>
        <v>0</v>
      </c>
      <c r="Y146" s="218">
        <f>+IF(AND(X$8&lt;=V146,X$9&gt;=V146),+MIN($B146-SUMIF($H$17:X$17,Y$17,$H146:X146),((INDEX(ROUTE_PER_DAY_BY_SHIP,MATCH(CONCATENATE(X$4,X$5,X$7),ROUTE_PER_DAY_ROUTES,0),MATCH(X$6,ROUTE_PER_DAY_SHIPS,0))*(V147-V146))-(INDEX(ROUTE_PER_DAY_BY_SHIP,MATCH(CONCATENATE(X$4,X$5,X$7),ROUTE_PER_DAY_ROUTES,0),MATCH(X$6,ROUTE_PER_DAY_SHIPS,0))*(V147-V146))*HLOOKUP(X$6,SHIPS,7,0)*INDEX(LADEN_VOYAGE_DAYS,MATCH(CONCATENATE(X$4,X$5,X$7),LADEN_VOYAGE_ROUTES,0),MATCH(X$6,LADEN_VOYAGE_SHIPS,0)))),0)</f>
        <v>0</v>
      </c>
      <c r="Z146" s="118">
        <f t="shared" si="46"/>
        <v>0</v>
      </c>
      <c r="AA146" s="215">
        <f t="shared" ref="AA146:AA209" si="62">+Y146+Z146</f>
        <v>0</v>
      </c>
      <c r="AB146" s="202"/>
      <c r="AC146" s="186">
        <f t="shared" si="59"/>
        <v>40603</v>
      </c>
      <c r="AD146" s="232">
        <f>+AA146*(VLOOKUP(AC146,CURVECALC!$C$6:$J$312,4,0)+AE$5)</f>
        <v>0</v>
      </c>
      <c r="AE146" s="208">
        <f>-W146*INDEX(ship_curves,MATCH(AC146,'SHIP CURVES'!$A$9:$A$316,0),MATCH(CONCATENATE(AG$4,AG$5,AG$6,AG$7),'SHIP CURVES'!$A$9:$AZ$9,0))</f>
        <v>0</v>
      </c>
      <c r="AF146" s="209">
        <f>-Y146*INDEX(port_processing_fee,MATCH(AC146,PORTS!$H$626:$H$933,0),MATCH(AG$5,PORTS!$H$626:$Z$626,0))</f>
        <v>0</v>
      </c>
      <c r="AG146" s="405">
        <f>(((VLOOKUP(AC146,curvecalc,4,0))*IF(W146=0,0,AA146/W146)-INDEX(ship_curves,MATCH(AC146,'SHIP CURVES'!$A$9:$A$316,0),MATCH(CONCATENATE(AG$4,AG$5,AG$6,AG$7),'SHIP CURVES'!$A$9:$Z$9,0))-INDEX(terminal_curves,MATCH(AC146,'TERMINAL CURVES'!$A$4:$A$313,0),MATCH(AG$5,'TERMINAL CURVES'!$A$4:$N$4,0))*IF(W146=0,0,Y146/W146))-(AE$8)*((AE$7-$N$5)-(INDEX(ship_curves,MATCH(AC146,'SHIP CURVES'!$A$9:$A$316,0),MATCH(CONCATENATE(AG$4,AG$5,AG$6,AG$7),'SHIP CURVES'!$A$9:$Z$9,0))-INDEX(ship_curves,MATCH(AC146,'SHIP CURVES'!$A$9:$A$316,0),MATCH(CONCATENATE(AG$4,AE$6,AG$6,AG$7),'SHIP CURVES'!$A$9:$Z$9,0)))-(INDEX(terminal_curves,MATCH(AC146,'TERMINAL CURVES'!$A$4:$A$313,0),MATCH(AG$5,'TERMINAL CURVES'!$A$4:$N$4,0))-INDEX(terminal_curves,MATCH(AC146,'TERMINAL CURVES'!$A$4:$A$313,0),MATCH(AE$6,'TERMINAL CURVES'!$A$4:$N$4,0)))*IF(W146=0,0,Y146/W146)))*-W146</f>
        <v>0</v>
      </c>
      <c r="AH146" s="343">
        <f t="shared" si="47"/>
        <v>0</v>
      </c>
      <c r="AI146" s="338">
        <f>(-Y146/((HLOOKUP(AG$5,port_specs,2,0)/(365.25))*(AC147-AC146)))*(INDEX(fixed_capacity_charge,MATCH(AC146,PORTS!$H$11:$H$317,0),MATCH(AG$5,PORTS!$H$11:$N$11,0))+INDEX(variable_om_charge,MATCH(AC146,PORTS!$H$318:$H$625,0),MATCH(AG$5,PORTS!$H$318:$N$318,0)))</f>
        <v>0</v>
      </c>
      <c r="AJ146" s="232">
        <f t="shared" si="48"/>
        <v>0</v>
      </c>
      <c r="AK146" s="241">
        <f t="shared" si="49"/>
        <v>0</v>
      </c>
      <c r="AM146" s="186">
        <f t="shared" si="60"/>
        <v>40603</v>
      </c>
      <c r="AN146" s="215">
        <f t="shared" si="50"/>
        <v>5395761.4773599124</v>
      </c>
      <c r="AO146" s="191">
        <f t="shared" si="51"/>
        <v>-56655.495512278751</v>
      </c>
      <c r="AP146" s="218">
        <f>+IF(AND(AO$8&lt;=AM146,AO$9&gt;=AM146),+MIN($B146-SUMIF($H$17:AO$17,AP$17,$H146:AO146),((INDEX(ROUTE_PER_DAY_BY_SHIP,MATCH(CONCATENATE(AO$4,AO$5,AO$7),ROUTE_PER_DAY_ROUTES,0),MATCH(AO$6,ROUTE_PER_DAY_SHIPS,0))*(AM147-AM146))-(INDEX(ROUTE_PER_DAY_BY_SHIP,MATCH(CONCATENATE(AO$4,AO$5,AO$7),ROUTE_PER_DAY_ROUTES,0),MATCH(AO$6,ROUTE_PER_DAY_SHIPS,0))*(AM147-AM146))*HLOOKUP(AO$6,SHIPS,7,0)*INDEX(LADEN_VOYAGE_DAYS,MATCH(CONCATENATE(AO$4,AO$5,AO$7),LADEN_VOYAGE_ROUTES,0),MATCH(AO$6,LADEN_VOYAGE_SHIPS,0)))),0)</f>
        <v>5339105.9818476336</v>
      </c>
      <c r="AQ146" s="118">
        <f>-(AP146)*PORTS!$I$6</f>
        <v>-133477.64954619083</v>
      </c>
      <c r="AR146" s="215">
        <f t="shared" ref="AR146:AR209" si="63">+AP146+AQ146</f>
        <v>5205628.3323014425</v>
      </c>
      <c r="AS146" s="202"/>
      <c r="AT146" s="186">
        <f t="shared" si="61"/>
        <v>40603</v>
      </c>
      <c r="AU146" s="232">
        <f>+AR146*(VLOOKUP(AT146,CURVECALC!$C$6:$J$312,4,0)+AV$5)</f>
        <v>18204082.278058145</v>
      </c>
      <c r="AV146" s="208">
        <f>-AN146*INDEX(ship_curves,MATCH(AT146,'SHIP CURVES'!$A$9:$A$316,0),MATCH(CONCATENATE(AX$4,AX$5,AX$6,AX$7),'SHIP CURVES'!$A$9:$AZ$9,0))</f>
        <v>-1800366.0235394095</v>
      </c>
      <c r="AW146" s="209">
        <f>-AP146*INDEX(port_processing_fee,MATCH(AT146,PORTS!$H$626:$H$933,0),MATCH(AX$5,PORTS!$H$626:$Z$626,0))</f>
        <v>-161591.06838372347</v>
      </c>
      <c r="AX146" s="405">
        <f>(((VLOOKUP(AT146,curvecalc,4,0))*IF(AN146=0,0,AR146/AN146)-INDEX(ship_curves,MATCH(AT146,'SHIP CURVES'!$A$9:$A$316,0),MATCH(CONCATENATE(AX$4,AX$5,AX$6,AX$7),'SHIP CURVES'!$A$9:$Z$9,0))-INDEX(terminal_curves,MATCH(AT146,'TERMINAL CURVES'!$A$4:$A$313,0),MATCH(AX$5,'TERMINAL CURVES'!$A$4:$N$4,0))*IF(AN146=0,0,AP146/AN146))-(AV$8)*((AV$7-$N$5)-(INDEX(ship_curves,MATCH(AT146,'SHIP CURVES'!$A$9:$A$316,0),MATCH(CONCATENATE(AX$4,AX$5,AX$6,AX$7),'SHIP CURVES'!$A$9:$Z$9,0))-INDEX(ship_curves,MATCH(AT146,'SHIP CURVES'!$A$9:$A$316,0),MATCH(CONCATENATE(AX$4,AV$6,AX$6,AX$7),'SHIP CURVES'!$A$9:$Z$9,0)))-(INDEX(terminal_curves,MATCH(AT146,'TERMINAL CURVES'!$A$4:$A$313,0),MATCH(AX$5,'TERMINAL CURVES'!$A$4:$N$4,0))-INDEX(terminal_curves,MATCH(AT146,'TERMINAL CURVES'!$A$4:$A$313,0),MATCH(AV$6,'TERMINAL CURVES'!$A$4:$N$4,0)))*IF(AN146=0,0,AP146/AN146)))*-AN146</f>
        <v>-15132245.29314021</v>
      </c>
      <c r="AY146" s="343">
        <f t="shared" si="52"/>
        <v>-17094202.385063343</v>
      </c>
      <c r="AZ146" s="338">
        <f>(-AP146/((HLOOKUP(AX$5,port_specs,2,0)/(365.25))*(AT147-AT146)))*(INDEX(fixed_capacity_charge,MATCH(AT146,PORTS!$H$11:$H$317,0),MATCH(AX$5,PORTS!$H$11:$N$11,0))+INDEX(variable_om_charge,MATCH(AT146,PORTS!$H$318:$H$625,0),MATCH(AX$5,PORTS!$H$318:$N$318,0)))</f>
        <v>-1005767.3263487709</v>
      </c>
      <c r="BA146" s="232">
        <f t="shared" si="53"/>
        <v>-18099969.711412113</v>
      </c>
      <c r="BB146" s="241">
        <f t="shared" si="54"/>
        <v>104112.56664603204</v>
      </c>
      <c r="BC146" s="408"/>
      <c r="BD146" s="338">
        <f>+PORTS!I140+PORTS!I448</f>
        <v>1005767.3263487709</v>
      </c>
    </row>
    <row r="147" spans="1:56" x14ac:dyDescent="0.2">
      <c r="A147" s="186">
        <f t="shared" si="55"/>
        <v>40634</v>
      </c>
      <c r="B147" s="215">
        <f>+IF(AND($A147&gt;=$C$8,$A147&lt;=$C$9),1,0)*PORTS!$I$5/(365.25)*(A148-A147)</f>
        <v>5166876.756626742</v>
      </c>
      <c r="C147" s="351">
        <f t="shared" ref="C147:C210" si="64">+B147-(SUMIF($F$17:$IV$17,$H$17,$F147:$IV147))</f>
        <v>0</v>
      </c>
      <c r="D147">
        <f t="shared" ref="D147:D210" si="65">+YEAR(E147)</f>
        <v>2011</v>
      </c>
      <c r="E147" s="186">
        <f t="shared" si="56"/>
        <v>40634</v>
      </c>
      <c r="F147" s="215">
        <f t="shared" ref="F147:F210" si="66">+IF(AND(G$8&lt;=E147,G$9&gt;=E147),INDEX(ROUTE_PER_DAY_BY_SHIP,MATCH(CONCATENATE(G$4,G$5,G$7),ROUTE_PER_DAY_ROUTES,0),MATCH(G$6,ROUTE_PER_DAY_SHIPS,0))*(E148-E147),0)</f>
        <v>0</v>
      </c>
      <c r="G147" s="191">
        <f t="shared" ref="G147:G210" si="67">-F147*HLOOKUP(G$6,SHIPS,7,0)*INDEX(LADEN_VOYAGE_DAYS,MATCH(CONCATENATE(G$4,G$5,G$7),LADEN_VOYAGE_ROUTES,0),MATCH(G$6,LADEN_VOYAGE_SHIPS,0))</f>
        <v>0</v>
      </c>
      <c r="H147" s="218">
        <f t="shared" ref="H147:H210" si="68">SUM(F147:G147)</f>
        <v>0</v>
      </c>
      <c r="I147" s="118">
        <f t="shared" ref="I147:I210" si="69">-(H147)*HLOOKUP(G$5,TERMINAL_CHARGES,3,0)</f>
        <v>0</v>
      </c>
      <c r="J147" s="215">
        <f t="shared" ref="J147:J210" si="70">+H147+I147</f>
        <v>0</v>
      </c>
      <c r="K147" s="202"/>
      <c r="L147" s="186">
        <f t="shared" si="57"/>
        <v>40634</v>
      </c>
      <c r="M147" s="400">
        <f>+J147*(VLOOKUP(L147,CURVECALC!$C$6:$J$312,4,0)+N$5)</f>
        <v>0</v>
      </c>
      <c r="N147" s="208">
        <f>-F147*INDEX(ship_curves,MATCH(L147,'SHIP CURVES'!$A$9:$A$316,0),MATCH(CONCATENATE(P$4,P$5,P$6,P$7),'SHIP CURVES'!$A$9:$AZ$9,0))</f>
        <v>0</v>
      </c>
      <c r="O147" s="209">
        <f>-H147*INDEX(port_processing_fee,MATCH(L147,PORTS!$H$626:$H$933,0),MATCH(P$5,PORTS!$H$626:$Z$626,0))</f>
        <v>0</v>
      </c>
      <c r="P147" s="405">
        <f>(((VLOOKUP(L147,curvecalc,4,0))*IF(F147=0,0,J147/F147)-INDEX(ship_curves,MATCH(L147,'SHIP CURVES'!$A$9:$A$316,0),MATCH(CONCATENATE(P$4,P$5,P$6,P$7),'SHIP CURVES'!$A$9:$Z$9,0))-INDEX(terminal_curves,MATCH(L147,'TERMINAL CURVES'!$A$4:$A$313,0),MATCH(P$5,'TERMINAL CURVES'!$A$4:$N$4,0))*IF(F147=0,0,H147/F147))-(N$8)*((N$7-$N$5)-(INDEX(ship_curves,MATCH(L147,'SHIP CURVES'!$A$9:$A$316,0),MATCH(CONCATENATE(P$4,P$5,P$6,P$7),'SHIP CURVES'!$A$9:$Z$9,0))-INDEX(ship_curves,MATCH(L147,'SHIP CURVES'!$A$9:$A$316,0),MATCH(CONCATENATE(P$4,N$6,P$6,P$7),'SHIP CURVES'!$A$9:$Z$9,0)))-(INDEX(terminal_curves,MATCH(L147,'TERMINAL CURVES'!$A$4:$A$313,0),MATCH(P$5,'TERMINAL CURVES'!$A$4:$N$4,0))-INDEX(terminal_curves,MATCH(L147,'TERMINAL CURVES'!$A$4:$A$313,0),MATCH(N$6,'TERMINAL CURVES'!$A$4:$N$4,0)))*IF(F147=0,0,H147/F147)))*-F147</f>
        <v>0</v>
      </c>
      <c r="Q147" s="403">
        <f t="shared" ref="Q147:Q210" si="71">SUM(N147:P147)</f>
        <v>0</v>
      </c>
      <c r="R147" s="338">
        <f>(-H147/((HLOOKUP(P$5,port_specs,2,0)/(365.25))*(L148-L147)))*(INDEX(fixed_capacity_charge,MATCH(L147,PORTS!$H$11:$H$317,0),MATCH(P$5,PORTS!$H$11:$N$11,0))+INDEX(variable_om_charge,MATCH(L147,PORTS!$H$318:$H$625,0),MATCH(P$5,PORTS!$H$318:$N$318,0)))</f>
        <v>0</v>
      </c>
      <c r="S147" s="232">
        <f t="shared" ref="S147:S210" si="72">+R147+Q147</f>
        <v>0</v>
      </c>
      <c r="T147" s="241">
        <f t="shared" ref="T147:T210" si="73">+S147+M147</f>
        <v>0</v>
      </c>
      <c r="V147" s="186">
        <f t="shared" si="58"/>
        <v>40634</v>
      </c>
      <c r="W147" s="215">
        <f t="shared" ref="W147:W210" si="74">+Y147/(1-HLOOKUP(X$6,SHIPS,7,0)*INDEX(LADEN_VOYAGE_DAYS,MATCH(CONCATENATE(X$4,X$5),LADEN_VOYAGE_ROUTES,0),MATCH(X$6,LADEN_VOYAGE_SHIPS,0)))</f>
        <v>0</v>
      </c>
      <c r="X147" s="191">
        <f t="shared" ref="X147:X210" si="75">+Y147-W147</f>
        <v>0</v>
      </c>
      <c r="Y147" s="218">
        <f>+IF(AND(X$8&lt;=V147,X$9&gt;=V147),+MIN($B147-SUMIF($H$17:X$17,Y$17,$H147:X147),((INDEX(ROUTE_PER_DAY_BY_SHIP,MATCH(CONCATENATE(X$4,X$5,X$7),ROUTE_PER_DAY_ROUTES,0),MATCH(X$6,ROUTE_PER_DAY_SHIPS,0))*(V148-V147))-(INDEX(ROUTE_PER_DAY_BY_SHIP,MATCH(CONCATENATE(X$4,X$5,X$7),ROUTE_PER_DAY_ROUTES,0),MATCH(X$6,ROUTE_PER_DAY_SHIPS,0))*(V148-V147))*HLOOKUP(X$6,SHIPS,7,0)*INDEX(LADEN_VOYAGE_DAYS,MATCH(CONCATENATE(X$4,X$5,X$7),LADEN_VOYAGE_ROUTES,0),MATCH(X$6,LADEN_VOYAGE_SHIPS,0)))),0)</f>
        <v>0</v>
      </c>
      <c r="Z147" s="118">
        <f t="shared" ref="Z147:Z210" si="76">-(Y147)*HLOOKUP(X$5,TERMINAL_CHARGES,3,0)</f>
        <v>0</v>
      </c>
      <c r="AA147" s="215">
        <f t="shared" si="62"/>
        <v>0</v>
      </c>
      <c r="AB147" s="202"/>
      <c r="AC147" s="186">
        <f t="shared" si="59"/>
        <v>40634</v>
      </c>
      <c r="AD147" s="232">
        <f>+AA147*(VLOOKUP(AC147,CURVECALC!$C$6:$J$312,4,0)+AE$5)</f>
        <v>0</v>
      </c>
      <c r="AE147" s="208">
        <f>-W147*INDEX(ship_curves,MATCH(AC147,'SHIP CURVES'!$A$9:$A$316,0),MATCH(CONCATENATE(AG$4,AG$5,AG$6,AG$7),'SHIP CURVES'!$A$9:$AZ$9,0))</f>
        <v>0</v>
      </c>
      <c r="AF147" s="209">
        <f>-Y147*INDEX(port_processing_fee,MATCH(AC147,PORTS!$H$626:$H$933,0),MATCH(AG$5,PORTS!$H$626:$Z$626,0))</f>
        <v>0</v>
      </c>
      <c r="AG147" s="405">
        <f>(((VLOOKUP(AC147,curvecalc,4,0))*IF(W147=0,0,AA147/W147)-INDEX(ship_curves,MATCH(AC147,'SHIP CURVES'!$A$9:$A$316,0),MATCH(CONCATENATE(AG$4,AG$5,AG$6,AG$7),'SHIP CURVES'!$A$9:$Z$9,0))-INDEX(terminal_curves,MATCH(AC147,'TERMINAL CURVES'!$A$4:$A$313,0),MATCH(AG$5,'TERMINAL CURVES'!$A$4:$N$4,0))*IF(W147=0,0,Y147/W147))-(AE$8)*((AE$7-$N$5)-(INDEX(ship_curves,MATCH(AC147,'SHIP CURVES'!$A$9:$A$316,0),MATCH(CONCATENATE(AG$4,AG$5,AG$6,AG$7),'SHIP CURVES'!$A$9:$Z$9,0))-INDEX(ship_curves,MATCH(AC147,'SHIP CURVES'!$A$9:$A$316,0),MATCH(CONCATENATE(AG$4,AE$6,AG$6,AG$7),'SHIP CURVES'!$A$9:$Z$9,0)))-(INDEX(terminal_curves,MATCH(AC147,'TERMINAL CURVES'!$A$4:$A$313,0),MATCH(AG$5,'TERMINAL CURVES'!$A$4:$N$4,0))-INDEX(terminal_curves,MATCH(AC147,'TERMINAL CURVES'!$A$4:$A$313,0),MATCH(AE$6,'TERMINAL CURVES'!$A$4:$N$4,0)))*IF(W147=0,0,Y147/W147)))*-W147</f>
        <v>0</v>
      </c>
      <c r="AH147" s="343">
        <f t="shared" ref="AH147:AH210" si="77">SUM(AE147:AG147)</f>
        <v>0</v>
      </c>
      <c r="AI147" s="338">
        <f>(-Y147/((HLOOKUP(AG$5,port_specs,2,0)/(365.25))*(AC148-AC147)))*(INDEX(fixed_capacity_charge,MATCH(AC147,PORTS!$H$11:$H$317,0),MATCH(AG$5,PORTS!$H$11:$N$11,0))+INDEX(variable_om_charge,MATCH(AC147,PORTS!$H$318:$H$625,0),MATCH(AG$5,PORTS!$H$318:$N$318,0)))</f>
        <v>0</v>
      </c>
      <c r="AJ147" s="232">
        <f t="shared" ref="AJ147:AJ210" si="78">+AI147+AH147</f>
        <v>0</v>
      </c>
      <c r="AK147" s="241">
        <f t="shared" ref="AK147:AK210" si="79">+AJ147+AD147</f>
        <v>0</v>
      </c>
      <c r="AM147" s="186">
        <f t="shared" si="60"/>
        <v>40634</v>
      </c>
      <c r="AN147" s="215">
        <f t="shared" ref="AN147:AN210" si="80">+AP147/(1-HLOOKUP(AO$6,SHIPS,7,0)*INDEX(LADEN_VOYAGE_DAYS,MATCH(CONCATENATE(AO$4,AO$5),LADEN_VOYAGE_ROUTES,0),MATCH(AO$6,LADEN_VOYAGE_SHIPS,0)))</f>
        <v>5221704.655509592</v>
      </c>
      <c r="AO147" s="191">
        <f t="shared" ref="AO147:AO210" si="81">+AP147-AN147</f>
        <v>-54827.898882850073</v>
      </c>
      <c r="AP147" s="218">
        <f>+IF(AND(AO$8&lt;=AM147,AO$9&gt;=AM147),+MIN($B147-SUMIF($H$17:AO$17,AP$17,$H147:AO147),((INDEX(ROUTE_PER_DAY_BY_SHIP,MATCH(CONCATENATE(AO$4,AO$5,AO$7),ROUTE_PER_DAY_ROUTES,0),MATCH(AO$6,ROUTE_PER_DAY_SHIPS,0))*(AM148-AM147))-(INDEX(ROUTE_PER_DAY_BY_SHIP,MATCH(CONCATENATE(AO$4,AO$5,AO$7),ROUTE_PER_DAY_ROUTES,0),MATCH(AO$6,ROUTE_PER_DAY_SHIPS,0))*(AM148-AM147))*HLOOKUP(AO$6,SHIPS,7,0)*INDEX(LADEN_VOYAGE_DAYS,MATCH(CONCATENATE(AO$4,AO$5,AO$7),LADEN_VOYAGE_ROUTES,0),MATCH(AO$6,LADEN_VOYAGE_SHIPS,0)))),0)</f>
        <v>5166876.756626742</v>
      </c>
      <c r="AQ147" s="118">
        <f>-(AP147)*PORTS!$I$6</f>
        <v>-129171.91891566856</v>
      </c>
      <c r="AR147" s="215">
        <f t="shared" si="63"/>
        <v>5037704.8377110735</v>
      </c>
      <c r="AS147" s="202"/>
      <c r="AT147" s="186">
        <f t="shared" si="61"/>
        <v>40634</v>
      </c>
      <c r="AU147" s="232">
        <f>+AR147*(VLOOKUP(AT147,CURVECALC!$C$6:$J$312,4,0)+AV$5)</f>
        <v>17032480.056301139</v>
      </c>
      <c r="AV147" s="208">
        <f>-AN147*INDEX(ship_curves,MATCH(AT147,'SHIP CURVES'!$A$9:$A$316,0),MATCH(CONCATENATE(AX$4,AX$5,AX$6,AX$7),'SHIP CURVES'!$A$9:$AZ$9,0))</f>
        <v>-1742826.8741843542</v>
      </c>
      <c r="AW147" s="209">
        <f>-AP147*INDEX(port_processing_fee,MATCH(AT147,PORTS!$H$626:$H$933,0),MATCH(AX$5,PORTS!$H$626:$Z$626,0))</f>
        <v>-156541.34749673208</v>
      </c>
      <c r="AX147" s="405">
        <f>(((VLOOKUP(AT147,curvecalc,4,0))*IF(AN147=0,0,AR147/AN147)-INDEX(ship_curves,MATCH(AT147,'SHIP CURVES'!$A$9:$A$316,0),MATCH(CONCATENATE(AX$4,AX$5,AX$6,AX$7),'SHIP CURVES'!$A$9:$Z$9,0))-INDEX(terminal_curves,MATCH(AT147,'TERMINAL CURVES'!$A$4:$A$313,0),MATCH(AX$5,'TERMINAL CURVES'!$A$4:$N$4,0))*IF(AN147=0,0,AP147/AN147))-(AV$8)*((AV$7-$N$5)-(INDEX(ship_curves,MATCH(AT147,'SHIP CURVES'!$A$9:$A$316,0),MATCH(CONCATENATE(AX$4,AX$5,AX$6,AX$7),'SHIP CURVES'!$A$9:$Z$9,0))-INDEX(ship_curves,MATCH(AT147,'SHIP CURVES'!$A$9:$A$316,0),MATCH(CONCATENATE(AX$4,AV$6,AX$6,AX$7),'SHIP CURVES'!$A$9:$Z$9,0)))-(INDEX(terminal_curves,MATCH(AT147,'TERMINAL CURVES'!$A$4:$A$313,0),MATCH(AX$5,'TERMINAL CURVES'!$A$4:$N$4,0))-INDEX(terminal_curves,MATCH(AT147,'TERMINAL CURVES'!$A$4:$A$313,0),MATCH(AV$6,'TERMINAL CURVES'!$A$4:$N$4,0)))*IF(AN147=0,0,AP147/AN147)))*-AN147</f>
        <v>-14026048.13989681</v>
      </c>
      <c r="AY147" s="343">
        <f t="shared" ref="AY147:AY210" si="82">SUM(AV147:AX147)</f>
        <v>-15925416.361577896</v>
      </c>
      <c r="AZ147" s="338">
        <f>(-AP147/((HLOOKUP(AX$5,port_specs,2,0)/(365.25))*(AT148-AT147)))*(INDEX(fixed_capacity_charge,MATCH(AT147,PORTS!$H$11:$H$317,0),MATCH(AX$5,PORTS!$H$11:$N$11,0))+INDEX(variable_om_charge,MATCH(AT147,PORTS!$H$318:$H$625,0),MATCH(AX$5,PORTS!$H$318:$N$318,0)))</f>
        <v>-1006309.5979690212</v>
      </c>
      <c r="BA147" s="232">
        <f t="shared" ref="BA147:BA210" si="83">+AZ147+AY147</f>
        <v>-16931725.959546916</v>
      </c>
      <c r="BB147" s="241">
        <f t="shared" ref="BB147:BB210" si="84">+BA147+AU147</f>
        <v>100754.09675422311</v>
      </c>
      <c r="BC147" s="408"/>
      <c r="BD147" s="338">
        <f>+PORTS!I141+PORTS!I449</f>
        <v>1006309.5979690212</v>
      </c>
    </row>
    <row r="148" spans="1:56" x14ac:dyDescent="0.2">
      <c r="A148" s="186">
        <f t="shared" ref="A148:A211" si="85">+DATE(YEAR(A147),MONTH(A147)+1,1)</f>
        <v>40664</v>
      </c>
      <c r="B148" s="215">
        <f>+IF(AND($A148&gt;=$C$8,$A148&lt;=$C$9),1,0)*PORTS!$I$5/(365.25)*(A149-A148)</f>
        <v>5339105.9818476336</v>
      </c>
      <c r="C148" s="351">
        <f t="shared" si="64"/>
        <v>0</v>
      </c>
      <c r="D148">
        <f t="shared" si="65"/>
        <v>2011</v>
      </c>
      <c r="E148" s="186">
        <f t="shared" ref="E148:E211" si="86">+DATE(YEAR(E147),MONTH(E147)+1,1)</f>
        <v>40664</v>
      </c>
      <c r="F148" s="215">
        <f t="shared" si="66"/>
        <v>0</v>
      </c>
      <c r="G148" s="191">
        <f t="shared" si="67"/>
        <v>0</v>
      </c>
      <c r="H148" s="218">
        <f t="shared" si="68"/>
        <v>0</v>
      </c>
      <c r="I148" s="118">
        <f t="shared" si="69"/>
        <v>0</v>
      </c>
      <c r="J148" s="215">
        <f t="shared" si="70"/>
        <v>0</v>
      </c>
      <c r="K148" s="202"/>
      <c r="L148" s="186">
        <f t="shared" ref="L148:L211" si="87">+DATE(YEAR(L147),MONTH(L147)+1,1)</f>
        <v>40664</v>
      </c>
      <c r="M148" s="400">
        <f>+J148*(VLOOKUP(L148,CURVECALC!$C$6:$J$312,4,0)+N$5)</f>
        <v>0</v>
      </c>
      <c r="N148" s="208">
        <f>-F148*INDEX(ship_curves,MATCH(L148,'SHIP CURVES'!$A$9:$A$316,0),MATCH(CONCATENATE(P$4,P$5,P$6,P$7),'SHIP CURVES'!$A$9:$AZ$9,0))</f>
        <v>0</v>
      </c>
      <c r="O148" s="209">
        <f>-H148*INDEX(port_processing_fee,MATCH(L148,PORTS!$H$626:$H$933,0),MATCH(P$5,PORTS!$H$626:$Z$626,0))</f>
        <v>0</v>
      </c>
      <c r="P148" s="405">
        <f>(((VLOOKUP(L148,curvecalc,4,0))*IF(F148=0,0,J148/F148)-INDEX(ship_curves,MATCH(L148,'SHIP CURVES'!$A$9:$A$316,0),MATCH(CONCATENATE(P$4,P$5,P$6,P$7),'SHIP CURVES'!$A$9:$Z$9,0))-INDEX(terminal_curves,MATCH(L148,'TERMINAL CURVES'!$A$4:$A$313,0),MATCH(P$5,'TERMINAL CURVES'!$A$4:$N$4,0))*IF(F148=0,0,H148/F148))-(N$8)*((N$7-$N$5)-(INDEX(ship_curves,MATCH(L148,'SHIP CURVES'!$A$9:$A$316,0),MATCH(CONCATENATE(P$4,P$5,P$6,P$7),'SHIP CURVES'!$A$9:$Z$9,0))-INDEX(ship_curves,MATCH(L148,'SHIP CURVES'!$A$9:$A$316,0),MATCH(CONCATENATE(P$4,N$6,P$6,P$7),'SHIP CURVES'!$A$9:$Z$9,0)))-(INDEX(terminal_curves,MATCH(L148,'TERMINAL CURVES'!$A$4:$A$313,0),MATCH(P$5,'TERMINAL CURVES'!$A$4:$N$4,0))-INDEX(terminal_curves,MATCH(L148,'TERMINAL CURVES'!$A$4:$A$313,0),MATCH(N$6,'TERMINAL CURVES'!$A$4:$N$4,0)))*IF(F148=0,0,H148/F148)))*-F148</f>
        <v>0</v>
      </c>
      <c r="Q148" s="403">
        <f t="shared" si="71"/>
        <v>0</v>
      </c>
      <c r="R148" s="338">
        <f>(-H148/((HLOOKUP(P$5,port_specs,2,0)/(365.25))*(L149-L148)))*(INDEX(fixed_capacity_charge,MATCH(L148,PORTS!$H$11:$H$317,0),MATCH(P$5,PORTS!$H$11:$N$11,0))+INDEX(variable_om_charge,MATCH(L148,PORTS!$H$318:$H$625,0),MATCH(P$5,PORTS!$H$318:$N$318,0)))</f>
        <v>0</v>
      </c>
      <c r="S148" s="232">
        <f t="shared" si="72"/>
        <v>0</v>
      </c>
      <c r="T148" s="241">
        <f t="shared" si="73"/>
        <v>0</v>
      </c>
      <c r="V148" s="186">
        <f t="shared" ref="V148:V211" si="88">+DATE(YEAR(V147),MONTH(V147)+1,1)</f>
        <v>40664</v>
      </c>
      <c r="W148" s="215">
        <f t="shared" si="74"/>
        <v>0</v>
      </c>
      <c r="X148" s="191">
        <f t="shared" si="75"/>
        <v>0</v>
      </c>
      <c r="Y148" s="218">
        <f>+IF(AND(X$8&lt;=V148,X$9&gt;=V148),+MIN($B148-SUMIF($H$17:X$17,Y$17,$H148:X148),((INDEX(ROUTE_PER_DAY_BY_SHIP,MATCH(CONCATENATE(X$4,X$5,X$7),ROUTE_PER_DAY_ROUTES,0),MATCH(X$6,ROUTE_PER_DAY_SHIPS,0))*(V149-V148))-(INDEX(ROUTE_PER_DAY_BY_SHIP,MATCH(CONCATENATE(X$4,X$5,X$7),ROUTE_PER_DAY_ROUTES,0),MATCH(X$6,ROUTE_PER_DAY_SHIPS,0))*(V149-V148))*HLOOKUP(X$6,SHIPS,7,0)*INDEX(LADEN_VOYAGE_DAYS,MATCH(CONCATENATE(X$4,X$5,X$7),LADEN_VOYAGE_ROUTES,0),MATCH(X$6,LADEN_VOYAGE_SHIPS,0)))),0)</f>
        <v>0</v>
      </c>
      <c r="Z148" s="118">
        <f t="shared" si="76"/>
        <v>0</v>
      </c>
      <c r="AA148" s="215">
        <f t="shared" si="62"/>
        <v>0</v>
      </c>
      <c r="AB148" s="202"/>
      <c r="AC148" s="186">
        <f t="shared" ref="AC148:AC211" si="89">+DATE(YEAR(AC147),MONTH(AC147)+1,1)</f>
        <v>40664</v>
      </c>
      <c r="AD148" s="232">
        <f>+AA148*(VLOOKUP(AC148,CURVECALC!$C$6:$J$312,4,0)+AE$5)</f>
        <v>0</v>
      </c>
      <c r="AE148" s="208">
        <f>-W148*INDEX(ship_curves,MATCH(AC148,'SHIP CURVES'!$A$9:$A$316,0),MATCH(CONCATENATE(AG$4,AG$5,AG$6,AG$7),'SHIP CURVES'!$A$9:$AZ$9,0))</f>
        <v>0</v>
      </c>
      <c r="AF148" s="209">
        <f>-Y148*INDEX(port_processing_fee,MATCH(AC148,PORTS!$H$626:$H$933,0),MATCH(AG$5,PORTS!$H$626:$Z$626,0))</f>
        <v>0</v>
      </c>
      <c r="AG148" s="405">
        <f>(((VLOOKUP(AC148,curvecalc,4,0))*IF(W148=0,0,AA148/W148)-INDEX(ship_curves,MATCH(AC148,'SHIP CURVES'!$A$9:$A$316,0),MATCH(CONCATENATE(AG$4,AG$5,AG$6,AG$7),'SHIP CURVES'!$A$9:$Z$9,0))-INDEX(terminal_curves,MATCH(AC148,'TERMINAL CURVES'!$A$4:$A$313,0),MATCH(AG$5,'TERMINAL CURVES'!$A$4:$N$4,0))*IF(W148=0,0,Y148/W148))-(AE$8)*((AE$7-$N$5)-(INDEX(ship_curves,MATCH(AC148,'SHIP CURVES'!$A$9:$A$316,0),MATCH(CONCATENATE(AG$4,AG$5,AG$6,AG$7),'SHIP CURVES'!$A$9:$Z$9,0))-INDEX(ship_curves,MATCH(AC148,'SHIP CURVES'!$A$9:$A$316,0),MATCH(CONCATENATE(AG$4,AE$6,AG$6,AG$7),'SHIP CURVES'!$A$9:$Z$9,0)))-(INDEX(terminal_curves,MATCH(AC148,'TERMINAL CURVES'!$A$4:$A$313,0),MATCH(AG$5,'TERMINAL CURVES'!$A$4:$N$4,0))-INDEX(terminal_curves,MATCH(AC148,'TERMINAL CURVES'!$A$4:$A$313,0),MATCH(AE$6,'TERMINAL CURVES'!$A$4:$N$4,0)))*IF(W148=0,0,Y148/W148)))*-W148</f>
        <v>0</v>
      </c>
      <c r="AH148" s="343">
        <f t="shared" si="77"/>
        <v>0</v>
      </c>
      <c r="AI148" s="338">
        <f>(-Y148/((HLOOKUP(AG$5,port_specs,2,0)/(365.25))*(AC149-AC148)))*(INDEX(fixed_capacity_charge,MATCH(AC148,PORTS!$H$11:$H$317,0),MATCH(AG$5,PORTS!$H$11:$N$11,0))+INDEX(variable_om_charge,MATCH(AC148,PORTS!$H$318:$H$625,0),MATCH(AG$5,PORTS!$H$318:$N$318,0)))</f>
        <v>0</v>
      </c>
      <c r="AJ148" s="232">
        <f t="shared" si="78"/>
        <v>0</v>
      </c>
      <c r="AK148" s="241">
        <f t="shared" si="79"/>
        <v>0</v>
      </c>
      <c r="AM148" s="186">
        <f t="shared" ref="AM148:AM211" si="90">+DATE(YEAR(AM147),MONTH(AM147)+1,1)</f>
        <v>40664</v>
      </c>
      <c r="AN148" s="215">
        <f t="shared" si="80"/>
        <v>5395761.4773599124</v>
      </c>
      <c r="AO148" s="191">
        <f t="shared" si="81"/>
        <v>-56655.495512278751</v>
      </c>
      <c r="AP148" s="218">
        <f>+IF(AND(AO$8&lt;=AM148,AO$9&gt;=AM148),+MIN($B148-SUMIF($H$17:AO$17,AP$17,$H148:AO148),((INDEX(ROUTE_PER_DAY_BY_SHIP,MATCH(CONCATENATE(AO$4,AO$5,AO$7),ROUTE_PER_DAY_ROUTES,0),MATCH(AO$6,ROUTE_PER_DAY_SHIPS,0))*(AM149-AM148))-(INDEX(ROUTE_PER_DAY_BY_SHIP,MATCH(CONCATENATE(AO$4,AO$5,AO$7),ROUTE_PER_DAY_ROUTES,0),MATCH(AO$6,ROUTE_PER_DAY_SHIPS,0))*(AM149-AM148))*HLOOKUP(AO$6,SHIPS,7,0)*INDEX(LADEN_VOYAGE_DAYS,MATCH(CONCATENATE(AO$4,AO$5,AO$7),LADEN_VOYAGE_ROUTES,0),MATCH(AO$6,LADEN_VOYAGE_SHIPS,0)))),0)</f>
        <v>5339105.9818476336</v>
      </c>
      <c r="AQ148" s="118">
        <f>-(AP148)*PORTS!$I$6</f>
        <v>-133477.64954619083</v>
      </c>
      <c r="AR148" s="215">
        <f t="shared" si="63"/>
        <v>5205628.3323014425</v>
      </c>
      <c r="AS148" s="202"/>
      <c r="AT148" s="186">
        <f t="shared" ref="AT148:AT211" si="91">+DATE(YEAR(AT147),MONTH(AT147)+1,1)</f>
        <v>40664</v>
      </c>
      <c r="AU148" s="232">
        <f>+AR148*(VLOOKUP(AT148,CURVECALC!$C$6:$J$312,4,0)+AV$5)</f>
        <v>17563789.993185069</v>
      </c>
      <c r="AV148" s="208">
        <f>-AN148*INDEX(ship_curves,MATCH(AT148,'SHIP CURVES'!$A$9:$A$316,0),MATCH(CONCATENATE(AX$4,AX$5,AX$6,AX$7),'SHIP CURVES'!$A$9:$AZ$9,0))</f>
        <v>-1801477.3395244735</v>
      </c>
      <c r="AW148" s="209">
        <f>-AP148*INDEX(port_processing_fee,MATCH(AT148,PORTS!$H$626:$H$933,0),MATCH(AX$5,PORTS!$H$626:$Z$626,0))</f>
        <v>-161927.891780387</v>
      </c>
      <c r="AX148" s="405">
        <f>(((VLOOKUP(AT148,curvecalc,4,0))*IF(AN148=0,0,AR148/AN148)-INDEX(ship_curves,MATCH(AT148,'SHIP CURVES'!$A$9:$A$316,0),MATCH(CONCATENATE(AX$4,AX$5,AX$6,AX$7),'SHIP CURVES'!$A$9:$Z$9,0))-INDEX(terminal_curves,MATCH(AT148,'TERMINAL CURVES'!$A$4:$A$313,0),MATCH(AX$5,'TERMINAL CURVES'!$A$4:$N$4,0))*IF(AN148=0,0,AP148/AN148))-(AV$8)*((AV$7-$N$5)-(INDEX(ship_curves,MATCH(AT148,'SHIP CURVES'!$A$9:$A$316,0),MATCH(CONCATENATE(AX$4,AX$5,AX$6,AX$7),'SHIP CURVES'!$A$9:$Z$9,0))-INDEX(ship_curves,MATCH(AT148,'SHIP CURVES'!$A$9:$A$316,0),MATCH(CONCATENATE(AX$4,AV$6,AX$6,AX$7),'SHIP CURVES'!$A$9:$Z$9,0)))-(INDEX(terminal_curves,MATCH(AT148,'TERMINAL CURVES'!$A$4:$A$313,0),MATCH(AX$5,'TERMINAL CURVES'!$A$4:$N$4,0))-INDEX(terminal_curves,MATCH(AT148,'TERMINAL CURVES'!$A$4:$A$313,0),MATCH(AV$6,'TERMINAL CURVES'!$A$4:$N$4,0)))*IF(AN148=0,0,AP148/AN148)))*-AN148</f>
        <v>-14489419.760778634</v>
      </c>
      <c r="AY148" s="343">
        <f t="shared" si="82"/>
        <v>-16452824.992083494</v>
      </c>
      <c r="AZ148" s="338">
        <f>(-AP148/((HLOOKUP(AX$5,port_specs,2,0)/(365.25))*(AT149-AT148)))*(INDEX(fixed_capacity_charge,MATCH(AT148,PORTS!$H$11:$H$317,0),MATCH(AX$5,PORTS!$H$11:$N$11,0))+INDEX(variable_om_charge,MATCH(AT148,PORTS!$H$318:$H$625,0),MATCH(AX$5,PORTS!$H$318:$N$318,0)))</f>
        <v>-1006852.4344555428</v>
      </c>
      <c r="BA148" s="232">
        <f t="shared" si="83"/>
        <v>-17459677.426539037</v>
      </c>
      <c r="BB148" s="241">
        <f t="shared" si="84"/>
        <v>104112.56664603204</v>
      </c>
      <c r="BC148" s="408"/>
      <c r="BD148" s="338">
        <f>+PORTS!I142+PORTS!I450</f>
        <v>1006852.4344555428</v>
      </c>
    </row>
    <row r="149" spans="1:56" x14ac:dyDescent="0.2">
      <c r="A149" s="186">
        <f t="shared" si="85"/>
        <v>40695</v>
      </c>
      <c r="B149" s="215">
        <f>+IF(AND($A149&gt;=$C$8,$A149&lt;=$C$9),1,0)*PORTS!$I$5/(365.25)*(A150-A149)</f>
        <v>5166876.756626742</v>
      </c>
      <c r="C149" s="351">
        <f t="shared" si="64"/>
        <v>0</v>
      </c>
      <c r="D149">
        <f t="shared" si="65"/>
        <v>2011</v>
      </c>
      <c r="E149" s="186">
        <f t="shared" si="86"/>
        <v>40695</v>
      </c>
      <c r="F149" s="215">
        <f t="shared" si="66"/>
        <v>0</v>
      </c>
      <c r="G149" s="191">
        <f t="shared" si="67"/>
        <v>0</v>
      </c>
      <c r="H149" s="218">
        <f t="shared" si="68"/>
        <v>0</v>
      </c>
      <c r="I149" s="118">
        <f t="shared" si="69"/>
        <v>0</v>
      </c>
      <c r="J149" s="215">
        <f t="shared" si="70"/>
        <v>0</v>
      </c>
      <c r="K149" s="202"/>
      <c r="L149" s="186">
        <f t="shared" si="87"/>
        <v>40695</v>
      </c>
      <c r="M149" s="400">
        <f>+J149*(VLOOKUP(L149,CURVECALC!$C$6:$J$312,4,0)+N$5)</f>
        <v>0</v>
      </c>
      <c r="N149" s="208">
        <f>-F149*INDEX(ship_curves,MATCH(L149,'SHIP CURVES'!$A$9:$A$316,0),MATCH(CONCATENATE(P$4,P$5,P$6,P$7),'SHIP CURVES'!$A$9:$AZ$9,0))</f>
        <v>0</v>
      </c>
      <c r="O149" s="209">
        <f>-H149*INDEX(port_processing_fee,MATCH(L149,PORTS!$H$626:$H$933,0),MATCH(P$5,PORTS!$H$626:$Z$626,0))</f>
        <v>0</v>
      </c>
      <c r="P149" s="405">
        <f>(((VLOOKUP(L149,curvecalc,4,0))*IF(F149=0,0,J149/F149)-INDEX(ship_curves,MATCH(L149,'SHIP CURVES'!$A$9:$A$316,0),MATCH(CONCATENATE(P$4,P$5,P$6,P$7),'SHIP CURVES'!$A$9:$Z$9,0))-INDEX(terminal_curves,MATCH(L149,'TERMINAL CURVES'!$A$4:$A$313,0),MATCH(P$5,'TERMINAL CURVES'!$A$4:$N$4,0))*IF(F149=0,0,H149/F149))-(N$8)*((N$7-$N$5)-(INDEX(ship_curves,MATCH(L149,'SHIP CURVES'!$A$9:$A$316,0),MATCH(CONCATENATE(P$4,P$5,P$6,P$7),'SHIP CURVES'!$A$9:$Z$9,0))-INDEX(ship_curves,MATCH(L149,'SHIP CURVES'!$A$9:$A$316,0),MATCH(CONCATENATE(P$4,N$6,P$6,P$7),'SHIP CURVES'!$A$9:$Z$9,0)))-(INDEX(terminal_curves,MATCH(L149,'TERMINAL CURVES'!$A$4:$A$313,0),MATCH(P$5,'TERMINAL CURVES'!$A$4:$N$4,0))-INDEX(terminal_curves,MATCH(L149,'TERMINAL CURVES'!$A$4:$A$313,0),MATCH(N$6,'TERMINAL CURVES'!$A$4:$N$4,0)))*IF(F149=0,0,H149/F149)))*-F149</f>
        <v>0</v>
      </c>
      <c r="Q149" s="403">
        <f t="shared" si="71"/>
        <v>0</v>
      </c>
      <c r="R149" s="338">
        <f>(-H149/((HLOOKUP(P$5,port_specs,2,0)/(365.25))*(L150-L149)))*(INDEX(fixed_capacity_charge,MATCH(L149,PORTS!$H$11:$H$317,0),MATCH(P$5,PORTS!$H$11:$N$11,0))+INDEX(variable_om_charge,MATCH(L149,PORTS!$H$318:$H$625,0),MATCH(P$5,PORTS!$H$318:$N$318,0)))</f>
        <v>0</v>
      </c>
      <c r="S149" s="232">
        <f t="shared" si="72"/>
        <v>0</v>
      </c>
      <c r="T149" s="241">
        <f t="shared" si="73"/>
        <v>0</v>
      </c>
      <c r="V149" s="186">
        <f t="shared" si="88"/>
        <v>40695</v>
      </c>
      <c r="W149" s="215">
        <f t="shared" si="74"/>
        <v>0</v>
      </c>
      <c r="X149" s="191">
        <f t="shared" si="75"/>
        <v>0</v>
      </c>
      <c r="Y149" s="218">
        <f>+IF(AND(X$8&lt;=V149,X$9&gt;=V149),+MIN($B149-SUMIF($H$17:X$17,Y$17,$H149:X149),((INDEX(ROUTE_PER_DAY_BY_SHIP,MATCH(CONCATENATE(X$4,X$5,X$7),ROUTE_PER_DAY_ROUTES,0),MATCH(X$6,ROUTE_PER_DAY_SHIPS,0))*(V150-V149))-(INDEX(ROUTE_PER_DAY_BY_SHIP,MATCH(CONCATENATE(X$4,X$5,X$7),ROUTE_PER_DAY_ROUTES,0),MATCH(X$6,ROUTE_PER_DAY_SHIPS,0))*(V150-V149))*HLOOKUP(X$6,SHIPS,7,0)*INDEX(LADEN_VOYAGE_DAYS,MATCH(CONCATENATE(X$4,X$5,X$7),LADEN_VOYAGE_ROUTES,0),MATCH(X$6,LADEN_VOYAGE_SHIPS,0)))),0)</f>
        <v>0</v>
      </c>
      <c r="Z149" s="118">
        <f t="shared" si="76"/>
        <v>0</v>
      </c>
      <c r="AA149" s="215">
        <f t="shared" si="62"/>
        <v>0</v>
      </c>
      <c r="AB149" s="202"/>
      <c r="AC149" s="186">
        <f t="shared" si="89"/>
        <v>40695</v>
      </c>
      <c r="AD149" s="232">
        <f>+AA149*(VLOOKUP(AC149,CURVECALC!$C$6:$J$312,4,0)+AE$5)</f>
        <v>0</v>
      </c>
      <c r="AE149" s="208">
        <f>-W149*INDEX(ship_curves,MATCH(AC149,'SHIP CURVES'!$A$9:$A$316,0),MATCH(CONCATENATE(AG$4,AG$5,AG$6,AG$7),'SHIP CURVES'!$A$9:$AZ$9,0))</f>
        <v>0</v>
      </c>
      <c r="AF149" s="209">
        <f>-Y149*INDEX(port_processing_fee,MATCH(AC149,PORTS!$H$626:$H$933,0),MATCH(AG$5,PORTS!$H$626:$Z$626,0))</f>
        <v>0</v>
      </c>
      <c r="AG149" s="405">
        <f>(((VLOOKUP(AC149,curvecalc,4,0))*IF(W149=0,0,AA149/W149)-INDEX(ship_curves,MATCH(AC149,'SHIP CURVES'!$A$9:$A$316,0),MATCH(CONCATENATE(AG$4,AG$5,AG$6,AG$7),'SHIP CURVES'!$A$9:$Z$9,0))-INDEX(terminal_curves,MATCH(AC149,'TERMINAL CURVES'!$A$4:$A$313,0),MATCH(AG$5,'TERMINAL CURVES'!$A$4:$N$4,0))*IF(W149=0,0,Y149/W149))-(AE$8)*((AE$7-$N$5)-(INDEX(ship_curves,MATCH(AC149,'SHIP CURVES'!$A$9:$A$316,0),MATCH(CONCATENATE(AG$4,AG$5,AG$6,AG$7),'SHIP CURVES'!$A$9:$Z$9,0))-INDEX(ship_curves,MATCH(AC149,'SHIP CURVES'!$A$9:$A$316,0),MATCH(CONCATENATE(AG$4,AE$6,AG$6,AG$7),'SHIP CURVES'!$A$9:$Z$9,0)))-(INDEX(terminal_curves,MATCH(AC149,'TERMINAL CURVES'!$A$4:$A$313,0),MATCH(AG$5,'TERMINAL CURVES'!$A$4:$N$4,0))-INDEX(terminal_curves,MATCH(AC149,'TERMINAL CURVES'!$A$4:$A$313,0),MATCH(AE$6,'TERMINAL CURVES'!$A$4:$N$4,0)))*IF(W149=0,0,Y149/W149)))*-W149</f>
        <v>0</v>
      </c>
      <c r="AH149" s="343">
        <f t="shared" si="77"/>
        <v>0</v>
      </c>
      <c r="AI149" s="338">
        <f>(-Y149/((HLOOKUP(AG$5,port_specs,2,0)/(365.25))*(AC150-AC149)))*(INDEX(fixed_capacity_charge,MATCH(AC149,PORTS!$H$11:$H$317,0),MATCH(AG$5,PORTS!$H$11:$N$11,0))+INDEX(variable_om_charge,MATCH(AC149,PORTS!$H$318:$H$625,0),MATCH(AG$5,PORTS!$H$318:$N$318,0)))</f>
        <v>0</v>
      </c>
      <c r="AJ149" s="232">
        <f t="shared" si="78"/>
        <v>0</v>
      </c>
      <c r="AK149" s="241">
        <f t="shared" si="79"/>
        <v>0</v>
      </c>
      <c r="AM149" s="186">
        <f t="shared" si="90"/>
        <v>40695</v>
      </c>
      <c r="AN149" s="215">
        <f t="shared" si="80"/>
        <v>5221704.655509592</v>
      </c>
      <c r="AO149" s="191">
        <f t="shared" si="81"/>
        <v>-54827.898882850073</v>
      </c>
      <c r="AP149" s="218">
        <f>+IF(AND(AO$8&lt;=AM149,AO$9&gt;=AM149),+MIN($B149-SUMIF($H$17:AO$17,AP$17,$H149:AO149),((INDEX(ROUTE_PER_DAY_BY_SHIP,MATCH(CONCATENATE(AO$4,AO$5,AO$7),ROUTE_PER_DAY_ROUTES,0),MATCH(AO$6,ROUTE_PER_DAY_SHIPS,0))*(AM150-AM149))-(INDEX(ROUTE_PER_DAY_BY_SHIP,MATCH(CONCATENATE(AO$4,AO$5,AO$7),ROUTE_PER_DAY_ROUTES,0),MATCH(AO$6,ROUTE_PER_DAY_SHIPS,0))*(AM150-AM149))*HLOOKUP(AO$6,SHIPS,7,0)*INDEX(LADEN_VOYAGE_DAYS,MATCH(CONCATENATE(AO$4,AO$5,AO$7),LADEN_VOYAGE_ROUTES,0),MATCH(AO$6,LADEN_VOYAGE_SHIPS,0)))),0)</f>
        <v>5166876.756626742</v>
      </c>
      <c r="AQ149" s="118">
        <f>-(AP149)*PORTS!$I$6</f>
        <v>-129171.91891566856</v>
      </c>
      <c r="AR149" s="215">
        <f t="shared" si="63"/>
        <v>5037704.8377110735</v>
      </c>
      <c r="AS149" s="202"/>
      <c r="AT149" s="186">
        <f t="shared" si="91"/>
        <v>40695</v>
      </c>
      <c r="AU149" s="232">
        <f>+AR149*(VLOOKUP(AT149,CURVECALC!$C$6:$J$312,4,0)+AV$5)</f>
        <v>17188648.906270184</v>
      </c>
      <c r="AV149" s="208">
        <f>-AN149*INDEX(ship_curves,MATCH(AT149,'SHIP CURVES'!$A$9:$A$316,0),MATCH(CONCATENATE(AX$4,AX$5,AX$6,AX$7),'SHIP CURVES'!$A$9:$AZ$9,0))</f>
        <v>-1743904.5818230957</v>
      </c>
      <c r="AW149" s="209">
        <f>-AP149*INDEX(port_processing_fee,MATCH(AT149,PORTS!$H$626:$H$933,0),MATCH(AX$5,PORTS!$H$626:$Z$626,0))</f>
        <v>-156867.64516224989</v>
      </c>
      <c r="AX149" s="405">
        <f>(((VLOOKUP(AT149,curvecalc,4,0))*IF(AN149=0,0,AR149/AN149)-INDEX(ship_curves,MATCH(AT149,'SHIP CURVES'!$A$9:$A$316,0),MATCH(CONCATENATE(AX$4,AX$5,AX$6,AX$7),'SHIP CURVES'!$A$9:$Z$9,0))-INDEX(terminal_curves,MATCH(AT149,'TERMINAL CURVES'!$A$4:$A$313,0),MATCH(AX$5,'TERMINAL CURVES'!$A$4:$N$4,0))*IF(AN149=0,0,AP149/AN149))-(AV$8)*((AV$7-$N$5)-(INDEX(ship_curves,MATCH(AT149,'SHIP CURVES'!$A$9:$A$316,0),MATCH(CONCATENATE(AX$4,AX$5,AX$6,AX$7),'SHIP CURVES'!$A$9:$Z$9,0))-INDEX(ship_curves,MATCH(AT149,'SHIP CURVES'!$A$9:$A$316,0),MATCH(CONCATENATE(AX$4,AV$6,AX$6,AX$7),'SHIP CURVES'!$A$9:$Z$9,0)))-(INDEX(terminal_curves,MATCH(AT149,'TERMINAL CURVES'!$A$4:$A$313,0),MATCH(AX$5,'TERMINAL CURVES'!$A$4:$N$4,0))-INDEX(terminal_curves,MATCH(AT149,'TERMINAL CURVES'!$A$4:$A$313,0),MATCH(AV$6,'TERMINAL CURVES'!$A$4:$N$4,0)))*IF(AN149=0,0,AP149/AN149)))*-AN149</f>
        <v>-14179726.746133875</v>
      </c>
      <c r="AY149" s="343">
        <f t="shared" si="82"/>
        <v>-16080498.973119222</v>
      </c>
      <c r="AZ149" s="338">
        <f>(-AP149/((HLOOKUP(AX$5,port_specs,2,0)/(365.25))*(AT150-AT149)))*(INDEX(fixed_capacity_charge,MATCH(AT149,PORTS!$H$11:$H$317,0),MATCH(AX$5,PORTS!$H$11:$N$11,0))+INDEX(variable_om_charge,MATCH(AT149,PORTS!$H$318:$H$625,0),MATCH(AX$5,PORTS!$H$318:$N$318,0)))</f>
        <v>-1007395.8363967377</v>
      </c>
      <c r="BA149" s="232">
        <f t="shared" si="83"/>
        <v>-17087894.809515961</v>
      </c>
      <c r="BB149" s="241">
        <f t="shared" si="84"/>
        <v>100754.09675422311</v>
      </c>
      <c r="BC149" s="408"/>
      <c r="BD149" s="338">
        <f>+PORTS!I143+PORTS!I451</f>
        <v>1007395.8363967377</v>
      </c>
    </row>
    <row r="150" spans="1:56" x14ac:dyDescent="0.2">
      <c r="A150" s="186">
        <f t="shared" si="85"/>
        <v>40725</v>
      </c>
      <c r="B150" s="215">
        <f>+IF(AND($A150&gt;=$C$8,$A150&lt;=$C$9),1,0)*PORTS!$I$5/(365.25)*(A151-A150)</f>
        <v>5339105.9818476336</v>
      </c>
      <c r="C150" s="351">
        <f t="shared" si="64"/>
        <v>0</v>
      </c>
      <c r="D150">
        <f t="shared" si="65"/>
        <v>2011</v>
      </c>
      <c r="E150" s="186">
        <f t="shared" si="86"/>
        <v>40725</v>
      </c>
      <c r="F150" s="215">
        <f t="shared" si="66"/>
        <v>0</v>
      </c>
      <c r="G150" s="191">
        <f t="shared" si="67"/>
        <v>0</v>
      </c>
      <c r="H150" s="218">
        <f t="shared" si="68"/>
        <v>0</v>
      </c>
      <c r="I150" s="118">
        <f t="shared" si="69"/>
        <v>0</v>
      </c>
      <c r="J150" s="215">
        <f t="shared" si="70"/>
        <v>0</v>
      </c>
      <c r="K150" s="202"/>
      <c r="L150" s="186">
        <f t="shared" si="87"/>
        <v>40725</v>
      </c>
      <c r="M150" s="400">
        <f>+J150*(VLOOKUP(L150,CURVECALC!$C$6:$J$312,4,0)+N$5)</f>
        <v>0</v>
      </c>
      <c r="N150" s="208">
        <f>-F150*INDEX(ship_curves,MATCH(L150,'SHIP CURVES'!$A$9:$A$316,0),MATCH(CONCATENATE(P$4,P$5,P$6,P$7),'SHIP CURVES'!$A$9:$AZ$9,0))</f>
        <v>0</v>
      </c>
      <c r="O150" s="209">
        <f>-H150*INDEX(port_processing_fee,MATCH(L150,PORTS!$H$626:$H$933,0),MATCH(P$5,PORTS!$H$626:$Z$626,0))</f>
        <v>0</v>
      </c>
      <c r="P150" s="405">
        <f>(((VLOOKUP(L150,curvecalc,4,0))*IF(F150=0,0,J150/F150)-INDEX(ship_curves,MATCH(L150,'SHIP CURVES'!$A$9:$A$316,0),MATCH(CONCATENATE(P$4,P$5,P$6,P$7),'SHIP CURVES'!$A$9:$Z$9,0))-INDEX(terminal_curves,MATCH(L150,'TERMINAL CURVES'!$A$4:$A$313,0),MATCH(P$5,'TERMINAL CURVES'!$A$4:$N$4,0))*IF(F150=0,0,H150/F150))-(N$8)*((N$7-$N$5)-(INDEX(ship_curves,MATCH(L150,'SHIP CURVES'!$A$9:$A$316,0),MATCH(CONCATENATE(P$4,P$5,P$6,P$7),'SHIP CURVES'!$A$9:$Z$9,0))-INDEX(ship_curves,MATCH(L150,'SHIP CURVES'!$A$9:$A$316,0),MATCH(CONCATENATE(P$4,N$6,P$6,P$7),'SHIP CURVES'!$A$9:$Z$9,0)))-(INDEX(terminal_curves,MATCH(L150,'TERMINAL CURVES'!$A$4:$A$313,0),MATCH(P$5,'TERMINAL CURVES'!$A$4:$N$4,0))-INDEX(terminal_curves,MATCH(L150,'TERMINAL CURVES'!$A$4:$A$313,0),MATCH(N$6,'TERMINAL CURVES'!$A$4:$N$4,0)))*IF(F150=0,0,H150/F150)))*-F150</f>
        <v>0</v>
      </c>
      <c r="Q150" s="403">
        <f t="shared" si="71"/>
        <v>0</v>
      </c>
      <c r="R150" s="338">
        <f>(-H150/((HLOOKUP(P$5,port_specs,2,0)/(365.25))*(L151-L150)))*(INDEX(fixed_capacity_charge,MATCH(L150,PORTS!$H$11:$H$317,0),MATCH(P$5,PORTS!$H$11:$N$11,0))+INDEX(variable_om_charge,MATCH(L150,PORTS!$H$318:$H$625,0),MATCH(P$5,PORTS!$H$318:$N$318,0)))</f>
        <v>0</v>
      </c>
      <c r="S150" s="232">
        <f t="shared" si="72"/>
        <v>0</v>
      </c>
      <c r="T150" s="241">
        <f t="shared" si="73"/>
        <v>0</v>
      </c>
      <c r="V150" s="186">
        <f t="shared" si="88"/>
        <v>40725</v>
      </c>
      <c r="W150" s="215">
        <f t="shared" si="74"/>
        <v>0</v>
      </c>
      <c r="X150" s="191">
        <f t="shared" si="75"/>
        <v>0</v>
      </c>
      <c r="Y150" s="218">
        <f>+IF(AND(X$8&lt;=V150,X$9&gt;=V150),+MIN($B150-SUMIF($H$17:X$17,Y$17,$H150:X150),((INDEX(ROUTE_PER_DAY_BY_SHIP,MATCH(CONCATENATE(X$4,X$5,X$7),ROUTE_PER_DAY_ROUTES,0),MATCH(X$6,ROUTE_PER_DAY_SHIPS,0))*(V151-V150))-(INDEX(ROUTE_PER_DAY_BY_SHIP,MATCH(CONCATENATE(X$4,X$5,X$7),ROUTE_PER_DAY_ROUTES,0),MATCH(X$6,ROUTE_PER_DAY_SHIPS,0))*(V151-V150))*HLOOKUP(X$6,SHIPS,7,0)*INDEX(LADEN_VOYAGE_DAYS,MATCH(CONCATENATE(X$4,X$5,X$7),LADEN_VOYAGE_ROUTES,0),MATCH(X$6,LADEN_VOYAGE_SHIPS,0)))),0)</f>
        <v>0</v>
      </c>
      <c r="Z150" s="118">
        <f t="shared" si="76"/>
        <v>0</v>
      </c>
      <c r="AA150" s="215">
        <f t="shared" si="62"/>
        <v>0</v>
      </c>
      <c r="AB150" s="202"/>
      <c r="AC150" s="186">
        <f t="shared" si="89"/>
        <v>40725</v>
      </c>
      <c r="AD150" s="232">
        <f>+AA150*(VLOOKUP(AC150,CURVECALC!$C$6:$J$312,4,0)+AE$5)</f>
        <v>0</v>
      </c>
      <c r="AE150" s="208">
        <f>-W150*INDEX(ship_curves,MATCH(AC150,'SHIP CURVES'!$A$9:$A$316,0),MATCH(CONCATENATE(AG$4,AG$5,AG$6,AG$7),'SHIP CURVES'!$A$9:$AZ$9,0))</f>
        <v>0</v>
      </c>
      <c r="AF150" s="209">
        <f>-Y150*INDEX(port_processing_fee,MATCH(AC150,PORTS!$H$626:$H$933,0),MATCH(AG$5,PORTS!$H$626:$Z$626,0))</f>
        <v>0</v>
      </c>
      <c r="AG150" s="405">
        <f>(((VLOOKUP(AC150,curvecalc,4,0))*IF(W150=0,0,AA150/W150)-INDEX(ship_curves,MATCH(AC150,'SHIP CURVES'!$A$9:$A$316,0),MATCH(CONCATENATE(AG$4,AG$5,AG$6,AG$7),'SHIP CURVES'!$A$9:$Z$9,0))-INDEX(terminal_curves,MATCH(AC150,'TERMINAL CURVES'!$A$4:$A$313,0),MATCH(AG$5,'TERMINAL CURVES'!$A$4:$N$4,0))*IF(W150=0,0,Y150/W150))-(AE$8)*((AE$7-$N$5)-(INDEX(ship_curves,MATCH(AC150,'SHIP CURVES'!$A$9:$A$316,0),MATCH(CONCATENATE(AG$4,AG$5,AG$6,AG$7),'SHIP CURVES'!$A$9:$Z$9,0))-INDEX(ship_curves,MATCH(AC150,'SHIP CURVES'!$A$9:$A$316,0),MATCH(CONCATENATE(AG$4,AE$6,AG$6,AG$7),'SHIP CURVES'!$A$9:$Z$9,0)))-(INDEX(terminal_curves,MATCH(AC150,'TERMINAL CURVES'!$A$4:$A$313,0),MATCH(AG$5,'TERMINAL CURVES'!$A$4:$N$4,0))-INDEX(terminal_curves,MATCH(AC150,'TERMINAL CURVES'!$A$4:$A$313,0),MATCH(AE$6,'TERMINAL CURVES'!$A$4:$N$4,0)))*IF(W150=0,0,Y150/W150)))*-W150</f>
        <v>0</v>
      </c>
      <c r="AH150" s="343">
        <f t="shared" si="77"/>
        <v>0</v>
      </c>
      <c r="AI150" s="338">
        <f>(-Y150/((HLOOKUP(AG$5,port_specs,2,0)/(365.25))*(AC151-AC150)))*(INDEX(fixed_capacity_charge,MATCH(AC150,PORTS!$H$11:$H$317,0),MATCH(AG$5,PORTS!$H$11:$N$11,0))+INDEX(variable_om_charge,MATCH(AC150,PORTS!$H$318:$H$625,0),MATCH(AG$5,PORTS!$H$318:$N$318,0)))</f>
        <v>0</v>
      </c>
      <c r="AJ150" s="232">
        <f t="shared" si="78"/>
        <v>0</v>
      </c>
      <c r="AK150" s="241">
        <f t="shared" si="79"/>
        <v>0</v>
      </c>
      <c r="AM150" s="186">
        <f t="shared" si="90"/>
        <v>40725</v>
      </c>
      <c r="AN150" s="215">
        <f t="shared" si="80"/>
        <v>5395761.4773599124</v>
      </c>
      <c r="AO150" s="191">
        <f t="shared" si="81"/>
        <v>-56655.495512278751</v>
      </c>
      <c r="AP150" s="218">
        <f>+IF(AND(AO$8&lt;=AM150,AO$9&gt;=AM150),+MIN($B150-SUMIF($H$17:AO$17,AP$17,$H150:AO150),((INDEX(ROUTE_PER_DAY_BY_SHIP,MATCH(CONCATENATE(AO$4,AO$5,AO$7),ROUTE_PER_DAY_ROUTES,0),MATCH(AO$6,ROUTE_PER_DAY_SHIPS,0))*(AM151-AM150))-(INDEX(ROUTE_PER_DAY_BY_SHIP,MATCH(CONCATENATE(AO$4,AO$5,AO$7),ROUTE_PER_DAY_ROUTES,0),MATCH(AO$6,ROUTE_PER_DAY_SHIPS,0))*(AM151-AM150))*HLOOKUP(AO$6,SHIPS,7,0)*INDEX(LADEN_VOYAGE_DAYS,MATCH(CONCATENATE(AO$4,AO$5,AO$7),LADEN_VOYAGE_ROUTES,0),MATCH(AO$6,LADEN_VOYAGE_SHIPS,0)))),0)</f>
        <v>5339105.9818476336</v>
      </c>
      <c r="AQ150" s="118">
        <f>-(AP150)*PORTS!$I$6</f>
        <v>-133477.64954619083</v>
      </c>
      <c r="AR150" s="215">
        <f t="shared" si="63"/>
        <v>5205628.3323014425</v>
      </c>
      <c r="AS150" s="202"/>
      <c r="AT150" s="186">
        <f t="shared" si="91"/>
        <v>40725</v>
      </c>
      <c r="AU150" s="232">
        <f>+AR150*(VLOOKUP(AT150,CURVECALC!$C$6:$J$312,4,0)+AV$5)</f>
        <v>17761603.869812522</v>
      </c>
      <c r="AV150" s="208">
        <f>-AN150*INDEX(ship_curves,MATCH(AT150,'SHIP CURVES'!$A$9:$A$316,0),MATCH(CONCATENATE(AX$4,AX$5,AX$6,AX$7),'SHIP CURVES'!$A$9:$AZ$9,0))</f>
        <v>-1802593.2908162286</v>
      </c>
      <c r="AW150" s="209">
        <f>-AP150*INDEX(port_processing_fee,MATCH(AT150,PORTS!$H$626:$H$933,0),MATCH(AX$5,PORTS!$H$626:$Z$626,0))</f>
        <v>-162265.41725793702</v>
      </c>
      <c r="AX150" s="405">
        <f>(((VLOOKUP(AT150,curvecalc,4,0))*IF(AN150=0,0,AR150/AN150)-INDEX(ship_curves,MATCH(AT150,'SHIP CURVES'!$A$9:$A$316,0),MATCH(CONCATENATE(AX$4,AX$5,AX$6,AX$7),'SHIP CURVES'!$A$9:$Z$9,0))-INDEX(terminal_curves,MATCH(AT150,'TERMINAL CURVES'!$A$4:$A$313,0),MATCH(AX$5,'TERMINAL CURVES'!$A$4:$N$4,0))*IF(AN150=0,0,AP150/AN150))-(AV$8)*((AV$7-$N$5)-(INDEX(ship_curves,MATCH(AT150,'SHIP CURVES'!$A$9:$A$316,0),MATCH(CONCATENATE(AX$4,AX$5,AX$6,AX$7),'SHIP CURVES'!$A$9:$Z$9,0))-INDEX(ship_curves,MATCH(AT150,'SHIP CURVES'!$A$9:$A$316,0),MATCH(CONCATENATE(AX$4,AV$6,AX$6,AX$7),'SHIP CURVES'!$A$9:$Z$9,0)))-(INDEX(terminal_curves,MATCH(AT150,'TERMINAL CURVES'!$A$4:$A$313,0),MATCH(AX$5,'TERMINAL CURVES'!$A$4:$N$4,0))-INDEX(terminal_curves,MATCH(AT150,'TERMINAL CURVES'!$A$4:$A$313,0),MATCH(AV$6,'TERMINAL CURVES'!$A$4:$N$4,0)))*IF(AN150=0,0,AP150/AN150)))*-AN150</f>
        <v>-14684692.790710703</v>
      </c>
      <c r="AY150" s="343">
        <f t="shared" si="82"/>
        <v>-16649551.498784868</v>
      </c>
      <c r="AZ150" s="338">
        <f>(-AP150/((HLOOKUP(AX$5,port_specs,2,0)/(365.25))*(AT151-AT150)))*(INDEX(fixed_capacity_charge,MATCH(AT150,PORTS!$H$11:$H$317,0),MATCH(AX$5,PORTS!$H$11:$N$11,0))+INDEX(variable_om_charge,MATCH(AT150,PORTS!$H$318:$H$625,0),MATCH(AX$5,PORTS!$H$318:$N$318,0)))</f>
        <v>-1007939.8043816214</v>
      </c>
      <c r="BA150" s="232">
        <f t="shared" si="83"/>
        <v>-17657491.30316649</v>
      </c>
      <c r="BB150" s="241">
        <f t="shared" si="84"/>
        <v>104112.56664603204</v>
      </c>
      <c r="BC150" s="408"/>
      <c r="BD150" s="338">
        <f>+PORTS!I144+PORTS!I452</f>
        <v>1007939.8043816214</v>
      </c>
    </row>
    <row r="151" spans="1:56" x14ac:dyDescent="0.2">
      <c r="A151" s="186">
        <f t="shared" si="85"/>
        <v>40756</v>
      </c>
      <c r="B151" s="215">
        <f>+IF(AND($A151&gt;=$C$8,$A151&lt;=$C$9),1,0)*PORTS!$I$5/(365.25)*(A152-A151)</f>
        <v>5339105.9818476336</v>
      </c>
      <c r="C151" s="351">
        <f t="shared" si="64"/>
        <v>0</v>
      </c>
      <c r="D151">
        <f t="shared" si="65"/>
        <v>2011</v>
      </c>
      <c r="E151" s="186">
        <f t="shared" si="86"/>
        <v>40756</v>
      </c>
      <c r="F151" s="215">
        <f t="shared" si="66"/>
        <v>0</v>
      </c>
      <c r="G151" s="191">
        <f t="shared" si="67"/>
        <v>0</v>
      </c>
      <c r="H151" s="218">
        <f t="shared" si="68"/>
        <v>0</v>
      </c>
      <c r="I151" s="118">
        <f t="shared" si="69"/>
        <v>0</v>
      </c>
      <c r="J151" s="215">
        <f t="shared" si="70"/>
        <v>0</v>
      </c>
      <c r="K151" s="202"/>
      <c r="L151" s="186">
        <f t="shared" si="87"/>
        <v>40756</v>
      </c>
      <c r="M151" s="400">
        <f>+J151*(VLOOKUP(L151,CURVECALC!$C$6:$J$312,4,0)+N$5)</f>
        <v>0</v>
      </c>
      <c r="N151" s="208">
        <f>-F151*INDEX(ship_curves,MATCH(L151,'SHIP CURVES'!$A$9:$A$316,0),MATCH(CONCATENATE(P$4,P$5,P$6,P$7),'SHIP CURVES'!$A$9:$AZ$9,0))</f>
        <v>0</v>
      </c>
      <c r="O151" s="209">
        <f>-H151*INDEX(port_processing_fee,MATCH(L151,PORTS!$H$626:$H$933,0),MATCH(P$5,PORTS!$H$626:$Z$626,0))</f>
        <v>0</v>
      </c>
      <c r="P151" s="405">
        <f>(((VLOOKUP(L151,curvecalc,4,0))*IF(F151=0,0,J151/F151)-INDEX(ship_curves,MATCH(L151,'SHIP CURVES'!$A$9:$A$316,0),MATCH(CONCATENATE(P$4,P$5,P$6,P$7),'SHIP CURVES'!$A$9:$Z$9,0))-INDEX(terminal_curves,MATCH(L151,'TERMINAL CURVES'!$A$4:$A$313,0),MATCH(P$5,'TERMINAL CURVES'!$A$4:$N$4,0))*IF(F151=0,0,H151/F151))-(N$8)*((N$7-$N$5)-(INDEX(ship_curves,MATCH(L151,'SHIP CURVES'!$A$9:$A$316,0),MATCH(CONCATENATE(P$4,P$5,P$6,P$7),'SHIP CURVES'!$A$9:$Z$9,0))-INDEX(ship_curves,MATCH(L151,'SHIP CURVES'!$A$9:$A$316,0),MATCH(CONCATENATE(P$4,N$6,P$6,P$7),'SHIP CURVES'!$A$9:$Z$9,0)))-(INDEX(terminal_curves,MATCH(L151,'TERMINAL CURVES'!$A$4:$A$313,0),MATCH(P$5,'TERMINAL CURVES'!$A$4:$N$4,0))-INDEX(terminal_curves,MATCH(L151,'TERMINAL CURVES'!$A$4:$A$313,0),MATCH(N$6,'TERMINAL CURVES'!$A$4:$N$4,0)))*IF(F151=0,0,H151/F151)))*-F151</f>
        <v>0</v>
      </c>
      <c r="Q151" s="403">
        <f t="shared" si="71"/>
        <v>0</v>
      </c>
      <c r="R151" s="338">
        <f>(-H151/((HLOOKUP(P$5,port_specs,2,0)/(365.25))*(L152-L151)))*(INDEX(fixed_capacity_charge,MATCH(L151,PORTS!$H$11:$H$317,0),MATCH(P$5,PORTS!$H$11:$N$11,0))+INDEX(variable_om_charge,MATCH(L151,PORTS!$H$318:$H$625,0),MATCH(P$5,PORTS!$H$318:$N$318,0)))</f>
        <v>0</v>
      </c>
      <c r="S151" s="232">
        <f t="shared" si="72"/>
        <v>0</v>
      </c>
      <c r="T151" s="241">
        <f t="shared" si="73"/>
        <v>0</v>
      </c>
      <c r="V151" s="186">
        <f t="shared" si="88"/>
        <v>40756</v>
      </c>
      <c r="W151" s="215">
        <f t="shared" si="74"/>
        <v>0</v>
      </c>
      <c r="X151" s="191">
        <f t="shared" si="75"/>
        <v>0</v>
      </c>
      <c r="Y151" s="218">
        <f>+IF(AND(X$8&lt;=V151,X$9&gt;=V151),+MIN($B151-SUMIF($H$17:X$17,Y$17,$H151:X151),((INDEX(ROUTE_PER_DAY_BY_SHIP,MATCH(CONCATENATE(X$4,X$5,X$7),ROUTE_PER_DAY_ROUTES,0),MATCH(X$6,ROUTE_PER_DAY_SHIPS,0))*(V152-V151))-(INDEX(ROUTE_PER_DAY_BY_SHIP,MATCH(CONCATENATE(X$4,X$5,X$7),ROUTE_PER_DAY_ROUTES,0),MATCH(X$6,ROUTE_PER_DAY_SHIPS,0))*(V152-V151))*HLOOKUP(X$6,SHIPS,7,0)*INDEX(LADEN_VOYAGE_DAYS,MATCH(CONCATENATE(X$4,X$5,X$7),LADEN_VOYAGE_ROUTES,0),MATCH(X$6,LADEN_VOYAGE_SHIPS,0)))),0)</f>
        <v>0</v>
      </c>
      <c r="Z151" s="118">
        <f t="shared" si="76"/>
        <v>0</v>
      </c>
      <c r="AA151" s="215">
        <f t="shared" si="62"/>
        <v>0</v>
      </c>
      <c r="AB151" s="202"/>
      <c r="AC151" s="186">
        <f t="shared" si="89"/>
        <v>40756</v>
      </c>
      <c r="AD151" s="232">
        <f>+AA151*(VLOOKUP(AC151,CURVECALC!$C$6:$J$312,4,0)+AE$5)</f>
        <v>0</v>
      </c>
      <c r="AE151" s="208">
        <f>-W151*INDEX(ship_curves,MATCH(AC151,'SHIP CURVES'!$A$9:$A$316,0),MATCH(CONCATENATE(AG$4,AG$5,AG$6,AG$7),'SHIP CURVES'!$A$9:$AZ$9,0))</f>
        <v>0</v>
      </c>
      <c r="AF151" s="209">
        <f>-Y151*INDEX(port_processing_fee,MATCH(AC151,PORTS!$H$626:$H$933,0),MATCH(AG$5,PORTS!$H$626:$Z$626,0))</f>
        <v>0</v>
      </c>
      <c r="AG151" s="405">
        <f>(((VLOOKUP(AC151,curvecalc,4,0))*IF(W151=0,0,AA151/W151)-INDEX(ship_curves,MATCH(AC151,'SHIP CURVES'!$A$9:$A$316,0),MATCH(CONCATENATE(AG$4,AG$5,AG$6,AG$7),'SHIP CURVES'!$A$9:$Z$9,0))-INDEX(terminal_curves,MATCH(AC151,'TERMINAL CURVES'!$A$4:$A$313,0),MATCH(AG$5,'TERMINAL CURVES'!$A$4:$N$4,0))*IF(W151=0,0,Y151/W151))-(AE$8)*((AE$7-$N$5)-(INDEX(ship_curves,MATCH(AC151,'SHIP CURVES'!$A$9:$A$316,0),MATCH(CONCATENATE(AG$4,AG$5,AG$6,AG$7),'SHIP CURVES'!$A$9:$Z$9,0))-INDEX(ship_curves,MATCH(AC151,'SHIP CURVES'!$A$9:$A$316,0),MATCH(CONCATENATE(AG$4,AE$6,AG$6,AG$7),'SHIP CURVES'!$A$9:$Z$9,0)))-(INDEX(terminal_curves,MATCH(AC151,'TERMINAL CURVES'!$A$4:$A$313,0),MATCH(AG$5,'TERMINAL CURVES'!$A$4:$N$4,0))-INDEX(terminal_curves,MATCH(AC151,'TERMINAL CURVES'!$A$4:$A$313,0),MATCH(AE$6,'TERMINAL CURVES'!$A$4:$N$4,0)))*IF(W151=0,0,Y151/W151)))*-W151</f>
        <v>0</v>
      </c>
      <c r="AH151" s="343">
        <f t="shared" si="77"/>
        <v>0</v>
      </c>
      <c r="AI151" s="338">
        <f>(-Y151/((HLOOKUP(AG$5,port_specs,2,0)/(365.25))*(AC152-AC151)))*(INDEX(fixed_capacity_charge,MATCH(AC151,PORTS!$H$11:$H$317,0),MATCH(AG$5,PORTS!$H$11:$N$11,0))+INDEX(variable_om_charge,MATCH(AC151,PORTS!$H$318:$H$625,0),MATCH(AG$5,PORTS!$H$318:$N$318,0)))</f>
        <v>0</v>
      </c>
      <c r="AJ151" s="232">
        <f t="shared" si="78"/>
        <v>0</v>
      </c>
      <c r="AK151" s="241">
        <f t="shared" si="79"/>
        <v>0</v>
      </c>
      <c r="AM151" s="186">
        <f t="shared" si="90"/>
        <v>40756</v>
      </c>
      <c r="AN151" s="215">
        <f t="shared" si="80"/>
        <v>5395761.4773599124</v>
      </c>
      <c r="AO151" s="191">
        <f t="shared" si="81"/>
        <v>-56655.495512278751</v>
      </c>
      <c r="AP151" s="218">
        <f>+IF(AND(AO$8&lt;=AM151,AO$9&gt;=AM151),+MIN($B151-SUMIF($H$17:AO$17,AP$17,$H151:AO151),((INDEX(ROUTE_PER_DAY_BY_SHIP,MATCH(CONCATENATE(AO$4,AO$5,AO$7),ROUTE_PER_DAY_ROUTES,0),MATCH(AO$6,ROUTE_PER_DAY_SHIPS,0))*(AM152-AM151))-(INDEX(ROUTE_PER_DAY_BY_SHIP,MATCH(CONCATENATE(AO$4,AO$5,AO$7),ROUTE_PER_DAY_ROUTES,0),MATCH(AO$6,ROUTE_PER_DAY_SHIPS,0))*(AM152-AM151))*HLOOKUP(AO$6,SHIPS,7,0)*INDEX(LADEN_VOYAGE_DAYS,MATCH(CONCATENATE(AO$4,AO$5,AO$7),LADEN_VOYAGE_ROUTES,0),MATCH(AO$6,LADEN_VOYAGE_SHIPS,0)))),0)</f>
        <v>5339105.9818476336</v>
      </c>
      <c r="AQ151" s="118">
        <f>-(AP151)*PORTS!$I$6</f>
        <v>-133477.64954619083</v>
      </c>
      <c r="AR151" s="215">
        <f t="shared" si="63"/>
        <v>5205628.3323014425</v>
      </c>
      <c r="AS151" s="202"/>
      <c r="AT151" s="186">
        <f t="shared" si="91"/>
        <v>40756</v>
      </c>
      <c r="AU151" s="232">
        <f>+AR151*(VLOOKUP(AT151,CURVECALC!$C$6:$J$312,4,0)+AV$5)</f>
        <v>18073941.569750607</v>
      </c>
      <c r="AV151" s="208">
        <f>-AN151*INDEX(ship_curves,MATCH(AT151,'SHIP CURVES'!$A$9:$A$316,0),MATCH(CONCATENATE(AX$4,AX$5,AX$6,AX$7),'SHIP CURVES'!$A$9:$AZ$9,0))</f>
        <v>-1803153.0107408122</v>
      </c>
      <c r="AW151" s="209">
        <f>-AP151*INDEX(port_processing_fee,MATCH(AT151,PORTS!$H$626:$H$933,0),MATCH(AX$5,PORTS!$H$626:$Z$626,0))</f>
        <v>-162434.44373424735</v>
      </c>
      <c r="AX151" s="405">
        <f>(((VLOOKUP(AT151,curvecalc,4,0))*IF(AN151=0,0,AR151/AN151)-INDEX(ship_curves,MATCH(AT151,'SHIP CURVES'!$A$9:$A$316,0),MATCH(CONCATENATE(AX$4,AX$5,AX$6,AX$7),'SHIP CURVES'!$A$9:$Z$9,0))-INDEX(terminal_curves,MATCH(AT151,'TERMINAL CURVES'!$A$4:$A$313,0),MATCH(AX$5,'TERMINAL CURVES'!$A$4:$N$4,0))*IF(AN151=0,0,AP151/AN151))-(AV$8)*((AV$7-$N$5)-(INDEX(ship_curves,MATCH(AT151,'SHIP CURVES'!$A$9:$A$316,0),MATCH(CONCATENATE(AX$4,AX$5,AX$6,AX$7),'SHIP CURVES'!$A$9:$Z$9,0))-INDEX(ship_curves,MATCH(AT151,'SHIP CURVES'!$A$9:$A$316,0),MATCH(CONCATENATE(AX$4,AV$6,AX$6,AX$7),'SHIP CURVES'!$A$9:$Z$9,0)))-(INDEX(terminal_curves,MATCH(AT151,'TERMINAL CURVES'!$A$4:$A$313,0),MATCH(AX$5,'TERMINAL CURVES'!$A$4:$N$4,0))-INDEX(terminal_curves,MATCH(AT151,'TERMINAL CURVES'!$A$4:$A$313,0),MATCH(AV$6,'TERMINAL CURVES'!$A$4:$N$4,0)))*IF(AN151=0,0,AP151/AN151)))*-AN151</f>
        <v>-14995757.209629696</v>
      </c>
      <c r="AY151" s="343">
        <f t="shared" si="82"/>
        <v>-16961344.664104756</v>
      </c>
      <c r="AZ151" s="338">
        <f>(-AP151/((HLOOKUP(AX$5,port_specs,2,0)/(365.25))*(AT152-AT151)))*(INDEX(fixed_capacity_charge,MATCH(AT151,PORTS!$H$11:$H$317,0),MATCH(AX$5,PORTS!$H$11:$N$11,0))+INDEX(variable_om_charge,MATCH(AT151,PORTS!$H$318:$H$625,0),MATCH(AX$5,PORTS!$H$318:$N$318,0)))</f>
        <v>-1008484.3389998227</v>
      </c>
      <c r="BA151" s="232">
        <f t="shared" si="83"/>
        <v>-17969829.003104579</v>
      </c>
      <c r="BB151" s="241">
        <f t="shared" si="84"/>
        <v>104112.56664602831</v>
      </c>
      <c r="BC151" s="408"/>
      <c r="BD151" s="338">
        <f>+PORTS!I145+PORTS!I453</f>
        <v>1008484.3389998227</v>
      </c>
    </row>
    <row r="152" spans="1:56" x14ac:dyDescent="0.2">
      <c r="A152" s="186">
        <f t="shared" si="85"/>
        <v>40787</v>
      </c>
      <c r="B152" s="215">
        <f>+IF(AND($A152&gt;=$C$8,$A152&lt;=$C$9),1,0)*PORTS!$I$5/(365.25)*(A153-A152)</f>
        <v>5166876.756626742</v>
      </c>
      <c r="C152" s="351">
        <f t="shared" si="64"/>
        <v>0</v>
      </c>
      <c r="D152">
        <f t="shared" si="65"/>
        <v>2011</v>
      </c>
      <c r="E152" s="186">
        <f t="shared" si="86"/>
        <v>40787</v>
      </c>
      <c r="F152" s="215">
        <f t="shared" si="66"/>
        <v>0</v>
      </c>
      <c r="G152" s="191">
        <f t="shared" si="67"/>
        <v>0</v>
      </c>
      <c r="H152" s="218">
        <f t="shared" si="68"/>
        <v>0</v>
      </c>
      <c r="I152" s="118">
        <f t="shared" si="69"/>
        <v>0</v>
      </c>
      <c r="J152" s="215">
        <f t="shared" si="70"/>
        <v>0</v>
      </c>
      <c r="K152" s="202"/>
      <c r="L152" s="186">
        <f t="shared" si="87"/>
        <v>40787</v>
      </c>
      <c r="M152" s="400">
        <f>+J152*(VLOOKUP(L152,CURVECALC!$C$6:$J$312,4,0)+N$5)</f>
        <v>0</v>
      </c>
      <c r="N152" s="208">
        <f>-F152*INDEX(ship_curves,MATCH(L152,'SHIP CURVES'!$A$9:$A$316,0),MATCH(CONCATENATE(P$4,P$5,P$6,P$7),'SHIP CURVES'!$A$9:$AZ$9,0))</f>
        <v>0</v>
      </c>
      <c r="O152" s="209">
        <f>-H152*INDEX(port_processing_fee,MATCH(L152,PORTS!$H$626:$H$933,0),MATCH(P$5,PORTS!$H$626:$Z$626,0))</f>
        <v>0</v>
      </c>
      <c r="P152" s="405">
        <f>(((VLOOKUP(L152,curvecalc,4,0))*IF(F152=0,0,J152/F152)-INDEX(ship_curves,MATCH(L152,'SHIP CURVES'!$A$9:$A$316,0),MATCH(CONCATENATE(P$4,P$5,P$6,P$7),'SHIP CURVES'!$A$9:$Z$9,0))-INDEX(terminal_curves,MATCH(L152,'TERMINAL CURVES'!$A$4:$A$313,0),MATCH(P$5,'TERMINAL CURVES'!$A$4:$N$4,0))*IF(F152=0,0,H152/F152))-(N$8)*((N$7-$N$5)-(INDEX(ship_curves,MATCH(L152,'SHIP CURVES'!$A$9:$A$316,0),MATCH(CONCATENATE(P$4,P$5,P$6,P$7),'SHIP CURVES'!$A$9:$Z$9,0))-INDEX(ship_curves,MATCH(L152,'SHIP CURVES'!$A$9:$A$316,0),MATCH(CONCATENATE(P$4,N$6,P$6,P$7),'SHIP CURVES'!$A$9:$Z$9,0)))-(INDEX(terminal_curves,MATCH(L152,'TERMINAL CURVES'!$A$4:$A$313,0),MATCH(P$5,'TERMINAL CURVES'!$A$4:$N$4,0))-INDEX(terminal_curves,MATCH(L152,'TERMINAL CURVES'!$A$4:$A$313,0),MATCH(N$6,'TERMINAL CURVES'!$A$4:$N$4,0)))*IF(F152=0,0,H152/F152)))*-F152</f>
        <v>0</v>
      </c>
      <c r="Q152" s="403">
        <f t="shared" si="71"/>
        <v>0</v>
      </c>
      <c r="R152" s="338">
        <f>(-H152/((HLOOKUP(P$5,port_specs,2,0)/(365.25))*(L153-L152)))*(INDEX(fixed_capacity_charge,MATCH(L152,PORTS!$H$11:$H$317,0),MATCH(P$5,PORTS!$H$11:$N$11,0))+INDEX(variable_om_charge,MATCH(L152,PORTS!$H$318:$H$625,0),MATCH(P$5,PORTS!$H$318:$N$318,0)))</f>
        <v>0</v>
      </c>
      <c r="S152" s="232">
        <f t="shared" si="72"/>
        <v>0</v>
      </c>
      <c r="T152" s="241">
        <f t="shared" si="73"/>
        <v>0</v>
      </c>
      <c r="V152" s="186">
        <f t="shared" si="88"/>
        <v>40787</v>
      </c>
      <c r="W152" s="215">
        <f t="shared" si="74"/>
        <v>0</v>
      </c>
      <c r="X152" s="191">
        <f t="shared" si="75"/>
        <v>0</v>
      </c>
      <c r="Y152" s="218">
        <f>+IF(AND(X$8&lt;=V152,X$9&gt;=V152),+MIN($B152-SUMIF($H$17:X$17,Y$17,$H152:X152),((INDEX(ROUTE_PER_DAY_BY_SHIP,MATCH(CONCATENATE(X$4,X$5,X$7),ROUTE_PER_DAY_ROUTES,0),MATCH(X$6,ROUTE_PER_DAY_SHIPS,0))*(V153-V152))-(INDEX(ROUTE_PER_DAY_BY_SHIP,MATCH(CONCATENATE(X$4,X$5,X$7),ROUTE_PER_DAY_ROUTES,0),MATCH(X$6,ROUTE_PER_DAY_SHIPS,0))*(V153-V152))*HLOOKUP(X$6,SHIPS,7,0)*INDEX(LADEN_VOYAGE_DAYS,MATCH(CONCATENATE(X$4,X$5,X$7),LADEN_VOYAGE_ROUTES,0),MATCH(X$6,LADEN_VOYAGE_SHIPS,0)))),0)</f>
        <v>0</v>
      </c>
      <c r="Z152" s="118">
        <f t="shared" si="76"/>
        <v>0</v>
      </c>
      <c r="AA152" s="215">
        <f t="shared" si="62"/>
        <v>0</v>
      </c>
      <c r="AB152" s="202"/>
      <c r="AC152" s="186">
        <f t="shared" si="89"/>
        <v>40787</v>
      </c>
      <c r="AD152" s="232">
        <f>+AA152*(VLOOKUP(AC152,CURVECALC!$C$6:$J$312,4,0)+AE$5)</f>
        <v>0</v>
      </c>
      <c r="AE152" s="208">
        <f>-W152*INDEX(ship_curves,MATCH(AC152,'SHIP CURVES'!$A$9:$A$316,0),MATCH(CONCATENATE(AG$4,AG$5,AG$6,AG$7),'SHIP CURVES'!$A$9:$AZ$9,0))</f>
        <v>0</v>
      </c>
      <c r="AF152" s="209">
        <f>-Y152*INDEX(port_processing_fee,MATCH(AC152,PORTS!$H$626:$H$933,0),MATCH(AG$5,PORTS!$H$626:$Z$626,0))</f>
        <v>0</v>
      </c>
      <c r="AG152" s="405">
        <f>(((VLOOKUP(AC152,curvecalc,4,0))*IF(W152=0,0,AA152/W152)-INDEX(ship_curves,MATCH(AC152,'SHIP CURVES'!$A$9:$A$316,0),MATCH(CONCATENATE(AG$4,AG$5,AG$6,AG$7),'SHIP CURVES'!$A$9:$Z$9,0))-INDEX(terminal_curves,MATCH(AC152,'TERMINAL CURVES'!$A$4:$A$313,0),MATCH(AG$5,'TERMINAL CURVES'!$A$4:$N$4,0))*IF(W152=0,0,Y152/W152))-(AE$8)*((AE$7-$N$5)-(INDEX(ship_curves,MATCH(AC152,'SHIP CURVES'!$A$9:$A$316,0),MATCH(CONCATENATE(AG$4,AG$5,AG$6,AG$7),'SHIP CURVES'!$A$9:$Z$9,0))-INDEX(ship_curves,MATCH(AC152,'SHIP CURVES'!$A$9:$A$316,0),MATCH(CONCATENATE(AG$4,AE$6,AG$6,AG$7),'SHIP CURVES'!$A$9:$Z$9,0)))-(INDEX(terminal_curves,MATCH(AC152,'TERMINAL CURVES'!$A$4:$A$313,0),MATCH(AG$5,'TERMINAL CURVES'!$A$4:$N$4,0))-INDEX(terminal_curves,MATCH(AC152,'TERMINAL CURVES'!$A$4:$A$313,0),MATCH(AE$6,'TERMINAL CURVES'!$A$4:$N$4,0)))*IF(W152=0,0,Y152/W152)))*-W152</f>
        <v>0</v>
      </c>
      <c r="AH152" s="343">
        <f t="shared" si="77"/>
        <v>0</v>
      </c>
      <c r="AI152" s="338">
        <f>(-Y152/((HLOOKUP(AG$5,port_specs,2,0)/(365.25))*(AC153-AC152)))*(INDEX(fixed_capacity_charge,MATCH(AC152,PORTS!$H$11:$H$317,0),MATCH(AG$5,PORTS!$H$11:$N$11,0))+INDEX(variable_om_charge,MATCH(AC152,PORTS!$H$318:$H$625,0),MATCH(AG$5,PORTS!$H$318:$N$318,0)))</f>
        <v>0</v>
      </c>
      <c r="AJ152" s="232">
        <f t="shared" si="78"/>
        <v>0</v>
      </c>
      <c r="AK152" s="241">
        <f t="shared" si="79"/>
        <v>0</v>
      </c>
      <c r="AM152" s="186">
        <f t="shared" si="90"/>
        <v>40787</v>
      </c>
      <c r="AN152" s="215">
        <f t="shared" si="80"/>
        <v>5221704.655509592</v>
      </c>
      <c r="AO152" s="191">
        <f t="shared" si="81"/>
        <v>-54827.898882850073</v>
      </c>
      <c r="AP152" s="218">
        <f>+IF(AND(AO$8&lt;=AM152,AO$9&gt;=AM152),+MIN($B152-SUMIF($H$17:AO$17,AP$17,$H152:AO152),((INDEX(ROUTE_PER_DAY_BY_SHIP,MATCH(CONCATENATE(AO$4,AO$5,AO$7),ROUTE_PER_DAY_ROUTES,0),MATCH(AO$6,ROUTE_PER_DAY_SHIPS,0))*(AM153-AM152))-(INDEX(ROUTE_PER_DAY_BY_SHIP,MATCH(CONCATENATE(AO$4,AO$5,AO$7),ROUTE_PER_DAY_ROUTES,0),MATCH(AO$6,ROUTE_PER_DAY_SHIPS,0))*(AM153-AM152))*HLOOKUP(AO$6,SHIPS,7,0)*INDEX(LADEN_VOYAGE_DAYS,MATCH(CONCATENATE(AO$4,AO$5,AO$7),LADEN_VOYAGE_ROUTES,0),MATCH(AO$6,LADEN_VOYAGE_SHIPS,0)))),0)</f>
        <v>5166876.756626742</v>
      </c>
      <c r="AQ152" s="118">
        <f>-(AP152)*PORTS!$I$6</f>
        <v>-129171.91891566856</v>
      </c>
      <c r="AR152" s="215">
        <f t="shared" si="63"/>
        <v>5037704.8377110735</v>
      </c>
      <c r="AS152" s="202"/>
      <c r="AT152" s="186">
        <f t="shared" si="91"/>
        <v>40787</v>
      </c>
      <c r="AU152" s="232">
        <f>+AR152*(VLOOKUP(AT152,CURVECALC!$C$6:$J$312,4,0)+AV$5)</f>
        <v>17400232.509454049</v>
      </c>
      <c r="AV152" s="208">
        <f>-AN152*INDEX(ship_curves,MATCH(AT152,'SHIP CURVES'!$A$9:$A$316,0),MATCH(CONCATENATE(AX$4,AX$5,AX$6,AX$7),'SHIP CURVES'!$A$9:$AZ$9,0))</f>
        <v>-1745529.5774986173</v>
      </c>
      <c r="AW152" s="209">
        <f>-AP152*INDEX(port_processing_fee,MATCH(AT152,PORTS!$H$626:$H$933,0),MATCH(AX$5,PORTS!$H$626:$Z$626,0))</f>
        <v>-157358.36736755213</v>
      </c>
      <c r="AX152" s="405">
        <f>(((VLOOKUP(AT152,curvecalc,4,0))*IF(AN152=0,0,AR152/AN152)-INDEX(ship_curves,MATCH(AT152,'SHIP CURVES'!$A$9:$A$316,0),MATCH(CONCATENATE(AX$4,AX$5,AX$6,AX$7),'SHIP CURVES'!$A$9:$Z$9,0))-INDEX(terminal_curves,MATCH(AT152,'TERMINAL CURVES'!$A$4:$A$313,0),MATCH(AX$5,'TERMINAL CURVES'!$A$4:$N$4,0))*IF(AN152=0,0,AP152/AN152))-(AV$8)*((AV$7-$N$5)-(INDEX(ship_curves,MATCH(AT152,'SHIP CURVES'!$A$9:$A$316,0),MATCH(CONCATENATE(AX$4,AX$5,AX$6,AX$7),'SHIP CURVES'!$A$9:$Z$9,0))-INDEX(ship_curves,MATCH(AT152,'SHIP CURVES'!$A$9:$A$316,0),MATCH(CONCATENATE(AX$4,AV$6,AX$6,AX$7),'SHIP CURVES'!$A$9:$Z$9,0)))-(INDEX(terminal_curves,MATCH(AT152,'TERMINAL CURVES'!$A$4:$A$313,0),MATCH(AX$5,'TERMINAL CURVES'!$A$4:$N$4,0))-INDEX(terminal_curves,MATCH(AT152,'TERMINAL CURVES'!$A$4:$A$313,0),MATCH(AV$6,'TERMINAL CURVES'!$A$4:$N$4,0)))*IF(AN152=0,0,AP152/AN152)))*-AN152</f>
        <v>-14387561.026992073</v>
      </c>
      <c r="AY152" s="343">
        <f t="shared" si="82"/>
        <v>-16290448.971858243</v>
      </c>
      <c r="AZ152" s="338">
        <f>(-AP152/((HLOOKUP(AX$5,port_specs,2,0)/(365.25))*(AT153-AT152)))*(INDEX(fixed_capacity_charge,MATCH(AT152,PORTS!$H$11:$H$317,0),MATCH(AX$5,PORTS!$H$11:$N$11,0))+INDEX(variable_om_charge,MATCH(AT152,PORTS!$H$318:$H$625,0),MATCH(AX$5,PORTS!$H$318:$N$318,0)))</f>
        <v>-1009029.4408415847</v>
      </c>
      <c r="BA152" s="232">
        <f t="shared" si="83"/>
        <v>-17299478.412699826</v>
      </c>
      <c r="BB152" s="241">
        <f t="shared" si="84"/>
        <v>100754.09675422311</v>
      </c>
      <c r="BC152" s="408"/>
      <c r="BD152" s="338">
        <f>+PORTS!I146+PORTS!I454</f>
        <v>1009029.4408415847</v>
      </c>
    </row>
    <row r="153" spans="1:56" x14ac:dyDescent="0.2">
      <c r="A153" s="186">
        <f t="shared" si="85"/>
        <v>40817</v>
      </c>
      <c r="B153" s="215">
        <f>+IF(AND($A153&gt;=$C$8,$A153&lt;=$C$9),1,0)*PORTS!$I$5/(365.25)*(A154-A153)</f>
        <v>5339105.9818476336</v>
      </c>
      <c r="C153" s="351">
        <f t="shared" si="64"/>
        <v>0</v>
      </c>
      <c r="D153">
        <f t="shared" si="65"/>
        <v>2011</v>
      </c>
      <c r="E153" s="186">
        <f t="shared" si="86"/>
        <v>40817</v>
      </c>
      <c r="F153" s="215">
        <f t="shared" si="66"/>
        <v>0</v>
      </c>
      <c r="G153" s="191">
        <f t="shared" si="67"/>
        <v>0</v>
      </c>
      <c r="H153" s="218">
        <f t="shared" si="68"/>
        <v>0</v>
      </c>
      <c r="I153" s="118">
        <f t="shared" si="69"/>
        <v>0</v>
      </c>
      <c r="J153" s="215">
        <f t="shared" si="70"/>
        <v>0</v>
      </c>
      <c r="K153" s="202"/>
      <c r="L153" s="186">
        <f t="shared" si="87"/>
        <v>40817</v>
      </c>
      <c r="M153" s="400">
        <f>+J153*(VLOOKUP(L153,CURVECALC!$C$6:$J$312,4,0)+N$5)</f>
        <v>0</v>
      </c>
      <c r="N153" s="208">
        <f>-F153*INDEX(ship_curves,MATCH(L153,'SHIP CURVES'!$A$9:$A$316,0),MATCH(CONCATENATE(P$4,P$5,P$6,P$7),'SHIP CURVES'!$A$9:$AZ$9,0))</f>
        <v>0</v>
      </c>
      <c r="O153" s="209">
        <f>-H153*INDEX(port_processing_fee,MATCH(L153,PORTS!$H$626:$H$933,0),MATCH(P$5,PORTS!$H$626:$Z$626,0))</f>
        <v>0</v>
      </c>
      <c r="P153" s="405">
        <f>(((VLOOKUP(L153,curvecalc,4,0))*IF(F153=0,0,J153/F153)-INDEX(ship_curves,MATCH(L153,'SHIP CURVES'!$A$9:$A$316,0),MATCH(CONCATENATE(P$4,P$5,P$6,P$7),'SHIP CURVES'!$A$9:$Z$9,0))-INDEX(terminal_curves,MATCH(L153,'TERMINAL CURVES'!$A$4:$A$313,0),MATCH(P$5,'TERMINAL CURVES'!$A$4:$N$4,0))*IF(F153=0,0,H153/F153))-(N$8)*((N$7-$N$5)-(INDEX(ship_curves,MATCH(L153,'SHIP CURVES'!$A$9:$A$316,0),MATCH(CONCATENATE(P$4,P$5,P$6,P$7),'SHIP CURVES'!$A$9:$Z$9,0))-INDEX(ship_curves,MATCH(L153,'SHIP CURVES'!$A$9:$A$316,0),MATCH(CONCATENATE(P$4,N$6,P$6,P$7),'SHIP CURVES'!$A$9:$Z$9,0)))-(INDEX(terminal_curves,MATCH(L153,'TERMINAL CURVES'!$A$4:$A$313,0),MATCH(P$5,'TERMINAL CURVES'!$A$4:$N$4,0))-INDEX(terminal_curves,MATCH(L153,'TERMINAL CURVES'!$A$4:$A$313,0),MATCH(N$6,'TERMINAL CURVES'!$A$4:$N$4,0)))*IF(F153=0,0,H153/F153)))*-F153</f>
        <v>0</v>
      </c>
      <c r="Q153" s="403">
        <f t="shared" si="71"/>
        <v>0</v>
      </c>
      <c r="R153" s="338">
        <f>(-H153/((HLOOKUP(P$5,port_specs,2,0)/(365.25))*(L154-L153)))*(INDEX(fixed_capacity_charge,MATCH(L153,PORTS!$H$11:$H$317,0),MATCH(P$5,PORTS!$H$11:$N$11,0))+INDEX(variable_om_charge,MATCH(L153,PORTS!$H$318:$H$625,0),MATCH(P$5,PORTS!$H$318:$N$318,0)))</f>
        <v>0</v>
      </c>
      <c r="S153" s="232">
        <f t="shared" si="72"/>
        <v>0</v>
      </c>
      <c r="T153" s="241">
        <f t="shared" si="73"/>
        <v>0</v>
      </c>
      <c r="V153" s="186">
        <f t="shared" si="88"/>
        <v>40817</v>
      </c>
      <c r="W153" s="215">
        <f t="shared" si="74"/>
        <v>0</v>
      </c>
      <c r="X153" s="191">
        <f t="shared" si="75"/>
        <v>0</v>
      </c>
      <c r="Y153" s="218">
        <f>+IF(AND(X$8&lt;=V153,X$9&gt;=V153),+MIN($B153-SUMIF($H$17:X$17,Y$17,$H153:X153),((INDEX(ROUTE_PER_DAY_BY_SHIP,MATCH(CONCATENATE(X$4,X$5,X$7),ROUTE_PER_DAY_ROUTES,0),MATCH(X$6,ROUTE_PER_DAY_SHIPS,0))*(V154-V153))-(INDEX(ROUTE_PER_DAY_BY_SHIP,MATCH(CONCATENATE(X$4,X$5,X$7),ROUTE_PER_DAY_ROUTES,0),MATCH(X$6,ROUTE_PER_DAY_SHIPS,0))*(V154-V153))*HLOOKUP(X$6,SHIPS,7,0)*INDEX(LADEN_VOYAGE_DAYS,MATCH(CONCATENATE(X$4,X$5,X$7),LADEN_VOYAGE_ROUTES,0),MATCH(X$6,LADEN_VOYAGE_SHIPS,0)))),0)</f>
        <v>0</v>
      </c>
      <c r="Z153" s="118">
        <f t="shared" si="76"/>
        <v>0</v>
      </c>
      <c r="AA153" s="215">
        <f t="shared" si="62"/>
        <v>0</v>
      </c>
      <c r="AB153" s="202"/>
      <c r="AC153" s="186">
        <f t="shared" si="89"/>
        <v>40817</v>
      </c>
      <c r="AD153" s="232">
        <f>+AA153*(VLOOKUP(AC153,CURVECALC!$C$6:$J$312,4,0)+AE$5)</f>
        <v>0</v>
      </c>
      <c r="AE153" s="208">
        <f>-W153*INDEX(ship_curves,MATCH(AC153,'SHIP CURVES'!$A$9:$A$316,0),MATCH(CONCATENATE(AG$4,AG$5,AG$6,AG$7),'SHIP CURVES'!$A$9:$AZ$9,0))</f>
        <v>0</v>
      </c>
      <c r="AF153" s="209">
        <f>-Y153*INDEX(port_processing_fee,MATCH(AC153,PORTS!$H$626:$H$933,0),MATCH(AG$5,PORTS!$H$626:$Z$626,0))</f>
        <v>0</v>
      </c>
      <c r="AG153" s="405">
        <f>(((VLOOKUP(AC153,curvecalc,4,0))*IF(W153=0,0,AA153/W153)-INDEX(ship_curves,MATCH(AC153,'SHIP CURVES'!$A$9:$A$316,0),MATCH(CONCATENATE(AG$4,AG$5,AG$6,AG$7),'SHIP CURVES'!$A$9:$Z$9,0))-INDEX(terminal_curves,MATCH(AC153,'TERMINAL CURVES'!$A$4:$A$313,0),MATCH(AG$5,'TERMINAL CURVES'!$A$4:$N$4,0))*IF(W153=0,0,Y153/W153))-(AE$8)*((AE$7-$N$5)-(INDEX(ship_curves,MATCH(AC153,'SHIP CURVES'!$A$9:$A$316,0),MATCH(CONCATENATE(AG$4,AG$5,AG$6,AG$7),'SHIP CURVES'!$A$9:$Z$9,0))-INDEX(ship_curves,MATCH(AC153,'SHIP CURVES'!$A$9:$A$316,0),MATCH(CONCATENATE(AG$4,AE$6,AG$6,AG$7),'SHIP CURVES'!$A$9:$Z$9,0)))-(INDEX(terminal_curves,MATCH(AC153,'TERMINAL CURVES'!$A$4:$A$313,0),MATCH(AG$5,'TERMINAL CURVES'!$A$4:$N$4,0))-INDEX(terminal_curves,MATCH(AC153,'TERMINAL CURVES'!$A$4:$A$313,0),MATCH(AE$6,'TERMINAL CURVES'!$A$4:$N$4,0)))*IF(W153=0,0,Y153/W153)))*-W153</f>
        <v>0</v>
      </c>
      <c r="AH153" s="343">
        <f t="shared" si="77"/>
        <v>0</v>
      </c>
      <c r="AI153" s="338">
        <f>(-Y153/((HLOOKUP(AG$5,port_specs,2,0)/(365.25))*(AC154-AC153)))*(INDEX(fixed_capacity_charge,MATCH(AC153,PORTS!$H$11:$H$317,0),MATCH(AG$5,PORTS!$H$11:$N$11,0))+INDEX(variable_om_charge,MATCH(AC153,PORTS!$H$318:$H$625,0),MATCH(AG$5,PORTS!$H$318:$N$318,0)))</f>
        <v>0</v>
      </c>
      <c r="AJ153" s="232">
        <f t="shared" si="78"/>
        <v>0</v>
      </c>
      <c r="AK153" s="241">
        <f t="shared" si="79"/>
        <v>0</v>
      </c>
      <c r="AM153" s="186">
        <f t="shared" si="90"/>
        <v>40817</v>
      </c>
      <c r="AN153" s="215">
        <f t="shared" si="80"/>
        <v>5395761.4773599124</v>
      </c>
      <c r="AO153" s="191">
        <f t="shared" si="81"/>
        <v>-56655.495512278751</v>
      </c>
      <c r="AP153" s="218">
        <f>+IF(AND(AO$8&lt;=AM153,AO$9&gt;=AM153),+MIN($B153-SUMIF($H$17:AO$17,AP$17,$H153:AO153),((INDEX(ROUTE_PER_DAY_BY_SHIP,MATCH(CONCATENATE(AO$4,AO$5,AO$7),ROUTE_PER_DAY_ROUTES,0),MATCH(AO$6,ROUTE_PER_DAY_SHIPS,0))*(AM154-AM153))-(INDEX(ROUTE_PER_DAY_BY_SHIP,MATCH(CONCATENATE(AO$4,AO$5,AO$7),ROUTE_PER_DAY_ROUTES,0),MATCH(AO$6,ROUTE_PER_DAY_SHIPS,0))*(AM154-AM153))*HLOOKUP(AO$6,SHIPS,7,0)*INDEX(LADEN_VOYAGE_DAYS,MATCH(CONCATENATE(AO$4,AO$5,AO$7),LADEN_VOYAGE_ROUTES,0),MATCH(AO$6,LADEN_VOYAGE_SHIPS,0)))),0)</f>
        <v>5339105.9818476336</v>
      </c>
      <c r="AQ153" s="118">
        <f>-(AP153)*PORTS!$I$6</f>
        <v>-133477.64954619083</v>
      </c>
      <c r="AR153" s="215">
        <f t="shared" si="63"/>
        <v>5205628.3323014425</v>
      </c>
      <c r="AS153" s="202"/>
      <c r="AT153" s="186">
        <f t="shared" si="91"/>
        <v>40817</v>
      </c>
      <c r="AU153" s="232">
        <f>+AR153*(VLOOKUP(AT153,CURVECALC!$C$6:$J$312,4,0)+AV$5)</f>
        <v>18042707.799756799</v>
      </c>
      <c r="AV153" s="208">
        <f>-AN153*INDEX(ship_curves,MATCH(AT153,'SHIP CURVES'!$A$9:$A$316,0),MATCH(CONCATENATE(AX$4,AX$5,AX$6,AX$7),'SHIP CURVES'!$A$9:$AZ$9,0))</f>
        <v>-1804275.9512688473</v>
      </c>
      <c r="AW153" s="209">
        <f>-AP153*INDEX(port_processing_fee,MATCH(AT153,PORTS!$H$626:$H$933,0),MATCH(AX$5,PORTS!$H$626:$Z$626,0))</f>
        <v>-162773.025078012</v>
      </c>
      <c r="AX153" s="405">
        <f>(((VLOOKUP(AT153,curvecalc,4,0))*IF(AN153=0,0,AR153/AN153)-INDEX(ship_curves,MATCH(AT153,'SHIP CURVES'!$A$9:$A$316,0),MATCH(CONCATENATE(AX$4,AX$5,AX$6,AX$7),'SHIP CURVES'!$A$9:$Z$9,0))-INDEX(terminal_curves,MATCH(AT153,'TERMINAL CURVES'!$A$4:$A$313,0),MATCH(AX$5,'TERMINAL CURVES'!$A$4:$N$4,0))*IF(AN153=0,0,AP153/AN153))-(AV$8)*((AV$7-$N$5)-(INDEX(ship_curves,MATCH(AT153,'SHIP CURVES'!$A$9:$A$316,0),MATCH(CONCATENATE(AX$4,AX$5,AX$6,AX$7),'SHIP CURVES'!$A$9:$Z$9,0))-INDEX(ship_curves,MATCH(AT153,'SHIP CURVES'!$A$9:$A$316,0),MATCH(CONCATENATE(AX$4,AV$6,AX$6,AX$7),'SHIP CURVES'!$A$9:$Z$9,0)))-(INDEX(terminal_curves,MATCH(AT153,'TERMINAL CURVES'!$A$4:$A$313,0),MATCH(AX$5,'TERMINAL CURVES'!$A$4:$N$4,0))-INDEX(terminal_curves,MATCH(AT153,'TERMINAL CURVES'!$A$4:$A$313,0),MATCH(AV$6,'TERMINAL CURVES'!$A$4:$N$4,0)))*IF(AN153=0,0,AP153/AN153)))*-AN153</f>
        <v>-14961971.146266149</v>
      </c>
      <c r="AY153" s="343">
        <f t="shared" si="82"/>
        <v>-16929020.122613009</v>
      </c>
      <c r="AZ153" s="338">
        <f>(-AP153/((HLOOKUP(AX$5,port_specs,2,0)/(365.25))*(AT154-AT153)))*(INDEX(fixed_capacity_charge,MATCH(AT153,PORTS!$H$11:$H$317,0),MATCH(AX$5,PORTS!$H$11:$N$11,0))+INDEX(variable_om_charge,MATCH(AT153,PORTS!$H$318:$H$625,0),MATCH(AX$5,PORTS!$H$318:$N$318,0)))</f>
        <v>-1009575.1104977652</v>
      </c>
      <c r="BA153" s="232">
        <f t="shared" si="83"/>
        <v>-17938595.233110774</v>
      </c>
      <c r="BB153" s="241">
        <f t="shared" si="84"/>
        <v>104112.56664602458</v>
      </c>
      <c r="BC153" s="408"/>
      <c r="BD153" s="338">
        <f>+PORTS!I147+PORTS!I455</f>
        <v>1009575.1104977652</v>
      </c>
    </row>
    <row r="154" spans="1:56" x14ac:dyDescent="0.2">
      <c r="A154" s="186">
        <f t="shared" si="85"/>
        <v>40848</v>
      </c>
      <c r="B154" s="215">
        <f>+IF(AND($A154&gt;=$C$8,$A154&lt;=$C$9),1,0)*PORTS!$I$5/(365.25)*(A155-A154)</f>
        <v>5166876.756626742</v>
      </c>
      <c r="C154" s="351">
        <f t="shared" si="64"/>
        <v>0</v>
      </c>
      <c r="D154">
        <f t="shared" si="65"/>
        <v>2011</v>
      </c>
      <c r="E154" s="186">
        <f t="shared" si="86"/>
        <v>40848</v>
      </c>
      <c r="F154" s="215">
        <f t="shared" si="66"/>
        <v>0</v>
      </c>
      <c r="G154" s="191">
        <f t="shared" si="67"/>
        <v>0</v>
      </c>
      <c r="H154" s="218">
        <f t="shared" si="68"/>
        <v>0</v>
      </c>
      <c r="I154" s="118">
        <f t="shared" si="69"/>
        <v>0</v>
      </c>
      <c r="J154" s="215">
        <f t="shared" si="70"/>
        <v>0</v>
      </c>
      <c r="K154" s="202"/>
      <c r="L154" s="186">
        <f t="shared" si="87"/>
        <v>40848</v>
      </c>
      <c r="M154" s="400">
        <f>+J154*(VLOOKUP(L154,CURVECALC!$C$6:$J$312,4,0)+N$5)</f>
        <v>0</v>
      </c>
      <c r="N154" s="208">
        <f>-F154*INDEX(ship_curves,MATCH(L154,'SHIP CURVES'!$A$9:$A$316,0),MATCH(CONCATENATE(P$4,P$5,P$6,P$7),'SHIP CURVES'!$A$9:$AZ$9,0))</f>
        <v>0</v>
      </c>
      <c r="O154" s="209">
        <f>-H154*INDEX(port_processing_fee,MATCH(L154,PORTS!$H$626:$H$933,0),MATCH(P$5,PORTS!$H$626:$Z$626,0))</f>
        <v>0</v>
      </c>
      <c r="P154" s="405">
        <f>(((VLOOKUP(L154,curvecalc,4,0))*IF(F154=0,0,J154/F154)-INDEX(ship_curves,MATCH(L154,'SHIP CURVES'!$A$9:$A$316,0),MATCH(CONCATENATE(P$4,P$5,P$6,P$7),'SHIP CURVES'!$A$9:$Z$9,0))-INDEX(terminal_curves,MATCH(L154,'TERMINAL CURVES'!$A$4:$A$313,0),MATCH(P$5,'TERMINAL CURVES'!$A$4:$N$4,0))*IF(F154=0,0,H154/F154))-(N$8)*((N$7-$N$5)-(INDEX(ship_curves,MATCH(L154,'SHIP CURVES'!$A$9:$A$316,0),MATCH(CONCATENATE(P$4,P$5,P$6,P$7),'SHIP CURVES'!$A$9:$Z$9,0))-INDEX(ship_curves,MATCH(L154,'SHIP CURVES'!$A$9:$A$316,0),MATCH(CONCATENATE(P$4,N$6,P$6,P$7),'SHIP CURVES'!$A$9:$Z$9,0)))-(INDEX(terminal_curves,MATCH(L154,'TERMINAL CURVES'!$A$4:$A$313,0),MATCH(P$5,'TERMINAL CURVES'!$A$4:$N$4,0))-INDEX(terminal_curves,MATCH(L154,'TERMINAL CURVES'!$A$4:$A$313,0),MATCH(N$6,'TERMINAL CURVES'!$A$4:$N$4,0)))*IF(F154=0,0,H154/F154)))*-F154</f>
        <v>0</v>
      </c>
      <c r="Q154" s="403">
        <f t="shared" si="71"/>
        <v>0</v>
      </c>
      <c r="R154" s="338">
        <f>(-H154/((HLOOKUP(P$5,port_specs,2,0)/(365.25))*(L155-L154)))*(INDEX(fixed_capacity_charge,MATCH(L154,PORTS!$H$11:$H$317,0),MATCH(P$5,PORTS!$H$11:$N$11,0))+INDEX(variable_om_charge,MATCH(L154,PORTS!$H$318:$H$625,0),MATCH(P$5,PORTS!$H$318:$N$318,0)))</f>
        <v>0</v>
      </c>
      <c r="S154" s="232">
        <f t="shared" si="72"/>
        <v>0</v>
      </c>
      <c r="T154" s="241">
        <f t="shared" si="73"/>
        <v>0</v>
      </c>
      <c r="V154" s="186">
        <f t="shared" si="88"/>
        <v>40848</v>
      </c>
      <c r="W154" s="215">
        <f t="shared" si="74"/>
        <v>0</v>
      </c>
      <c r="X154" s="191">
        <f t="shared" si="75"/>
        <v>0</v>
      </c>
      <c r="Y154" s="218">
        <f>+IF(AND(X$8&lt;=V154,X$9&gt;=V154),+MIN($B154-SUMIF($H$17:X$17,Y$17,$H154:X154),((INDEX(ROUTE_PER_DAY_BY_SHIP,MATCH(CONCATENATE(X$4,X$5,X$7),ROUTE_PER_DAY_ROUTES,0),MATCH(X$6,ROUTE_PER_DAY_SHIPS,0))*(V155-V154))-(INDEX(ROUTE_PER_DAY_BY_SHIP,MATCH(CONCATENATE(X$4,X$5,X$7),ROUTE_PER_DAY_ROUTES,0),MATCH(X$6,ROUTE_PER_DAY_SHIPS,0))*(V155-V154))*HLOOKUP(X$6,SHIPS,7,0)*INDEX(LADEN_VOYAGE_DAYS,MATCH(CONCATENATE(X$4,X$5,X$7),LADEN_VOYAGE_ROUTES,0),MATCH(X$6,LADEN_VOYAGE_SHIPS,0)))),0)</f>
        <v>0</v>
      </c>
      <c r="Z154" s="118">
        <f t="shared" si="76"/>
        <v>0</v>
      </c>
      <c r="AA154" s="215">
        <f t="shared" si="62"/>
        <v>0</v>
      </c>
      <c r="AB154" s="202"/>
      <c r="AC154" s="186">
        <f t="shared" si="89"/>
        <v>40848</v>
      </c>
      <c r="AD154" s="232">
        <f>+AA154*(VLOOKUP(AC154,CURVECALC!$C$6:$J$312,4,0)+AE$5)</f>
        <v>0</v>
      </c>
      <c r="AE154" s="208">
        <f>-W154*INDEX(ship_curves,MATCH(AC154,'SHIP CURVES'!$A$9:$A$316,0),MATCH(CONCATENATE(AG$4,AG$5,AG$6,AG$7),'SHIP CURVES'!$A$9:$AZ$9,0))</f>
        <v>0</v>
      </c>
      <c r="AF154" s="209">
        <f>-Y154*INDEX(port_processing_fee,MATCH(AC154,PORTS!$H$626:$H$933,0),MATCH(AG$5,PORTS!$H$626:$Z$626,0))</f>
        <v>0</v>
      </c>
      <c r="AG154" s="405">
        <f>(((VLOOKUP(AC154,curvecalc,4,0))*IF(W154=0,0,AA154/W154)-INDEX(ship_curves,MATCH(AC154,'SHIP CURVES'!$A$9:$A$316,0),MATCH(CONCATENATE(AG$4,AG$5,AG$6,AG$7),'SHIP CURVES'!$A$9:$Z$9,0))-INDEX(terminal_curves,MATCH(AC154,'TERMINAL CURVES'!$A$4:$A$313,0),MATCH(AG$5,'TERMINAL CURVES'!$A$4:$N$4,0))*IF(W154=0,0,Y154/W154))-(AE$8)*((AE$7-$N$5)-(INDEX(ship_curves,MATCH(AC154,'SHIP CURVES'!$A$9:$A$316,0),MATCH(CONCATENATE(AG$4,AG$5,AG$6,AG$7),'SHIP CURVES'!$A$9:$Z$9,0))-INDEX(ship_curves,MATCH(AC154,'SHIP CURVES'!$A$9:$A$316,0),MATCH(CONCATENATE(AG$4,AE$6,AG$6,AG$7),'SHIP CURVES'!$A$9:$Z$9,0)))-(INDEX(terminal_curves,MATCH(AC154,'TERMINAL CURVES'!$A$4:$A$313,0),MATCH(AG$5,'TERMINAL CURVES'!$A$4:$N$4,0))-INDEX(terminal_curves,MATCH(AC154,'TERMINAL CURVES'!$A$4:$A$313,0),MATCH(AE$6,'TERMINAL CURVES'!$A$4:$N$4,0)))*IF(W154=0,0,Y154/W154)))*-W154</f>
        <v>0</v>
      </c>
      <c r="AH154" s="343">
        <f t="shared" si="77"/>
        <v>0</v>
      </c>
      <c r="AI154" s="338">
        <f>(-Y154/((HLOOKUP(AG$5,port_specs,2,0)/(365.25))*(AC155-AC154)))*(INDEX(fixed_capacity_charge,MATCH(AC154,PORTS!$H$11:$H$317,0),MATCH(AG$5,PORTS!$H$11:$N$11,0))+INDEX(variable_om_charge,MATCH(AC154,PORTS!$H$318:$H$625,0),MATCH(AG$5,PORTS!$H$318:$N$318,0)))</f>
        <v>0</v>
      </c>
      <c r="AJ154" s="232">
        <f t="shared" si="78"/>
        <v>0</v>
      </c>
      <c r="AK154" s="241">
        <f t="shared" si="79"/>
        <v>0</v>
      </c>
      <c r="AM154" s="186">
        <f t="shared" si="90"/>
        <v>40848</v>
      </c>
      <c r="AN154" s="215">
        <f t="shared" si="80"/>
        <v>5221704.655509592</v>
      </c>
      <c r="AO154" s="191">
        <f t="shared" si="81"/>
        <v>-54827.898882850073</v>
      </c>
      <c r="AP154" s="218">
        <f>+IF(AND(AO$8&lt;=AM154,AO$9&gt;=AM154),+MIN($B154-SUMIF($H$17:AO$17,AP$17,$H154:AO154),((INDEX(ROUTE_PER_DAY_BY_SHIP,MATCH(CONCATENATE(AO$4,AO$5,AO$7),ROUTE_PER_DAY_ROUTES,0),MATCH(AO$6,ROUTE_PER_DAY_SHIPS,0))*(AM155-AM154))-(INDEX(ROUTE_PER_DAY_BY_SHIP,MATCH(CONCATENATE(AO$4,AO$5,AO$7),ROUTE_PER_DAY_ROUTES,0),MATCH(AO$6,ROUTE_PER_DAY_SHIPS,0))*(AM155-AM154))*HLOOKUP(AO$6,SHIPS,7,0)*INDEX(LADEN_VOYAGE_DAYS,MATCH(CONCATENATE(AO$4,AO$5,AO$7),LADEN_VOYAGE_ROUTES,0),MATCH(AO$6,LADEN_VOYAGE_SHIPS,0)))),0)</f>
        <v>5166876.756626742</v>
      </c>
      <c r="AQ154" s="118">
        <f>-(AP154)*PORTS!$I$6</f>
        <v>-129171.91891566856</v>
      </c>
      <c r="AR154" s="215">
        <f t="shared" si="63"/>
        <v>5037704.8377110735</v>
      </c>
      <c r="AS154" s="202"/>
      <c r="AT154" s="186">
        <f t="shared" si="91"/>
        <v>40848</v>
      </c>
      <c r="AU154" s="232">
        <f>+AR154*(VLOOKUP(AT154,CURVECALC!$C$6:$J$312,4,0)+AV$5)</f>
        <v>17808286.601308644</v>
      </c>
      <c r="AV154" s="208">
        <f>-AN154*INDEX(ship_curves,MATCH(AT154,'SHIP CURVES'!$A$9:$A$316,0),MATCH(CONCATENATE(AX$4,AX$5,AX$6,AX$7),'SHIP CURVES'!$A$9:$AZ$9,0))</f>
        <v>-1746618.5581316517</v>
      </c>
      <c r="AW154" s="209">
        <f>-AP154*INDEX(port_processing_fee,MATCH(AT154,PORTS!$H$626:$H$933,0),MATCH(AX$5,PORTS!$H$626:$Z$626,0))</f>
        <v>-157686.3680443241</v>
      </c>
      <c r="AX154" s="405">
        <f>(((VLOOKUP(AT154,curvecalc,4,0))*IF(AN154=0,0,AR154/AN154)-INDEX(ship_curves,MATCH(AT154,'SHIP CURVES'!$A$9:$A$316,0),MATCH(CONCATENATE(AX$4,AX$5,AX$6,AX$7),'SHIP CURVES'!$A$9:$Z$9,0))-INDEX(terminal_curves,MATCH(AT154,'TERMINAL CURVES'!$A$4:$A$313,0),MATCH(AX$5,'TERMINAL CURVES'!$A$4:$N$4,0))*IF(AN154=0,0,AP154/AN154))-(AV$8)*((AV$7-$N$5)-(INDEX(ship_curves,MATCH(AT154,'SHIP CURVES'!$A$9:$A$316,0),MATCH(CONCATENATE(AX$4,AX$5,AX$6,AX$7),'SHIP CURVES'!$A$9:$Z$9,0))-INDEX(ship_curves,MATCH(AT154,'SHIP CURVES'!$A$9:$A$316,0),MATCH(CONCATENATE(AX$4,AV$6,AX$6,AX$7),'SHIP CURVES'!$A$9:$Z$9,0)))-(INDEX(terminal_curves,MATCH(AT154,'TERMINAL CURVES'!$A$4:$A$313,0),MATCH(AX$5,'TERMINAL CURVES'!$A$4:$N$4,0))-INDEX(terminal_curves,MATCH(AT154,'TERMINAL CURVES'!$A$4:$A$313,0),MATCH(AV$6,'TERMINAL CURVES'!$A$4:$N$4,0)))*IF(AN154=0,0,AP154/AN154)))*-AN154</f>
        <v>-14793106.229818607</v>
      </c>
      <c r="AY154" s="343">
        <f t="shared" si="82"/>
        <v>-16697411.155994583</v>
      </c>
      <c r="AZ154" s="338">
        <f>(-AP154/((HLOOKUP(AX$5,port_specs,2,0)/(365.25))*(AT155-AT154)))*(INDEX(fixed_capacity_charge,MATCH(AT154,PORTS!$H$11:$H$317,0),MATCH(AX$5,PORTS!$H$11:$N$11,0))+INDEX(variable_om_charge,MATCH(AT154,PORTS!$H$318:$H$625,0),MATCH(AX$5,PORTS!$H$318:$N$318,0)))</f>
        <v>-1010121.3485598376</v>
      </c>
      <c r="BA154" s="232">
        <f t="shared" si="83"/>
        <v>-17707532.504554421</v>
      </c>
      <c r="BB154" s="241">
        <f t="shared" si="84"/>
        <v>100754.09675422311</v>
      </c>
      <c r="BC154" s="408"/>
      <c r="BD154" s="338">
        <f>+PORTS!I148+PORTS!I456</f>
        <v>1010121.3485598376</v>
      </c>
    </row>
    <row r="155" spans="1:56" x14ac:dyDescent="0.2">
      <c r="A155" s="186">
        <f t="shared" si="85"/>
        <v>40878</v>
      </c>
      <c r="B155" s="215">
        <f>+IF(AND($A155&gt;=$C$8,$A155&lt;=$C$9),1,0)*PORTS!$I$5/(365.25)*(A156-A155)</f>
        <v>5339105.9818476336</v>
      </c>
      <c r="C155" s="351">
        <f t="shared" si="64"/>
        <v>0</v>
      </c>
      <c r="D155">
        <f t="shared" si="65"/>
        <v>2011</v>
      </c>
      <c r="E155" s="186">
        <f t="shared" si="86"/>
        <v>40878</v>
      </c>
      <c r="F155" s="215">
        <f t="shared" si="66"/>
        <v>0</v>
      </c>
      <c r="G155" s="191">
        <f t="shared" si="67"/>
        <v>0</v>
      </c>
      <c r="H155" s="218">
        <f t="shared" si="68"/>
        <v>0</v>
      </c>
      <c r="I155" s="118">
        <f t="shared" si="69"/>
        <v>0</v>
      </c>
      <c r="J155" s="215">
        <f t="shared" si="70"/>
        <v>0</v>
      </c>
      <c r="K155" s="202"/>
      <c r="L155" s="186">
        <f t="shared" si="87"/>
        <v>40878</v>
      </c>
      <c r="M155" s="400">
        <f>+J155*(VLOOKUP(L155,CURVECALC!$C$6:$J$312,4,0)+N$5)</f>
        <v>0</v>
      </c>
      <c r="N155" s="208">
        <f>-F155*INDEX(ship_curves,MATCH(L155,'SHIP CURVES'!$A$9:$A$316,0),MATCH(CONCATENATE(P$4,P$5,P$6,P$7),'SHIP CURVES'!$A$9:$AZ$9,0))</f>
        <v>0</v>
      </c>
      <c r="O155" s="209">
        <f>-H155*INDEX(port_processing_fee,MATCH(L155,PORTS!$H$626:$H$933,0),MATCH(P$5,PORTS!$H$626:$Z$626,0))</f>
        <v>0</v>
      </c>
      <c r="P155" s="405">
        <f>(((VLOOKUP(L155,curvecalc,4,0))*IF(F155=0,0,J155/F155)-INDEX(ship_curves,MATCH(L155,'SHIP CURVES'!$A$9:$A$316,0),MATCH(CONCATENATE(P$4,P$5,P$6,P$7),'SHIP CURVES'!$A$9:$Z$9,0))-INDEX(terminal_curves,MATCH(L155,'TERMINAL CURVES'!$A$4:$A$313,0),MATCH(P$5,'TERMINAL CURVES'!$A$4:$N$4,0))*IF(F155=0,0,H155/F155))-(N$8)*((N$7-$N$5)-(INDEX(ship_curves,MATCH(L155,'SHIP CURVES'!$A$9:$A$316,0),MATCH(CONCATENATE(P$4,P$5,P$6,P$7),'SHIP CURVES'!$A$9:$Z$9,0))-INDEX(ship_curves,MATCH(L155,'SHIP CURVES'!$A$9:$A$316,0),MATCH(CONCATENATE(P$4,N$6,P$6,P$7),'SHIP CURVES'!$A$9:$Z$9,0)))-(INDEX(terminal_curves,MATCH(L155,'TERMINAL CURVES'!$A$4:$A$313,0),MATCH(P$5,'TERMINAL CURVES'!$A$4:$N$4,0))-INDEX(terminal_curves,MATCH(L155,'TERMINAL CURVES'!$A$4:$A$313,0),MATCH(N$6,'TERMINAL CURVES'!$A$4:$N$4,0)))*IF(F155=0,0,H155/F155)))*-F155</f>
        <v>0</v>
      </c>
      <c r="Q155" s="403">
        <f t="shared" si="71"/>
        <v>0</v>
      </c>
      <c r="R155" s="338">
        <f>(-H155/((HLOOKUP(P$5,port_specs,2,0)/(365.25))*(L156-L155)))*(INDEX(fixed_capacity_charge,MATCH(L155,PORTS!$H$11:$H$317,0),MATCH(P$5,PORTS!$H$11:$N$11,0))+INDEX(variable_om_charge,MATCH(L155,PORTS!$H$318:$H$625,0),MATCH(P$5,PORTS!$H$318:$N$318,0)))</f>
        <v>0</v>
      </c>
      <c r="S155" s="232">
        <f t="shared" si="72"/>
        <v>0</v>
      </c>
      <c r="T155" s="241">
        <f t="shared" si="73"/>
        <v>0</v>
      </c>
      <c r="V155" s="186">
        <f t="shared" si="88"/>
        <v>40878</v>
      </c>
      <c r="W155" s="215">
        <f t="shared" si="74"/>
        <v>0</v>
      </c>
      <c r="X155" s="191">
        <f t="shared" si="75"/>
        <v>0</v>
      </c>
      <c r="Y155" s="218">
        <f>+IF(AND(X$8&lt;=V155,X$9&gt;=V155),+MIN($B155-SUMIF($H$17:X$17,Y$17,$H155:X155),((INDEX(ROUTE_PER_DAY_BY_SHIP,MATCH(CONCATENATE(X$4,X$5,X$7),ROUTE_PER_DAY_ROUTES,0),MATCH(X$6,ROUTE_PER_DAY_SHIPS,0))*(V156-V155))-(INDEX(ROUTE_PER_DAY_BY_SHIP,MATCH(CONCATENATE(X$4,X$5,X$7),ROUTE_PER_DAY_ROUTES,0),MATCH(X$6,ROUTE_PER_DAY_SHIPS,0))*(V156-V155))*HLOOKUP(X$6,SHIPS,7,0)*INDEX(LADEN_VOYAGE_DAYS,MATCH(CONCATENATE(X$4,X$5,X$7),LADEN_VOYAGE_ROUTES,0),MATCH(X$6,LADEN_VOYAGE_SHIPS,0)))),0)</f>
        <v>0</v>
      </c>
      <c r="Z155" s="118">
        <f t="shared" si="76"/>
        <v>0</v>
      </c>
      <c r="AA155" s="215">
        <f t="shared" si="62"/>
        <v>0</v>
      </c>
      <c r="AB155" s="202"/>
      <c r="AC155" s="186">
        <f t="shared" si="89"/>
        <v>40878</v>
      </c>
      <c r="AD155" s="232">
        <f>+AA155*(VLOOKUP(AC155,CURVECALC!$C$6:$J$312,4,0)+AE$5)</f>
        <v>0</v>
      </c>
      <c r="AE155" s="208">
        <f>-W155*INDEX(ship_curves,MATCH(AC155,'SHIP CURVES'!$A$9:$A$316,0),MATCH(CONCATENATE(AG$4,AG$5,AG$6,AG$7),'SHIP CURVES'!$A$9:$AZ$9,0))</f>
        <v>0</v>
      </c>
      <c r="AF155" s="209">
        <f>-Y155*INDEX(port_processing_fee,MATCH(AC155,PORTS!$H$626:$H$933,0),MATCH(AG$5,PORTS!$H$626:$Z$626,0))</f>
        <v>0</v>
      </c>
      <c r="AG155" s="405">
        <f>(((VLOOKUP(AC155,curvecalc,4,0))*IF(W155=0,0,AA155/W155)-INDEX(ship_curves,MATCH(AC155,'SHIP CURVES'!$A$9:$A$316,0),MATCH(CONCATENATE(AG$4,AG$5,AG$6,AG$7),'SHIP CURVES'!$A$9:$Z$9,0))-INDEX(terminal_curves,MATCH(AC155,'TERMINAL CURVES'!$A$4:$A$313,0),MATCH(AG$5,'TERMINAL CURVES'!$A$4:$N$4,0))*IF(W155=0,0,Y155/W155))-(AE$8)*((AE$7-$N$5)-(INDEX(ship_curves,MATCH(AC155,'SHIP CURVES'!$A$9:$A$316,0),MATCH(CONCATENATE(AG$4,AG$5,AG$6,AG$7),'SHIP CURVES'!$A$9:$Z$9,0))-INDEX(ship_curves,MATCH(AC155,'SHIP CURVES'!$A$9:$A$316,0),MATCH(CONCATENATE(AG$4,AE$6,AG$6,AG$7),'SHIP CURVES'!$A$9:$Z$9,0)))-(INDEX(terminal_curves,MATCH(AC155,'TERMINAL CURVES'!$A$4:$A$313,0),MATCH(AG$5,'TERMINAL CURVES'!$A$4:$N$4,0))-INDEX(terminal_curves,MATCH(AC155,'TERMINAL CURVES'!$A$4:$A$313,0),MATCH(AE$6,'TERMINAL CURVES'!$A$4:$N$4,0)))*IF(W155=0,0,Y155/W155)))*-W155</f>
        <v>0</v>
      </c>
      <c r="AH155" s="343">
        <f t="shared" si="77"/>
        <v>0</v>
      </c>
      <c r="AI155" s="338">
        <f>(-Y155/((HLOOKUP(AG$5,port_specs,2,0)/(365.25))*(AC156-AC155)))*(INDEX(fixed_capacity_charge,MATCH(AC155,PORTS!$H$11:$H$317,0),MATCH(AG$5,PORTS!$H$11:$N$11,0))+INDEX(variable_om_charge,MATCH(AC155,PORTS!$H$318:$H$625,0),MATCH(AG$5,PORTS!$H$318:$N$318,0)))</f>
        <v>0</v>
      </c>
      <c r="AJ155" s="232">
        <f t="shared" si="78"/>
        <v>0</v>
      </c>
      <c r="AK155" s="241">
        <f t="shared" si="79"/>
        <v>0</v>
      </c>
      <c r="AM155" s="186">
        <f t="shared" si="90"/>
        <v>40878</v>
      </c>
      <c r="AN155" s="215">
        <f t="shared" si="80"/>
        <v>5395761.4773599124</v>
      </c>
      <c r="AO155" s="191">
        <f t="shared" si="81"/>
        <v>-56655.495512278751</v>
      </c>
      <c r="AP155" s="218">
        <f>+IF(AND(AO$8&lt;=AM155,AO$9&gt;=AM155),+MIN($B155-SUMIF($H$17:AO$17,AP$17,$H155:AO155),((INDEX(ROUTE_PER_DAY_BY_SHIP,MATCH(CONCATENATE(AO$4,AO$5,AO$7),ROUTE_PER_DAY_ROUTES,0),MATCH(AO$6,ROUTE_PER_DAY_SHIPS,0))*(AM156-AM155))-(INDEX(ROUTE_PER_DAY_BY_SHIP,MATCH(CONCATENATE(AO$4,AO$5,AO$7),ROUTE_PER_DAY_ROUTES,0),MATCH(AO$6,ROUTE_PER_DAY_SHIPS,0))*(AM156-AM155))*HLOOKUP(AO$6,SHIPS,7,0)*INDEX(LADEN_VOYAGE_DAYS,MATCH(CONCATENATE(AO$4,AO$5,AO$7),LADEN_VOYAGE_ROUTES,0),MATCH(AO$6,LADEN_VOYAGE_SHIPS,0)))),0)</f>
        <v>5339105.9818476336</v>
      </c>
      <c r="AQ155" s="118">
        <f>-(AP155)*PORTS!$I$6</f>
        <v>-133477.64954619083</v>
      </c>
      <c r="AR155" s="215">
        <f t="shared" si="63"/>
        <v>5205628.3323014425</v>
      </c>
      <c r="AS155" s="202"/>
      <c r="AT155" s="186">
        <f t="shared" si="91"/>
        <v>40878</v>
      </c>
      <c r="AU155" s="232">
        <f>+AR155*(VLOOKUP(AT155,CURVECALC!$C$6:$J$312,4,0)+AV$5)</f>
        <v>18823552.049602017</v>
      </c>
      <c r="AV155" s="208">
        <f>-AN155*INDEX(ship_curves,MATCH(AT155,'SHIP CURVES'!$A$9:$A$316,0),MATCH(CONCATENATE(AX$4,AX$5,AX$6,AX$7),'SHIP CURVES'!$A$9:$AZ$9,0))</f>
        <v>-1805403.5755896233</v>
      </c>
      <c r="AW155" s="209">
        <f>-AP155*INDEX(port_processing_fee,MATCH(AT155,PORTS!$H$626:$H$933,0),MATCH(AX$5,PORTS!$H$626:$Z$626,0))</f>
        <v>-163112.31216696039</v>
      </c>
      <c r="AX155" s="405">
        <f>(((VLOOKUP(AT155,curvecalc,4,0))*IF(AN155=0,0,AR155/AN155)-INDEX(ship_curves,MATCH(AT155,'SHIP CURVES'!$A$9:$A$316,0),MATCH(CONCATENATE(AX$4,AX$5,AX$6,AX$7),'SHIP CURVES'!$A$9:$Z$9,0))-INDEX(terminal_curves,MATCH(AT155,'TERMINAL CURVES'!$A$4:$A$313,0),MATCH(AX$5,'TERMINAL CURVES'!$A$4:$N$4,0))*IF(AN155=0,0,AP155/AN155))-(AV$8)*((AV$7-$N$5)-(INDEX(ship_curves,MATCH(AT155,'SHIP CURVES'!$A$9:$A$316,0),MATCH(CONCATENATE(AX$4,AX$5,AX$6,AX$7),'SHIP CURVES'!$A$9:$Z$9,0))-INDEX(ship_curves,MATCH(AT155,'SHIP CURVES'!$A$9:$A$316,0),MATCH(CONCATENATE(AX$4,AV$6,AX$6,AX$7),'SHIP CURVES'!$A$9:$Z$9,0)))-(INDEX(terminal_curves,MATCH(AT155,'TERMINAL CURVES'!$A$4:$A$313,0),MATCH(AX$5,'TERMINAL CURVES'!$A$4:$N$4,0))-INDEX(terminal_curves,MATCH(AT155,'TERMINAL CURVES'!$A$4:$A$313,0),MATCH(AV$6,'TERMINAL CURVES'!$A$4:$N$4,0)))*IF(AN155=0,0,AP155/AN155)))*-AN155</f>
        <v>-15740255.439579515</v>
      </c>
      <c r="AY155" s="343">
        <f t="shared" si="82"/>
        <v>-17708771.327336099</v>
      </c>
      <c r="AZ155" s="338">
        <f>(-AP155/((HLOOKUP(AX$5,port_specs,2,0)/(365.25))*(AT156-AT155)))*(INDEX(fixed_capacity_charge,MATCH(AT155,PORTS!$H$11:$H$317,0),MATCH(AX$5,PORTS!$H$11:$N$11,0))+INDEX(variable_om_charge,MATCH(AT155,PORTS!$H$318:$H$625,0),MATCH(AX$5,PORTS!$H$318:$N$318,0)))</f>
        <v>-1010668.1556198911</v>
      </c>
      <c r="BA155" s="232">
        <f t="shared" si="83"/>
        <v>-18719439.482955988</v>
      </c>
      <c r="BB155" s="241">
        <f t="shared" si="84"/>
        <v>104112.56664602831</v>
      </c>
      <c r="BC155" s="408"/>
      <c r="BD155" s="338">
        <f>+PORTS!I149+PORTS!I457</f>
        <v>1010668.1556198911</v>
      </c>
    </row>
    <row r="156" spans="1:56" x14ac:dyDescent="0.2">
      <c r="A156" s="186">
        <f t="shared" si="85"/>
        <v>40909</v>
      </c>
      <c r="B156" s="215">
        <f>+IF(AND($A156&gt;=$C$8,$A156&lt;=$C$9),1,0)*PORTS!$I$5/(365.25)*(A157-A156)</f>
        <v>5339105.9818476336</v>
      </c>
      <c r="C156" s="351">
        <f t="shared" si="64"/>
        <v>0</v>
      </c>
      <c r="D156">
        <f t="shared" si="65"/>
        <v>2012</v>
      </c>
      <c r="E156" s="186">
        <f t="shared" si="86"/>
        <v>40909</v>
      </c>
      <c r="F156" s="215">
        <f t="shared" si="66"/>
        <v>0</v>
      </c>
      <c r="G156" s="191">
        <f t="shared" si="67"/>
        <v>0</v>
      </c>
      <c r="H156" s="218">
        <f t="shared" si="68"/>
        <v>0</v>
      </c>
      <c r="I156" s="118">
        <f t="shared" si="69"/>
        <v>0</v>
      </c>
      <c r="J156" s="215">
        <f t="shared" si="70"/>
        <v>0</v>
      </c>
      <c r="K156" s="202"/>
      <c r="L156" s="186">
        <f t="shared" si="87"/>
        <v>40909</v>
      </c>
      <c r="M156" s="400">
        <f>+J156*(VLOOKUP(L156,CURVECALC!$C$6:$J$312,4,0)+N$5)</f>
        <v>0</v>
      </c>
      <c r="N156" s="208">
        <f>-F156*INDEX(ship_curves,MATCH(L156,'SHIP CURVES'!$A$9:$A$316,0),MATCH(CONCATENATE(P$4,P$5,P$6,P$7),'SHIP CURVES'!$A$9:$AZ$9,0))</f>
        <v>0</v>
      </c>
      <c r="O156" s="209">
        <f>-H156*INDEX(port_processing_fee,MATCH(L156,PORTS!$H$626:$H$933,0),MATCH(P$5,PORTS!$H$626:$Z$626,0))</f>
        <v>0</v>
      </c>
      <c r="P156" s="405">
        <f>(((VLOOKUP(L156,curvecalc,4,0))*IF(F156=0,0,J156/F156)-INDEX(ship_curves,MATCH(L156,'SHIP CURVES'!$A$9:$A$316,0),MATCH(CONCATENATE(P$4,P$5,P$6,P$7),'SHIP CURVES'!$A$9:$Z$9,0))-INDEX(terminal_curves,MATCH(L156,'TERMINAL CURVES'!$A$4:$A$313,0),MATCH(P$5,'TERMINAL CURVES'!$A$4:$N$4,0))*IF(F156=0,0,H156/F156))-(N$8)*((N$7-$N$5)-(INDEX(ship_curves,MATCH(L156,'SHIP CURVES'!$A$9:$A$316,0),MATCH(CONCATENATE(P$4,P$5,P$6,P$7),'SHIP CURVES'!$A$9:$Z$9,0))-INDEX(ship_curves,MATCH(L156,'SHIP CURVES'!$A$9:$A$316,0),MATCH(CONCATENATE(P$4,N$6,P$6,P$7),'SHIP CURVES'!$A$9:$Z$9,0)))-(INDEX(terminal_curves,MATCH(L156,'TERMINAL CURVES'!$A$4:$A$313,0),MATCH(P$5,'TERMINAL CURVES'!$A$4:$N$4,0))-INDEX(terminal_curves,MATCH(L156,'TERMINAL CURVES'!$A$4:$A$313,0),MATCH(N$6,'TERMINAL CURVES'!$A$4:$N$4,0)))*IF(F156=0,0,H156/F156)))*-F156</f>
        <v>0</v>
      </c>
      <c r="Q156" s="403">
        <f t="shared" si="71"/>
        <v>0</v>
      </c>
      <c r="R156" s="338">
        <f>(-H156/((HLOOKUP(P$5,port_specs,2,0)/(365.25))*(L157-L156)))*(INDEX(fixed_capacity_charge,MATCH(L156,PORTS!$H$11:$H$317,0),MATCH(P$5,PORTS!$H$11:$N$11,0))+INDEX(variable_om_charge,MATCH(L156,PORTS!$H$318:$H$625,0),MATCH(P$5,PORTS!$H$318:$N$318,0)))</f>
        <v>0</v>
      </c>
      <c r="S156" s="232">
        <f t="shared" si="72"/>
        <v>0</v>
      </c>
      <c r="T156" s="241">
        <f t="shared" si="73"/>
        <v>0</v>
      </c>
      <c r="V156" s="186">
        <f t="shared" si="88"/>
        <v>40909</v>
      </c>
      <c r="W156" s="215">
        <f t="shared" si="74"/>
        <v>0</v>
      </c>
      <c r="X156" s="191">
        <f t="shared" si="75"/>
        <v>0</v>
      </c>
      <c r="Y156" s="218">
        <f>+IF(AND(X$8&lt;=V156,X$9&gt;=V156),+MIN($B156-SUMIF($H$17:X$17,Y$17,$H156:X156),((INDEX(ROUTE_PER_DAY_BY_SHIP,MATCH(CONCATENATE(X$4,X$5,X$7),ROUTE_PER_DAY_ROUTES,0),MATCH(X$6,ROUTE_PER_DAY_SHIPS,0))*(V157-V156))-(INDEX(ROUTE_PER_DAY_BY_SHIP,MATCH(CONCATENATE(X$4,X$5,X$7),ROUTE_PER_DAY_ROUTES,0),MATCH(X$6,ROUTE_PER_DAY_SHIPS,0))*(V157-V156))*HLOOKUP(X$6,SHIPS,7,0)*INDEX(LADEN_VOYAGE_DAYS,MATCH(CONCATENATE(X$4,X$5,X$7),LADEN_VOYAGE_ROUTES,0),MATCH(X$6,LADEN_VOYAGE_SHIPS,0)))),0)</f>
        <v>0</v>
      </c>
      <c r="Z156" s="118">
        <f t="shared" si="76"/>
        <v>0</v>
      </c>
      <c r="AA156" s="215">
        <f t="shared" si="62"/>
        <v>0</v>
      </c>
      <c r="AB156" s="202"/>
      <c r="AC156" s="186">
        <f t="shared" si="89"/>
        <v>40909</v>
      </c>
      <c r="AD156" s="232">
        <f>+AA156*(VLOOKUP(AC156,CURVECALC!$C$6:$J$312,4,0)+AE$5)</f>
        <v>0</v>
      </c>
      <c r="AE156" s="208">
        <f>-W156*INDEX(ship_curves,MATCH(AC156,'SHIP CURVES'!$A$9:$A$316,0),MATCH(CONCATENATE(AG$4,AG$5,AG$6,AG$7),'SHIP CURVES'!$A$9:$AZ$9,0))</f>
        <v>0</v>
      </c>
      <c r="AF156" s="209">
        <f>-Y156*INDEX(port_processing_fee,MATCH(AC156,PORTS!$H$626:$H$933,0),MATCH(AG$5,PORTS!$H$626:$Z$626,0))</f>
        <v>0</v>
      </c>
      <c r="AG156" s="405">
        <f>(((VLOOKUP(AC156,curvecalc,4,0))*IF(W156=0,0,AA156/W156)-INDEX(ship_curves,MATCH(AC156,'SHIP CURVES'!$A$9:$A$316,0),MATCH(CONCATENATE(AG$4,AG$5,AG$6,AG$7),'SHIP CURVES'!$A$9:$Z$9,0))-INDEX(terminal_curves,MATCH(AC156,'TERMINAL CURVES'!$A$4:$A$313,0),MATCH(AG$5,'TERMINAL CURVES'!$A$4:$N$4,0))*IF(W156=0,0,Y156/W156))-(AE$8)*((AE$7-$N$5)-(INDEX(ship_curves,MATCH(AC156,'SHIP CURVES'!$A$9:$A$316,0),MATCH(CONCATENATE(AG$4,AG$5,AG$6,AG$7),'SHIP CURVES'!$A$9:$Z$9,0))-INDEX(ship_curves,MATCH(AC156,'SHIP CURVES'!$A$9:$A$316,0),MATCH(CONCATENATE(AG$4,AE$6,AG$6,AG$7),'SHIP CURVES'!$A$9:$Z$9,0)))-(INDEX(terminal_curves,MATCH(AC156,'TERMINAL CURVES'!$A$4:$A$313,0),MATCH(AG$5,'TERMINAL CURVES'!$A$4:$N$4,0))-INDEX(terminal_curves,MATCH(AC156,'TERMINAL CURVES'!$A$4:$A$313,0),MATCH(AE$6,'TERMINAL CURVES'!$A$4:$N$4,0)))*IF(W156=0,0,Y156/W156)))*-W156</f>
        <v>0</v>
      </c>
      <c r="AH156" s="343">
        <f t="shared" si="77"/>
        <v>0</v>
      </c>
      <c r="AI156" s="338">
        <f>(-Y156/((HLOOKUP(AG$5,port_specs,2,0)/(365.25))*(AC157-AC156)))*(INDEX(fixed_capacity_charge,MATCH(AC156,PORTS!$H$11:$H$317,0),MATCH(AG$5,PORTS!$H$11:$N$11,0))+INDEX(variable_om_charge,MATCH(AC156,PORTS!$H$318:$H$625,0),MATCH(AG$5,PORTS!$H$318:$N$318,0)))</f>
        <v>0</v>
      </c>
      <c r="AJ156" s="232">
        <f t="shared" si="78"/>
        <v>0</v>
      </c>
      <c r="AK156" s="241">
        <f t="shared" si="79"/>
        <v>0</v>
      </c>
      <c r="AM156" s="186">
        <f t="shared" si="90"/>
        <v>40909</v>
      </c>
      <c r="AN156" s="215">
        <f t="shared" si="80"/>
        <v>5395761.4773599124</v>
      </c>
      <c r="AO156" s="191">
        <f t="shared" si="81"/>
        <v>-56655.495512278751</v>
      </c>
      <c r="AP156" s="218">
        <f>+IF(AND(AO$8&lt;=AM156,AO$9&gt;=AM156),+MIN($B156-SUMIF($H$17:AO$17,AP$17,$H156:AO156),((INDEX(ROUTE_PER_DAY_BY_SHIP,MATCH(CONCATENATE(AO$4,AO$5,AO$7),ROUTE_PER_DAY_ROUTES,0),MATCH(AO$6,ROUTE_PER_DAY_SHIPS,0))*(AM157-AM156))-(INDEX(ROUTE_PER_DAY_BY_SHIP,MATCH(CONCATENATE(AO$4,AO$5,AO$7),ROUTE_PER_DAY_ROUTES,0),MATCH(AO$6,ROUTE_PER_DAY_SHIPS,0))*(AM157-AM156))*HLOOKUP(AO$6,SHIPS,7,0)*INDEX(LADEN_VOYAGE_DAYS,MATCH(CONCATENATE(AO$4,AO$5,AO$7),LADEN_VOYAGE_ROUTES,0),MATCH(AO$6,LADEN_VOYAGE_SHIPS,0)))),0)</f>
        <v>5339105.9818476336</v>
      </c>
      <c r="AQ156" s="118">
        <f>-(AP156)*PORTS!$I$6</f>
        <v>-133477.64954619083</v>
      </c>
      <c r="AR156" s="215">
        <f t="shared" si="63"/>
        <v>5205628.3323014425</v>
      </c>
      <c r="AS156" s="202"/>
      <c r="AT156" s="186">
        <f t="shared" si="91"/>
        <v>40909</v>
      </c>
      <c r="AU156" s="232">
        <f>+AR156*(VLOOKUP(AT156,CURVECALC!$C$6:$J$312,4,0)+AV$5)</f>
        <v>19744948.264419373</v>
      </c>
      <c r="AV156" s="208">
        <f>-AN156*INDEX(ship_curves,MATCH(AT156,'SHIP CURVES'!$A$9:$A$316,0),MATCH(CONCATENATE(AX$4,AX$5,AX$6,AX$7),'SHIP CURVES'!$A$9:$AZ$9,0))</f>
        <v>-1805969.1502741512</v>
      </c>
      <c r="AW156" s="209">
        <f>-AP156*INDEX(port_processing_fee,MATCH(AT156,PORTS!$H$626:$H$933,0),MATCH(AX$5,PORTS!$H$626:$Z$626,0))</f>
        <v>-163282.22082546764</v>
      </c>
      <c r="AX156" s="405">
        <f>(((VLOOKUP(AT156,curvecalc,4,0))*IF(AN156=0,0,AR156/AN156)-INDEX(ship_curves,MATCH(AT156,'SHIP CURVES'!$A$9:$A$316,0),MATCH(CONCATENATE(AX$4,AX$5,AX$6,AX$7),'SHIP CURVES'!$A$9:$Z$9,0))-INDEX(terminal_curves,MATCH(AT156,'TERMINAL CURVES'!$A$4:$A$313,0),MATCH(AX$5,'TERMINAL CURVES'!$A$4:$N$4,0))*IF(AN156=0,0,AP156/AN156))-(AV$8)*((AV$7-$N$5)-(INDEX(ship_curves,MATCH(AT156,'SHIP CURVES'!$A$9:$A$316,0),MATCH(CONCATENATE(AX$4,AX$5,AX$6,AX$7),'SHIP CURVES'!$A$9:$Z$9,0))-INDEX(ship_curves,MATCH(AT156,'SHIP CURVES'!$A$9:$A$316,0),MATCH(CONCATENATE(AX$4,AV$6,AX$6,AX$7),'SHIP CURVES'!$A$9:$Z$9,0)))-(INDEX(terminal_curves,MATCH(AT156,'TERMINAL CURVES'!$A$4:$A$313,0),MATCH(AX$5,'TERMINAL CURVES'!$A$4:$N$4,0))-INDEX(terminal_curves,MATCH(AT156,'TERMINAL CURVES'!$A$4:$A$313,0),MATCH(AV$6,'TERMINAL CURVES'!$A$4:$N$4,0)))*IF(AN156=0,0,AP156/AN156)))*-AN156</f>
        <v>-16660368.794403093</v>
      </c>
      <c r="AY156" s="343">
        <f t="shared" si="82"/>
        <v>-18629620.165502712</v>
      </c>
      <c r="AZ156" s="338">
        <f>(-AP156/((HLOOKUP(AX$5,port_specs,2,0)/(365.25))*(AT157-AT156)))*(INDEX(fixed_capacity_charge,MATCH(AT156,PORTS!$H$11:$H$317,0),MATCH(AX$5,PORTS!$H$11:$N$11,0))+INDEX(variable_om_charge,MATCH(AT156,PORTS!$H$318:$H$625,0),MATCH(AX$5,PORTS!$H$318:$N$318,0)))</f>
        <v>-1011215.5322706322</v>
      </c>
      <c r="BA156" s="232">
        <f t="shared" si="83"/>
        <v>-19640835.697773345</v>
      </c>
      <c r="BB156" s="241">
        <f t="shared" si="84"/>
        <v>104112.56664602831</v>
      </c>
      <c r="BC156" s="408"/>
      <c r="BD156" s="338">
        <f>+PORTS!I150+PORTS!I458</f>
        <v>1011215.5322706322</v>
      </c>
    </row>
    <row r="157" spans="1:56" x14ac:dyDescent="0.2">
      <c r="A157" s="186">
        <f t="shared" si="85"/>
        <v>40940</v>
      </c>
      <c r="B157" s="215">
        <f>+IF(AND($A157&gt;=$C$8,$A157&lt;=$C$9),1,0)*PORTS!$I$5/(365.25)*(A158-A157)</f>
        <v>4994647.5314058512</v>
      </c>
      <c r="C157" s="351">
        <f t="shared" si="64"/>
        <v>0</v>
      </c>
      <c r="D157">
        <f t="shared" si="65"/>
        <v>2012</v>
      </c>
      <c r="E157" s="186">
        <f t="shared" si="86"/>
        <v>40940</v>
      </c>
      <c r="F157" s="215">
        <f t="shared" si="66"/>
        <v>0</v>
      </c>
      <c r="G157" s="191">
        <f t="shared" si="67"/>
        <v>0</v>
      </c>
      <c r="H157" s="218">
        <f t="shared" si="68"/>
        <v>0</v>
      </c>
      <c r="I157" s="118">
        <f t="shared" si="69"/>
        <v>0</v>
      </c>
      <c r="J157" s="215">
        <f t="shared" si="70"/>
        <v>0</v>
      </c>
      <c r="K157" s="202"/>
      <c r="L157" s="186">
        <f t="shared" si="87"/>
        <v>40940</v>
      </c>
      <c r="M157" s="400">
        <f>+J157*(VLOOKUP(L157,CURVECALC!$C$6:$J$312,4,0)+N$5)</f>
        <v>0</v>
      </c>
      <c r="N157" s="208">
        <f>-F157*INDEX(ship_curves,MATCH(L157,'SHIP CURVES'!$A$9:$A$316,0),MATCH(CONCATENATE(P$4,P$5,P$6,P$7),'SHIP CURVES'!$A$9:$AZ$9,0))</f>
        <v>0</v>
      </c>
      <c r="O157" s="209">
        <f>-H157*INDEX(port_processing_fee,MATCH(L157,PORTS!$H$626:$H$933,0),MATCH(P$5,PORTS!$H$626:$Z$626,0))</f>
        <v>0</v>
      </c>
      <c r="P157" s="405">
        <f>(((VLOOKUP(L157,curvecalc,4,0))*IF(F157=0,0,J157/F157)-INDEX(ship_curves,MATCH(L157,'SHIP CURVES'!$A$9:$A$316,0),MATCH(CONCATENATE(P$4,P$5,P$6,P$7),'SHIP CURVES'!$A$9:$Z$9,0))-INDEX(terminal_curves,MATCH(L157,'TERMINAL CURVES'!$A$4:$A$313,0),MATCH(P$5,'TERMINAL CURVES'!$A$4:$N$4,0))*IF(F157=0,0,H157/F157))-(N$8)*((N$7-$N$5)-(INDEX(ship_curves,MATCH(L157,'SHIP CURVES'!$A$9:$A$316,0),MATCH(CONCATENATE(P$4,P$5,P$6,P$7),'SHIP CURVES'!$A$9:$Z$9,0))-INDEX(ship_curves,MATCH(L157,'SHIP CURVES'!$A$9:$A$316,0),MATCH(CONCATENATE(P$4,N$6,P$6,P$7),'SHIP CURVES'!$A$9:$Z$9,0)))-(INDEX(terminal_curves,MATCH(L157,'TERMINAL CURVES'!$A$4:$A$313,0),MATCH(P$5,'TERMINAL CURVES'!$A$4:$N$4,0))-INDEX(terminal_curves,MATCH(L157,'TERMINAL CURVES'!$A$4:$A$313,0),MATCH(N$6,'TERMINAL CURVES'!$A$4:$N$4,0)))*IF(F157=0,0,H157/F157)))*-F157</f>
        <v>0</v>
      </c>
      <c r="Q157" s="403">
        <f t="shared" si="71"/>
        <v>0</v>
      </c>
      <c r="R157" s="338">
        <f>(-H157/((HLOOKUP(P$5,port_specs,2,0)/(365.25))*(L158-L157)))*(INDEX(fixed_capacity_charge,MATCH(L157,PORTS!$H$11:$H$317,0),MATCH(P$5,PORTS!$H$11:$N$11,0))+INDEX(variable_om_charge,MATCH(L157,PORTS!$H$318:$H$625,0),MATCH(P$5,PORTS!$H$318:$N$318,0)))</f>
        <v>0</v>
      </c>
      <c r="S157" s="232">
        <f t="shared" si="72"/>
        <v>0</v>
      </c>
      <c r="T157" s="241">
        <f t="shared" si="73"/>
        <v>0</v>
      </c>
      <c r="V157" s="186">
        <f t="shared" si="88"/>
        <v>40940</v>
      </c>
      <c r="W157" s="215">
        <f t="shared" si="74"/>
        <v>0</v>
      </c>
      <c r="X157" s="191">
        <f t="shared" si="75"/>
        <v>0</v>
      </c>
      <c r="Y157" s="218">
        <f>+IF(AND(X$8&lt;=V157,X$9&gt;=V157),+MIN($B157-SUMIF($H$17:X$17,Y$17,$H157:X157),((INDEX(ROUTE_PER_DAY_BY_SHIP,MATCH(CONCATENATE(X$4,X$5,X$7),ROUTE_PER_DAY_ROUTES,0),MATCH(X$6,ROUTE_PER_DAY_SHIPS,0))*(V158-V157))-(INDEX(ROUTE_PER_DAY_BY_SHIP,MATCH(CONCATENATE(X$4,X$5,X$7),ROUTE_PER_DAY_ROUTES,0),MATCH(X$6,ROUTE_PER_DAY_SHIPS,0))*(V158-V157))*HLOOKUP(X$6,SHIPS,7,0)*INDEX(LADEN_VOYAGE_DAYS,MATCH(CONCATENATE(X$4,X$5,X$7),LADEN_VOYAGE_ROUTES,0),MATCH(X$6,LADEN_VOYAGE_SHIPS,0)))),0)</f>
        <v>0</v>
      </c>
      <c r="Z157" s="118">
        <f t="shared" si="76"/>
        <v>0</v>
      </c>
      <c r="AA157" s="215">
        <f t="shared" si="62"/>
        <v>0</v>
      </c>
      <c r="AB157" s="202"/>
      <c r="AC157" s="186">
        <f t="shared" si="89"/>
        <v>40940</v>
      </c>
      <c r="AD157" s="232">
        <f>+AA157*(VLOOKUP(AC157,CURVECALC!$C$6:$J$312,4,0)+AE$5)</f>
        <v>0</v>
      </c>
      <c r="AE157" s="208">
        <f>-W157*INDEX(ship_curves,MATCH(AC157,'SHIP CURVES'!$A$9:$A$316,0),MATCH(CONCATENATE(AG$4,AG$5,AG$6,AG$7),'SHIP CURVES'!$A$9:$AZ$9,0))</f>
        <v>0</v>
      </c>
      <c r="AF157" s="209">
        <f>-Y157*INDEX(port_processing_fee,MATCH(AC157,PORTS!$H$626:$H$933,0),MATCH(AG$5,PORTS!$H$626:$Z$626,0))</f>
        <v>0</v>
      </c>
      <c r="AG157" s="405">
        <f>(((VLOOKUP(AC157,curvecalc,4,0))*IF(W157=0,0,AA157/W157)-INDEX(ship_curves,MATCH(AC157,'SHIP CURVES'!$A$9:$A$316,0),MATCH(CONCATENATE(AG$4,AG$5,AG$6,AG$7),'SHIP CURVES'!$A$9:$Z$9,0))-INDEX(terminal_curves,MATCH(AC157,'TERMINAL CURVES'!$A$4:$A$313,0),MATCH(AG$5,'TERMINAL CURVES'!$A$4:$N$4,0))*IF(W157=0,0,Y157/W157))-(AE$8)*((AE$7-$N$5)-(INDEX(ship_curves,MATCH(AC157,'SHIP CURVES'!$A$9:$A$316,0),MATCH(CONCATENATE(AG$4,AG$5,AG$6,AG$7),'SHIP CURVES'!$A$9:$Z$9,0))-INDEX(ship_curves,MATCH(AC157,'SHIP CURVES'!$A$9:$A$316,0),MATCH(CONCATENATE(AG$4,AE$6,AG$6,AG$7),'SHIP CURVES'!$A$9:$Z$9,0)))-(INDEX(terminal_curves,MATCH(AC157,'TERMINAL CURVES'!$A$4:$A$313,0),MATCH(AG$5,'TERMINAL CURVES'!$A$4:$N$4,0))-INDEX(terminal_curves,MATCH(AC157,'TERMINAL CURVES'!$A$4:$A$313,0),MATCH(AE$6,'TERMINAL CURVES'!$A$4:$N$4,0)))*IF(W157=0,0,Y157/W157)))*-W157</f>
        <v>0</v>
      </c>
      <c r="AH157" s="343">
        <f t="shared" si="77"/>
        <v>0</v>
      </c>
      <c r="AI157" s="338">
        <f>(-Y157/((HLOOKUP(AG$5,port_specs,2,0)/(365.25))*(AC158-AC157)))*(INDEX(fixed_capacity_charge,MATCH(AC157,PORTS!$H$11:$H$317,0),MATCH(AG$5,PORTS!$H$11:$N$11,0))+INDEX(variable_om_charge,MATCH(AC157,PORTS!$H$318:$H$625,0),MATCH(AG$5,PORTS!$H$318:$N$318,0)))</f>
        <v>0</v>
      </c>
      <c r="AJ157" s="232">
        <f t="shared" si="78"/>
        <v>0</v>
      </c>
      <c r="AK157" s="241">
        <f t="shared" si="79"/>
        <v>0</v>
      </c>
      <c r="AM157" s="186">
        <f t="shared" si="90"/>
        <v>40940</v>
      </c>
      <c r="AN157" s="215">
        <f t="shared" si="80"/>
        <v>5047647.8336592736</v>
      </c>
      <c r="AO157" s="191">
        <f t="shared" si="81"/>
        <v>-53000.302253422327</v>
      </c>
      <c r="AP157" s="218">
        <f>+IF(AND(AO$8&lt;=AM157,AO$9&gt;=AM157),+MIN($B157-SUMIF($H$17:AO$17,AP$17,$H157:AO157),((INDEX(ROUTE_PER_DAY_BY_SHIP,MATCH(CONCATENATE(AO$4,AO$5,AO$7),ROUTE_PER_DAY_ROUTES,0),MATCH(AO$6,ROUTE_PER_DAY_SHIPS,0))*(AM158-AM157))-(INDEX(ROUTE_PER_DAY_BY_SHIP,MATCH(CONCATENATE(AO$4,AO$5,AO$7),ROUTE_PER_DAY_ROUTES,0),MATCH(AO$6,ROUTE_PER_DAY_SHIPS,0))*(AM158-AM157))*HLOOKUP(AO$6,SHIPS,7,0)*INDEX(LADEN_VOYAGE_DAYS,MATCH(CONCATENATE(AO$4,AO$5,AO$7),LADEN_VOYAGE_ROUTES,0),MATCH(AO$6,LADEN_VOYAGE_SHIPS,0)))),0)</f>
        <v>4994647.5314058512</v>
      </c>
      <c r="AQ157" s="118">
        <f>-(AP157)*PORTS!$I$6</f>
        <v>-124866.18828514629</v>
      </c>
      <c r="AR157" s="215">
        <f t="shared" si="63"/>
        <v>4869781.3431207053</v>
      </c>
      <c r="AS157" s="202"/>
      <c r="AT157" s="186">
        <f t="shared" si="91"/>
        <v>40940</v>
      </c>
      <c r="AU157" s="232">
        <f>+AR157*(VLOOKUP(AT157,CURVECALC!$C$6:$J$312,4,0)+AV$5)</f>
        <v>18013321.188203491</v>
      </c>
      <c r="AV157" s="208">
        <f>-AN157*INDEX(ship_curves,MATCH(AT157,'SHIP CURVES'!$A$9:$A$316,0),MATCH(CONCATENATE(AX$4,AX$5,AX$6,AX$7),'SHIP CURVES'!$A$9:$AZ$9,0))</f>
        <v>-1689985.1998044802</v>
      </c>
      <c r="AW157" s="209">
        <f>-AP157*INDEX(port_processing_fee,MATCH(AT157,PORTS!$H$626:$H$933,0),MATCH(AX$5,PORTS!$H$626:$Z$626,0))</f>
        <v>-152906.99637718272</v>
      </c>
      <c r="AX157" s="405">
        <f>(((VLOOKUP(AT157,curvecalc,4,0))*IF(AN157=0,0,AR157/AN157)-INDEX(ship_curves,MATCH(AT157,'SHIP CURVES'!$A$9:$A$316,0),MATCH(CONCATENATE(AX$4,AX$5,AX$6,AX$7),'SHIP CURVES'!$A$9:$Z$9,0))-INDEX(terminal_curves,MATCH(AT157,'TERMINAL CURVES'!$A$4:$A$313,0),MATCH(AX$5,'TERMINAL CURVES'!$A$4:$N$4,0))*IF(AN157=0,0,AP157/AN157))-(AV$8)*((AV$7-$N$5)-(INDEX(ship_curves,MATCH(AT157,'SHIP CURVES'!$A$9:$A$316,0),MATCH(CONCATENATE(AX$4,AX$5,AX$6,AX$7),'SHIP CURVES'!$A$9:$Z$9,0))-INDEX(ship_curves,MATCH(AT157,'SHIP CURVES'!$A$9:$A$316,0),MATCH(CONCATENATE(AX$4,AV$6,AX$6,AX$7),'SHIP CURVES'!$A$9:$Z$9,0)))-(INDEX(terminal_curves,MATCH(AT157,'TERMINAL CURVES'!$A$4:$A$313,0),MATCH(AX$5,'TERMINAL CURVES'!$A$4:$N$4,0))-INDEX(terminal_curves,MATCH(AT157,'TERMINAL CURVES'!$A$4:$A$313,0),MATCH(AV$6,'TERMINAL CURVES'!$A$4:$N$4,0)))*IF(AN157=0,0,AP157/AN157)))*-AN157</f>
        <v>-15061269.88605403</v>
      </c>
      <c r="AY157" s="343">
        <f t="shared" si="82"/>
        <v>-16904162.082235694</v>
      </c>
      <c r="AZ157" s="338">
        <f>(-AP157/((HLOOKUP(AX$5,port_specs,2,0)/(365.25))*(AT158-AT157)))*(INDEX(fixed_capacity_charge,MATCH(AT157,PORTS!$H$11:$H$317,0),MATCH(AX$5,PORTS!$H$11:$N$11,0))+INDEX(variable_om_charge,MATCH(AT157,PORTS!$H$318:$H$625,0),MATCH(AX$5,PORTS!$H$318:$N$318,0)))</f>
        <v>-1011763.4791053846</v>
      </c>
      <c r="BA157" s="232">
        <f t="shared" si="83"/>
        <v>-17915925.561341077</v>
      </c>
      <c r="BB157" s="241">
        <f t="shared" si="84"/>
        <v>97395.626862414181</v>
      </c>
      <c r="BC157" s="408"/>
      <c r="BD157" s="338">
        <f>+PORTS!I151+PORTS!I459</f>
        <v>1011763.4791053846</v>
      </c>
    </row>
    <row r="158" spans="1:56" x14ac:dyDescent="0.2">
      <c r="A158" s="186">
        <f t="shared" si="85"/>
        <v>40969</v>
      </c>
      <c r="B158" s="215">
        <f>+IF(AND($A158&gt;=$C$8,$A158&lt;=$C$9),1,0)*PORTS!$I$5/(365.25)*(A159-A158)</f>
        <v>5339105.9818476336</v>
      </c>
      <c r="C158" s="351">
        <f t="shared" si="64"/>
        <v>0</v>
      </c>
      <c r="D158">
        <f t="shared" si="65"/>
        <v>2012</v>
      </c>
      <c r="E158" s="186">
        <f t="shared" si="86"/>
        <v>40969</v>
      </c>
      <c r="F158" s="215">
        <f t="shared" si="66"/>
        <v>0</v>
      </c>
      <c r="G158" s="191">
        <f t="shared" si="67"/>
        <v>0</v>
      </c>
      <c r="H158" s="218">
        <f t="shared" si="68"/>
        <v>0</v>
      </c>
      <c r="I158" s="118">
        <f t="shared" si="69"/>
        <v>0</v>
      </c>
      <c r="J158" s="215">
        <f t="shared" si="70"/>
        <v>0</v>
      </c>
      <c r="K158" s="202"/>
      <c r="L158" s="186">
        <f t="shared" si="87"/>
        <v>40969</v>
      </c>
      <c r="M158" s="400">
        <f>+J158*(VLOOKUP(L158,CURVECALC!$C$6:$J$312,4,0)+N$5)</f>
        <v>0</v>
      </c>
      <c r="N158" s="208">
        <f>-F158*INDEX(ship_curves,MATCH(L158,'SHIP CURVES'!$A$9:$A$316,0),MATCH(CONCATENATE(P$4,P$5,P$6,P$7),'SHIP CURVES'!$A$9:$AZ$9,0))</f>
        <v>0</v>
      </c>
      <c r="O158" s="209">
        <f>-H158*INDEX(port_processing_fee,MATCH(L158,PORTS!$H$626:$H$933,0),MATCH(P$5,PORTS!$H$626:$Z$626,0))</f>
        <v>0</v>
      </c>
      <c r="P158" s="405">
        <f>(((VLOOKUP(L158,curvecalc,4,0))*IF(F158=0,0,J158/F158)-INDEX(ship_curves,MATCH(L158,'SHIP CURVES'!$A$9:$A$316,0),MATCH(CONCATENATE(P$4,P$5,P$6,P$7),'SHIP CURVES'!$A$9:$Z$9,0))-INDEX(terminal_curves,MATCH(L158,'TERMINAL CURVES'!$A$4:$A$313,0),MATCH(P$5,'TERMINAL CURVES'!$A$4:$N$4,0))*IF(F158=0,0,H158/F158))-(N$8)*((N$7-$N$5)-(INDEX(ship_curves,MATCH(L158,'SHIP CURVES'!$A$9:$A$316,0),MATCH(CONCATENATE(P$4,P$5,P$6,P$7),'SHIP CURVES'!$A$9:$Z$9,0))-INDEX(ship_curves,MATCH(L158,'SHIP CURVES'!$A$9:$A$316,0),MATCH(CONCATENATE(P$4,N$6,P$6,P$7),'SHIP CURVES'!$A$9:$Z$9,0)))-(INDEX(terminal_curves,MATCH(L158,'TERMINAL CURVES'!$A$4:$A$313,0),MATCH(P$5,'TERMINAL CURVES'!$A$4:$N$4,0))-INDEX(terminal_curves,MATCH(L158,'TERMINAL CURVES'!$A$4:$A$313,0),MATCH(N$6,'TERMINAL CURVES'!$A$4:$N$4,0)))*IF(F158=0,0,H158/F158)))*-F158</f>
        <v>0</v>
      </c>
      <c r="Q158" s="403">
        <f t="shared" si="71"/>
        <v>0</v>
      </c>
      <c r="R158" s="338">
        <f>(-H158/((HLOOKUP(P$5,port_specs,2,0)/(365.25))*(L159-L158)))*(INDEX(fixed_capacity_charge,MATCH(L158,PORTS!$H$11:$H$317,0),MATCH(P$5,PORTS!$H$11:$N$11,0))+INDEX(variable_om_charge,MATCH(L158,PORTS!$H$318:$H$625,0),MATCH(P$5,PORTS!$H$318:$N$318,0)))</f>
        <v>0</v>
      </c>
      <c r="S158" s="232">
        <f t="shared" si="72"/>
        <v>0</v>
      </c>
      <c r="T158" s="241">
        <f t="shared" si="73"/>
        <v>0</v>
      </c>
      <c r="V158" s="186">
        <f t="shared" si="88"/>
        <v>40969</v>
      </c>
      <c r="W158" s="215">
        <f t="shared" si="74"/>
        <v>0</v>
      </c>
      <c r="X158" s="191">
        <f t="shared" si="75"/>
        <v>0</v>
      </c>
      <c r="Y158" s="218">
        <f>+IF(AND(X$8&lt;=V158,X$9&gt;=V158),+MIN($B158-SUMIF($H$17:X$17,Y$17,$H158:X158),((INDEX(ROUTE_PER_DAY_BY_SHIP,MATCH(CONCATENATE(X$4,X$5,X$7),ROUTE_PER_DAY_ROUTES,0),MATCH(X$6,ROUTE_PER_DAY_SHIPS,0))*(V159-V158))-(INDEX(ROUTE_PER_DAY_BY_SHIP,MATCH(CONCATENATE(X$4,X$5,X$7),ROUTE_PER_DAY_ROUTES,0),MATCH(X$6,ROUTE_PER_DAY_SHIPS,0))*(V159-V158))*HLOOKUP(X$6,SHIPS,7,0)*INDEX(LADEN_VOYAGE_DAYS,MATCH(CONCATENATE(X$4,X$5,X$7),LADEN_VOYAGE_ROUTES,0),MATCH(X$6,LADEN_VOYAGE_SHIPS,0)))),0)</f>
        <v>0</v>
      </c>
      <c r="Z158" s="118">
        <f t="shared" si="76"/>
        <v>0</v>
      </c>
      <c r="AA158" s="215">
        <f t="shared" si="62"/>
        <v>0</v>
      </c>
      <c r="AB158" s="202"/>
      <c r="AC158" s="186">
        <f t="shared" si="89"/>
        <v>40969</v>
      </c>
      <c r="AD158" s="232">
        <f>+AA158*(VLOOKUP(AC158,CURVECALC!$C$6:$J$312,4,0)+AE$5)</f>
        <v>0</v>
      </c>
      <c r="AE158" s="208">
        <f>-W158*INDEX(ship_curves,MATCH(AC158,'SHIP CURVES'!$A$9:$A$316,0),MATCH(CONCATENATE(AG$4,AG$5,AG$6,AG$7),'SHIP CURVES'!$A$9:$AZ$9,0))</f>
        <v>0</v>
      </c>
      <c r="AF158" s="209">
        <f>-Y158*INDEX(port_processing_fee,MATCH(AC158,PORTS!$H$626:$H$933,0),MATCH(AG$5,PORTS!$H$626:$Z$626,0))</f>
        <v>0</v>
      </c>
      <c r="AG158" s="405">
        <f>(((VLOOKUP(AC158,curvecalc,4,0))*IF(W158=0,0,AA158/W158)-INDEX(ship_curves,MATCH(AC158,'SHIP CURVES'!$A$9:$A$316,0),MATCH(CONCATENATE(AG$4,AG$5,AG$6,AG$7),'SHIP CURVES'!$A$9:$Z$9,0))-INDEX(terminal_curves,MATCH(AC158,'TERMINAL CURVES'!$A$4:$A$313,0),MATCH(AG$5,'TERMINAL CURVES'!$A$4:$N$4,0))*IF(W158=0,0,Y158/W158))-(AE$8)*((AE$7-$N$5)-(INDEX(ship_curves,MATCH(AC158,'SHIP CURVES'!$A$9:$A$316,0),MATCH(CONCATENATE(AG$4,AG$5,AG$6,AG$7),'SHIP CURVES'!$A$9:$Z$9,0))-INDEX(ship_curves,MATCH(AC158,'SHIP CURVES'!$A$9:$A$316,0),MATCH(CONCATENATE(AG$4,AE$6,AG$6,AG$7),'SHIP CURVES'!$A$9:$Z$9,0)))-(INDEX(terminal_curves,MATCH(AC158,'TERMINAL CURVES'!$A$4:$A$313,0),MATCH(AG$5,'TERMINAL CURVES'!$A$4:$N$4,0))-INDEX(terminal_curves,MATCH(AC158,'TERMINAL CURVES'!$A$4:$A$313,0),MATCH(AE$6,'TERMINAL CURVES'!$A$4:$N$4,0)))*IF(W158=0,0,Y158/W158)))*-W158</f>
        <v>0</v>
      </c>
      <c r="AH158" s="343">
        <f t="shared" si="77"/>
        <v>0</v>
      </c>
      <c r="AI158" s="338">
        <f>(-Y158/((HLOOKUP(AG$5,port_specs,2,0)/(365.25))*(AC159-AC158)))*(INDEX(fixed_capacity_charge,MATCH(AC158,PORTS!$H$11:$H$317,0),MATCH(AG$5,PORTS!$H$11:$N$11,0))+INDEX(variable_om_charge,MATCH(AC158,PORTS!$H$318:$H$625,0),MATCH(AG$5,PORTS!$H$318:$N$318,0)))</f>
        <v>0</v>
      </c>
      <c r="AJ158" s="232">
        <f t="shared" si="78"/>
        <v>0</v>
      </c>
      <c r="AK158" s="241">
        <f t="shared" si="79"/>
        <v>0</v>
      </c>
      <c r="AM158" s="186">
        <f t="shared" si="90"/>
        <v>40969</v>
      </c>
      <c r="AN158" s="215">
        <f t="shared" si="80"/>
        <v>5395761.4773599124</v>
      </c>
      <c r="AO158" s="191">
        <f t="shared" si="81"/>
        <v>-56655.495512278751</v>
      </c>
      <c r="AP158" s="218">
        <f>+IF(AND(AO$8&lt;=AM158,AO$9&gt;=AM158),+MIN($B158-SUMIF($H$17:AO$17,AP$17,$H158:AO158),((INDEX(ROUTE_PER_DAY_BY_SHIP,MATCH(CONCATENATE(AO$4,AO$5,AO$7),ROUTE_PER_DAY_ROUTES,0),MATCH(AO$6,ROUTE_PER_DAY_SHIPS,0))*(AM159-AM158))-(INDEX(ROUTE_PER_DAY_BY_SHIP,MATCH(CONCATENATE(AO$4,AO$5,AO$7),ROUTE_PER_DAY_ROUTES,0),MATCH(AO$6,ROUTE_PER_DAY_SHIPS,0))*(AM159-AM158))*HLOOKUP(AO$6,SHIPS,7,0)*INDEX(LADEN_VOYAGE_DAYS,MATCH(CONCATENATE(AO$4,AO$5,AO$7),LADEN_VOYAGE_ROUTES,0),MATCH(AO$6,LADEN_VOYAGE_SHIPS,0)))),0)</f>
        <v>5339105.9818476336</v>
      </c>
      <c r="AQ158" s="118">
        <f>-(AP158)*PORTS!$I$6</f>
        <v>-133477.64954619083</v>
      </c>
      <c r="AR158" s="215">
        <f t="shared" si="63"/>
        <v>5205628.3323014425</v>
      </c>
      <c r="AS158" s="202"/>
      <c r="AT158" s="186">
        <f t="shared" si="91"/>
        <v>40969</v>
      </c>
      <c r="AU158" s="232">
        <f>+AR158*(VLOOKUP(AT158,CURVECALC!$C$6:$J$312,4,0)+AV$5)</f>
        <v>18667383.199632976</v>
      </c>
      <c r="AV158" s="208">
        <f>-AN158*INDEX(ship_curves,MATCH(AT158,'SHIP CURVES'!$A$9:$A$316,0),MATCH(CONCATENATE(AX$4,AX$5,AX$6,AX$7),'SHIP CURVES'!$A$9:$AZ$9,0))</f>
        <v>-1807103.8369397365</v>
      </c>
      <c r="AW158" s="209">
        <f>-AP158*INDEX(port_processing_fee,MATCH(AT158,PORTS!$H$626:$H$933,0),MATCH(AX$5,PORTS!$H$626:$Z$626,0))</f>
        <v>-163622.56929140267</v>
      </c>
      <c r="AX158" s="405">
        <f>(((VLOOKUP(AT158,curvecalc,4,0))*IF(AN158=0,0,AR158/AN158)-INDEX(ship_curves,MATCH(AT158,'SHIP CURVES'!$A$9:$A$316,0),MATCH(CONCATENATE(AX$4,AX$5,AX$6,AX$7),'SHIP CURVES'!$A$9:$Z$9,0))-INDEX(terminal_curves,MATCH(AT158,'TERMINAL CURVES'!$A$4:$A$313,0),MATCH(AX$5,'TERMINAL CURVES'!$A$4:$N$4,0))*IF(AN158=0,0,AP158/AN158))-(AV$8)*((AV$7-$N$5)-(INDEX(ship_curves,MATCH(AT158,'SHIP CURVES'!$A$9:$A$316,0),MATCH(CONCATENATE(AX$4,AX$5,AX$6,AX$7),'SHIP CURVES'!$A$9:$Z$9,0))-INDEX(ship_curves,MATCH(AT158,'SHIP CURVES'!$A$9:$A$316,0),MATCH(CONCATENATE(AX$4,AV$6,AX$6,AX$7),'SHIP CURVES'!$A$9:$Z$9,0)))-(INDEX(terminal_curves,MATCH(AT158,'TERMINAL CURVES'!$A$4:$A$313,0),MATCH(AX$5,'TERMINAL CURVES'!$A$4:$N$4,0))-INDEX(terminal_curves,MATCH(AT158,'TERMINAL CURVES'!$A$4:$A$313,0),MATCH(AV$6,'TERMINAL CURVES'!$A$4:$N$4,0)))*IF(AN158=0,0,AP158/AN158)))*-AN158</f>
        <v>-15580232.230037717</v>
      </c>
      <c r="AY158" s="343">
        <f t="shared" si="82"/>
        <v>-17550958.636268858</v>
      </c>
      <c r="AZ158" s="338">
        <f>(-AP158/((HLOOKUP(AX$5,port_specs,2,0)/(365.25))*(AT159-AT158)))*(INDEX(fixed_capacity_charge,MATCH(AT158,PORTS!$H$11:$H$317,0),MATCH(AX$5,PORTS!$H$11:$N$11,0))+INDEX(variable_om_charge,MATCH(AT158,PORTS!$H$318:$H$625,0),MATCH(AX$5,PORTS!$H$318:$N$318,0)))</f>
        <v>-1012311.9967180898</v>
      </c>
      <c r="BA158" s="232">
        <f t="shared" si="83"/>
        <v>-18563270.632986948</v>
      </c>
      <c r="BB158" s="241">
        <f t="shared" si="84"/>
        <v>104112.56664602831</v>
      </c>
      <c r="BC158" s="408"/>
      <c r="BD158" s="338">
        <f>+PORTS!I152+PORTS!I460</f>
        <v>1012311.9967180898</v>
      </c>
    </row>
    <row r="159" spans="1:56" x14ac:dyDescent="0.2">
      <c r="A159" s="186">
        <f t="shared" si="85"/>
        <v>41000</v>
      </c>
      <c r="B159" s="215">
        <f>+IF(AND($A159&gt;=$C$8,$A159&lt;=$C$9),1,0)*PORTS!$I$5/(365.25)*(A160-A159)</f>
        <v>5166876.756626742</v>
      </c>
      <c r="C159" s="351">
        <f t="shared" si="64"/>
        <v>0</v>
      </c>
      <c r="D159">
        <f t="shared" si="65"/>
        <v>2012</v>
      </c>
      <c r="E159" s="186">
        <f t="shared" si="86"/>
        <v>41000</v>
      </c>
      <c r="F159" s="215">
        <f t="shared" si="66"/>
        <v>0</v>
      </c>
      <c r="G159" s="191">
        <f t="shared" si="67"/>
        <v>0</v>
      </c>
      <c r="H159" s="218">
        <f t="shared" si="68"/>
        <v>0</v>
      </c>
      <c r="I159" s="118">
        <f t="shared" si="69"/>
        <v>0</v>
      </c>
      <c r="J159" s="215">
        <f t="shared" si="70"/>
        <v>0</v>
      </c>
      <c r="K159" s="202"/>
      <c r="L159" s="186">
        <f t="shared" si="87"/>
        <v>41000</v>
      </c>
      <c r="M159" s="400">
        <f>+J159*(VLOOKUP(L159,CURVECALC!$C$6:$J$312,4,0)+N$5)</f>
        <v>0</v>
      </c>
      <c r="N159" s="208">
        <f>-F159*INDEX(ship_curves,MATCH(L159,'SHIP CURVES'!$A$9:$A$316,0),MATCH(CONCATENATE(P$4,P$5,P$6,P$7),'SHIP CURVES'!$A$9:$AZ$9,0))</f>
        <v>0</v>
      </c>
      <c r="O159" s="209">
        <f>-H159*INDEX(port_processing_fee,MATCH(L159,PORTS!$H$626:$H$933,0),MATCH(P$5,PORTS!$H$626:$Z$626,0))</f>
        <v>0</v>
      </c>
      <c r="P159" s="405">
        <f>(((VLOOKUP(L159,curvecalc,4,0))*IF(F159=0,0,J159/F159)-INDEX(ship_curves,MATCH(L159,'SHIP CURVES'!$A$9:$A$316,0),MATCH(CONCATENATE(P$4,P$5,P$6,P$7),'SHIP CURVES'!$A$9:$Z$9,0))-INDEX(terminal_curves,MATCH(L159,'TERMINAL CURVES'!$A$4:$A$313,0),MATCH(P$5,'TERMINAL CURVES'!$A$4:$N$4,0))*IF(F159=0,0,H159/F159))-(N$8)*((N$7-$N$5)-(INDEX(ship_curves,MATCH(L159,'SHIP CURVES'!$A$9:$A$316,0),MATCH(CONCATENATE(P$4,P$5,P$6,P$7),'SHIP CURVES'!$A$9:$Z$9,0))-INDEX(ship_curves,MATCH(L159,'SHIP CURVES'!$A$9:$A$316,0),MATCH(CONCATENATE(P$4,N$6,P$6,P$7),'SHIP CURVES'!$A$9:$Z$9,0)))-(INDEX(terminal_curves,MATCH(L159,'TERMINAL CURVES'!$A$4:$A$313,0),MATCH(P$5,'TERMINAL CURVES'!$A$4:$N$4,0))-INDEX(terminal_curves,MATCH(L159,'TERMINAL CURVES'!$A$4:$A$313,0),MATCH(N$6,'TERMINAL CURVES'!$A$4:$N$4,0)))*IF(F159=0,0,H159/F159)))*-F159</f>
        <v>0</v>
      </c>
      <c r="Q159" s="403">
        <f t="shared" si="71"/>
        <v>0</v>
      </c>
      <c r="R159" s="338">
        <f>(-H159/((HLOOKUP(P$5,port_specs,2,0)/(365.25))*(L160-L159)))*(INDEX(fixed_capacity_charge,MATCH(L159,PORTS!$H$11:$H$317,0),MATCH(P$5,PORTS!$H$11:$N$11,0))+INDEX(variable_om_charge,MATCH(L159,PORTS!$H$318:$H$625,0),MATCH(P$5,PORTS!$H$318:$N$318,0)))</f>
        <v>0</v>
      </c>
      <c r="S159" s="232">
        <f t="shared" si="72"/>
        <v>0</v>
      </c>
      <c r="T159" s="241">
        <f t="shared" si="73"/>
        <v>0</v>
      </c>
      <c r="V159" s="186">
        <f t="shared" si="88"/>
        <v>41000</v>
      </c>
      <c r="W159" s="215">
        <f t="shared" si="74"/>
        <v>0</v>
      </c>
      <c r="X159" s="191">
        <f t="shared" si="75"/>
        <v>0</v>
      </c>
      <c r="Y159" s="218">
        <f>+IF(AND(X$8&lt;=V159,X$9&gt;=V159),+MIN($B159-SUMIF($H$17:X$17,Y$17,$H159:X159),((INDEX(ROUTE_PER_DAY_BY_SHIP,MATCH(CONCATENATE(X$4,X$5,X$7),ROUTE_PER_DAY_ROUTES,0),MATCH(X$6,ROUTE_PER_DAY_SHIPS,0))*(V160-V159))-(INDEX(ROUTE_PER_DAY_BY_SHIP,MATCH(CONCATENATE(X$4,X$5,X$7),ROUTE_PER_DAY_ROUTES,0),MATCH(X$6,ROUTE_PER_DAY_SHIPS,0))*(V160-V159))*HLOOKUP(X$6,SHIPS,7,0)*INDEX(LADEN_VOYAGE_DAYS,MATCH(CONCATENATE(X$4,X$5,X$7),LADEN_VOYAGE_ROUTES,0),MATCH(X$6,LADEN_VOYAGE_SHIPS,0)))),0)</f>
        <v>0</v>
      </c>
      <c r="Z159" s="118">
        <f t="shared" si="76"/>
        <v>0</v>
      </c>
      <c r="AA159" s="215">
        <f t="shared" si="62"/>
        <v>0</v>
      </c>
      <c r="AB159" s="202"/>
      <c r="AC159" s="186">
        <f t="shared" si="89"/>
        <v>41000</v>
      </c>
      <c r="AD159" s="232">
        <f>+AA159*(VLOOKUP(AC159,CURVECALC!$C$6:$J$312,4,0)+AE$5)</f>
        <v>0</v>
      </c>
      <c r="AE159" s="208">
        <f>-W159*INDEX(ship_curves,MATCH(AC159,'SHIP CURVES'!$A$9:$A$316,0),MATCH(CONCATENATE(AG$4,AG$5,AG$6,AG$7),'SHIP CURVES'!$A$9:$AZ$9,0))</f>
        <v>0</v>
      </c>
      <c r="AF159" s="209">
        <f>-Y159*INDEX(port_processing_fee,MATCH(AC159,PORTS!$H$626:$H$933,0),MATCH(AG$5,PORTS!$H$626:$Z$626,0))</f>
        <v>0</v>
      </c>
      <c r="AG159" s="405">
        <f>(((VLOOKUP(AC159,curvecalc,4,0))*IF(W159=0,0,AA159/W159)-INDEX(ship_curves,MATCH(AC159,'SHIP CURVES'!$A$9:$A$316,0),MATCH(CONCATENATE(AG$4,AG$5,AG$6,AG$7),'SHIP CURVES'!$A$9:$Z$9,0))-INDEX(terminal_curves,MATCH(AC159,'TERMINAL CURVES'!$A$4:$A$313,0),MATCH(AG$5,'TERMINAL CURVES'!$A$4:$N$4,0))*IF(W159=0,0,Y159/W159))-(AE$8)*((AE$7-$N$5)-(INDEX(ship_curves,MATCH(AC159,'SHIP CURVES'!$A$9:$A$316,0),MATCH(CONCATENATE(AG$4,AG$5,AG$6,AG$7),'SHIP CURVES'!$A$9:$Z$9,0))-INDEX(ship_curves,MATCH(AC159,'SHIP CURVES'!$A$9:$A$316,0),MATCH(CONCATENATE(AG$4,AE$6,AG$6,AG$7),'SHIP CURVES'!$A$9:$Z$9,0)))-(INDEX(terminal_curves,MATCH(AC159,'TERMINAL CURVES'!$A$4:$A$313,0),MATCH(AG$5,'TERMINAL CURVES'!$A$4:$N$4,0))-INDEX(terminal_curves,MATCH(AC159,'TERMINAL CURVES'!$A$4:$A$313,0),MATCH(AE$6,'TERMINAL CURVES'!$A$4:$N$4,0)))*IF(W159=0,0,Y159/W159)))*-W159</f>
        <v>0</v>
      </c>
      <c r="AH159" s="343">
        <f t="shared" si="77"/>
        <v>0</v>
      </c>
      <c r="AI159" s="338">
        <f>(-Y159/((HLOOKUP(AG$5,port_specs,2,0)/(365.25))*(AC160-AC159)))*(INDEX(fixed_capacity_charge,MATCH(AC159,PORTS!$H$11:$H$317,0),MATCH(AG$5,PORTS!$H$11:$N$11,0))+INDEX(variable_om_charge,MATCH(AC159,PORTS!$H$318:$H$625,0),MATCH(AG$5,PORTS!$H$318:$N$318,0)))</f>
        <v>0</v>
      </c>
      <c r="AJ159" s="232">
        <f t="shared" si="78"/>
        <v>0</v>
      </c>
      <c r="AK159" s="241">
        <f t="shared" si="79"/>
        <v>0</v>
      </c>
      <c r="AM159" s="186">
        <f t="shared" si="90"/>
        <v>41000</v>
      </c>
      <c r="AN159" s="215">
        <f t="shared" si="80"/>
        <v>5221704.655509592</v>
      </c>
      <c r="AO159" s="191">
        <f t="shared" si="81"/>
        <v>-54827.898882850073</v>
      </c>
      <c r="AP159" s="218">
        <f>+IF(AND(AO$8&lt;=AM159,AO$9&gt;=AM159),+MIN($B159-SUMIF($H$17:AO$17,AP$17,$H159:AO159),((INDEX(ROUTE_PER_DAY_BY_SHIP,MATCH(CONCATENATE(AO$4,AO$5,AO$7),ROUTE_PER_DAY_ROUTES,0),MATCH(AO$6,ROUTE_PER_DAY_SHIPS,0))*(AM160-AM159))-(INDEX(ROUTE_PER_DAY_BY_SHIP,MATCH(CONCATENATE(AO$4,AO$5,AO$7),ROUTE_PER_DAY_ROUTES,0),MATCH(AO$6,ROUTE_PER_DAY_SHIPS,0))*(AM160-AM159))*HLOOKUP(AO$6,SHIPS,7,0)*INDEX(LADEN_VOYAGE_DAYS,MATCH(CONCATENATE(AO$4,AO$5,AO$7),LADEN_VOYAGE_ROUTES,0),MATCH(AO$6,LADEN_VOYAGE_SHIPS,0)))),0)</f>
        <v>5166876.756626742</v>
      </c>
      <c r="AQ159" s="118">
        <f>-(AP159)*PORTS!$I$6</f>
        <v>-129171.91891566856</v>
      </c>
      <c r="AR159" s="215">
        <f t="shared" si="63"/>
        <v>5037704.8377110735</v>
      </c>
      <c r="AS159" s="202"/>
      <c r="AT159" s="186">
        <f t="shared" si="91"/>
        <v>41000</v>
      </c>
      <c r="AU159" s="232">
        <f>+AR159*(VLOOKUP(AT159,CURVECALC!$C$6:$J$312,4,0)+AV$5)</f>
        <v>17495948.901370559</v>
      </c>
      <c r="AV159" s="208">
        <f>-AN159*INDEX(ship_curves,MATCH(AT159,'SHIP CURVES'!$A$9:$A$316,0),MATCH(CONCATENATE(AX$4,AX$5,AX$6,AX$7),'SHIP CURVES'!$A$9:$AZ$9,0))</f>
        <v>-1749360.923066526</v>
      </c>
      <c r="AW159" s="209">
        <f>-AP159*INDEX(port_processing_fee,MATCH(AT159,PORTS!$H$626:$H$933,0),MATCH(AX$5,PORTS!$H$626:$Z$626,0))</f>
        <v>-158509.36400104631</v>
      </c>
      <c r="AX159" s="405">
        <f>(((VLOOKUP(AT159,curvecalc,4,0))*IF(AN159=0,0,AR159/AN159)-INDEX(ship_curves,MATCH(AT159,'SHIP CURVES'!$A$9:$A$316,0),MATCH(CONCATENATE(AX$4,AX$5,AX$6,AX$7),'SHIP CURVES'!$A$9:$Z$9,0))-INDEX(terminal_curves,MATCH(AT159,'TERMINAL CURVES'!$A$4:$A$313,0),MATCH(AX$5,'TERMINAL CURVES'!$A$4:$N$4,0))*IF(AN159=0,0,AP159/AN159))-(AV$8)*((AV$7-$N$5)-(INDEX(ship_curves,MATCH(AT159,'SHIP CURVES'!$A$9:$A$316,0),MATCH(CONCATENATE(AX$4,AX$5,AX$6,AX$7),'SHIP CURVES'!$A$9:$Z$9,0))-INDEX(ship_curves,MATCH(AT159,'SHIP CURVES'!$A$9:$A$316,0),MATCH(CONCATENATE(AX$4,AV$6,AX$6,AX$7),'SHIP CURVES'!$A$9:$Z$9,0)))-(INDEX(terminal_curves,MATCH(AT159,'TERMINAL CURVES'!$A$4:$A$313,0),MATCH(AX$5,'TERMINAL CURVES'!$A$4:$N$4,0))-INDEX(terminal_curves,MATCH(AT159,'TERMINAL CURVES'!$A$4:$A$313,0),MATCH(AV$6,'TERMINAL CURVES'!$A$4:$N$4,0)))*IF(AN159=0,0,AP159/AN159)))*-AN159</f>
        <v>-14474463.431845453</v>
      </c>
      <c r="AY159" s="343">
        <f t="shared" si="82"/>
        <v>-16382333.718913024</v>
      </c>
      <c r="AZ159" s="338">
        <f>(-AP159/((HLOOKUP(AX$5,port_specs,2,0)/(365.25))*(AT160-AT159)))*(INDEX(fixed_capacity_charge,MATCH(AT159,PORTS!$H$11:$H$317,0),MATCH(AX$5,PORTS!$H$11:$N$11,0))+INDEX(variable_om_charge,MATCH(AT159,PORTS!$H$318:$H$625,0),MATCH(AX$5,PORTS!$H$318:$N$318,0)))</f>
        <v>-1012861.0857033082</v>
      </c>
      <c r="BA159" s="232">
        <f t="shared" si="83"/>
        <v>-17395194.804616332</v>
      </c>
      <c r="BB159" s="241">
        <f t="shared" si="84"/>
        <v>100754.09675422683</v>
      </c>
      <c r="BC159" s="408"/>
      <c r="BD159" s="338">
        <f>+PORTS!I153+PORTS!I461</f>
        <v>1012861.0857033082</v>
      </c>
    </row>
    <row r="160" spans="1:56" x14ac:dyDescent="0.2">
      <c r="A160" s="186">
        <f t="shared" si="85"/>
        <v>41030</v>
      </c>
      <c r="B160" s="215">
        <f>+IF(AND($A160&gt;=$C$8,$A160&lt;=$C$9),1,0)*PORTS!$I$5/(365.25)*(A161-A160)</f>
        <v>5339105.9818476336</v>
      </c>
      <c r="C160" s="351">
        <f t="shared" si="64"/>
        <v>0</v>
      </c>
      <c r="D160">
        <f t="shared" si="65"/>
        <v>2012</v>
      </c>
      <c r="E160" s="186">
        <f t="shared" si="86"/>
        <v>41030</v>
      </c>
      <c r="F160" s="215">
        <f t="shared" si="66"/>
        <v>0</v>
      </c>
      <c r="G160" s="191">
        <f t="shared" si="67"/>
        <v>0</v>
      </c>
      <c r="H160" s="218">
        <f t="shared" si="68"/>
        <v>0</v>
      </c>
      <c r="I160" s="118">
        <f t="shared" si="69"/>
        <v>0</v>
      </c>
      <c r="J160" s="215">
        <f t="shared" si="70"/>
        <v>0</v>
      </c>
      <c r="K160" s="202"/>
      <c r="L160" s="186">
        <f t="shared" si="87"/>
        <v>41030</v>
      </c>
      <c r="M160" s="400">
        <f>+J160*(VLOOKUP(L160,CURVECALC!$C$6:$J$312,4,0)+N$5)</f>
        <v>0</v>
      </c>
      <c r="N160" s="208">
        <f>-F160*INDEX(ship_curves,MATCH(L160,'SHIP CURVES'!$A$9:$A$316,0),MATCH(CONCATENATE(P$4,P$5,P$6,P$7),'SHIP CURVES'!$A$9:$AZ$9,0))</f>
        <v>0</v>
      </c>
      <c r="O160" s="209">
        <f>-H160*INDEX(port_processing_fee,MATCH(L160,PORTS!$H$626:$H$933,0),MATCH(P$5,PORTS!$H$626:$Z$626,0))</f>
        <v>0</v>
      </c>
      <c r="P160" s="405">
        <f>(((VLOOKUP(L160,curvecalc,4,0))*IF(F160=0,0,J160/F160)-INDEX(ship_curves,MATCH(L160,'SHIP CURVES'!$A$9:$A$316,0),MATCH(CONCATENATE(P$4,P$5,P$6,P$7),'SHIP CURVES'!$A$9:$Z$9,0))-INDEX(terminal_curves,MATCH(L160,'TERMINAL CURVES'!$A$4:$A$313,0),MATCH(P$5,'TERMINAL CURVES'!$A$4:$N$4,0))*IF(F160=0,0,H160/F160))-(N$8)*((N$7-$N$5)-(INDEX(ship_curves,MATCH(L160,'SHIP CURVES'!$A$9:$A$316,0),MATCH(CONCATENATE(P$4,P$5,P$6,P$7),'SHIP CURVES'!$A$9:$Z$9,0))-INDEX(ship_curves,MATCH(L160,'SHIP CURVES'!$A$9:$A$316,0),MATCH(CONCATENATE(P$4,N$6,P$6,P$7),'SHIP CURVES'!$A$9:$Z$9,0)))-(INDEX(terminal_curves,MATCH(L160,'TERMINAL CURVES'!$A$4:$A$313,0),MATCH(P$5,'TERMINAL CURVES'!$A$4:$N$4,0))-INDEX(terminal_curves,MATCH(L160,'TERMINAL CURVES'!$A$4:$A$313,0),MATCH(N$6,'TERMINAL CURVES'!$A$4:$N$4,0)))*IF(F160=0,0,H160/F160)))*-F160</f>
        <v>0</v>
      </c>
      <c r="Q160" s="403">
        <f t="shared" si="71"/>
        <v>0</v>
      </c>
      <c r="R160" s="338">
        <f>(-H160/((HLOOKUP(P$5,port_specs,2,0)/(365.25))*(L161-L160)))*(INDEX(fixed_capacity_charge,MATCH(L160,PORTS!$H$11:$H$317,0),MATCH(P$5,PORTS!$H$11:$N$11,0))+INDEX(variable_om_charge,MATCH(L160,PORTS!$H$318:$H$625,0),MATCH(P$5,PORTS!$H$318:$N$318,0)))</f>
        <v>0</v>
      </c>
      <c r="S160" s="232">
        <f t="shared" si="72"/>
        <v>0</v>
      </c>
      <c r="T160" s="241">
        <f t="shared" si="73"/>
        <v>0</v>
      </c>
      <c r="V160" s="186">
        <f t="shared" si="88"/>
        <v>41030</v>
      </c>
      <c r="W160" s="215">
        <f t="shared" si="74"/>
        <v>0</v>
      </c>
      <c r="X160" s="191">
        <f t="shared" si="75"/>
        <v>0</v>
      </c>
      <c r="Y160" s="218">
        <f>+IF(AND(X$8&lt;=V160,X$9&gt;=V160),+MIN($B160-SUMIF($H$17:X$17,Y$17,$H160:X160),((INDEX(ROUTE_PER_DAY_BY_SHIP,MATCH(CONCATENATE(X$4,X$5,X$7),ROUTE_PER_DAY_ROUTES,0),MATCH(X$6,ROUTE_PER_DAY_SHIPS,0))*(V161-V160))-(INDEX(ROUTE_PER_DAY_BY_SHIP,MATCH(CONCATENATE(X$4,X$5,X$7),ROUTE_PER_DAY_ROUTES,0),MATCH(X$6,ROUTE_PER_DAY_SHIPS,0))*(V161-V160))*HLOOKUP(X$6,SHIPS,7,0)*INDEX(LADEN_VOYAGE_DAYS,MATCH(CONCATENATE(X$4,X$5,X$7),LADEN_VOYAGE_ROUTES,0),MATCH(X$6,LADEN_VOYAGE_SHIPS,0)))),0)</f>
        <v>0</v>
      </c>
      <c r="Z160" s="118">
        <f t="shared" si="76"/>
        <v>0</v>
      </c>
      <c r="AA160" s="215">
        <f t="shared" si="62"/>
        <v>0</v>
      </c>
      <c r="AB160" s="202"/>
      <c r="AC160" s="186">
        <f t="shared" si="89"/>
        <v>41030</v>
      </c>
      <c r="AD160" s="232">
        <f>+AA160*(VLOOKUP(AC160,CURVECALC!$C$6:$J$312,4,0)+AE$5)</f>
        <v>0</v>
      </c>
      <c r="AE160" s="208">
        <f>-W160*INDEX(ship_curves,MATCH(AC160,'SHIP CURVES'!$A$9:$A$316,0),MATCH(CONCATENATE(AG$4,AG$5,AG$6,AG$7),'SHIP CURVES'!$A$9:$AZ$9,0))</f>
        <v>0</v>
      </c>
      <c r="AF160" s="209">
        <f>-Y160*INDEX(port_processing_fee,MATCH(AC160,PORTS!$H$626:$H$933,0),MATCH(AG$5,PORTS!$H$626:$Z$626,0))</f>
        <v>0</v>
      </c>
      <c r="AG160" s="405">
        <f>(((VLOOKUP(AC160,curvecalc,4,0))*IF(W160=0,0,AA160/W160)-INDEX(ship_curves,MATCH(AC160,'SHIP CURVES'!$A$9:$A$316,0),MATCH(CONCATENATE(AG$4,AG$5,AG$6,AG$7),'SHIP CURVES'!$A$9:$Z$9,0))-INDEX(terminal_curves,MATCH(AC160,'TERMINAL CURVES'!$A$4:$A$313,0),MATCH(AG$5,'TERMINAL CURVES'!$A$4:$N$4,0))*IF(W160=0,0,Y160/W160))-(AE$8)*((AE$7-$N$5)-(INDEX(ship_curves,MATCH(AC160,'SHIP CURVES'!$A$9:$A$316,0),MATCH(CONCATENATE(AG$4,AG$5,AG$6,AG$7),'SHIP CURVES'!$A$9:$Z$9,0))-INDEX(ship_curves,MATCH(AC160,'SHIP CURVES'!$A$9:$A$316,0),MATCH(CONCATENATE(AG$4,AE$6,AG$6,AG$7),'SHIP CURVES'!$A$9:$Z$9,0)))-(INDEX(terminal_curves,MATCH(AC160,'TERMINAL CURVES'!$A$4:$A$313,0),MATCH(AG$5,'TERMINAL CURVES'!$A$4:$N$4,0))-INDEX(terminal_curves,MATCH(AC160,'TERMINAL CURVES'!$A$4:$A$313,0),MATCH(AE$6,'TERMINAL CURVES'!$A$4:$N$4,0)))*IF(W160=0,0,Y160/W160)))*-W160</f>
        <v>0</v>
      </c>
      <c r="AH160" s="343">
        <f t="shared" si="77"/>
        <v>0</v>
      </c>
      <c r="AI160" s="338">
        <f>(-Y160/((HLOOKUP(AG$5,port_specs,2,0)/(365.25))*(AC161-AC160)))*(INDEX(fixed_capacity_charge,MATCH(AC160,PORTS!$H$11:$H$317,0),MATCH(AG$5,PORTS!$H$11:$N$11,0))+INDEX(variable_om_charge,MATCH(AC160,PORTS!$H$318:$H$625,0),MATCH(AG$5,PORTS!$H$318:$N$318,0)))</f>
        <v>0</v>
      </c>
      <c r="AJ160" s="232">
        <f t="shared" si="78"/>
        <v>0</v>
      </c>
      <c r="AK160" s="241">
        <f t="shared" si="79"/>
        <v>0</v>
      </c>
      <c r="AM160" s="186">
        <f t="shared" si="90"/>
        <v>41030</v>
      </c>
      <c r="AN160" s="215">
        <f t="shared" si="80"/>
        <v>5395761.4773599124</v>
      </c>
      <c r="AO160" s="191">
        <f t="shared" si="81"/>
        <v>-56655.495512278751</v>
      </c>
      <c r="AP160" s="218">
        <f>+IF(AND(AO$8&lt;=AM160,AO$9&gt;=AM160),+MIN($B160-SUMIF($H$17:AO$17,AP$17,$H160:AO160),((INDEX(ROUTE_PER_DAY_BY_SHIP,MATCH(CONCATENATE(AO$4,AO$5,AO$7),ROUTE_PER_DAY_ROUTES,0),MATCH(AO$6,ROUTE_PER_DAY_SHIPS,0))*(AM161-AM160))-(INDEX(ROUTE_PER_DAY_BY_SHIP,MATCH(CONCATENATE(AO$4,AO$5,AO$7),ROUTE_PER_DAY_ROUTES,0),MATCH(AO$6,ROUTE_PER_DAY_SHIPS,0))*(AM161-AM160))*HLOOKUP(AO$6,SHIPS,7,0)*INDEX(LADEN_VOYAGE_DAYS,MATCH(CONCATENATE(AO$4,AO$5,AO$7),LADEN_VOYAGE_ROUTES,0),MATCH(AO$6,LADEN_VOYAGE_SHIPS,0)))),0)</f>
        <v>5339105.9818476336</v>
      </c>
      <c r="AQ160" s="118">
        <f>-(AP160)*PORTS!$I$6</f>
        <v>-133477.64954619083</v>
      </c>
      <c r="AR160" s="215">
        <f t="shared" si="63"/>
        <v>5205628.3323014425</v>
      </c>
      <c r="AS160" s="202"/>
      <c r="AT160" s="186">
        <f t="shared" si="91"/>
        <v>41030</v>
      </c>
      <c r="AU160" s="232">
        <f>+AR160*(VLOOKUP(AT160,CURVECALC!$C$6:$J$312,4,0)+AV$5)</f>
        <v>18047913.428089101</v>
      </c>
      <c r="AV160" s="208">
        <f>-AN160*INDEX(ship_curves,MATCH(AT160,'SHIP CURVES'!$A$9:$A$316,0),MATCH(CONCATENATE(AX$4,AX$5,AX$6,AX$7),'SHIP CURVES'!$A$9:$AZ$9,0))</f>
        <v>-1808243.2563912836</v>
      </c>
      <c r="AW160" s="209">
        <f>-AP160*INDEX(port_processing_fee,MATCH(AT160,PORTS!$H$626:$H$933,0),MATCH(AX$5,PORTS!$H$626:$Z$626,0))</f>
        <v>-163963.62718594342</v>
      </c>
      <c r="AX160" s="405">
        <f>(((VLOOKUP(AT160,curvecalc,4,0))*IF(AN160=0,0,AR160/AN160)-INDEX(ship_curves,MATCH(AT160,'SHIP CURVES'!$A$9:$A$316,0),MATCH(CONCATENATE(AX$4,AX$5,AX$6,AX$7),'SHIP CURVES'!$A$9:$Z$9,0))-INDEX(terminal_curves,MATCH(AT160,'TERMINAL CURVES'!$A$4:$A$313,0),MATCH(AX$5,'TERMINAL CURVES'!$A$4:$N$4,0))*IF(AN160=0,0,AP160/AN160))-(AV$8)*((AV$7-$N$5)-(INDEX(ship_curves,MATCH(AT160,'SHIP CURVES'!$A$9:$A$316,0),MATCH(CONCATENATE(AX$4,AX$5,AX$6,AX$7),'SHIP CURVES'!$A$9:$Z$9,0))-INDEX(ship_curves,MATCH(AT160,'SHIP CURVES'!$A$9:$A$316,0),MATCH(CONCATENATE(AX$4,AV$6,AX$6,AX$7),'SHIP CURVES'!$A$9:$Z$9,0)))-(INDEX(terminal_curves,MATCH(AT160,'TERMINAL CURVES'!$A$4:$A$313,0),MATCH(AX$5,'TERMINAL CURVES'!$A$4:$N$4,0))-INDEX(terminal_curves,MATCH(AT160,'TERMINAL CURVES'!$A$4:$A$313,0),MATCH(AV$6,'TERMINAL CURVES'!$A$4:$N$4,0)))*IF(AN160=0,0,AP160/AN160)))*-AN160</f>
        <v>-14958183.231209623</v>
      </c>
      <c r="AY160" s="343">
        <f t="shared" si="82"/>
        <v>-16930390.114786848</v>
      </c>
      <c r="AZ160" s="338">
        <f>(-AP160/((HLOOKUP(AX$5,port_specs,2,0)/(365.25))*(AT161-AT160)))*(INDEX(fixed_capacity_charge,MATCH(AT160,PORTS!$H$11:$H$317,0),MATCH(AX$5,PORTS!$H$11:$N$11,0))+INDEX(variable_om_charge,MATCH(AT160,PORTS!$H$318:$H$625,0),MATCH(AX$5,PORTS!$H$318:$N$318,0)))</f>
        <v>-1013410.7466562197</v>
      </c>
      <c r="BA160" s="232">
        <f t="shared" si="83"/>
        <v>-17943800.861443069</v>
      </c>
      <c r="BB160" s="241">
        <f t="shared" si="84"/>
        <v>104112.56664603204</v>
      </c>
      <c r="BC160" s="408"/>
      <c r="BD160" s="338">
        <f>+PORTS!I154+PORTS!I462</f>
        <v>1013410.7466562197</v>
      </c>
    </row>
    <row r="161" spans="1:56" x14ac:dyDescent="0.2">
      <c r="A161" s="186">
        <f t="shared" si="85"/>
        <v>41061</v>
      </c>
      <c r="B161" s="215">
        <f>+IF(AND($A161&gt;=$C$8,$A161&lt;=$C$9),1,0)*PORTS!$I$5/(365.25)*(A162-A161)</f>
        <v>5166876.756626742</v>
      </c>
      <c r="C161" s="351">
        <f t="shared" si="64"/>
        <v>0</v>
      </c>
      <c r="D161">
        <f t="shared" si="65"/>
        <v>2012</v>
      </c>
      <c r="E161" s="186">
        <f t="shared" si="86"/>
        <v>41061</v>
      </c>
      <c r="F161" s="215">
        <f t="shared" si="66"/>
        <v>0</v>
      </c>
      <c r="G161" s="191">
        <f t="shared" si="67"/>
        <v>0</v>
      </c>
      <c r="H161" s="218">
        <f t="shared" si="68"/>
        <v>0</v>
      </c>
      <c r="I161" s="118">
        <f t="shared" si="69"/>
        <v>0</v>
      </c>
      <c r="J161" s="215">
        <f t="shared" si="70"/>
        <v>0</v>
      </c>
      <c r="K161" s="202"/>
      <c r="L161" s="186">
        <f t="shared" si="87"/>
        <v>41061</v>
      </c>
      <c r="M161" s="400">
        <f>+J161*(VLOOKUP(L161,CURVECALC!$C$6:$J$312,4,0)+N$5)</f>
        <v>0</v>
      </c>
      <c r="N161" s="208">
        <f>-F161*INDEX(ship_curves,MATCH(L161,'SHIP CURVES'!$A$9:$A$316,0),MATCH(CONCATENATE(P$4,P$5,P$6,P$7),'SHIP CURVES'!$A$9:$AZ$9,0))</f>
        <v>0</v>
      </c>
      <c r="O161" s="209">
        <f>-H161*INDEX(port_processing_fee,MATCH(L161,PORTS!$H$626:$H$933,0),MATCH(P$5,PORTS!$H$626:$Z$626,0))</f>
        <v>0</v>
      </c>
      <c r="P161" s="405">
        <f>(((VLOOKUP(L161,curvecalc,4,0))*IF(F161=0,0,J161/F161)-INDEX(ship_curves,MATCH(L161,'SHIP CURVES'!$A$9:$A$316,0),MATCH(CONCATENATE(P$4,P$5,P$6,P$7),'SHIP CURVES'!$A$9:$Z$9,0))-INDEX(terminal_curves,MATCH(L161,'TERMINAL CURVES'!$A$4:$A$313,0),MATCH(P$5,'TERMINAL CURVES'!$A$4:$N$4,0))*IF(F161=0,0,H161/F161))-(N$8)*((N$7-$N$5)-(INDEX(ship_curves,MATCH(L161,'SHIP CURVES'!$A$9:$A$316,0),MATCH(CONCATENATE(P$4,P$5,P$6,P$7),'SHIP CURVES'!$A$9:$Z$9,0))-INDEX(ship_curves,MATCH(L161,'SHIP CURVES'!$A$9:$A$316,0),MATCH(CONCATENATE(P$4,N$6,P$6,P$7),'SHIP CURVES'!$A$9:$Z$9,0)))-(INDEX(terminal_curves,MATCH(L161,'TERMINAL CURVES'!$A$4:$A$313,0),MATCH(P$5,'TERMINAL CURVES'!$A$4:$N$4,0))-INDEX(terminal_curves,MATCH(L161,'TERMINAL CURVES'!$A$4:$A$313,0),MATCH(N$6,'TERMINAL CURVES'!$A$4:$N$4,0)))*IF(F161=0,0,H161/F161)))*-F161</f>
        <v>0</v>
      </c>
      <c r="Q161" s="403">
        <f t="shared" si="71"/>
        <v>0</v>
      </c>
      <c r="R161" s="338">
        <f>(-H161/((HLOOKUP(P$5,port_specs,2,0)/(365.25))*(L162-L161)))*(INDEX(fixed_capacity_charge,MATCH(L161,PORTS!$H$11:$H$317,0),MATCH(P$5,PORTS!$H$11:$N$11,0))+INDEX(variable_om_charge,MATCH(L161,PORTS!$H$318:$H$625,0),MATCH(P$5,PORTS!$H$318:$N$318,0)))</f>
        <v>0</v>
      </c>
      <c r="S161" s="232">
        <f t="shared" si="72"/>
        <v>0</v>
      </c>
      <c r="T161" s="241">
        <f t="shared" si="73"/>
        <v>0</v>
      </c>
      <c r="V161" s="186">
        <f t="shared" si="88"/>
        <v>41061</v>
      </c>
      <c r="W161" s="215">
        <f t="shared" si="74"/>
        <v>0</v>
      </c>
      <c r="X161" s="191">
        <f t="shared" si="75"/>
        <v>0</v>
      </c>
      <c r="Y161" s="218">
        <f>+IF(AND(X$8&lt;=V161,X$9&gt;=V161),+MIN($B161-SUMIF($H$17:X$17,Y$17,$H161:X161),((INDEX(ROUTE_PER_DAY_BY_SHIP,MATCH(CONCATENATE(X$4,X$5,X$7),ROUTE_PER_DAY_ROUTES,0),MATCH(X$6,ROUTE_PER_DAY_SHIPS,0))*(V162-V161))-(INDEX(ROUTE_PER_DAY_BY_SHIP,MATCH(CONCATENATE(X$4,X$5,X$7),ROUTE_PER_DAY_ROUTES,0),MATCH(X$6,ROUTE_PER_DAY_SHIPS,0))*(V162-V161))*HLOOKUP(X$6,SHIPS,7,0)*INDEX(LADEN_VOYAGE_DAYS,MATCH(CONCATENATE(X$4,X$5,X$7),LADEN_VOYAGE_ROUTES,0),MATCH(X$6,LADEN_VOYAGE_SHIPS,0)))),0)</f>
        <v>0</v>
      </c>
      <c r="Z161" s="118">
        <f t="shared" si="76"/>
        <v>0</v>
      </c>
      <c r="AA161" s="215">
        <f t="shared" si="62"/>
        <v>0</v>
      </c>
      <c r="AB161" s="202"/>
      <c r="AC161" s="186">
        <f t="shared" si="89"/>
        <v>41061</v>
      </c>
      <c r="AD161" s="232">
        <f>+AA161*(VLOOKUP(AC161,CURVECALC!$C$6:$J$312,4,0)+AE$5)</f>
        <v>0</v>
      </c>
      <c r="AE161" s="208">
        <f>-W161*INDEX(ship_curves,MATCH(AC161,'SHIP CURVES'!$A$9:$A$316,0),MATCH(CONCATENATE(AG$4,AG$5,AG$6,AG$7),'SHIP CURVES'!$A$9:$AZ$9,0))</f>
        <v>0</v>
      </c>
      <c r="AF161" s="209">
        <f>-Y161*INDEX(port_processing_fee,MATCH(AC161,PORTS!$H$626:$H$933,0),MATCH(AG$5,PORTS!$H$626:$Z$626,0))</f>
        <v>0</v>
      </c>
      <c r="AG161" s="405">
        <f>(((VLOOKUP(AC161,curvecalc,4,0))*IF(W161=0,0,AA161/W161)-INDEX(ship_curves,MATCH(AC161,'SHIP CURVES'!$A$9:$A$316,0),MATCH(CONCATENATE(AG$4,AG$5,AG$6,AG$7),'SHIP CURVES'!$A$9:$Z$9,0))-INDEX(terminal_curves,MATCH(AC161,'TERMINAL CURVES'!$A$4:$A$313,0),MATCH(AG$5,'TERMINAL CURVES'!$A$4:$N$4,0))*IF(W161=0,0,Y161/W161))-(AE$8)*((AE$7-$N$5)-(INDEX(ship_curves,MATCH(AC161,'SHIP CURVES'!$A$9:$A$316,0),MATCH(CONCATENATE(AG$4,AG$5,AG$6,AG$7),'SHIP CURVES'!$A$9:$Z$9,0))-INDEX(ship_curves,MATCH(AC161,'SHIP CURVES'!$A$9:$A$316,0),MATCH(CONCATENATE(AG$4,AE$6,AG$6,AG$7),'SHIP CURVES'!$A$9:$Z$9,0)))-(INDEX(terminal_curves,MATCH(AC161,'TERMINAL CURVES'!$A$4:$A$313,0),MATCH(AG$5,'TERMINAL CURVES'!$A$4:$N$4,0))-INDEX(terminal_curves,MATCH(AC161,'TERMINAL CURVES'!$A$4:$A$313,0),MATCH(AE$6,'TERMINAL CURVES'!$A$4:$N$4,0)))*IF(W161=0,0,Y161/W161)))*-W161</f>
        <v>0</v>
      </c>
      <c r="AH161" s="343">
        <f t="shared" si="77"/>
        <v>0</v>
      </c>
      <c r="AI161" s="338">
        <f>(-Y161/((HLOOKUP(AG$5,port_specs,2,0)/(365.25))*(AC162-AC161)))*(INDEX(fixed_capacity_charge,MATCH(AC161,PORTS!$H$11:$H$317,0),MATCH(AG$5,PORTS!$H$11:$N$11,0))+INDEX(variable_om_charge,MATCH(AC161,PORTS!$H$318:$H$625,0),MATCH(AG$5,PORTS!$H$318:$N$318,0)))</f>
        <v>0</v>
      </c>
      <c r="AJ161" s="232">
        <f t="shared" si="78"/>
        <v>0</v>
      </c>
      <c r="AK161" s="241">
        <f t="shared" si="79"/>
        <v>0</v>
      </c>
      <c r="AM161" s="186">
        <f t="shared" si="90"/>
        <v>41061</v>
      </c>
      <c r="AN161" s="215">
        <f t="shared" si="80"/>
        <v>5221704.655509592</v>
      </c>
      <c r="AO161" s="191">
        <f t="shared" si="81"/>
        <v>-54827.898882850073</v>
      </c>
      <c r="AP161" s="218">
        <f>+IF(AND(AO$8&lt;=AM161,AO$9&gt;=AM161),+MIN($B161-SUMIF($H$17:AO$17,AP$17,$H161:AO161),((INDEX(ROUTE_PER_DAY_BY_SHIP,MATCH(CONCATENATE(AO$4,AO$5,AO$7),ROUTE_PER_DAY_ROUTES,0),MATCH(AO$6,ROUTE_PER_DAY_SHIPS,0))*(AM162-AM161))-(INDEX(ROUTE_PER_DAY_BY_SHIP,MATCH(CONCATENATE(AO$4,AO$5,AO$7),ROUTE_PER_DAY_ROUTES,0),MATCH(AO$6,ROUTE_PER_DAY_SHIPS,0))*(AM162-AM161))*HLOOKUP(AO$6,SHIPS,7,0)*INDEX(LADEN_VOYAGE_DAYS,MATCH(CONCATENATE(AO$4,AO$5,AO$7),LADEN_VOYAGE_ROUTES,0),MATCH(AO$6,LADEN_VOYAGE_SHIPS,0)))),0)</f>
        <v>5166876.756626742</v>
      </c>
      <c r="AQ161" s="118">
        <f>-(AP161)*PORTS!$I$6</f>
        <v>-129171.91891566856</v>
      </c>
      <c r="AR161" s="215">
        <f t="shared" si="63"/>
        <v>5037704.8377110735</v>
      </c>
      <c r="AS161" s="202"/>
      <c r="AT161" s="186">
        <f t="shared" si="91"/>
        <v>41061</v>
      </c>
      <c r="AU161" s="232">
        <f>+AR161*(VLOOKUP(AT161,CURVECALC!$C$6:$J$312,4,0)+AV$5)</f>
        <v>17662193.161015026</v>
      </c>
      <c r="AV161" s="208">
        <f>-AN161*INDEX(ship_curves,MATCH(AT161,'SHIP CURVES'!$A$9:$A$316,0),MATCH(CONCATENATE(AX$4,AX$5,AX$6,AX$7),'SHIP CURVES'!$A$9:$AZ$9,0))</f>
        <v>-1750465.8842685304</v>
      </c>
      <c r="AW161" s="209">
        <f>-AP161*INDEX(port_processing_fee,MATCH(AT161,PORTS!$H$626:$H$933,0),MATCH(AX$5,PORTS!$H$626:$Z$626,0))</f>
        <v>-158839.76383638268</v>
      </c>
      <c r="AX161" s="405">
        <f>(((VLOOKUP(AT161,curvecalc,4,0))*IF(AN161=0,0,AR161/AN161)-INDEX(ship_curves,MATCH(AT161,'SHIP CURVES'!$A$9:$A$316,0),MATCH(CONCATENATE(AX$4,AX$5,AX$6,AX$7),'SHIP CURVES'!$A$9:$Z$9,0))-INDEX(terminal_curves,MATCH(AT161,'TERMINAL CURVES'!$A$4:$A$313,0),MATCH(AX$5,'TERMINAL CURVES'!$A$4:$N$4,0))*IF(AN161=0,0,AP161/AN161))-(AV$8)*((AV$7-$N$5)-(INDEX(ship_curves,MATCH(AT161,'SHIP CURVES'!$A$9:$A$316,0),MATCH(CONCATENATE(AX$4,AX$5,AX$6,AX$7),'SHIP CURVES'!$A$9:$Z$9,0))-INDEX(ship_curves,MATCH(AT161,'SHIP CURVES'!$A$9:$A$316,0),MATCH(CONCATENATE(AX$4,AV$6,AX$6,AX$7),'SHIP CURVES'!$A$9:$Z$9,0)))-(INDEX(terminal_curves,MATCH(AT161,'TERMINAL CURVES'!$A$4:$A$313,0),MATCH(AX$5,'TERMINAL CURVES'!$A$4:$N$4,0))-INDEX(terminal_curves,MATCH(AT161,'TERMINAL CURVES'!$A$4:$A$313,0),MATCH(AV$6,'TERMINAL CURVES'!$A$4:$N$4,0)))*IF(AN161=0,0,AP161/AN161)))*-AN161</f>
        <v>-14638172.435983267</v>
      </c>
      <c r="AY161" s="343">
        <f t="shared" si="82"/>
        <v>-16547478.08408818</v>
      </c>
      <c r="AZ161" s="338">
        <f>(-AP161/((HLOOKUP(AX$5,port_specs,2,0)/(365.25))*(AT162-AT161)))*(INDEX(fixed_capacity_charge,MATCH(AT161,PORTS!$H$11:$H$317,0),MATCH(AX$5,PORTS!$H$11:$N$11,0))+INDEX(variable_om_charge,MATCH(AT161,PORTS!$H$318:$H$625,0),MATCH(AX$5,PORTS!$H$318:$N$318,0)))</f>
        <v>-1013960.9801726236</v>
      </c>
      <c r="BA161" s="232">
        <f t="shared" si="83"/>
        <v>-17561439.064260803</v>
      </c>
      <c r="BB161" s="241">
        <f t="shared" si="84"/>
        <v>100754.09675422311</v>
      </c>
      <c r="BC161" s="408"/>
      <c r="BD161" s="338">
        <f>+PORTS!I155+PORTS!I463</f>
        <v>1013960.9801726236</v>
      </c>
    </row>
    <row r="162" spans="1:56" x14ac:dyDescent="0.2">
      <c r="A162" s="186">
        <f t="shared" si="85"/>
        <v>41091</v>
      </c>
      <c r="B162" s="215">
        <f>+IF(AND($A162&gt;=$C$8,$A162&lt;=$C$9),1,0)*PORTS!$I$5/(365.25)*(A163-A162)</f>
        <v>5339105.9818476336</v>
      </c>
      <c r="C162" s="351">
        <f t="shared" si="64"/>
        <v>0</v>
      </c>
      <c r="D162">
        <f t="shared" si="65"/>
        <v>2012</v>
      </c>
      <c r="E162" s="186">
        <f t="shared" si="86"/>
        <v>41091</v>
      </c>
      <c r="F162" s="215">
        <f t="shared" si="66"/>
        <v>0</v>
      </c>
      <c r="G162" s="191">
        <f t="shared" si="67"/>
        <v>0</v>
      </c>
      <c r="H162" s="218">
        <f t="shared" si="68"/>
        <v>0</v>
      </c>
      <c r="I162" s="118">
        <f t="shared" si="69"/>
        <v>0</v>
      </c>
      <c r="J162" s="215">
        <f t="shared" si="70"/>
        <v>0</v>
      </c>
      <c r="K162" s="202"/>
      <c r="L162" s="186">
        <f t="shared" si="87"/>
        <v>41091</v>
      </c>
      <c r="M162" s="400">
        <f>+J162*(VLOOKUP(L162,CURVECALC!$C$6:$J$312,4,0)+N$5)</f>
        <v>0</v>
      </c>
      <c r="N162" s="208">
        <f>-F162*INDEX(ship_curves,MATCH(L162,'SHIP CURVES'!$A$9:$A$316,0),MATCH(CONCATENATE(P$4,P$5,P$6,P$7),'SHIP CURVES'!$A$9:$AZ$9,0))</f>
        <v>0</v>
      </c>
      <c r="O162" s="209">
        <f>-H162*INDEX(port_processing_fee,MATCH(L162,PORTS!$H$626:$H$933,0),MATCH(P$5,PORTS!$H$626:$Z$626,0))</f>
        <v>0</v>
      </c>
      <c r="P162" s="405">
        <f>(((VLOOKUP(L162,curvecalc,4,0))*IF(F162=0,0,J162/F162)-INDEX(ship_curves,MATCH(L162,'SHIP CURVES'!$A$9:$A$316,0),MATCH(CONCATENATE(P$4,P$5,P$6,P$7),'SHIP CURVES'!$A$9:$Z$9,0))-INDEX(terminal_curves,MATCH(L162,'TERMINAL CURVES'!$A$4:$A$313,0),MATCH(P$5,'TERMINAL CURVES'!$A$4:$N$4,0))*IF(F162=0,0,H162/F162))-(N$8)*((N$7-$N$5)-(INDEX(ship_curves,MATCH(L162,'SHIP CURVES'!$A$9:$A$316,0),MATCH(CONCATENATE(P$4,P$5,P$6,P$7),'SHIP CURVES'!$A$9:$Z$9,0))-INDEX(ship_curves,MATCH(L162,'SHIP CURVES'!$A$9:$A$316,0),MATCH(CONCATENATE(P$4,N$6,P$6,P$7),'SHIP CURVES'!$A$9:$Z$9,0)))-(INDEX(terminal_curves,MATCH(L162,'TERMINAL CURVES'!$A$4:$A$313,0),MATCH(P$5,'TERMINAL CURVES'!$A$4:$N$4,0))-INDEX(terminal_curves,MATCH(L162,'TERMINAL CURVES'!$A$4:$A$313,0),MATCH(N$6,'TERMINAL CURVES'!$A$4:$N$4,0)))*IF(F162=0,0,H162/F162)))*-F162</f>
        <v>0</v>
      </c>
      <c r="Q162" s="403">
        <f t="shared" si="71"/>
        <v>0</v>
      </c>
      <c r="R162" s="338">
        <f>(-H162/((HLOOKUP(P$5,port_specs,2,0)/(365.25))*(L163-L162)))*(INDEX(fixed_capacity_charge,MATCH(L162,PORTS!$H$11:$H$317,0),MATCH(P$5,PORTS!$H$11:$N$11,0))+INDEX(variable_om_charge,MATCH(L162,PORTS!$H$318:$H$625,0),MATCH(P$5,PORTS!$H$318:$N$318,0)))</f>
        <v>0</v>
      </c>
      <c r="S162" s="232">
        <f t="shared" si="72"/>
        <v>0</v>
      </c>
      <c r="T162" s="241">
        <f t="shared" si="73"/>
        <v>0</v>
      </c>
      <c r="V162" s="186">
        <f t="shared" si="88"/>
        <v>41091</v>
      </c>
      <c r="W162" s="215">
        <f t="shared" si="74"/>
        <v>0</v>
      </c>
      <c r="X162" s="191">
        <f t="shared" si="75"/>
        <v>0</v>
      </c>
      <c r="Y162" s="218">
        <f>+IF(AND(X$8&lt;=V162,X$9&gt;=V162),+MIN($B162-SUMIF($H$17:X$17,Y$17,$H162:X162),((INDEX(ROUTE_PER_DAY_BY_SHIP,MATCH(CONCATENATE(X$4,X$5,X$7),ROUTE_PER_DAY_ROUTES,0),MATCH(X$6,ROUTE_PER_DAY_SHIPS,0))*(V163-V162))-(INDEX(ROUTE_PER_DAY_BY_SHIP,MATCH(CONCATENATE(X$4,X$5,X$7),ROUTE_PER_DAY_ROUTES,0),MATCH(X$6,ROUTE_PER_DAY_SHIPS,0))*(V163-V162))*HLOOKUP(X$6,SHIPS,7,0)*INDEX(LADEN_VOYAGE_DAYS,MATCH(CONCATENATE(X$4,X$5,X$7),LADEN_VOYAGE_ROUTES,0),MATCH(X$6,LADEN_VOYAGE_SHIPS,0)))),0)</f>
        <v>0</v>
      </c>
      <c r="Z162" s="118">
        <f t="shared" si="76"/>
        <v>0</v>
      </c>
      <c r="AA162" s="215">
        <f t="shared" si="62"/>
        <v>0</v>
      </c>
      <c r="AB162" s="202"/>
      <c r="AC162" s="186">
        <f t="shared" si="89"/>
        <v>41091</v>
      </c>
      <c r="AD162" s="232">
        <f>+AA162*(VLOOKUP(AC162,CURVECALC!$C$6:$J$312,4,0)+AE$5)</f>
        <v>0</v>
      </c>
      <c r="AE162" s="208">
        <f>-W162*INDEX(ship_curves,MATCH(AC162,'SHIP CURVES'!$A$9:$A$316,0),MATCH(CONCATENATE(AG$4,AG$5,AG$6,AG$7),'SHIP CURVES'!$A$9:$AZ$9,0))</f>
        <v>0</v>
      </c>
      <c r="AF162" s="209">
        <f>-Y162*INDEX(port_processing_fee,MATCH(AC162,PORTS!$H$626:$H$933,0),MATCH(AG$5,PORTS!$H$626:$Z$626,0))</f>
        <v>0</v>
      </c>
      <c r="AG162" s="405">
        <f>(((VLOOKUP(AC162,curvecalc,4,0))*IF(W162=0,0,AA162/W162)-INDEX(ship_curves,MATCH(AC162,'SHIP CURVES'!$A$9:$A$316,0),MATCH(CONCATENATE(AG$4,AG$5,AG$6,AG$7),'SHIP CURVES'!$A$9:$Z$9,0))-INDEX(terminal_curves,MATCH(AC162,'TERMINAL CURVES'!$A$4:$A$313,0),MATCH(AG$5,'TERMINAL CURVES'!$A$4:$N$4,0))*IF(W162=0,0,Y162/W162))-(AE$8)*((AE$7-$N$5)-(INDEX(ship_curves,MATCH(AC162,'SHIP CURVES'!$A$9:$A$316,0),MATCH(CONCATENATE(AG$4,AG$5,AG$6,AG$7),'SHIP CURVES'!$A$9:$Z$9,0))-INDEX(ship_curves,MATCH(AC162,'SHIP CURVES'!$A$9:$A$316,0),MATCH(CONCATENATE(AG$4,AE$6,AG$6,AG$7),'SHIP CURVES'!$A$9:$Z$9,0)))-(INDEX(terminal_curves,MATCH(AC162,'TERMINAL CURVES'!$A$4:$A$313,0),MATCH(AG$5,'TERMINAL CURVES'!$A$4:$N$4,0))-INDEX(terminal_curves,MATCH(AC162,'TERMINAL CURVES'!$A$4:$A$313,0),MATCH(AE$6,'TERMINAL CURVES'!$A$4:$N$4,0)))*IF(W162=0,0,Y162/W162)))*-W162</f>
        <v>0</v>
      </c>
      <c r="AH162" s="343">
        <f t="shared" si="77"/>
        <v>0</v>
      </c>
      <c r="AI162" s="338">
        <f>(-Y162/((HLOOKUP(AG$5,port_specs,2,0)/(365.25))*(AC163-AC162)))*(INDEX(fixed_capacity_charge,MATCH(AC162,PORTS!$H$11:$H$317,0),MATCH(AG$5,PORTS!$H$11:$N$11,0))+INDEX(variable_om_charge,MATCH(AC162,PORTS!$H$318:$H$625,0),MATCH(AG$5,PORTS!$H$318:$N$318,0)))</f>
        <v>0</v>
      </c>
      <c r="AJ162" s="232">
        <f t="shared" si="78"/>
        <v>0</v>
      </c>
      <c r="AK162" s="241">
        <f t="shared" si="79"/>
        <v>0</v>
      </c>
      <c r="AM162" s="186">
        <f t="shared" si="90"/>
        <v>41091</v>
      </c>
      <c r="AN162" s="215">
        <f t="shared" si="80"/>
        <v>5395761.4773599124</v>
      </c>
      <c r="AO162" s="191">
        <f t="shared" si="81"/>
        <v>-56655.495512278751</v>
      </c>
      <c r="AP162" s="218">
        <f>+IF(AND(AO$8&lt;=AM162,AO$9&gt;=AM162),+MIN($B162-SUMIF($H$17:AO$17,AP$17,$H162:AO162),((INDEX(ROUTE_PER_DAY_BY_SHIP,MATCH(CONCATENATE(AO$4,AO$5,AO$7),ROUTE_PER_DAY_ROUTES,0),MATCH(AO$6,ROUTE_PER_DAY_SHIPS,0))*(AM163-AM162))-(INDEX(ROUTE_PER_DAY_BY_SHIP,MATCH(CONCATENATE(AO$4,AO$5,AO$7),ROUTE_PER_DAY_ROUTES,0),MATCH(AO$6,ROUTE_PER_DAY_SHIPS,0))*(AM163-AM162))*HLOOKUP(AO$6,SHIPS,7,0)*INDEX(LADEN_VOYAGE_DAYS,MATCH(CONCATENATE(AO$4,AO$5,AO$7),LADEN_VOYAGE_ROUTES,0),MATCH(AO$6,LADEN_VOYAGE_SHIPS,0)))),0)</f>
        <v>5339105.9818476336</v>
      </c>
      <c r="AQ162" s="118">
        <f>-(AP162)*PORTS!$I$6</f>
        <v>-133477.64954619083</v>
      </c>
      <c r="AR162" s="215">
        <f t="shared" si="63"/>
        <v>5205628.3323014425</v>
      </c>
      <c r="AS162" s="202"/>
      <c r="AT162" s="186">
        <f t="shared" si="91"/>
        <v>41091</v>
      </c>
      <c r="AU162" s="232">
        <f>+AR162*(VLOOKUP(AT162,CURVECALC!$C$6:$J$312,4,0)+AV$5)</f>
        <v>18250932.933048859</v>
      </c>
      <c r="AV162" s="208">
        <f>-AN162*INDEX(ship_curves,MATCH(AT162,'SHIP CURVES'!$A$9:$A$316,0),MATCH(CONCATENATE(AX$4,AX$5,AX$6,AX$7),'SHIP CURVES'!$A$9:$AZ$9,0))</f>
        <v>-1809387.4283692762</v>
      </c>
      <c r="AW162" s="209">
        <f>-AP162*INDEX(port_processing_fee,MATCH(AT162,PORTS!$H$626:$H$933,0),MATCH(AX$5,PORTS!$H$626:$Z$626,0))</f>
        <v>-164305.39598783597</v>
      </c>
      <c r="AX162" s="405">
        <f>(((VLOOKUP(AT162,curvecalc,4,0))*IF(AN162=0,0,AR162/AN162)-INDEX(ship_curves,MATCH(AT162,'SHIP CURVES'!$A$9:$A$316,0),MATCH(CONCATENATE(AX$4,AX$5,AX$6,AX$7),'SHIP CURVES'!$A$9:$Z$9,0))-INDEX(terminal_curves,MATCH(AT162,'TERMINAL CURVES'!$A$4:$A$313,0),MATCH(AX$5,'TERMINAL CURVES'!$A$4:$N$4,0))*IF(AN162=0,0,AP162/AN162))-(AV$8)*((AV$7-$N$5)-(INDEX(ship_curves,MATCH(AT162,'SHIP CURVES'!$A$9:$A$316,0),MATCH(CONCATENATE(AX$4,AX$5,AX$6,AX$7),'SHIP CURVES'!$A$9:$Z$9,0))-INDEX(ship_curves,MATCH(AT162,'SHIP CURVES'!$A$9:$A$316,0),MATCH(CONCATENATE(AX$4,AV$6,AX$6,AX$7),'SHIP CURVES'!$A$9:$Z$9,0)))-(INDEX(terminal_curves,MATCH(AT162,'TERMINAL CURVES'!$A$4:$A$313,0),MATCH(AX$5,'TERMINAL CURVES'!$A$4:$N$4,0))-INDEX(terminal_curves,MATCH(AT162,'TERMINAL CURVES'!$A$4:$A$313,0),MATCH(AV$6,'TERMINAL CURVES'!$A$4:$N$4,0)))*IF(AN162=0,0,AP162/AN162)))*-AN162</f>
        <v>-15158615.755196774</v>
      </c>
      <c r="AY162" s="343">
        <f t="shared" si="82"/>
        <v>-17132308.579553887</v>
      </c>
      <c r="AZ162" s="338">
        <f>(-AP162/((HLOOKUP(AX$5,port_specs,2,0)/(365.25))*(AT163-AT162)))*(INDEX(fixed_capacity_charge,MATCH(AT162,PORTS!$H$11:$H$317,0),MATCH(AX$5,PORTS!$H$11:$N$11,0))+INDEX(variable_om_charge,MATCH(AT162,PORTS!$H$318:$H$625,0),MATCH(AX$5,PORTS!$H$318:$N$318,0)))</f>
        <v>-1014511.7868489407</v>
      </c>
      <c r="BA162" s="232">
        <f t="shared" si="83"/>
        <v>-18146820.366402827</v>
      </c>
      <c r="BB162" s="241">
        <f t="shared" si="84"/>
        <v>104112.56664603204</v>
      </c>
      <c r="BC162" s="408"/>
      <c r="BD162" s="338">
        <f>+PORTS!I156+PORTS!I464</f>
        <v>1014511.7868489407</v>
      </c>
    </row>
    <row r="163" spans="1:56" x14ac:dyDescent="0.2">
      <c r="A163" s="186">
        <f t="shared" si="85"/>
        <v>41122</v>
      </c>
      <c r="B163" s="215">
        <f>+IF(AND($A163&gt;=$C$8,$A163&lt;=$C$9),1,0)*PORTS!$I$5/(365.25)*(A164-A163)</f>
        <v>5339105.9818476336</v>
      </c>
      <c r="C163" s="351">
        <f t="shared" si="64"/>
        <v>0</v>
      </c>
      <c r="D163">
        <f t="shared" si="65"/>
        <v>2012</v>
      </c>
      <c r="E163" s="186">
        <f t="shared" si="86"/>
        <v>41122</v>
      </c>
      <c r="F163" s="215">
        <f t="shared" si="66"/>
        <v>0</v>
      </c>
      <c r="G163" s="191">
        <f t="shared" si="67"/>
        <v>0</v>
      </c>
      <c r="H163" s="218">
        <f t="shared" si="68"/>
        <v>0</v>
      </c>
      <c r="I163" s="118">
        <f t="shared" si="69"/>
        <v>0</v>
      </c>
      <c r="J163" s="215">
        <f t="shared" si="70"/>
        <v>0</v>
      </c>
      <c r="K163" s="202"/>
      <c r="L163" s="186">
        <f t="shared" si="87"/>
        <v>41122</v>
      </c>
      <c r="M163" s="400">
        <f>+J163*(VLOOKUP(L163,CURVECALC!$C$6:$J$312,4,0)+N$5)</f>
        <v>0</v>
      </c>
      <c r="N163" s="208">
        <f>-F163*INDEX(ship_curves,MATCH(L163,'SHIP CURVES'!$A$9:$A$316,0),MATCH(CONCATENATE(P$4,P$5,P$6,P$7),'SHIP CURVES'!$A$9:$AZ$9,0))</f>
        <v>0</v>
      </c>
      <c r="O163" s="209">
        <f>-H163*INDEX(port_processing_fee,MATCH(L163,PORTS!$H$626:$H$933,0),MATCH(P$5,PORTS!$H$626:$Z$626,0))</f>
        <v>0</v>
      </c>
      <c r="P163" s="405">
        <f>(((VLOOKUP(L163,curvecalc,4,0))*IF(F163=0,0,J163/F163)-INDEX(ship_curves,MATCH(L163,'SHIP CURVES'!$A$9:$A$316,0),MATCH(CONCATENATE(P$4,P$5,P$6,P$7),'SHIP CURVES'!$A$9:$Z$9,0))-INDEX(terminal_curves,MATCH(L163,'TERMINAL CURVES'!$A$4:$A$313,0),MATCH(P$5,'TERMINAL CURVES'!$A$4:$N$4,0))*IF(F163=0,0,H163/F163))-(N$8)*((N$7-$N$5)-(INDEX(ship_curves,MATCH(L163,'SHIP CURVES'!$A$9:$A$316,0),MATCH(CONCATENATE(P$4,P$5,P$6,P$7),'SHIP CURVES'!$A$9:$Z$9,0))-INDEX(ship_curves,MATCH(L163,'SHIP CURVES'!$A$9:$A$316,0),MATCH(CONCATENATE(P$4,N$6,P$6,P$7),'SHIP CURVES'!$A$9:$Z$9,0)))-(INDEX(terminal_curves,MATCH(L163,'TERMINAL CURVES'!$A$4:$A$313,0),MATCH(P$5,'TERMINAL CURVES'!$A$4:$N$4,0))-INDEX(terminal_curves,MATCH(L163,'TERMINAL CURVES'!$A$4:$A$313,0),MATCH(N$6,'TERMINAL CURVES'!$A$4:$N$4,0)))*IF(F163=0,0,H163/F163)))*-F163</f>
        <v>0</v>
      </c>
      <c r="Q163" s="403">
        <f t="shared" si="71"/>
        <v>0</v>
      </c>
      <c r="R163" s="338">
        <f>(-H163/((HLOOKUP(P$5,port_specs,2,0)/(365.25))*(L164-L163)))*(INDEX(fixed_capacity_charge,MATCH(L163,PORTS!$H$11:$H$317,0),MATCH(P$5,PORTS!$H$11:$N$11,0))+INDEX(variable_om_charge,MATCH(L163,PORTS!$H$318:$H$625,0),MATCH(P$5,PORTS!$H$318:$N$318,0)))</f>
        <v>0</v>
      </c>
      <c r="S163" s="232">
        <f t="shared" si="72"/>
        <v>0</v>
      </c>
      <c r="T163" s="241">
        <f t="shared" si="73"/>
        <v>0</v>
      </c>
      <c r="V163" s="186">
        <f t="shared" si="88"/>
        <v>41122</v>
      </c>
      <c r="W163" s="215">
        <f t="shared" si="74"/>
        <v>0</v>
      </c>
      <c r="X163" s="191">
        <f t="shared" si="75"/>
        <v>0</v>
      </c>
      <c r="Y163" s="218">
        <f>+IF(AND(X$8&lt;=V163,X$9&gt;=V163),+MIN($B163-SUMIF($H$17:X$17,Y$17,$H163:X163),((INDEX(ROUTE_PER_DAY_BY_SHIP,MATCH(CONCATENATE(X$4,X$5,X$7),ROUTE_PER_DAY_ROUTES,0),MATCH(X$6,ROUTE_PER_DAY_SHIPS,0))*(V164-V163))-(INDEX(ROUTE_PER_DAY_BY_SHIP,MATCH(CONCATENATE(X$4,X$5,X$7),ROUTE_PER_DAY_ROUTES,0),MATCH(X$6,ROUTE_PER_DAY_SHIPS,0))*(V164-V163))*HLOOKUP(X$6,SHIPS,7,0)*INDEX(LADEN_VOYAGE_DAYS,MATCH(CONCATENATE(X$4,X$5,X$7),LADEN_VOYAGE_ROUTES,0),MATCH(X$6,LADEN_VOYAGE_SHIPS,0)))),0)</f>
        <v>0</v>
      </c>
      <c r="Z163" s="118">
        <f t="shared" si="76"/>
        <v>0</v>
      </c>
      <c r="AA163" s="215">
        <f t="shared" si="62"/>
        <v>0</v>
      </c>
      <c r="AB163" s="202"/>
      <c r="AC163" s="186">
        <f t="shared" si="89"/>
        <v>41122</v>
      </c>
      <c r="AD163" s="232">
        <f>+AA163*(VLOOKUP(AC163,CURVECALC!$C$6:$J$312,4,0)+AE$5)</f>
        <v>0</v>
      </c>
      <c r="AE163" s="208">
        <f>-W163*INDEX(ship_curves,MATCH(AC163,'SHIP CURVES'!$A$9:$A$316,0),MATCH(CONCATENATE(AG$4,AG$5,AG$6,AG$7),'SHIP CURVES'!$A$9:$AZ$9,0))</f>
        <v>0</v>
      </c>
      <c r="AF163" s="209">
        <f>-Y163*INDEX(port_processing_fee,MATCH(AC163,PORTS!$H$626:$H$933,0),MATCH(AG$5,PORTS!$H$626:$Z$626,0))</f>
        <v>0</v>
      </c>
      <c r="AG163" s="405">
        <f>(((VLOOKUP(AC163,curvecalc,4,0))*IF(W163=0,0,AA163/W163)-INDEX(ship_curves,MATCH(AC163,'SHIP CURVES'!$A$9:$A$316,0),MATCH(CONCATENATE(AG$4,AG$5,AG$6,AG$7),'SHIP CURVES'!$A$9:$Z$9,0))-INDEX(terminal_curves,MATCH(AC163,'TERMINAL CURVES'!$A$4:$A$313,0),MATCH(AG$5,'TERMINAL CURVES'!$A$4:$N$4,0))*IF(W163=0,0,Y163/W163))-(AE$8)*((AE$7-$N$5)-(INDEX(ship_curves,MATCH(AC163,'SHIP CURVES'!$A$9:$A$316,0),MATCH(CONCATENATE(AG$4,AG$5,AG$6,AG$7),'SHIP CURVES'!$A$9:$Z$9,0))-INDEX(ship_curves,MATCH(AC163,'SHIP CURVES'!$A$9:$A$316,0),MATCH(CONCATENATE(AG$4,AE$6,AG$6,AG$7),'SHIP CURVES'!$A$9:$Z$9,0)))-(INDEX(terminal_curves,MATCH(AC163,'TERMINAL CURVES'!$A$4:$A$313,0),MATCH(AG$5,'TERMINAL CURVES'!$A$4:$N$4,0))-INDEX(terminal_curves,MATCH(AC163,'TERMINAL CURVES'!$A$4:$A$313,0),MATCH(AE$6,'TERMINAL CURVES'!$A$4:$N$4,0)))*IF(W163=0,0,Y163/W163)))*-W163</f>
        <v>0</v>
      </c>
      <c r="AH163" s="343">
        <f t="shared" si="77"/>
        <v>0</v>
      </c>
      <c r="AI163" s="338">
        <f>(-Y163/((HLOOKUP(AG$5,port_specs,2,0)/(365.25))*(AC164-AC163)))*(INDEX(fixed_capacity_charge,MATCH(AC163,PORTS!$H$11:$H$317,0),MATCH(AG$5,PORTS!$H$11:$N$11,0))+INDEX(variable_om_charge,MATCH(AC163,PORTS!$H$318:$H$625,0),MATCH(AG$5,PORTS!$H$318:$N$318,0)))</f>
        <v>0</v>
      </c>
      <c r="AJ163" s="232">
        <f t="shared" si="78"/>
        <v>0</v>
      </c>
      <c r="AK163" s="241">
        <f t="shared" si="79"/>
        <v>0</v>
      </c>
      <c r="AM163" s="186">
        <f t="shared" si="90"/>
        <v>41122</v>
      </c>
      <c r="AN163" s="215">
        <f t="shared" si="80"/>
        <v>5395761.4773599124</v>
      </c>
      <c r="AO163" s="191">
        <f t="shared" si="81"/>
        <v>-56655.495512278751</v>
      </c>
      <c r="AP163" s="218">
        <f>+IF(AND(AO$8&lt;=AM163,AO$9&gt;=AM163),+MIN($B163-SUMIF($H$17:AO$17,AP$17,$H163:AO163),((INDEX(ROUTE_PER_DAY_BY_SHIP,MATCH(CONCATENATE(AO$4,AO$5,AO$7),ROUTE_PER_DAY_ROUTES,0),MATCH(AO$6,ROUTE_PER_DAY_SHIPS,0))*(AM164-AM163))-(INDEX(ROUTE_PER_DAY_BY_SHIP,MATCH(CONCATENATE(AO$4,AO$5,AO$7),ROUTE_PER_DAY_ROUTES,0),MATCH(AO$6,ROUTE_PER_DAY_SHIPS,0))*(AM164-AM163))*HLOOKUP(AO$6,SHIPS,7,0)*INDEX(LADEN_VOYAGE_DAYS,MATCH(CONCATENATE(AO$4,AO$5,AO$7),LADEN_VOYAGE_ROUTES,0),MATCH(AO$6,LADEN_VOYAGE_SHIPS,0)))),0)</f>
        <v>5339105.9818476336</v>
      </c>
      <c r="AQ163" s="118">
        <f>-(AP163)*PORTS!$I$6</f>
        <v>-133477.64954619083</v>
      </c>
      <c r="AR163" s="215">
        <f t="shared" si="63"/>
        <v>5205628.3323014425</v>
      </c>
      <c r="AS163" s="202"/>
      <c r="AT163" s="186">
        <f t="shared" si="91"/>
        <v>41122</v>
      </c>
      <c r="AU163" s="232">
        <f>+AR163*(VLOOKUP(AT163,CURVECALC!$C$6:$J$312,4,0)+AV$5)</f>
        <v>18563270.632986944</v>
      </c>
      <c r="AV163" s="208">
        <f>-AN163*INDEX(ship_curves,MATCH(AT163,'SHIP CURVES'!$A$9:$A$316,0),MATCH(CONCATENATE(AX$4,AX$5,AX$6,AX$7),'SHIP CURVES'!$A$9:$AZ$9,0))</f>
        <v>-1809961.3027470948</v>
      </c>
      <c r="AW163" s="209">
        <f>-AP163*INDEX(port_processing_fee,MATCH(AT163,PORTS!$H$626:$H$933,0),MATCH(AX$5,PORTS!$H$626:$Z$626,0))</f>
        <v>-164476.54744198994</v>
      </c>
      <c r="AX163" s="405">
        <f>(((VLOOKUP(AT163,curvecalc,4,0))*IF(AN163=0,0,AR163/AN163)-INDEX(ship_curves,MATCH(AT163,'SHIP CURVES'!$A$9:$A$316,0),MATCH(CONCATENATE(AX$4,AX$5,AX$6,AX$7),'SHIP CURVES'!$A$9:$Z$9,0))-INDEX(terminal_curves,MATCH(AT163,'TERMINAL CURVES'!$A$4:$A$313,0),MATCH(AX$5,'TERMINAL CURVES'!$A$4:$N$4,0))*IF(AN163=0,0,AP163/AN163))-(AV$8)*((AV$7-$N$5)-(INDEX(ship_curves,MATCH(AT163,'SHIP CURVES'!$A$9:$A$316,0),MATCH(CONCATENATE(AX$4,AX$5,AX$6,AX$7),'SHIP CURVES'!$A$9:$Z$9,0))-INDEX(ship_curves,MATCH(AT163,'SHIP CURVES'!$A$9:$A$316,0),MATCH(CONCATENATE(AX$4,AV$6,AX$6,AX$7),'SHIP CURVES'!$A$9:$Z$9,0)))-(INDEX(terminal_curves,MATCH(AT163,'TERMINAL CURVES'!$A$4:$A$313,0),MATCH(AX$5,'TERMINAL CURVES'!$A$4:$N$4,0))-INDEX(terminal_curves,MATCH(AT163,'TERMINAL CURVES'!$A$4:$A$313,0),MATCH(AV$6,'TERMINAL CURVES'!$A$4:$N$4,0)))*IF(AN163=0,0,AP163/AN163)))*-AN163</f>
        <v>-15469657.048869619</v>
      </c>
      <c r="AY163" s="343">
        <f t="shared" si="82"/>
        <v>-17444094.899058703</v>
      </c>
      <c r="AZ163" s="338">
        <f>(-AP163/((HLOOKUP(AX$5,port_specs,2,0)/(365.25))*(AT164-AT163)))*(INDEX(fixed_capacity_charge,MATCH(AT163,PORTS!$H$11:$H$317,0),MATCH(AX$5,PORTS!$H$11:$N$11,0))+INDEX(variable_om_charge,MATCH(AT163,PORTS!$H$318:$H$625,0),MATCH(AX$5,PORTS!$H$318:$N$318,0)))</f>
        <v>-1015063.1672822121</v>
      </c>
      <c r="BA163" s="232">
        <f t="shared" si="83"/>
        <v>-18459158.066340916</v>
      </c>
      <c r="BB163" s="241">
        <f t="shared" si="84"/>
        <v>104112.56664602831</v>
      </c>
      <c r="BC163" s="408"/>
      <c r="BD163" s="338">
        <f>+PORTS!I157+PORTS!I465</f>
        <v>1015063.1672822121</v>
      </c>
    </row>
    <row r="164" spans="1:56" x14ac:dyDescent="0.2">
      <c r="A164" s="186">
        <f t="shared" si="85"/>
        <v>41153</v>
      </c>
      <c r="B164" s="215">
        <f>+IF(AND($A164&gt;=$C$8,$A164&lt;=$C$9),1,0)*PORTS!$I$5/(365.25)*(A165-A164)</f>
        <v>5166876.756626742</v>
      </c>
      <c r="C164" s="351">
        <f t="shared" si="64"/>
        <v>0</v>
      </c>
      <c r="D164">
        <f t="shared" si="65"/>
        <v>2012</v>
      </c>
      <c r="E164" s="186">
        <f t="shared" si="86"/>
        <v>41153</v>
      </c>
      <c r="F164" s="215">
        <f t="shared" si="66"/>
        <v>0</v>
      </c>
      <c r="G164" s="191">
        <f t="shared" si="67"/>
        <v>0</v>
      </c>
      <c r="H164" s="218">
        <f t="shared" si="68"/>
        <v>0</v>
      </c>
      <c r="I164" s="118">
        <f t="shared" si="69"/>
        <v>0</v>
      </c>
      <c r="J164" s="215">
        <f t="shared" si="70"/>
        <v>0</v>
      </c>
      <c r="K164" s="202"/>
      <c r="L164" s="186">
        <f t="shared" si="87"/>
        <v>41153</v>
      </c>
      <c r="M164" s="400">
        <f>+J164*(VLOOKUP(L164,CURVECALC!$C$6:$J$312,4,0)+N$5)</f>
        <v>0</v>
      </c>
      <c r="N164" s="208">
        <f>-F164*INDEX(ship_curves,MATCH(L164,'SHIP CURVES'!$A$9:$A$316,0),MATCH(CONCATENATE(P$4,P$5,P$6,P$7),'SHIP CURVES'!$A$9:$AZ$9,0))</f>
        <v>0</v>
      </c>
      <c r="O164" s="209">
        <f>-H164*INDEX(port_processing_fee,MATCH(L164,PORTS!$H$626:$H$933,0),MATCH(P$5,PORTS!$H$626:$Z$626,0))</f>
        <v>0</v>
      </c>
      <c r="P164" s="405">
        <f>(((VLOOKUP(L164,curvecalc,4,0))*IF(F164=0,0,J164/F164)-INDEX(ship_curves,MATCH(L164,'SHIP CURVES'!$A$9:$A$316,0),MATCH(CONCATENATE(P$4,P$5,P$6,P$7),'SHIP CURVES'!$A$9:$Z$9,0))-INDEX(terminal_curves,MATCH(L164,'TERMINAL CURVES'!$A$4:$A$313,0),MATCH(P$5,'TERMINAL CURVES'!$A$4:$N$4,0))*IF(F164=0,0,H164/F164))-(N$8)*((N$7-$N$5)-(INDEX(ship_curves,MATCH(L164,'SHIP CURVES'!$A$9:$A$316,0),MATCH(CONCATENATE(P$4,P$5,P$6,P$7),'SHIP CURVES'!$A$9:$Z$9,0))-INDEX(ship_curves,MATCH(L164,'SHIP CURVES'!$A$9:$A$316,0),MATCH(CONCATENATE(P$4,N$6,P$6,P$7),'SHIP CURVES'!$A$9:$Z$9,0)))-(INDEX(terminal_curves,MATCH(L164,'TERMINAL CURVES'!$A$4:$A$313,0),MATCH(P$5,'TERMINAL CURVES'!$A$4:$N$4,0))-INDEX(terminal_curves,MATCH(L164,'TERMINAL CURVES'!$A$4:$A$313,0),MATCH(N$6,'TERMINAL CURVES'!$A$4:$N$4,0)))*IF(F164=0,0,H164/F164)))*-F164</f>
        <v>0</v>
      </c>
      <c r="Q164" s="403">
        <f t="shared" si="71"/>
        <v>0</v>
      </c>
      <c r="R164" s="338">
        <f>(-H164/((HLOOKUP(P$5,port_specs,2,0)/(365.25))*(L165-L164)))*(INDEX(fixed_capacity_charge,MATCH(L164,PORTS!$H$11:$H$317,0),MATCH(P$5,PORTS!$H$11:$N$11,0))+INDEX(variable_om_charge,MATCH(L164,PORTS!$H$318:$H$625,0),MATCH(P$5,PORTS!$H$318:$N$318,0)))</f>
        <v>0</v>
      </c>
      <c r="S164" s="232">
        <f t="shared" si="72"/>
        <v>0</v>
      </c>
      <c r="T164" s="241">
        <f t="shared" si="73"/>
        <v>0</v>
      </c>
      <c r="V164" s="186">
        <f t="shared" si="88"/>
        <v>41153</v>
      </c>
      <c r="W164" s="215">
        <f t="shared" si="74"/>
        <v>0</v>
      </c>
      <c r="X164" s="191">
        <f t="shared" si="75"/>
        <v>0</v>
      </c>
      <c r="Y164" s="218">
        <f>+IF(AND(X$8&lt;=V164,X$9&gt;=V164),+MIN($B164-SUMIF($H$17:X$17,Y$17,$H164:X164),((INDEX(ROUTE_PER_DAY_BY_SHIP,MATCH(CONCATENATE(X$4,X$5,X$7),ROUTE_PER_DAY_ROUTES,0),MATCH(X$6,ROUTE_PER_DAY_SHIPS,0))*(V165-V164))-(INDEX(ROUTE_PER_DAY_BY_SHIP,MATCH(CONCATENATE(X$4,X$5,X$7),ROUTE_PER_DAY_ROUTES,0),MATCH(X$6,ROUTE_PER_DAY_SHIPS,0))*(V165-V164))*HLOOKUP(X$6,SHIPS,7,0)*INDEX(LADEN_VOYAGE_DAYS,MATCH(CONCATENATE(X$4,X$5,X$7),LADEN_VOYAGE_ROUTES,0),MATCH(X$6,LADEN_VOYAGE_SHIPS,0)))),0)</f>
        <v>0</v>
      </c>
      <c r="Z164" s="118">
        <f t="shared" si="76"/>
        <v>0</v>
      </c>
      <c r="AA164" s="215">
        <f t="shared" si="62"/>
        <v>0</v>
      </c>
      <c r="AB164" s="202"/>
      <c r="AC164" s="186">
        <f t="shared" si="89"/>
        <v>41153</v>
      </c>
      <c r="AD164" s="232">
        <f>+AA164*(VLOOKUP(AC164,CURVECALC!$C$6:$J$312,4,0)+AE$5)</f>
        <v>0</v>
      </c>
      <c r="AE164" s="208">
        <f>-W164*INDEX(ship_curves,MATCH(AC164,'SHIP CURVES'!$A$9:$A$316,0),MATCH(CONCATENATE(AG$4,AG$5,AG$6,AG$7),'SHIP CURVES'!$A$9:$AZ$9,0))</f>
        <v>0</v>
      </c>
      <c r="AF164" s="209">
        <f>-Y164*INDEX(port_processing_fee,MATCH(AC164,PORTS!$H$626:$H$933,0),MATCH(AG$5,PORTS!$H$626:$Z$626,0))</f>
        <v>0</v>
      </c>
      <c r="AG164" s="405">
        <f>(((VLOOKUP(AC164,curvecalc,4,0))*IF(W164=0,0,AA164/W164)-INDEX(ship_curves,MATCH(AC164,'SHIP CURVES'!$A$9:$A$316,0),MATCH(CONCATENATE(AG$4,AG$5,AG$6,AG$7),'SHIP CURVES'!$A$9:$Z$9,0))-INDEX(terminal_curves,MATCH(AC164,'TERMINAL CURVES'!$A$4:$A$313,0),MATCH(AG$5,'TERMINAL CURVES'!$A$4:$N$4,0))*IF(W164=0,0,Y164/W164))-(AE$8)*((AE$7-$N$5)-(INDEX(ship_curves,MATCH(AC164,'SHIP CURVES'!$A$9:$A$316,0),MATCH(CONCATENATE(AG$4,AG$5,AG$6,AG$7),'SHIP CURVES'!$A$9:$Z$9,0))-INDEX(ship_curves,MATCH(AC164,'SHIP CURVES'!$A$9:$A$316,0),MATCH(CONCATENATE(AG$4,AE$6,AG$6,AG$7),'SHIP CURVES'!$A$9:$Z$9,0)))-(INDEX(terminal_curves,MATCH(AC164,'TERMINAL CURVES'!$A$4:$A$313,0),MATCH(AG$5,'TERMINAL CURVES'!$A$4:$N$4,0))-INDEX(terminal_curves,MATCH(AC164,'TERMINAL CURVES'!$A$4:$A$313,0),MATCH(AE$6,'TERMINAL CURVES'!$A$4:$N$4,0)))*IF(W164=0,0,Y164/W164)))*-W164</f>
        <v>0</v>
      </c>
      <c r="AH164" s="343">
        <f t="shared" si="77"/>
        <v>0</v>
      </c>
      <c r="AI164" s="338">
        <f>(-Y164/((HLOOKUP(AG$5,port_specs,2,0)/(365.25))*(AC165-AC164)))*(INDEX(fixed_capacity_charge,MATCH(AC164,PORTS!$H$11:$H$317,0),MATCH(AG$5,PORTS!$H$11:$N$11,0))+INDEX(variable_om_charge,MATCH(AC164,PORTS!$H$318:$H$625,0),MATCH(AG$5,PORTS!$H$318:$N$318,0)))</f>
        <v>0</v>
      </c>
      <c r="AJ164" s="232">
        <f t="shared" si="78"/>
        <v>0</v>
      </c>
      <c r="AK164" s="241">
        <f t="shared" si="79"/>
        <v>0</v>
      </c>
      <c r="AM164" s="186">
        <f t="shared" si="90"/>
        <v>41153</v>
      </c>
      <c r="AN164" s="215">
        <f t="shared" si="80"/>
        <v>5221704.655509592</v>
      </c>
      <c r="AO164" s="191">
        <f t="shared" si="81"/>
        <v>-54827.898882850073</v>
      </c>
      <c r="AP164" s="218">
        <f>+IF(AND(AO$8&lt;=AM164,AO$9&gt;=AM164),+MIN($B164-SUMIF($H$17:AO$17,AP$17,$H164:AO164),((INDEX(ROUTE_PER_DAY_BY_SHIP,MATCH(CONCATENATE(AO$4,AO$5,AO$7),ROUTE_PER_DAY_ROUTES,0),MATCH(AO$6,ROUTE_PER_DAY_SHIPS,0))*(AM165-AM164))-(INDEX(ROUTE_PER_DAY_BY_SHIP,MATCH(CONCATENATE(AO$4,AO$5,AO$7),ROUTE_PER_DAY_ROUTES,0),MATCH(AO$6,ROUTE_PER_DAY_SHIPS,0))*(AM165-AM164))*HLOOKUP(AO$6,SHIPS,7,0)*INDEX(LADEN_VOYAGE_DAYS,MATCH(CONCATENATE(AO$4,AO$5,AO$7),LADEN_VOYAGE_ROUTES,0),MATCH(AO$6,LADEN_VOYAGE_SHIPS,0)))),0)</f>
        <v>5166876.756626742</v>
      </c>
      <c r="AQ164" s="118">
        <f>-(AP164)*PORTS!$I$6</f>
        <v>-129171.91891566856</v>
      </c>
      <c r="AR164" s="215">
        <f t="shared" si="63"/>
        <v>5037704.8377110735</v>
      </c>
      <c r="AS164" s="202"/>
      <c r="AT164" s="186">
        <f t="shared" si="91"/>
        <v>41153</v>
      </c>
      <c r="AU164" s="232">
        <f>+AR164*(VLOOKUP(AT164,CURVECALC!$C$6:$J$312,4,0)+AV$5)</f>
        <v>17868739.059361175</v>
      </c>
      <c r="AV164" s="208">
        <f>-AN164*INDEX(ship_curves,MATCH(AT164,'SHIP CURVES'!$A$9:$A$316,0),MATCH(CONCATENATE(AX$4,AX$5,AX$6,AX$7),'SHIP CURVES'!$A$9:$AZ$9,0))</f>
        <v>-1752131.973577291</v>
      </c>
      <c r="AW164" s="209">
        <f>-AP164*INDEX(port_processing_fee,MATCH(AT164,PORTS!$H$626:$H$933,0),MATCH(AX$5,PORTS!$H$626:$Z$626,0))</f>
        <v>-159336.65533442775</v>
      </c>
      <c r="AX164" s="405">
        <f>(((VLOOKUP(AT164,curvecalc,4,0))*IF(AN164=0,0,AR164/AN164)-INDEX(ship_curves,MATCH(AT164,'SHIP CURVES'!$A$9:$A$316,0),MATCH(CONCATENATE(AX$4,AX$5,AX$6,AX$7),'SHIP CURVES'!$A$9:$Z$9,0))-INDEX(terminal_curves,MATCH(AT164,'TERMINAL CURVES'!$A$4:$A$313,0),MATCH(AX$5,'TERMINAL CURVES'!$A$4:$N$4,0))*IF(AN164=0,0,AP164/AN164))-(AV$8)*((AV$7-$N$5)-(INDEX(ship_curves,MATCH(AT164,'SHIP CURVES'!$A$9:$A$316,0),MATCH(CONCATENATE(AX$4,AX$5,AX$6,AX$7),'SHIP CURVES'!$A$9:$Z$9,0))-INDEX(ship_curves,MATCH(AT164,'SHIP CURVES'!$A$9:$A$316,0),MATCH(CONCATENATE(AX$4,AV$6,AX$6,AX$7),'SHIP CURVES'!$A$9:$Z$9,0)))-(INDEX(terminal_curves,MATCH(AT164,'TERMINAL CURVES'!$A$4:$A$313,0),MATCH(AX$5,'TERMINAL CURVES'!$A$4:$N$4,0))-INDEX(terminal_curves,MATCH(AT164,'TERMINAL CURVES'!$A$4:$A$313,0),MATCH(AV$6,'TERMINAL CURVES'!$A$4:$N$4,0)))*IF(AN164=0,0,AP164/AN164)))*-AN164</f>
        <v>-14840901.211625135</v>
      </c>
      <c r="AY164" s="343">
        <f t="shared" si="82"/>
        <v>-16752369.840536853</v>
      </c>
      <c r="AZ164" s="338">
        <f>(-AP164/((HLOOKUP(AX$5,port_specs,2,0)/(365.25))*(AT165-AT164)))*(INDEX(fixed_capacity_charge,MATCH(AT164,PORTS!$H$11:$H$317,0),MATCH(AX$5,PORTS!$H$11:$N$11,0))+INDEX(variable_om_charge,MATCH(AT164,PORTS!$H$318:$H$625,0),MATCH(AX$5,PORTS!$H$318:$N$318,0)))</f>
        <v>-1015615.1220701013</v>
      </c>
      <c r="BA164" s="232">
        <f t="shared" si="83"/>
        <v>-17767984.962606955</v>
      </c>
      <c r="BB164" s="241">
        <f t="shared" si="84"/>
        <v>100754.09675421938</v>
      </c>
      <c r="BC164" s="408"/>
      <c r="BD164" s="338">
        <f>+PORTS!I158+PORTS!I466</f>
        <v>1015615.1220701013</v>
      </c>
    </row>
    <row r="165" spans="1:56" x14ac:dyDescent="0.2">
      <c r="A165" s="186">
        <f t="shared" si="85"/>
        <v>41183</v>
      </c>
      <c r="B165" s="215">
        <f>+IF(AND($A165&gt;=$C$8,$A165&lt;=$C$9),1,0)*PORTS!$I$5/(365.25)*(A166-A165)</f>
        <v>5339105.9818476336</v>
      </c>
      <c r="C165" s="351">
        <f t="shared" si="64"/>
        <v>0</v>
      </c>
      <c r="D165">
        <f t="shared" si="65"/>
        <v>2012</v>
      </c>
      <c r="E165" s="186">
        <f t="shared" si="86"/>
        <v>41183</v>
      </c>
      <c r="F165" s="215">
        <f t="shared" si="66"/>
        <v>0</v>
      </c>
      <c r="G165" s="191">
        <f t="shared" si="67"/>
        <v>0</v>
      </c>
      <c r="H165" s="218">
        <f t="shared" si="68"/>
        <v>0</v>
      </c>
      <c r="I165" s="118">
        <f t="shared" si="69"/>
        <v>0</v>
      </c>
      <c r="J165" s="215">
        <f t="shared" si="70"/>
        <v>0</v>
      </c>
      <c r="K165" s="202"/>
      <c r="L165" s="186">
        <f t="shared" si="87"/>
        <v>41183</v>
      </c>
      <c r="M165" s="400">
        <f>+J165*(VLOOKUP(L165,CURVECALC!$C$6:$J$312,4,0)+N$5)</f>
        <v>0</v>
      </c>
      <c r="N165" s="208">
        <f>-F165*INDEX(ship_curves,MATCH(L165,'SHIP CURVES'!$A$9:$A$316,0),MATCH(CONCATENATE(P$4,P$5,P$6,P$7),'SHIP CURVES'!$A$9:$AZ$9,0))</f>
        <v>0</v>
      </c>
      <c r="O165" s="209">
        <f>-H165*INDEX(port_processing_fee,MATCH(L165,PORTS!$H$626:$H$933,0),MATCH(P$5,PORTS!$H$626:$Z$626,0))</f>
        <v>0</v>
      </c>
      <c r="P165" s="405">
        <f>(((VLOOKUP(L165,curvecalc,4,0))*IF(F165=0,0,J165/F165)-INDEX(ship_curves,MATCH(L165,'SHIP CURVES'!$A$9:$A$316,0),MATCH(CONCATENATE(P$4,P$5,P$6,P$7),'SHIP CURVES'!$A$9:$Z$9,0))-INDEX(terminal_curves,MATCH(L165,'TERMINAL CURVES'!$A$4:$A$313,0),MATCH(P$5,'TERMINAL CURVES'!$A$4:$N$4,0))*IF(F165=0,0,H165/F165))-(N$8)*((N$7-$N$5)-(INDEX(ship_curves,MATCH(L165,'SHIP CURVES'!$A$9:$A$316,0),MATCH(CONCATENATE(P$4,P$5,P$6,P$7),'SHIP CURVES'!$A$9:$Z$9,0))-INDEX(ship_curves,MATCH(L165,'SHIP CURVES'!$A$9:$A$316,0),MATCH(CONCATENATE(P$4,N$6,P$6,P$7),'SHIP CURVES'!$A$9:$Z$9,0)))-(INDEX(terminal_curves,MATCH(L165,'TERMINAL CURVES'!$A$4:$A$313,0),MATCH(P$5,'TERMINAL CURVES'!$A$4:$N$4,0))-INDEX(terminal_curves,MATCH(L165,'TERMINAL CURVES'!$A$4:$A$313,0),MATCH(N$6,'TERMINAL CURVES'!$A$4:$N$4,0)))*IF(F165=0,0,H165/F165)))*-F165</f>
        <v>0</v>
      </c>
      <c r="Q165" s="403">
        <f t="shared" si="71"/>
        <v>0</v>
      </c>
      <c r="R165" s="338">
        <f>(-H165/((HLOOKUP(P$5,port_specs,2,0)/(365.25))*(L166-L165)))*(INDEX(fixed_capacity_charge,MATCH(L165,PORTS!$H$11:$H$317,0),MATCH(P$5,PORTS!$H$11:$N$11,0))+INDEX(variable_om_charge,MATCH(L165,PORTS!$H$318:$H$625,0),MATCH(P$5,PORTS!$H$318:$N$318,0)))</f>
        <v>0</v>
      </c>
      <c r="S165" s="232">
        <f t="shared" si="72"/>
        <v>0</v>
      </c>
      <c r="T165" s="241">
        <f t="shared" si="73"/>
        <v>0</v>
      </c>
      <c r="V165" s="186">
        <f t="shared" si="88"/>
        <v>41183</v>
      </c>
      <c r="W165" s="215">
        <f t="shared" si="74"/>
        <v>0</v>
      </c>
      <c r="X165" s="191">
        <f t="shared" si="75"/>
        <v>0</v>
      </c>
      <c r="Y165" s="218">
        <f>+IF(AND(X$8&lt;=V165,X$9&gt;=V165),+MIN($B165-SUMIF($H$17:X$17,Y$17,$H165:X165),((INDEX(ROUTE_PER_DAY_BY_SHIP,MATCH(CONCATENATE(X$4,X$5,X$7),ROUTE_PER_DAY_ROUTES,0),MATCH(X$6,ROUTE_PER_DAY_SHIPS,0))*(V166-V165))-(INDEX(ROUTE_PER_DAY_BY_SHIP,MATCH(CONCATENATE(X$4,X$5,X$7),ROUTE_PER_DAY_ROUTES,0),MATCH(X$6,ROUTE_PER_DAY_SHIPS,0))*(V166-V165))*HLOOKUP(X$6,SHIPS,7,0)*INDEX(LADEN_VOYAGE_DAYS,MATCH(CONCATENATE(X$4,X$5,X$7),LADEN_VOYAGE_ROUTES,0),MATCH(X$6,LADEN_VOYAGE_SHIPS,0)))),0)</f>
        <v>0</v>
      </c>
      <c r="Z165" s="118">
        <f t="shared" si="76"/>
        <v>0</v>
      </c>
      <c r="AA165" s="215">
        <f t="shared" si="62"/>
        <v>0</v>
      </c>
      <c r="AB165" s="202"/>
      <c r="AC165" s="186">
        <f t="shared" si="89"/>
        <v>41183</v>
      </c>
      <c r="AD165" s="232">
        <f>+AA165*(VLOOKUP(AC165,CURVECALC!$C$6:$J$312,4,0)+AE$5)</f>
        <v>0</v>
      </c>
      <c r="AE165" s="208">
        <f>-W165*INDEX(ship_curves,MATCH(AC165,'SHIP CURVES'!$A$9:$A$316,0),MATCH(CONCATENATE(AG$4,AG$5,AG$6,AG$7),'SHIP CURVES'!$A$9:$AZ$9,0))</f>
        <v>0</v>
      </c>
      <c r="AF165" s="209">
        <f>-Y165*INDEX(port_processing_fee,MATCH(AC165,PORTS!$H$626:$H$933,0),MATCH(AG$5,PORTS!$H$626:$Z$626,0))</f>
        <v>0</v>
      </c>
      <c r="AG165" s="405">
        <f>(((VLOOKUP(AC165,curvecalc,4,0))*IF(W165=0,0,AA165/W165)-INDEX(ship_curves,MATCH(AC165,'SHIP CURVES'!$A$9:$A$316,0),MATCH(CONCATENATE(AG$4,AG$5,AG$6,AG$7),'SHIP CURVES'!$A$9:$Z$9,0))-INDEX(terminal_curves,MATCH(AC165,'TERMINAL CURVES'!$A$4:$A$313,0),MATCH(AG$5,'TERMINAL CURVES'!$A$4:$N$4,0))*IF(W165=0,0,Y165/W165))-(AE$8)*((AE$7-$N$5)-(INDEX(ship_curves,MATCH(AC165,'SHIP CURVES'!$A$9:$A$316,0),MATCH(CONCATENATE(AG$4,AG$5,AG$6,AG$7),'SHIP CURVES'!$A$9:$Z$9,0))-INDEX(ship_curves,MATCH(AC165,'SHIP CURVES'!$A$9:$A$316,0),MATCH(CONCATENATE(AG$4,AE$6,AG$6,AG$7),'SHIP CURVES'!$A$9:$Z$9,0)))-(INDEX(terminal_curves,MATCH(AC165,'TERMINAL CURVES'!$A$4:$A$313,0),MATCH(AG$5,'TERMINAL CURVES'!$A$4:$N$4,0))-INDEX(terminal_curves,MATCH(AC165,'TERMINAL CURVES'!$A$4:$A$313,0),MATCH(AE$6,'TERMINAL CURVES'!$A$4:$N$4,0)))*IF(W165=0,0,Y165/W165)))*-W165</f>
        <v>0</v>
      </c>
      <c r="AH165" s="343">
        <f t="shared" si="77"/>
        <v>0</v>
      </c>
      <c r="AI165" s="338">
        <f>(-Y165/((HLOOKUP(AG$5,port_specs,2,0)/(365.25))*(AC166-AC165)))*(INDEX(fixed_capacity_charge,MATCH(AC165,PORTS!$H$11:$H$317,0),MATCH(AG$5,PORTS!$H$11:$N$11,0))+INDEX(variable_om_charge,MATCH(AC165,PORTS!$H$318:$H$625,0),MATCH(AG$5,PORTS!$H$318:$N$318,0)))</f>
        <v>0</v>
      </c>
      <c r="AJ165" s="232">
        <f t="shared" si="78"/>
        <v>0</v>
      </c>
      <c r="AK165" s="241">
        <f t="shared" si="79"/>
        <v>0</v>
      </c>
      <c r="AM165" s="186">
        <f t="shared" si="90"/>
        <v>41183</v>
      </c>
      <c r="AN165" s="215">
        <f t="shared" si="80"/>
        <v>5395761.4773599124</v>
      </c>
      <c r="AO165" s="191">
        <f t="shared" si="81"/>
        <v>-56655.495512278751</v>
      </c>
      <c r="AP165" s="218">
        <f>+IF(AND(AO$8&lt;=AM165,AO$9&gt;=AM165),+MIN($B165-SUMIF($H$17:AO$17,AP$17,$H165:AO165),((INDEX(ROUTE_PER_DAY_BY_SHIP,MATCH(CONCATENATE(AO$4,AO$5,AO$7),ROUTE_PER_DAY_ROUTES,0),MATCH(AO$6,ROUTE_PER_DAY_SHIPS,0))*(AM166-AM165))-(INDEX(ROUTE_PER_DAY_BY_SHIP,MATCH(CONCATENATE(AO$4,AO$5,AO$7),ROUTE_PER_DAY_ROUTES,0),MATCH(AO$6,ROUTE_PER_DAY_SHIPS,0))*(AM166-AM165))*HLOOKUP(AO$6,SHIPS,7,0)*INDEX(LADEN_VOYAGE_DAYS,MATCH(CONCATENATE(AO$4,AO$5,AO$7),LADEN_VOYAGE_ROUTES,0),MATCH(AO$6,LADEN_VOYAGE_SHIPS,0)))),0)</f>
        <v>5339105.9818476336</v>
      </c>
      <c r="AQ165" s="118">
        <f>-(AP165)*PORTS!$I$6</f>
        <v>-133477.64954619083</v>
      </c>
      <c r="AR165" s="215">
        <f t="shared" si="63"/>
        <v>5205628.3323014425</v>
      </c>
      <c r="AS165" s="202"/>
      <c r="AT165" s="186">
        <f t="shared" si="91"/>
        <v>41183</v>
      </c>
      <c r="AU165" s="232">
        <f>+AR165*(VLOOKUP(AT165,CURVECALC!$C$6:$J$312,4,0)+AV$5)</f>
        <v>18521625.606328532</v>
      </c>
      <c r="AV165" s="208">
        <f>-AN165*INDEX(ship_curves,MATCH(AT165,'SHIP CURVES'!$A$9:$A$316,0),MATCH(CONCATENATE(AX$4,AX$5,AX$6,AX$7),'SHIP CURVES'!$A$9:$AZ$9,0))</f>
        <v>-1811112.6407083683</v>
      </c>
      <c r="AW165" s="209">
        <f>-AP165*INDEX(port_processing_fee,MATCH(AT165,PORTS!$H$626:$H$933,0),MATCH(AX$5,PORTS!$H$626:$Z$626,0))</f>
        <v>-164819.38538430337</v>
      </c>
      <c r="AX165" s="405">
        <f>(((VLOOKUP(AT165,curvecalc,4,0))*IF(AN165=0,0,AR165/AN165)-INDEX(ship_curves,MATCH(AT165,'SHIP CURVES'!$A$9:$A$316,0),MATCH(CONCATENATE(AX$4,AX$5,AX$6,AX$7),'SHIP CURVES'!$A$9:$Z$9,0))-INDEX(terminal_curves,MATCH(AT165,'TERMINAL CURVES'!$A$4:$A$313,0),MATCH(AX$5,'TERMINAL CURVES'!$A$4:$N$4,0))*IF(AN165=0,0,AP165/AN165))-(AV$8)*((AV$7-$N$5)-(INDEX(ship_curves,MATCH(AT165,'SHIP CURVES'!$A$9:$A$316,0),MATCH(CONCATENATE(AX$4,AX$5,AX$6,AX$7),'SHIP CURVES'!$A$9:$Z$9,0))-INDEX(ship_curves,MATCH(AT165,'SHIP CURVES'!$A$9:$A$316,0),MATCH(CONCATENATE(AX$4,AV$6,AX$6,AX$7),'SHIP CURVES'!$A$9:$Z$9,0)))-(INDEX(terminal_curves,MATCH(AT165,'TERMINAL CURVES'!$A$4:$A$313,0),MATCH(AX$5,'TERMINAL CURVES'!$A$4:$N$4,0))-INDEX(terminal_curves,MATCH(AT165,'TERMINAL CURVES'!$A$4:$A$313,0),MATCH(AV$6,'TERMINAL CURVES'!$A$4:$N$4,0)))*IF(AN165=0,0,AP165/AN165)))*-AN165</f>
        <v>-15425413.361778935</v>
      </c>
      <c r="AY165" s="343">
        <f t="shared" si="82"/>
        <v>-17401345.387871608</v>
      </c>
      <c r="AZ165" s="338">
        <f>(-AP165/((HLOOKUP(AX$5,port_specs,2,0)/(365.25))*(AT166-AT165)))*(INDEX(fixed_capacity_charge,MATCH(AT165,PORTS!$H$11:$H$317,0),MATCH(AX$5,PORTS!$H$11:$N$11,0))+INDEX(variable_om_charge,MATCH(AT165,PORTS!$H$318:$H$625,0),MATCH(AX$5,PORTS!$H$318:$N$318,0)))</f>
        <v>-1016167.651810895</v>
      </c>
      <c r="BA165" s="232">
        <f t="shared" si="83"/>
        <v>-18417513.039682504</v>
      </c>
      <c r="BB165" s="241">
        <f t="shared" si="84"/>
        <v>104112.56664602831</v>
      </c>
      <c r="BC165" s="408"/>
      <c r="BD165" s="338">
        <f>+PORTS!I159+PORTS!I467</f>
        <v>1016167.651810895</v>
      </c>
    </row>
    <row r="166" spans="1:56" x14ac:dyDescent="0.2">
      <c r="A166" s="186">
        <f t="shared" si="85"/>
        <v>41214</v>
      </c>
      <c r="B166" s="215">
        <f>+IF(AND($A166&gt;=$C$8,$A166&lt;=$C$9),1,0)*PORTS!$I$5/(365.25)*(A167-A166)</f>
        <v>5166876.756626742</v>
      </c>
      <c r="C166" s="351">
        <f t="shared" si="64"/>
        <v>0</v>
      </c>
      <c r="D166">
        <f t="shared" si="65"/>
        <v>2012</v>
      </c>
      <c r="E166" s="186">
        <f t="shared" si="86"/>
        <v>41214</v>
      </c>
      <c r="F166" s="215">
        <f t="shared" si="66"/>
        <v>0</v>
      </c>
      <c r="G166" s="191">
        <f t="shared" si="67"/>
        <v>0</v>
      </c>
      <c r="H166" s="218">
        <f t="shared" si="68"/>
        <v>0</v>
      </c>
      <c r="I166" s="118">
        <f t="shared" si="69"/>
        <v>0</v>
      </c>
      <c r="J166" s="215">
        <f t="shared" si="70"/>
        <v>0</v>
      </c>
      <c r="K166" s="202"/>
      <c r="L166" s="186">
        <f t="shared" si="87"/>
        <v>41214</v>
      </c>
      <c r="M166" s="400">
        <f>+J166*(VLOOKUP(L166,CURVECALC!$C$6:$J$312,4,0)+N$5)</f>
        <v>0</v>
      </c>
      <c r="N166" s="208">
        <f>-F166*INDEX(ship_curves,MATCH(L166,'SHIP CURVES'!$A$9:$A$316,0),MATCH(CONCATENATE(P$4,P$5,P$6,P$7),'SHIP CURVES'!$A$9:$AZ$9,0))</f>
        <v>0</v>
      </c>
      <c r="O166" s="209">
        <f>-H166*INDEX(port_processing_fee,MATCH(L166,PORTS!$H$626:$H$933,0),MATCH(P$5,PORTS!$H$626:$Z$626,0))</f>
        <v>0</v>
      </c>
      <c r="P166" s="405">
        <f>(((VLOOKUP(L166,curvecalc,4,0))*IF(F166=0,0,J166/F166)-INDEX(ship_curves,MATCH(L166,'SHIP CURVES'!$A$9:$A$316,0),MATCH(CONCATENATE(P$4,P$5,P$6,P$7),'SHIP CURVES'!$A$9:$Z$9,0))-INDEX(terminal_curves,MATCH(L166,'TERMINAL CURVES'!$A$4:$A$313,0),MATCH(P$5,'TERMINAL CURVES'!$A$4:$N$4,0))*IF(F166=0,0,H166/F166))-(N$8)*((N$7-$N$5)-(INDEX(ship_curves,MATCH(L166,'SHIP CURVES'!$A$9:$A$316,0),MATCH(CONCATENATE(P$4,P$5,P$6,P$7),'SHIP CURVES'!$A$9:$Z$9,0))-INDEX(ship_curves,MATCH(L166,'SHIP CURVES'!$A$9:$A$316,0),MATCH(CONCATENATE(P$4,N$6,P$6,P$7),'SHIP CURVES'!$A$9:$Z$9,0)))-(INDEX(terminal_curves,MATCH(L166,'TERMINAL CURVES'!$A$4:$A$313,0),MATCH(P$5,'TERMINAL CURVES'!$A$4:$N$4,0))-INDEX(terminal_curves,MATCH(L166,'TERMINAL CURVES'!$A$4:$A$313,0),MATCH(N$6,'TERMINAL CURVES'!$A$4:$N$4,0)))*IF(F166=0,0,H166/F166)))*-F166</f>
        <v>0</v>
      </c>
      <c r="Q166" s="403">
        <f t="shared" si="71"/>
        <v>0</v>
      </c>
      <c r="R166" s="338">
        <f>(-H166/((HLOOKUP(P$5,port_specs,2,0)/(365.25))*(L167-L166)))*(INDEX(fixed_capacity_charge,MATCH(L166,PORTS!$H$11:$H$317,0),MATCH(P$5,PORTS!$H$11:$N$11,0))+INDEX(variable_om_charge,MATCH(L166,PORTS!$H$318:$H$625,0),MATCH(P$5,PORTS!$H$318:$N$318,0)))</f>
        <v>0</v>
      </c>
      <c r="S166" s="232">
        <f t="shared" si="72"/>
        <v>0</v>
      </c>
      <c r="T166" s="241">
        <f t="shared" si="73"/>
        <v>0</v>
      </c>
      <c r="V166" s="186">
        <f t="shared" si="88"/>
        <v>41214</v>
      </c>
      <c r="W166" s="215">
        <f t="shared" si="74"/>
        <v>0</v>
      </c>
      <c r="X166" s="191">
        <f t="shared" si="75"/>
        <v>0</v>
      </c>
      <c r="Y166" s="218">
        <f>+IF(AND(X$8&lt;=V166,X$9&gt;=V166),+MIN($B166-SUMIF($H$17:X$17,Y$17,$H166:X166),((INDEX(ROUTE_PER_DAY_BY_SHIP,MATCH(CONCATENATE(X$4,X$5,X$7),ROUTE_PER_DAY_ROUTES,0),MATCH(X$6,ROUTE_PER_DAY_SHIPS,0))*(V167-V166))-(INDEX(ROUTE_PER_DAY_BY_SHIP,MATCH(CONCATENATE(X$4,X$5,X$7),ROUTE_PER_DAY_ROUTES,0),MATCH(X$6,ROUTE_PER_DAY_SHIPS,0))*(V167-V166))*HLOOKUP(X$6,SHIPS,7,0)*INDEX(LADEN_VOYAGE_DAYS,MATCH(CONCATENATE(X$4,X$5,X$7),LADEN_VOYAGE_ROUTES,0),MATCH(X$6,LADEN_VOYAGE_SHIPS,0)))),0)</f>
        <v>0</v>
      </c>
      <c r="Z166" s="118">
        <f t="shared" si="76"/>
        <v>0</v>
      </c>
      <c r="AA166" s="215">
        <f t="shared" si="62"/>
        <v>0</v>
      </c>
      <c r="AB166" s="202"/>
      <c r="AC166" s="186">
        <f t="shared" si="89"/>
        <v>41214</v>
      </c>
      <c r="AD166" s="232">
        <f>+AA166*(VLOOKUP(AC166,CURVECALC!$C$6:$J$312,4,0)+AE$5)</f>
        <v>0</v>
      </c>
      <c r="AE166" s="208">
        <f>-W166*INDEX(ship_curves,MATCH(AC166,'SHIP CURVES'!$A$9:$A$316,0),MATCH(CONCATENATE(AG$4,AG$5,AG$6,AG$7),'SHIP CURVES'!$A$9:$AZ$9,0))</f>
        <v>0</v>
      </c>
      <c r="AF166" s="209">
        <f>-Y166*INDEX(port_processing_fee,MATCH(AC166,PORTS!$H$626:$H$933,0),MATCH(AG$5,PORTS!$H$626:$Z$626,0))</f>
        <v>0</v>
      </c>
      <c r="AG166" s="405">
        <f>(((VLOOKUP(AC166,curvecalc,4,0))*IF(W166=0,0,AA166/W166)-INDEX(ship_curves,MATCH(AC166,'SHIP CURVES'!$A$9:$A$316,0),MATCH(CONCATENATE(AG$4,AG$5,AG$6,AG$7),'SHIP CURVES'!$A$9:$Z$9,0))-INDEX(terminal_curves,MATCH(AC166,'TERMINAL CURVES'!$A$4:$A$313,0),MATCH(AG$5,'TERMINAL CURVES'!$A$4:$N$4,0))*IF(W166=0,0,Y166/W166))-(AE$8)*((AE$7-$N$5)-(INDEX(ship_curves,MATCH(AC166,'SHIP CURVES'!$A$9:$A$316,0),MATCH(CONCATENATE(AG$4,AG$5,AG$6,AG$7),'SHIP CURVES'!$A$9:$Z$9,0))-INDEX(ship_curves,MATCH(AC166,'SHIP CURVES'!$A$9:$A$316,0),MATCH(CONCATENATE(AG$4,AE$6,AG$6,AG$7),'SHIP CURVES'!$A$9:$Z$9,0)))-(INDEX(terminal_curves,MATCH(AC166,'TERMINAL CURVES'!$A$4:$A$313,0),MATCH(AG$5,'TERMINAL CURVES'!$A$4:$N$4,0))-INDEX(terminal_curves,MATCH(AC166,'TERMINAL CURVES'!$A$4:$A$313,0),MATCH(AE$6,'TERMINAL CURVES'!$A$4:$N$4,0)))*IF(W166=0,0,Y166/W166)))*-W166</f>
        <v>0</v>
      </c>
      <c r="AH166" s="343">
        <f t="shared" si="77"/>
        <v>0</v>
      </c>
      <c r="AI166" s="338">
        <f>(-Y166/((HLOOKUP(AG$5,port_specs,2,0)/(365.25))*(AC167-AC166)))*(INDEX(fixed_capacity_charge,MATCH(AC166,PORTS!$H$11:$H$317,0),MATCH(AG$5,PORTS!$H$11:$N$11,0))+INDEX(variable_om_charge,MATCH(AC166,PORTS!$H$318:$H$625,0),MATCH(AG$5,PORTS!$H$318:$N$318,0)))</f>
        <v>0</v>
      </c>
      <c r="AJ166" s="232">
        <f t="shared" si="78"/>
        <v>0</v>
      </c>
      <c r="AK166" s="241">
        <f t="shared" si="79"/>
        <v>0</v>
      </c>
      <c r="AM166" s="186">
        <f t="shared" si="90"/>
        <v>41214</v>
      </c>
      <c r="AN166" s="215">
        <f t="shared" si="80"/>
        <v>5221704.655509592</v>
      </c>
      <c r="AO166" s="191">
        <f t="shared" si="81"/>
        <v>-54827.898882850073</v>
      </c>
      <c r="AP166" s="218">
        <f>+IF(AND(AO$8&lt;=AM166,AO$9&gt;=AM166),+MIN($B166-SUMIF($H$17:AO$17,AP$17,$H166:AO166),((INDEX(ROUTE_PER_DAY_BY_SHIP,MATCH(CONCATENATE(AO$4,AO$5,AO$7),ROUTE_PER_DAY_ROUTES,0),MATCH(AO$6,ROUTE_PER_DAY_SHIPS,0))*(AM167-AM166))-(INDEX(ROUTE_PER_DAY_BY_SHIP,MATCH(CONCATENATE(AO$4,AO$5,AO$7),ROUTE_PER_DAY_ROUTES,0),MATCH(AO$6,ROUTE_PER_DAY_SHIPS,0))*(AM167-AM166))*HLOOKUP(AO$6,SHIPS,7,0)*INDEX(LADEN_VOYAGE_DAYS,MATCH(CONCATENATE(AO$4,AO$5,AO$7),LADEN_VOYAGE_ROUTES,0),MATCH(AO$6,LADEN_VOYAGE_SHIPS,0)))),0)</f>
        <v>5166876.756626742</v>
      </c>
      <c r="AQ166" s="118">
        <f>-(AP166)*PORTS!$I$6</f>
        <v>-129171.91891566856</v>
      </c>
      <c r="AR166" s="215">
        <f t="shared" si="63"/>
        <v>5037704.8377110735</v>
      </c>
      <c r="AS166" s="202"/>
      <c r="AT166" s="186">
        <f t="shared" si="91"/>
        <v>41214</v>
      </c>
      <c r="AU166" s="232">
        <f>+AR166*(VLOOKUP(AT166,CURVECALC!$C$6:$J$312,4,0)+AV$5)</f>
        <v>18246566.922189508</v>
      </c>
      <c r="AV166" s="208">
        <f>-AN166*INDEX(ship_curves,MATCH(AT166,'SHIP CURVES'!$A$9:$A$316,0),MATCH(CONCATENATE(AX$4,AX$5,AX$6,AX$7),'SHIP CURVES'!$A$9:$AZ$9,0))</f>
        <v>-1753248.4928502191</v>
      </c>
      <c r="AW166" s="209">
        <f>-AP166*INDEX(port_processing_fee,MATCH(AT166,PORTS!$H$626:$H$933,0),MATCH(AX$5,PORTS!$H$626:$Z$626,0))</f>
        <v>-159668.77959104389</v>
      </c>
      <c r="AX166" s="405">
        <f>(((VLOOKUP(AT166,curvecalc,4,0))*IF(AN166=0,0,AR166/AN166)-INDEX(ship_curves,MATCH(AT166,'SHIP CURVES'!$A$9:$A$316,0),MATCH(CONCATENATE(AX$4,AX$5,AX$6,AX$7),'SHIP CURVES'!$A$9:$Z$9,0))-INDEX(terminal_curves,MATCH(AT166,'TERMINAL CURVES'!$A$4:$A$313,0),MATCH(AX$5,'TERMINAL CURVES'!$A$4:$N$4,0))*IF(AN166=0,0,AP166/AN166))-(AV$8)*((AV$7-$N$5)-(INDEX(ship_curves,MATCH(AT166,'SHIP CURVES'!$A$9:$A$316,0),MATCH(CONCATENATE(AX$4,AX$5,AX$6,AX$7),'SHIP CURVES'!$A$9:$Z$9,0))-INDEX(ship_curves,MATCH(AT166,'SHIP CURVES'!$A$9:$A$316,0),MATCH(CONCATENATE(AX$4,AV$6,AX$6,AX$7),'SHIP CURVES'!$A$9:$Z$9,0)))-(INDEX(terminal_curves,MATCH(AT166,'TERMINAL CURVES'!$A$4:$A$313,0),MATCH(AX$5,'TERMINAL CURVES'!$A$4:$N$4,0))-INDEX(terminal_curves,MATCH(AT166,'TERMINAL CURVES'!$A$4:$A$313,0),MATCH(AV$6,'TERMINAL CURVES'!$A$4:$N$4,0)))*IF(AN166=0,0,AP166/AN166)))*-AN166</f>
        <v>-15216174.795890521</v>
      </c>
      <c r="AY166" s="343">
        <f t="shared" si="82"/>
        <v>-17129092.068331786</v>
      </c>
      <c r="AZ166" s="338">
        <f>(-AP166/((HLOOKUP(AX$5,port_specs,2,0)/(365.25))*(AT167-AT166)))*(INDEX(fixed_capacity_charge,MATCH(AT166,PORTS!$H$11:$H$317,0),MATCH(AX$5,PORTS!$H$11:$N$11,0))+INDEX(variable_om_charge,MATCH(AT166,PORTS!$H$318:$H$625,0),MATCH(AX$5,PORTS!$H$318:$N$318,0)))</f>
        <v>-1016720.7571035016</v>
      </c>
      <c r="BA166" s="232">
        <f t="shared" si="83"/>
        <v>-18145812.825435288</v>
      </c>
      <c r="BB166" s="241">
        <f t="shared" si="84"/>
        <v>100754.09675421938</v>
      </c>
      <c r="BC166" s="408"/>
      <c r="BD166" s="338">
        <f>+PORTS!I160+PORTS!I468</f>
        <v>1016720.7571035016</v>
      </c>
    </row>
    <row r="167" spans="1:56" x14ac:dyDescent="0.2">
      <c r="A167" s="186">
        <f t="shared" si="85"/>
        <v>41244</v>
      </c>
      <c r="B167" s="215">
        <f>+IF(AND($A167&gt;=$C$8,$A167&lt;=$C$9),1,0)*PORTS!$I$5/(365.25)*(A168-A167)</f>
        <v>5339105.9818476336</v>
      </c>
      <c r="C167" s="351">
        <f t="shared" si="64"/>
        <v>0</v>
      </c>
      <c r="D167">
        <f t="shared" si="65"/>
        <v>2012</v>
      </c>
      <c r="E167" s="186">
        <f t="shared" si="86"/>
        <v>41244</v>
      </c>
      <c r="F167" s="215">
        <f t="shared" si="66"/>
        <v>0</v>
      </c>
      <c r="G167" s="191">
        <f t="shared" si="67"/>
        <v>0</v>
      </c>
      <c r="H167" s="218">
        <f t="shared" si="68"/>
        <v>0</v>
      </c>
      <c r="I167" s="118">
        <f t="shared" si="69"/>
        <v>0</v>
      </c>
      <c r="J167" s="215">
        <f t="shared" si="70"/>
        <v>0</v>
      </c>
      <c r="K167" s="202"/>
      <c r="L167" s="186">
        <f t="shared" si="87"/>
        <v>41244</v>
      </c>
      <c r="M167" s="400">
        <f>+J167*(VLOOKUP(L167,CURVECALC!$C$6:$J$312,4,0)+N$5)</f>
        <v>0</v>
      </c>
      <c r="N167" s="208">
        <f>-F167*INDEX(ship_curves,MATCH(L167,'SHIP CURVES'!$A$9:$A$316,0),MATCH(CONCATENATE(P$4,P$5,P$6,P$7),'SHIP CURVES'!$A$9:$AZ$9,0))</f>
        <v>0</v>
      </c>
      <c r="O167" s="209">
        <f>-H167*INDEX(port_processing_fee,MATCH(L167,PORTS!$H$626:$H$933,0),MATCH(P$5,PORTS!$H$626:$Z$626,0))</f>
        <v>0</v>
      </c>
      <c r="P167" s="405">
        <f>(((VLOOKUP(L167,curvecalc,4,0))*IF(F167=0,0,J167/F167)-INDEX(ship_curves,MATCH(L167,'SHIP CURVES'!$A$9:$A$316,0),MATCH(CONCATENATE(P$4,P$5,P$6,P$7),'SHIP CURVES'!$A$9:$Z$9,0))-INDEX(terminal_curves,MATCH(L167,'TERMINAL CURVES'!$A$4:$A$313,0),MATCH(P$5,'TERMINAL CURVES'!$A$4:$N$4,0))*IF(F167=0,0,H167/F167))-(N$8)*((N$7-$N$5)-(INDEX(ship_curves,MATCH(L167,'SHIP CURVES'!$A$9:$A$316,0),MATCH(CONCATENATE(P$4,P$5,P$6,P$7),'SHIP CURVES'!$A$9:$Z$9,0))-INDEX(ship_curves,MATCH(L167,'SHIP CURVES'!$A$9:$A$316,0),MATCH(CONCATENATE(P$4,N$6,P$6,P$7),'SHIP CURVES'!$A$9:$Z$9,0)))-(INDEX(terminal_curves,MATCH(L167,'TERMINAL CURVES'!$A$4:$A$313,0),MATCH(P$5,'TERMINAL CURVES'!$A$4:$N$4,0))-INDEX(terminal_curves,MATCH(L167,'TERMINAL CURVES'!$A$4:$A$313,0),MATCH(N$6,'TERMINAL CURVES'!$A$4:$N$4,0)))*IF(F167=0,0,H167/F167)))*-F167</f>
        <v>0</v>
      </c>
      <c r="Q167" s="403">
        <f t="shared" si="71"/>
        <v>0</v>
      </c>
      <c r="R167" s="338">
        <f>(-H167/((HLOOKUP(P$5,port_specs,2,0)/(365.25))*(L168-L167)))*(INDEX(fixed_capacity_charge,MATCH(L167,PORTS!$H$11:$H$317,0),MATCH(P$5,PORTS!$H$11:$N$11,0))+INDEX(variable_om_charge,MATCH(L167,PORTS!$H$318:$H$625,0),MATCH(P$5,PORTS!$H$318:$N$318,0)))</f>
        <v>0</v>
      </c>
      <c r="S167" s="232">
        <f t="shared" si="72"/>
        <v>0</v>
      </c>
      <c r="T167" s="241">
        <f t="shared" si="73"/>
        <v>0</v>
      </c>
      <c r="V167" s="186">
        <f t="shared" si="88"/>
        <v>41244</v>
      </c>
      <c r="W167" s="215">
        <f t="shared" si="74"/>
        <v>0</v>
      </c>
      <c r="X167" s="191">
        <f t="shared" si="75"/>
        <v>0</v>
      </c>
      <c r="Y167" s="218">
        <f>+IF(AND(X$8&lt;=V167,X$9&gt;=V167),+MIN($B167-SUMIF($H$17:X$17,Y$17,$H167:X167),((INDEX(ROUTE_PER_DAY_BY_SHIP,MATCH(CONCATENATE(X$4,X$5,X$7),ROUTE_PER_DAY_ROUTES,0),MATCH(X$6,ROUTE_PER_DAY_SHIPS,0))*(V168-V167))-(INDEX(ROUTE_PER_DAY_BY_SHIP,MATCH(CONCATENATE(X$4,X$5,X$7),ROUTE_PER_DAY_ROUTES,0),MATCH(X$6,ROUTE_PER_DAY_SHIPS,0))*(V168-V167))*HLOOKUP(X$6,SHIPS,7,0)*INDEX(LADEN_VOYAGE_DAYS,MATCH(CONCATENATE(X$4,X$5,X$7),LADEN_VOYAGE_ROUTES,0),MATCH(X$6,LADEN_VOYAGE_SHIPS,0)))),0)</f>
        <v>0</v>
      </c>
      <c r="Z167" s="118">
        <f t="shared" si="76"/>
        <v>0</v>
      </c>
      <c r="AA167" s="215">
        <f t="shared" si="62"/>
        <v>0</v>
      </c>
      <c r="AB167" s="202"/>
      <c r="AC167" s="186">
        <f t="shared" si="89"/>
        <v>41244</v>
      </c>
      <c r="AD167" s="232">
        <f>+AA167*(VLOOKUP(AC167,CURVECALC!$C$6:$J$312,4,0)+AE$5)</f>
        <v>0</v>
      </c>
      <c r="AE167" s="208">
        <f>-W167*INDEX(ship_curves,MATCH(AC167,'SHIP CURVES'!$A$9:$A$316,0),MATCH(CONCATENATE(AG$4,AG$5,AG$6,AG$7),'SHIP CURVES'!$A$9:$AZ$9,0))</f>
        <v>0</v>
      </c>
      <c r="AF167" s="209">
        <f>-Y167*INDEX(port_processing_fee,MATCH(AC167,PORTS!$H$626:$H$933,0),MATCH(AG$5,PORTS!$H$626:$Z$626,0))</f>
        <v>0</v>
      </c>
      <c r="AG167" s="405">
        <f>(((VLOOKUP(AC167,curvecalc,4,0))*IF(W167=0,0,AA167/W167)-INDEX(ship_curves,MATCH(AC167,'SHIP CURVES'!$A$9:$A$316,0),MATCH(CONCATENATE(AG$4,AG$5,AG$6,AG$7),'SHIP CURVES'!$A$9:$Z$9,0))-INDEX(terminal_curves,MATCH(AC167,'TERMINAL CURVES'!$A$4:$A$313,0),MATCH(AG$5,'TERMINAL CURVES'!$A$4:$N$4,0))*IF(W167=0,0,Y167/W167))-(AE$8)*((AE$7-$N$5)-(INDEX(ship_curves,MATCH(AC167,'SHIP CURVES'!$A$9:$A$316,0),MATCH(CONCATENATE(AG$4,AG$5,AG$6,AG$7),'SHIP CURVES'!$A$9:$Z$9,0))-INDEX(ship_curves,MATCH(AC167,'SHIP CURVES'!$A$9:$A$316,0),MATCH(CONCATENATE(AG$4,AE$6,AG$6,AG$7),'SHIP CURVES'!$A$9:$Z$9,0)))-(INDEX(terminal_curves,MATCH(AC167,'TERMINAL CURVES'!$A$4:$A$313,0),MATCH(AG$5,'TERMINAL CURVES'!$A$4:$N$4,0))-INDEX(terminal_curves,MATCH(AC167,'TERMINAL CURVES'!$A$4:$A$313,0),MATCH(AE$6,'TERMINAL CURVES'!$A$4:$N$4,0)))*IF(W167=0,0,Y167/W167)))*-W167</f>
        <v>0</v>
      </c>
      <c r="AH167" s="343">
        <f t="shared" si="77"/>
        <v>0</v>
      </c>
      <c r="AI167" s="338">
        <f>(-Y167/((HLOOKUP(AG$5,port_specs,2,0)/(365.25))*(AC168-AC167)))*(INDEX(fixed_capacity_charge,MATCH(AC167,PORTS!$H$11:$H$317,0),MATCH(AG$5,PORTS!$H$11:$N$11,0))+INDEX(variable_om_charge,MATCH(AC167,PORTS!$H$318:$H$625,0),MATCH(AG$5,PORTS!$H$318:$N$318,0)))</f>
        <v>0</v>
      </c>
      <c r="AJ167" s="232">
        <f t="shared" si="78"/>
        <v>0</v>
      </c>
      <c r="AK167" s="241">
        <f t="shared" si="79"/>
        <v>0</v>
      </c>
      <c r="AM167" s="186">
        <f t="shared" si="90"/>
        <v>41244</v>
      </c>
      <c r="AN167" s="215">
        <f t="shared" si="80"/>
        <v>5395761.4773599124</v>
      </c>
      <c r="AO167" s="191">
        <f t="shared" si="81"/>
        <v>-56655.495512278751</v>
      </c>
      <c r="AP167" s="218">
        <f>+IF(AND(AO$8&lt;=AM167,AO$9&gt;=AM167),+MIN($B167-SUMIF($H$17:AO$17,AP$17,$H167:AO167),((INDEX(ROUTE_PER_DAY_BY_SHIP,MATCH(CONCATENATE(AO$4,AO$5,AO$7),ROUTE_PER_DAY_ROUTES,0),MATCH(AO$6,ROUTE_PER_DAY_SHIPS,0))*(AM168-AM167))-(INDEX(ROUTE_PER_DAY_BY_SHIP,MATCH(CONCATENATE(AO$4,AO$5,AO$7),ROUTE_PER_DAY_ROUTES,0),MATCH(AO$6,ROUTE_PER_DAY_SHIPS,0))*(AM168-AM167))*HLOOKUP(AO$6,SHIPS,7,0)*INDEX(LADEN_VOYAGE_DAYS,MATCH(CONCATENATE(AO$4,AO$5,AO$7),LADEN_VOYAGE_ROUTES,0),MATCH(AO$6,LADEN_VOYAGE_SHIPS,0)))),0)</f>
        <v>5339105.9818476336</v>
      </c>
      <c r="AQ167" s="118">
        <f>-(AP167)*PORTS!$I$6</f>
        <v>-133477.64954619083</v>
      </c>
      <c r="AR167" s="215">
        <f t="shared" si="63"/>
        <v>5205628.3323014425</v>
      </c>
      <c r="AS167" s="202"/>
      <c r="AT167" s="186">
        <f t="shared" si="91"/>
        <v>41244</v>
      </c>
      <c r="AU167" s="232">
        <f>+AR167*(VLOOKUP(AT167,CURVECALC!$C$6:$J$312,4,0)+AV$5)</f>
        <v>19260824.829515334</v>
      </c>
      <c r="AV167" s="208">
        <f>-AN167*INDEX(ship_curves,MATCH(AT167,'SHIP CURVES'!$A$9:$A$316,0),MATCH(CONCATENATE(AX$4,AX$5,AX$6,AX$7),'SHIP CURVES'!$A$9:$AZ$9,0))</f>
        <v>-1812268.7809082731</v>
      </c>
      <c r="AW167" s="209">
        <f>-AP167*INDEX(port_processing_fee,MATCH(AT167,PORTS!$H$626:$H$933,0),MATCH(AX$5,PORTS!$H$626:$Z$626,0))</f>
        <v>-165162.93794433292</v>
      </c>
      <c r="AX167" s="405">
        <f>(((VLOOKUP(AT167,curvecalc,4,0))*IF(AN167=0,0,AR167/AN167)-INDEX(ship_curves,MATCH(AT167,'SHIP CURVES'!$A$9:$A$316,0),MATCH(CONCATENATE(AX$4,AX$5,AX$6,AX$7),'SHIP CURVES'!$A$9:$Z$9,0))-INDEX(terminal_curves,MATCH(AT167,'TERMINAL CURVES'!$A$4:$A$313,0),MATCH(AX$5,'TERMINAL CURVES'!$A$4:$N$4,0))*IF(AN167=0,0,AP167/AN167))-(AV$8)*((AV$7-$N$5)-(INDEX(ship_curves,MATCH(AT167,'SHIP CURVES'!$A$9:$A$316,0),MATCH(CONCATENATE(AX$4,AX$5,AX$6,AX$7),'SHIP CURVES'!$A$9:$Z$9,0))-INDEX(ship_curves,MATCH(AT167,'SHIP CURVES'!$A$9:$A$316,0),MATCH(CONCATENATE(AX$4,AV$6,AX$6,AX$7),'SHIP CURVES'!$A$9:$Z$9,0)))-(INDEX(terminal_curves,MATCH(AT167,'TERMINAL CURVES'!$A$4:$A$313,0),MATCH(AX$5,'TERMINAL CURVES'!$A$4:$N$4,0))-INDEX(terminal_curves,MATCH(AT167,'TERMINAL CURVES'!$A$4:$A$313,0),MATCH(AV$6,'TERMINAL CURVES'!$A$4:$N$4,0)))*IF(AN167=0,0,AP167/AN167)))*-AN167</f>
        <v>-16162006.105469245</v>
      </c>
      <c r="AY167" s="343">
        <f t="shared" si="82"/>
        <v>-18139437.824321851</v>
      </c>
      <c r="AZ167" s="338">
        <f>(-AP167/((HLOOKUP(AX$5,port_specs,2,0)/(365.25))*(AT168-AT167)))*(INDEX(fixed_capacity_charge,MATCH(AT167,PORTS!$H$11:$H$317,0),MATCH(AX$5,PORTS!$H$11:$N$11,0))+INDEX(variable_om_charge,MATCH(AT167,PORTS!$H$318:$H$625,0),MATCH(AX$5,PORTS!$H$318:$N$318,0)))</f>
        <v>-1017274.438547455</v>
      </c>
      <c r="BA167" s="232">
        <f t="shared" si="83"/>
        <v>-19156712.262869306</v>
      </c>
      <c r="BB167" s="241">
        <f t="shared" si="84"/>
        <v>104112.56664602831</v>
      </c>
      <c r="BC167" s="408"/>
      <c r="BD167" s="338">
        <f>+PORTS!I161+PORTS!I469</f>
        <v>1017274.438547455</v>
      </c>
    </row>
    <row r="168" spans="1:56" x14ac:dyDescent="0.2">
      <c r="A168" s="186">
        <f t="shared" si="85"/>
        <v>41275</v>
      </c>
      <c r="B168" s="215">
        <f>+IF(AND($A168&gt;=$C$8,$A168&lt;=$C$9),1,0)*PORTS!$I$5/(365.25)*(A169-A168)</f>
        <v>5339105.9818476336</v>
      </c>
      <c r="C168" s="351">
        <f t="shared" si="64"/>
        <v>0</v>
      </c>
      <c r="D168">
        <f t="shared" si="65"/>
        <v>2013</v>
      </c>
      <c r="E168" s="186">
        <f t="shared" si="86"/>
        <v>41275</v>
      </c>
      <c r="F168" s="215">
        <f t="shared" si="66"/>
        <v>0</v>
      </c>
      <c r="G168" s="191">
        <f t="shared" si="67"/>
        <v>0</v>
      </c>
      <c r="H168" s="218">
        <f t="shared" si="68"/>
        <v>0</v>
      </c>
      <c r="I168" s="118">
        <f t="shared" si="69"/>
        <v>0</v>
      </c>
      <c r="J168" s="215">
        <f t="shared" si="70"/>
        <v>0</v>
      </c>
      <c r="K168" s="202"/>
      <c r="L168" s="186">
        <f t="shared" si="87"/>
        <v>41275</v>
      </c>
      <c r="M168" s="400">
        <f>+J168*(VLOOKUP(L168,CURVECALC!$C$6:$J$312,4,0)+N$5)</f>
        <v>0</v>
      </c>
      <c r="N168" s="208">
        <f>-F168*INDEX(ship_curves,MATCH(L168,'SHIP CURVES'!$A$9:$A$316,0),MATCH(CONCATENATE(P$4,P$5,P$6,P$7),'SHIP CURVES'!$A$9:$AZ$9,0))</f>
        <v>0</v>
      </c>
      <c r="O168" s="209">
        <f>-H168*INDEX(port_processing_fee,MATCH(L168,PORTS!$H$626:$H$933,0),MATCH(P$5,PORTS!$H$626:$Z$626,0))</f>
        <v>0</v>
      </c>
      <c r="P168" s="405">
        <f>(((VLOOKUP(L168,curvecalc,4,0))*IF(F168=0,0,J168/F168)-INDEX(ship_curves,MATCH(L168,'SHIP CURVES'!$A$9:$A$316,0),MATCH(CONCATENATE(P$4,P$5,P$6,P$7),'SHIP CURVES'!$A$9:$Z$9,0))-INDEX(terminal_curves,MATCH(L168,'TERMINAL CURVES'!$A$4:$A$313,0),MATCH(P$5,'TERMINAL CURVES'!$A$4:$N$4,0))*IF(F168=0,0,H168/F168))-(N$8)*((N$7-$N$5)-(INDEX(ship_curves,MATCH(L168,'SHIP CURVES'!$A$9:$A$316,0),MATCH(CONCATENATE(P$4,P$5,P$6,P$7),'SHIP CURVES'!$A$9:$Z$9,0))-INDEX(ship_curves,MATCH(L168,'SHIP CURVES'!$A$9:$A$316,0),MATCH(CONCATENATE(P$4,N$6,P$6,P$7),'SHIP CURVES'!$A$9:$Z$9,0)))-(INDEX(terminal_curves,MATCH(L168,'TERMINAL CURVES'!$A$4:$A$313,0),MATCH(P$5,'TERMINAL CURVES'!$A$4:$N$4,0))-INDEX(terminal_curves,MATCH(L168,'TERMINAL CURVES'!$A$4:$A$313,0),MATCH(N$6,'TERMINAL CURVES'!$A$4:$N$4,0)))*IF(F168=0,0,H168/F168)))*-F168</f>
        <v>0</v>
      </c>
      <c r="Q168" s="403">
        <f t="shared" si="71"/>
        <v>0</v>
      </c>
      <c r="R168" s="338">
        <f>(-H168/((HLOOKUP(P$5,port_specs,2,0)/(365.25))*(L169-L168)))*(INDEX(fixed_capacity_charge,MATCH(L168,PORTS!$H$11:$H$317,0),MATCH(P$5,PORTS!$H$11:$N$11,0))+INDEX(variable_om_charge,MATCH(L168,PORTS!$H$318:$H$625,0),MATCH(P$5,PORTS!$H$318:$N$318,0)))</f>
        <v>0</v>
      </c>
      <c r="S168" s="232">
        <f t="shared" si="72"/>
        <v>0</v>
      </c>
      <c r="T168" s="241">
        <f t="shared" si="73"/>
        <v>0</v>
      </c>
      <c r="V168" s="186">
        <f t="shared" si="88"/>
        <v>41275</v>
      </c>
      <c r="W168" s="215">
        <f t="shared" si="74"/>
        <v>0</v>
      </c>
      <c r="X168" s="191">
        <f t="shared" si="75"/>
        <v>0</v>
      </c>
      <c r="Y168" s="218">
        <f>+IF(AND(X$8&lt;=V168,X$9&gt;=V168),+MIN($B168-SUMIF($H$17:X$17,Y$17,$H168:X168),((INDEX(ROUTE_PER_DAY_BY_SHIP,MATCH(CONCATENATE(X$4,X$5,X$7),ROUTE_PER_DAY_ROUTES,0),MATCH(X$6,ROUTE_PER_DAY_SHIPS,0))*(V169-V168))-(INDEX(ROUTE_PER_DAY_BY_SHIP,MATCH(CONCATENATE(X$4,X$5,X$7),ROUTE_PER_DAY_ROUTES,0),MATCH(X$6,ROUTE_PER_DAY_SHIPS,0))*(V169-V168))*HLOOKUP(X$6,SHIPS,7,0)*INDEX(LADEN_VOYAGE_DAYS,MATCH(CONCATENATE(X$4,X$5,X$7),LADEN_VOYAGE_ROUTES,0),MATCH(X$6,LADEN_VOYAGE_SHIPS,0)))),0)</f>
        <v>0</v>
      </c>
      <c r="Z168" s="118">
        <f t="shared" si="76"/>
        <v>0</v>
      </c>
      <c r="AA168" s="215">
        <f t="shared" si="62"/>
        <v>0</v>
      </c>
      <c r="AB168" s="202"/>
      <c r="AC168" s="186">
        <f t="shared" si="89"/>
        <v>41275</v>
      </c>
      <c r="AD168" s="232">
        <f>+AA168*(VLOOKUP(AC168,CURVECALC!$C$6:$J$312,4,0)+AE$5)</f>
        <v>0</v>
      </c>
      <c r="AE168" s="208">
        <f>-W168*INDEX(ship_curves,MATCH(AC168,'SHIP CURVES'!$A$9:$A$316,0),MATCH(CONCATENATE(AG$4,AG$5,AG$6,AG$7),'SHIP CURVES'!$A$9:$AZ$9,0))</f>
        <v>0</v>
      </c>
      <c r="AF168" s="209">
        <f>-Y168*INDEX(port_processing_fee,MATCH(AC168,PORTS!$H$626:$H$933,0),MATCH(AG$5,PORTS!$H$626:$Z$626,0))</f>
        <v>0</v>
      </c>
      <c r="AG168" s="405">
        <f>(((VLOOKUP(AC168,curvecalc,4,0))*IF(W168=0,0,AA168/W168)-INDEX(ship_curves,MATCH(AC168,'SHIP CURVES'!$A$9:$A$316,0),MATCH(CONCATENATE(AG$4,AG$5,AG$6,AG$7),'SHIP CURVES'!$A$9:$Z$9,0))-INDEX(terminal_curves,MATCH(AC168,'TERMINAL CURVES'!$A$4:$A$313,0),MATCH(AG$5,'TERMINAL CURVES'!$A$4:$N$4,0))*IF(W168=0,0,Y168/W168))-(AE$8)*((AE$7-$N$5)-(INDEX(ship_curves,MATCH(AC168,'SHIP CURVES'!$A$9:$A$316,0),MATCH(CONCATENATE(AG$4,AG$5,AG$6,AG$7),'SHIP CURVES'!$A$9:$Z$9,0))-INDEX(ship_curves,MATCH(AC168,'SHIP CURVES'!$A$9:$A$316,0),MATCH(CONCATENATE(AG$4,AE$6,AG$6,AG$7),'SHIP CURVES'!$A$9:$Z$9,0)))-(INDEX(terminal_curves,MATCH(AC168,'TERMINAL CURVES'!$A$4:$A$313,0),MATCH(AG$5,'TERMINAL CURVES'!$A$4:$N$4,0))-INDEX(terminal_curves,MATCH(AC168,'TERMINAL CURVES'!$A$4:$A$313,0),MATCH(AE$6,'TERMINAL CURVES'!$A$4:$N$4,0)))*IF(W168=0,0,Y168/W168)))*-W168</f>
        <v>0</v>
      </c>
      <c r="AH168" s="343">
        <f t="shared" si="77"/>
        <v>0</v>
      </c>
      <c r="AI168" s="338">
        <f>(-Y168/((HLOOKUP(AG$5,port_specs,2,0)/(365.25))*(AC169-AC168)))*(INDEX(fixed_capacity_charge,MATCH(AC168,PORTS!$H$11:$H$317,0),MATCH(AG$5,PORTS!$H$11:$N$11,0))+INDEX(variable_om_charge,MATCH(AC168,PORTS!$H$318:$H$625,0),MATCH(AG$5,PORTS!$H$318:$N$318,0)))</f>
        <v>0</v>
      </c>
      <c r="AJ168" s="232">
        <f t="shared" si="78"/>
        <v>0</v>
      </c>
      <c r="AK168" s="241">
        <f t="shared" si="79"/>
        <v>0</v>
      </c>
      <c r="AM168" s="186">
        <f t="shared" si="90"/>
        <v>41275</v>
      </c>
      <c r="AN168" s="215">
        <f t="shared" si="80"/>
        <v>5395761.4773599124</v>
      </c>
      <c r="AO168" s="191">
        <f t="shared" si="81"/>
        <v>-56655.495512278751</v>
      </c>
      <c r="AP168" s="218">
        <f>+IF(AND(AO$8&lt;=AM168,AO$9&gt;=AM168),+MIN($B168-SUMIF($H$17:AO$17,AP$17,$H168:AO168),((INDEX(ROUTE_PER_DAY_BY_SHIP,MATCH(CONCATENATE(AO$4,AO$5,AO$7),ROUTE_PER_DAY_ROUTES,0),MATCH(AO$6,ROUTE_PER_DAY_SHIPS,0))*(AM169-AM168))-(INDEX(ROUTE_PER_DAY_BY_SHIP,MATCH(CONCATENATE(AO$4,AO$5,AO$7),ROUTE_PER_DAY_ROUTES,0),MATCH(AO$6,ROUTE_PER_DAY_SHIPS,0))*(AM169-AM168))*HLOOKUP(AO$6,SHIPS,7,0)*INDEX(LADEN_VOYAGE_DAYS,MATCH(CONCATENATE(AO$4,AO$5,AO$7),LADEN_VOYAGE_ROUTES,0),MATCH(AO$6,LADEN_VOYAGE_SHIPS,0)))),0)</f>
        <v>5339105.9818476336</v>
      </c>
      <c r="AQ168" s="118">
        <f>-(AP168)*PORTS!$I$6</f>
        <v>-133477.64954619083</v>
      </c>
      <c r="AR168" s="215">
        <f t="shared" si="63"/>
        <v>5205628.3323014425</v>
      </c>
      <c r="AS168" s="202"/>
      <c r="AT168" s="186">
        <f t="shared" si="91"/>
        <v>41275</v>
      </c>
      <c r="AU168" s="232">
        <f>+AR168*(VLOOKUP(AT168,CURVECALC!$C$6:$J$312,4,0)+AV$5)</f>
        <v>20197837.929329596</v>
      </c>
      <c r="AV168" s="208">
        <f>-AN168*INDEX(ship_curves,MATCH(AT168,'SHIP CURVES'!$A$9:$A$316,0),MATCH(CONCATENATE(AX$4,AX$5,AX$6,AX$7),'SHIP CURVES'!$A$9:$AZ$9,0))</f>
        <v>-1812848.6581038816</v>
      </c>
      <c r="AW168" s="209">
        <f>-AP168*INDEX(port_processing_fee,MATCH(AT168,PORTS!$H$626:$H$933,0),MATCH(AX$5,PORTS!$H$626:$Z$626,0))</f>
        <v>-165334.98267135824</v>
      </c>
      <c r="AX168" s="405">
        <f>(((VLOOKUP(AT168,curvecalc,4,0))*IF(AN168=0,0,AR168/AN168)-INDEX(ship_curves,MATCH(AT168,'SHIP CURVES'!$A$9:$A$316,0),MATCH(CONCATENATE(AX$4,AX$5,AX$6,AX$7),'SHIP CURVES'!$A$9:$Z$9,0))-INDEX(terminal_curves,MATCH(AT168,'TERMINAL CURVES'!$A$4:$A$313,0),MATCH(AX$5,'TERMINAL CURVES'!$A$4:$N$4,0))*IF(AN168=0,0,AP168/AN168))-(AV$8)*((AV$7-$N$5)-(INDEX(ship_curves,MATCH(AT168,'SHIP CURVES'!$A$9:$A$316,0),MATCH(CONCATENATE(AX$4,AX$5,AX$6,AX$7),'SHIP CURVES'!$A$9:$Z$9,0))-INDEX(ship_curves,MATCH(AT168,'SHIP CURVES'!$A$9:$A$316,0),MATCH(CONCATENATE(AX$4,AV$6,AX$6,AX$7),'SHIP CURVES'!$A$9:$Z$9,0)))-(INDEX(terminal_curves,MATCH(AT168,'TERMINAL CURVES'!$A$4:$A$313,0),MATCH(AX$5,'TERMINAL CURVES'!$A$4:$N$4,0))-INDEX(terminal_curves,MATCH(AT168,'TERMINAL CURVES'!$A$4:$A$313,0),MATCH(AV$6,'TERMINAL CURVES'!$A$4:$N$4,0)))*IF(AN168=0,0,AP168/AN168)))*-AN168</f>
        <v>-17097713.025165416</v>
      </c>
      <c r="AY168" s="343">
        <f t="shared" si="82"/>
        <v>-19075896.665940657</v>
      </c>
      <c r="AZ168" s="338">
        <f>(-AP168/((HLOOKUP(AX$5,port_specs,2,0)/(365.25))*(AT169-AT168)))*(INDEX(fixed_capacity_charge,MATCH(AT168,PORTS!$H$11:$H$317,0),MATCH(AX$5,PORTS!$H$11:$N$11,0))+INDEX(variable_om_charge,MATCH(AT168,PORTS!$H$318:$H$625,0),MATCH(AX$5,PORTS!$H$318:$N$318,0)))</f>
        <v>-1017828.6967429123</v>
      </c>
      <c r="BA168" s="232">
        <f t="shared" si="83"/>
        <v>-20093725.362683568</v>
      </c>
      <c r="BB168" s="241">
        <f t="shared" si="84"/>
        <v>104112.56664602831</v>
      </c>
      <c r="BC168" s="408"/>
      <c r="BD168" s="338">
        <f>+PORTS!I162+PORTS!I470</f>
        <v>1017828.6967429123</v>
      </c>
    </row>
    <row r="169" spans="1:56" x14ac:dyDescent="0.2">
      <c r="A169" s="186">
        <f t="shared" si="85"/>
        <v>41306</v>
      </c>
      <c r="B169" s="215">
        <f>+IF(AND($A169&gt;=$C$8,$A169&lt;=$C$9),1,0)*PORTS!$I$5/(365.25)*(A170-A169)</f>
        <v>4822418.3061849596</v>
      </c>
      <c r="C169" s="351">
        <f t="shared" si="64"/>
        <v>0</v>
      </c>
      <c r="D169">
        <f t="shared" si="65"/>
        <v>2013</v>
      </c>
      <c r="E169" s="186">
        <f t="shared" si="86"/>
        <v>41306</v>
      </c>
      <c r="F169" s="215">
        <f t="shared" si="66"/>
        <v>0</v>
      </c>
      <c r="G169" s="191">
        <f t="shared" si="67"/>
        <v>0</v>
      </c>
      <c r="H169" s="218">
        <f t="shared" si="68"/>
        <v>0</v>
      </c>
      <c r="I169" s="118">
        <f t="shared" si="69"/>
        <v>0</v>
      </c>
      <c r="J169" s="215">
        <f t="shared" si="70"/>
        <v>0</v>
      </c>
      <c r="K169" s="202"/>
      <c r="L169" s="186">
        <f t="shared" si="87"/>
        <v>41306</v>
      </c>
      <c r="M169" s="400">
        <f>+J169*(VLOOKUP(L169,CURVECALC!$C$6:$J$312,4,0)+N$5)</f>
        <v>0</v>
      </c>
      <c r="N169" s="208">
        <f>-F169*INDEX(ship_curves,MATCH(L169,'SHIP CURVES'!$A$9:$A$316,0),MATCH(CONCATENATE(P$4,P$5,P$6,P$7),'SHIP CURVES'!$A$9:$AZ$9,0))</f>
        <v>0</v>
      </c>
      <c r="O169" s="209">
        <f>-H169*INDEX(port_processing_fee,MATCH(L169,PORTS!$H$626:$H$933,0),MATCH(P$5,PORTS!$H$626:$Z$626,0))</f>
        <v>0</v>
      </c>
      <c r="P169" s="405">
        <f>(((VLOOKUP(L169,curvecalc,4,0))*IF(F169=0,0,J169/F169)-INDEX(ship_curves,MATCH(L169,'SHIP CURVES'!$A$9:$A$316,0),MATCH(CONCATENATE(P$4,P$5,P$6,P$7),'SHIP CURVES'!$A$9:$Z$9,0))-INDEX(terminal_curves,MATCH(L169,'TERMINAL CURVES'!$A$4:$A$313,0),MATCH(P$5,'TERMINAL CURVES'!$A$4:$N$4,0))*IF(F169=0,0,H169/F169))-(N$8)*((N$7-$N$5)-(INDEX(ship_curves,MATCH(L169,'SHIP CURVES'!$A$9:$A$316,0),MATCH(CONCATENATE(P$4,P$5,P$6,P$7),'SHIP CURVES'!$A$9:$Z$9,0))-INDEX(ship_curves,MATCH(L169,'SHIP CURVES'!$A$9:$A$316,0),MATCH(CONCATENATE(P$4,N$6,P$6,P$7),'SHIP CURVES'!$A$9:$Z$9,0)))-(INDEX(terminal_curves,MATCH(L169,'TERMINAL CURVES'!$A$4:$A$313,0),MATCH(P$5,'TERMINAL CURVES'!$A$4:$N$4,0))-INDEX(terminal_curves,MATCH(L169,'TERMINAL CURVES'!$A$4:$A$313,0),MATCH(N$6,'TERMINAL CURVES'!$A$4:$N$4,0)))*IF(F169=0,0,H169/F169)))*-F169</f>
        <v>0</v>
      </c>
      <c r="Q169" s="403">
        <f t="shared" si="71"/>
        <v>0</v>
      </c>
      <c r="R169" s="338">
        <f>(-H169/((HLOOKUP(P$5,port_specs,2,0)/(365.25))*(L170-L169)))*(INDEX(fixed_capacity_charge,MATCH(L169,PORTS!$H$11:$H$317,0),MATCH(P$5,PORTS!$H$11:$N$11,0))+INDEX(variable_om_charge,MATCH(L169,PORTS!$H$318:$H$625,0),MATCH(P$5,PORTS!$H$318:$N$318,0)))</f>
        <v>0</v>
      </c>
      <c r="S169" s="232">
        <f t="shared" si="72"/>
        <v>0</v>
      </c>
      <c r="T169" s="241">
        <f t="shared" si="73"/>
        <v>0</v>
      </c>
      <c r="V169" s="186">
        <f t="shared" si="88"/>
        <v>41306</v>
      </c>
      <c r="W169" s="215">
        <f t="shared" si="74"/>
        <v>0</v>
      </c>
      <c r="X169" s="191">
        <f t="shared" si="75"/>
        <v>0</v>
      </c>
      <c r="Y169" s="218">
        <f>+IF(AND(X$8&lt;=V169,X$9&gt;=V169),+MIN($B169-SUMIF($H$17:X$17,Y$17,$H169:X169),((INDEX(ROUTE_PER_DAY_BY_SHIP,MATCH(CONCATENATE(X$4,X$5,X$7),ROUTE_PER_DAY_ROUTES,0),MATCH(X$6,ROUTE_PER_DAY_SHIPS,0))*(V170-V169))-(INDEX(ROUTE_PER_DAY_BY_SHIP,MATCH(CONCATENATE(X$4,X$5,X$7),ROUTE_PER_DAY_ROUTES,0),MATCH(X$6,ROUTE_PER_DAY_SHIPS,0))*(V170-V169))*HLOOKUP(X$6,SHIPS,7,0)*INDEX(LADEN_VOYAGE_DAYS,MATCH(CONCATENATE(X$4,X$5,X$7),LADEN_VOYAGE_ROUTES,0),MATCH(X$6,LADEN_VOYAGE_SHIPS,0)))),0)</f>
        <v>0</v>
      </c>
      <c r="Z169" s="118">
        <f t="shared" si="76"/>
        <v>0</v>
      </c>
      <c r="AA169" s="215">
        <f t="shared" si="62"/>
        <v>0</v>
      </c>
      <c r="AB169" s="202"/>
      <c r="AC169" s="186">
        <f t="shared" si="89"/>
        <v>41306</v>
      </c>
      <c r="AD169" s="232">
        <f>+AA169*(VLOOKUP(AC169,CURVECALC!$C$6:$J$312,4,0)+AE$5)</f>
        <v>0</v>
      </c>
      <c r="AE169" s="208">
        <f>-W169*INDEX(ship_curves,MATCH(AC169,'SHIP CURVES'!$A$9:$A$316,0),MATCH(CONCATENATE(AG$4,AG$5,AG$6,AG$7),'SHIP CURVES'!$A$9:$AZ$9,0))</f>
        <v>0</v>
      </c>
      <c r="AF169" s="209">
        <f>-Y169*INDEX(port_processing_fee,MATCH(AC169,PORTS!$H$626:$H$933,0),MATCH(AG$5,PORTS!$H$626:$Z$626,0))</f>
        <v>0</v>
      </c>
      <c r="AG169" s="405">
        <f>(((VLOOKUP(AC169,curvecalc,4,0))*IF(W169=0,0,AA169/W169)-INDEX(ship_curves,MATCH(AC169,'SHIP CURVES'!$A$9:$A$316,0),MATCH(CONCATENATE(AG$4,AG$5,AG$6,AG$7),'SHIP CURVES'!$A$9:$Z$9,0))-INDEX(terminal_curves,MATCH(AC169,'TERMINAL CURVES'!$A$4:$A$313,0),MATCH(AG$5,'TERMINAL CURVES'!$A$4:$N$4,0))*IF(W169=0,0,Y169/W169))-(AE$8)*((AE$7-$N$5)-(INDEX(ship_curves,MATCH(AC169,'SHIP CURVES'!$A$9:$A$316,0),MATCH(CONCATENATE(AG$4,AG$5,AG$6,AG$7),'SHIP CURVES'!$A$9:$Z$9,0))-INDEX(ship_curves,MATCH(AC169,'SHIP CURVES'!$A$9:$A$316,0),MATCH(CONCATENATE(AG$4,AE$6,AG$6,AG$7),'SHIP CURVES'!$A$9:$Z$9,0)))-(INDEX(terminal_curves,MATCH(AC169,'TERMINAL CURVES'!$A$4:$A$313,0),MATCH(AG$5,'TERMINAL CURVES'!$A$4:$N$4,0))-INDEX(terminal_curves,MATCH(AC169,'TERMINAL CURVES'!$A$4:$A$313,0),MATCH(AE$6,'TERMINAL CURVES'!$A$4:$N$4,0)))*IF(W169=0,0,Y169/W169)))*-W169</f>
        <v>0</v>
      </c>
      <c r="AH169" s="343">
        <f t="shared" si="77"/>
        <v>0</v>
      </c>
      <c r="AI169" s="338">
        <f>(-Y169/((HLOOKUP(AG$5,port_specs,2,0)/(365.25))*(AC170-AC169)))*(INDEX(fixed_capacity_charge,MATCH(AC169,PORTS!$H$11:$H$317,0),MATCH(AG$5,PORTS!$H$11:$N$11,0))+INDEX(variable_om_charge,MATCH(AC169,PORTS!$H$318:$H$625,0),MATCH(AG$5,PORTS!$H$318:$N$318,0)))</f>
        <v>0</v>
      </c>
      <c r="AJ169" s="232">
        <f t="shared" si="78"/>
        <v>0</v>
      </c>
      <c r="AK169" s="241">
        <f t="shared" si="79"/>
        <v>0</v>
      </c>
      <c r="AM169" s="186">
        <f t="shared" si="90"/>
        <v>41306</v>
      </c>
      <c r="AN169" s="215">
        <f t="shared" si="80"/>
        <v>4873591.0118089532</v>
      </c>
      <c r="AO169" s="191">
        <f t="shared" si="81"/>
        <v>-51172.70562399365</v>
      </c>
      <c r="AP169" s="218">
        <f>+IF(AND(AO$8&lt;=AM169,AO$9&gt;=AM169),+MIN($B169-SUMIF($H$17:AO$17,AP$17,$H169:AO169),((INDEX(ROUTE_PER_DAY_BY_SHIP,MATCH(CONCATENATE(AO$4,AO$5,AO$7),ROUTE_PER_DAY_ROUTES,0),MATCH(AO$6,ROUTE_PER_DAY_SHIPS,0))*(AM170-AM169))-(INDEX(ROUTE_PER_DAY_BY_SHIP,MATCH(CONCATENATE(AO$4,AO$5,AO$7),ROUTE_PER_DAY_ROUTES,0),MATCH(AO$6,ROUTE_PER_DAY_SHIPS,0))*(AM170-AM169))*HLOOKUP(AO$6,SHIPS,7,0)*INDEX(LADEN_VOYAGE_DAYS,MATCH(CONCATENATE(AO$4,AO$5,AO$7),LADEN_VOYAGE_ROUTES,0),MATCH(AO$6,LADEN_VOYAGE_SHIPS,0)))),0)</f>
        <v>4822418.3061849596</v>
      </c>
      <c r="AQ169" s="118">
        <f>-(AP169)*PORTS!$I$6</f>
        <v>-120560.457654624</v>
      </c>
      <c r="AR169" s="215">
        <f t="shared" si="63"/>
        <v>4701857.8485303354</v>
      </c>
      <c r="AS169" s="202"/>
      <c r="AT169" s="186">
        <f t="shared" si="91"/>
        <v>41306</v>
      </c>
      <c r="AU169" s="232">
        <f>+AR169*(VLOOKUP(AT169,CURVECALC!$C$6:$J$312,4,0)+AV$5)</f>
        <v>17820041.245929968</v>
      </c>
      <c r="AV169" s="208">
        <f>-AN169*INDEX(ship_curves,MATCH(AT169,'SHIP CURVES'!$A$9:$A$316,0),MATCH(CONCATENATE(AX$4,AX$5,AX$6,AX$7),'SHIP CURVES'!$A$9:$AZ$9,0))</f>
        <v>-1637936.5424050153</v>
      </c>
      <c r="AW169" s="209">
        <f>-AP169*INDEX(port_processing_fee,MATCH(AT169,PORTS!$H$626:$H$933,0),MATCH(AX$5,PORTS!$H$626:$Z$626,0))</f>
        <v>-149490.3801653531</v>
      </c>
      <c r="AX169" s="405">
        <f>(((VLOOKUP(AT169,curvecalc,4,0))*IF(AN169=0,0,AR169/AN169)-INDEX(ship_curves,MATCH(AT169,'SHIP CURVES'!$A$9:$A$316,0),MATCH(CONCATENATE(AX$4,AX$5,AX$6,AX$7),'SHIP CURVES'!$A$9:$Z$9,0))-INDEX(terminal_curves,MATCH(AT169,'TERMINAL CURVES'!$A$4:$A$313,0),MATCH(AX$5,'TERMINAL CURVES'!$A$4:$N$4,0))*IF(AN169=0,0,AP169/AN169))-(AV$8)*((AV$7-$N$5)-(INDEX(ship_curves,MATCH(AT169,'SHIP CURVES'!$A$9:$A$316,0),MATCH(CONCATENATE(AX$4,AX$5,AX$6,AX$7),'SHIP CURVES'!$A$9:$Z$9,0))-INDEX(ship_curves,MATCH(AT169,'SHIP CURVES'!$A$9:$A$316,0),MATCH(CONCATENATE(AX$4,AV$6,AX$6,AX$7),'SHIP CURVES'!$A$9:$Z$9,0)))-(INDEX(terminal_curves,MATCH(AT169,'TERMINAL CURVES'!$A$4:$A$313,0),MATCH(AX$5,'TERMINAL CURVES'!$A$4:$N$4,0))-INDEX(terminal_curves,MATCH(AT169,'TERMINAL CURVES'!$A$4:$A$313,0),MATCH(AV$6,'TERMINAL CURVES'!$A$4:$N$4,0)))*IF(AN169=0,0,AP169/AN169)))*-AN169</f>
        <v>-14920193.634098338</v>
      </c>
      <c r="AY169" s="343">
        <f t="shared" si="82"/>
        <v>-16707620.556668706</v>
      </c>
      <c r="AZ169" s="338">
        <f>(-AP169/((HLOOKUP(AX$5,port_specs,2,0)/(365.25))*(AT170-AT169)))*(INDEX(fixed_capacity_charge,MATCH(AT169,PORTS!$H$11:$H$317,0),MATCH(AX$5,PORTS!$H$11:$N$11,0))+INDEX(variable_om_charge,MATCH(AT169,PORTS!$H$318:$H$625,0),MATCH(AX$5,PORTS!$H$318:$N$318,0)))</f>
        <v>-1018383.5322906566</v>
      </c>
      <c r="BA169" s="232">
        <f t="shared" si="83"/>
        <v>-17726004.088959362</v>
      </c>
      <c r="BB169" s="241">
        <f t="shared" si="84"/>
        <v>94037.156970605254</v>
      </c>
      <c r="BC169" s="408"/>
      <c r="BD169" s="338">
        <f>+PORTS!I163+PORTS!I471</f>
        <v>1018383.5322906566</v>
      </c>
    </row>
    <row r="170" spans="1:56" x14ac:dyDescent="0.2">
      <c r="A170" s="186">
        <f t="shared" si="85"/>
        <v>41334</v>
      </c>
      <c r="B170" s="215">
        <f>+IF(AND($A170&gt;=$C$8,$A170&lt;=$C$9),1,0)*PORTS!$I$5/(365.25)*(A171-A170)</f>
        <v>5339105.9818476336</v>
      </c>
      <c r="C170" s="351">
        <f t="shared" si="64"/>
        <v>0</v>
      </c>
      <c r="D170">
        <f t="shared" si="65"/>
        <v>2013</v>
      </c>
      <c r="E170" s="186">
        <f t="shared" si="86"/>
        <v>41334</v>
      </c>
      <c r="F170" s="215">
        <f t="shared" si="66"/>
        <v>0</v>
      </c>
      <c r="G170" s="191">
        <f t="shared" si="67"/>
        <v>0</v>
      </c>
      <c r="H170" s="218">
        <f t="shared" si="68"/>
        <v>0</v>
      </c>
      <c r="I170" s="118">
        <f t="shared" si="69"/>
        <v>0</v>
      </c>
      <c r="J170" s="215">
        <f t="shared" si="70"/>
        <v>0</v>
      </c>
      <c r="K170" s="202"/>
      <c r="L170" s="186">
        <f t="shared" si="87"/>
        <v>41334</v>
      </c>
      <c r="M170" s="400">
        <f>+J170*(VLOOKUP(L170,CURVECALC!$C$6:$J$312,4,0)+N$5)</f>
        <v>0</v>
      </c>
      <c r="N170" s="208">
        <f>-F170*INDEX(ship_curves,MATCH(L170,'SHIP CURVES'!$A$9:$A$316,0),MATCH(CONCATENATE(P$4,P$5,P$6,P$7),'SHIP CURVES'!$A$9:$AZ$9,0))</f>
        <v>0</v>
      </c>
      <c r="O170" s="209">
        <f>-H170*INDEX(port_processing_fee,MATCH(L170,PORTS!$H$626:$H$933,0),MATCH(P$5,PORTS!$H$626:$Z$626,0))</f>
        <v>0</v>
      </c>
      <c r="P170" s="405">
        <f>(((VLOOKUP(L170,curvecalc,4,0))*IF(F170=0,0,J170/F170)-INDEX(ship_curves,MATCH(L170,'SHIP CURVES'!$A$9:$A$316,0),MATCH(CONCATENATE(P$4,P$5,P$6,P$7),'SHIP CURVES'!$A$9:$Z$9,0))-INDEX(terminal_curves,MATCH(L170,'TERMINAL CURVES'!$A$4:$A$313,0),MATCH(P$5,'TERMINAL CURVES'!$A$4:$N$4,0))*IF(F170=0,0,H170/F170))-(N$8)*((N$7-$N$5)-(INDEX(ship_curves,MATCH(L170,'SHIP CURVES'!$A$9:$A$316,0),MATCH(CONCATENATE(P$4,P$5,P$6,P$7),'SHIP CURVES'!$A$9:$Z$9,0))-INDEX(ship_curves,MATCH(L170,'SHIP CURVES'!$A$9:$A$316,0),MATCH(CONCATENATE(P$4,N$6,P$6,P$7),'SHIP CURVES'!$A$9:$Z$9,0)))-(INDEX(terminal_curves,MATCH(L170,'TERMINAL CURVES'!$A$4:$A$313,0),MATCH(P$5,'TERMINAL CURVES'!$A$4:$N$4,0))-INDEX(terminal_curves,MATCH(L170,'TERMINAL CURVES'!$A$4:$A$313,0),MATCH(N$6,'TERMINAL CURVES'!$A$4:$N$4,0)))*IF(F170=0,0,H170/F170)))*-F170</f>
        <v>0</v>
      </c>
      <c r="Q170" s="403">
        <f t="shared" si="71"/>
        <v>0</v>
      </c>
      <c r="R170" s="338">
        <f>(-H170/((HLOOKUP(P$5,port_specs,2,0)/(365.25))*(L171-L170)))*(INDEX(fixed_capacity_charge,MATCH(L170,PORTS!$H$11:$H$317,0),MATCH(P$5,PORTS!$H$11:$N$11,0))+INDEX(variable_om_charge,MATCH(L170,PORTS!$H$318:$H$625,0),MATCH(P$5,PORTS!$H$318:$N$318,0)))</f>
        <v>0</v>
      </c>
      <c r="S170" s="232">
        <f t="shared" si="72"/>
        <v>0</v>
      </c>
      <c r="T170" s="241">
        <f t="shared" si="73"/>
        <v>0</v>
      </c>
      <c r="V170" s="186">
        <f t="shared" si="88"/>
        <v>41334</v>
      </c>
      <c r="W170" s="215">
        <f t="shared" si="74"/>
        <v>0</v>
      </c>
      <c r="X170" s="191">
        <f t="shared" si="75"/>
        <v>0</v>
      </c>
      <c r="Y170" s="218">
        <f>+IF(AND(X$8&lt;=V170,X$9&gt;=V170),+MIN($B170-SUMIF($H$17:X$17,Y$17,$H170:X170),((INDEX(ROUTE_PER_DAY_BY_SHIP,MATCH(CONCATENATE(X$4,X$5,X$7),ROUTE_PER_DAY_ROUTES,0),MATCH(X$6,ROUTE_PER_DAY_SHIPS,0))*(V171-V170))-(INDEX(ROUTE_PER_DAY_BY_SHIP,MATCH(CONCATENATE(X$4,X$5,X$7),ROUTE_PER_DAY_ROUTES,0),MATCH(X$6,ROUTE_PER_DAY_SHIPS,0))*(V171-V170))*HLOOKUP(X$6,SHIPS,7,0)*INDEX(LADEN_VOYAGE_DAYS,MATCH(CONCATENATE(X$4,X$5,X$7),LADEN_VOYAGE_ROUTES,0),MATCH(X$6,LADEN_VOYAGE_SHIPS,0)))),0)</f>
        <v>0</v>
      </c>
      <c r="Z170" s="118">
        <f t="shared" si="76"/>
        <v>0</v>
      </c>
      <c r="AA170" s="215">
        <f t="shared" si="62"/>
        <v>0</v>
      </c>
      <c r="AB170" s="202"/>
      <c r="AC170" s="186">
        <f t="shared" si="89"/>
        <v>41334</v>
      </c>
      <c r="AD170" s="232">
        <f>+AA170*(VLOOKUP(AC170,CURVECALC!$C$6:$J$312,4,0)+AE$5)</f>
        <v>0</v>
      </c>
      <c r="AE170" s="208">
        <f>-W170*INDEX(ship_curves,MATCH(AC170,'SHIP CURVES'!$A$9:$A$316,0),MATCH(CONCATENATE(AG$4,AG$5,AG$6,AG$7),'SHIP CURVES'!$A$9:$AZ$9,0))</f>
        <v>0</v>
      </c>
      <c r="AF170" s="209">
        <f>-Y170*INDEX(port_processing_fee,MATCH(AC170,PORTS!$H$626:$H$933,0),MATCH(AG$5,PORTS!$H$626:$Z$626,0))</f>
        <v>0</v>
      </c>
      <c r="AG170" s="405">
        <f>(((VLOOKUP(AC170,curvecalc,4,0))*IF(W170=0,0,AA170/W170)-INDEX(ship_curves,MATCH(AC170,'SHIP CURVES'!$A$9:$A$316,0),MATCH(CONCATENATE(AG$4,AG$5,AG$6,AG$7),'SHIP CURVES'!$A$9:$Z$9,0))-INDEX(terminal_curves,MATCH(AC170,'TERMINAL CURVES'!$A$4:$A$313,0),MATCH(AG$5,'TERMINAL CURVES'!$A$4:$N$4,0))*IF(W170=0,0,Y170/W170))-(AE$8)*((AE$7-$N$5)-(INDEX(ship_curves,MATCH(AC170,'SHIP CURVES'!$A$9:$A$316,0),MATCH(CONCATENATE(AG$4,AG$5,AG$6,AG$7),'SHIP CURVES'!$A$9:$Z$9,0))-INDEX(ship_curves,MATCH(AC170,'SHIP CURVES'!$A$9:$A$316,0),MATCH(CONCATENATE(AG$4,AE$6,AG$6,AG$7),'SHIP CURVES'!$A$9:$Z$9,0)))-(INDEX(terminal_curves,MATCH(AC170,'TERMINAL CURVES'!$A$4:$A$313,0),MATCH(AG$5,'TERMINAL CURVES'!$A$4:$N$4,0))-INDEX(terminal_curves,MATCH(AC170,'TERMINAL CURVES'!$A$4:$A$313,0),MATCH(AE$6,'TERMINAL CURVES'!$A$4:$N$4,0)))*IF(W170=0,0,Y170/W170)))*-W170</f>
        <v>0</v>
      </c>
      <c r="AH170" s="343">
        <f t="shared" si="77"/>
        <v>0</v>
      </c>
      <c r="AI170" s="338">
        <f>(-Y170/((HLOOKUP(AG$5,port_specs,2,0)/(365.25))*(AC171-AC170)))*(INDEX(fixed_capacity_charge,MATCH(AC170,PORTS!$H$11:$H$317,0),MATCH(AG$5,PORTS!$H$11:$N$11,0))+INDEX(variable_om_charge,MATCH(AC170,PORTS!$H$318:$H$625,0),MATCH(AG$5,PORTS!$H$318:$N$318,0)))</f>
        <v>0</v>
      </c>
      <c r="AJ170" s="232">
        <f t="shared" si="78"/>
        <v>0</v>
      </c>
      <c r="AK170" s="241">
        <f t="shared" si="79"/>
        <v>0</v>
      </c>
      <c r="AM170" s="186">
        <f t="shared" si="90"/>
        <v>41334</v>
      </c>
      <c r="AN170" s="215">
        <f t="shared" si="80"/>
        <v>5395761.4773599124</v>
      </c>
      <c r="AO170" s="191">
        <f t="shared" si="81"/>
        <v>-56655.495512278751</v>
      </c>
      <c r="AP170" s="218">
        <f>+IF(AND(AO$8&lt;=AM170,AO$9&gt;=AM170),+MIN($B170-SUMIF($H$17:AO$17,AP$17,$H170:AO170),((INDEX(ROUTE_PER_DAY_BY_SHIP,MATCH(CONCATENATE(AO$4,AO$5,AO$7),ROUTE_PER_DAY_ROUTES,0),MATCH(AO$6,ROUTE_PER_DAY_SHIPS,0))*(AM171-AM170))-(INDEX(ROUTE_PER_DAY_BY_SHIP,MATCH(CONCATENATE(AO$4,AO$5,AO$7),ROUTE_PER_DAY_ROUTES,0),MATCH(AO$6,ROUTE_PER_DAY_SHIPS,0))*(AM171-AM170))*HLOOKUP(AO$6,SHIPS,7,0)*INDEX(LADEN_VOYAGE_DAYS,MATCH(CONCATENATE(AO$4,AO$5,AO$7),LADEN_VOYAGE_ROUTES,0),MATCH(AO$6,LADEN_VOYAGE_SHIPS,0)))),0)</f>
        <v>5339105.9818476336</v>
      </c>
      <c r="AQ170" s="118">
        <f>-(AP170)*PORTS!$I$6</f>
        <v>-133477.64954619083</v>
      </c>
      <c r="AR170" s="215">
        <f t="shared" si="63"/>
        <v>5205628.3323014425</v>
      </c>
      <c r="AS170" s="202"/>
      <c r="AT170" s="186">
        <f t="shared" si="91"/>
        <v>41334</v>
      </c>
      <c r="AU170" s="232">
        <f>+AR170*(VLOOKUP(AT170,CURVECALC!$C$6:$J$312,4,0)+AV$5)</f>
        <v>19156712.262869306</v>
      </c>
      <c r="AV170" s="208">
        <f>-AN170*INDEX(ship_curves,MATCH(AT170,'SHIP CURVES'!$A$9:$A$316,0),MATCH(CONCATENATE(AX$4,AX$5,AX$6,AX$7),'SHIP CURVES'!$A$9:$AZ$9,0))</f>
        <v>-1814012.0392443994</v>
      </c>
      <c r="AW170" s="209">
        <f>-AP170*INDEX(port_processing_fee,MATCH(AT170,PORTS!$H$626:$H$933,0),MATCH(AX$5,PORTS!$H$626:$Z$626,0))</f>
        <v>-165679.60995186135</v>
      </c>
      <c r="AX170" s="405">
        <f>(((VLOOKUP(AT170,curvecalc,4,0))*IF(AN170=0,0,AR170/AN170)-INDEX(ship_curves,MATCH(AT170,'SHIP CURVES'!$A$9:$A$316,0),MATCH(CONCATENATE(AX$4,AX$5,AX$6,AX$7),'SHIP CURVES'!$A$9:$Z$9,0))-INDEX(terminal_curves,MATCH(AT170,'TERMINAL CURVES'!$A$4:$A$313,0),MATCH(AX$5,'TERMINAL CURVES'!$A$4:$N$4,0))*IF(AN170=0,0,AP170/AN170))-(AV$8)*((AV$7-$N$5)-(INDEX(ship_curves,MATCH(AT170,'SHIP CURVES'!$A$9:$A$316,0),MATCH(CONCATENATE(AX$4,AX$5,AX$6,AX$7),'SHIP CURVES'!$A$9:$Z$9,0))-INDEX(ship_curves,MATCH(AT170,'SHIP CURVES'!$A$9:$A$316,0),MATCH(CONCATENATE(AX$4,AV$6,AX$6,AX$7),'SHIP CURVES'!$A$9:$Z$9,0)))-(INDEX(terminal_curves,MATCH(AT170,'TERMINAL CURVES'!$A$4:$A$313,0),MATCH(AX$5,'TERMINAL CURVES'!$A$4:$N$4,0))-INDEX(terminal_curves,MATCH(AT170,'TERMINAL CURVES'!$A$4:$A$313,0),MATCH(AV$6,'TERMINAL CURVES'!$A$4:$N$4,0)))*IF(AN170=0,0,AP170/AN170)))*-AN170</f>
        <v>-16053969.10123492</v>
      </c>
      <c r="AY170" s="343">
        <f t="shared" si="82"/>
        <v>-18033660.75043118</v>
      </c>
      <c r="AZ170" s="338">
        <f>(-AP170/((HLOOKUP(AX$5,port_specs,2,0)/(365.25))*(AT171-AT170)))*(INDEX(fixed_capacity_charge,MATCH(AT170,PORTS!$H$11:$H$317,0),MATCH(AX$5,PORTS!$H$11:$N$11,0))+INDEX(variable_om_charge,MATCH(AT170,PORTS!$H$318:$H$625,0),MATCH(AX$5,PORTS!$H$318:$N$318,0)))</f>
        <v>-1018938.9457920964</v>
      </c>
      <c r="BA170" s="232">
        <f t="shared" si="83"/>
        <v>-19052599.696223278</v>
      </c>
      <c r="BB170" s="241">
        <f t="shared" si="84"/>
        <v>104112.56664602831</v>
      </c>
      <c r="BC170" s="408"/>
      <c r="BD170" s="338">
        <f>+PORTS!I164+PORTS!I472</f>
        <v>1018938.9457920964</v>
      </c>
    </row>
    <row r="171" spans="1:56" x14ac:dyDescent="0.2">
      <c r="A171" s="186">
        <f t="shared" si="85"/>
        <v>41365</v>
      </c>
      <c r="B171" s="215">
        <f>+IF(AND($A171&gt;=$C$8,$A171&lt;=$C$9),1,0)*PORTS!$I$5/(365.25)*(A172-A171)</f>
        <v>5166876.756626742</v>
      </c>
      <c r="C171" s="351">
        <f t="shared" si="64"/>
        <v>0</v>
      </c>
      <c r="D171">
        <f t="shared" si="65"/>
        <v>2013</v>
      </c>
      <c r="E171" s="186">
        <f t="shared" si="86"/>
        <v>41365</v>
      </c>
      <c r="F171" s="215">
        <f t="shared" si="66"/>
        <v>0</v>
      </c>
      <c r="G171" s="191">
        <f t="shared" si="67"/>
        <v>0</v>
      </c>
      <c r="H171" s="218">
        <f t="shared" si="68"/>
        <v>0</v>
      </c>
      <c r="I171" s="118">
        <f t="shared" si="69"/>
        <v>0</v>
      </c>
      <c r="J171" s="215">
        <f t="shared" si="70"/>
        <v>0</v>
      </c>
      <c r="K171" s="202"/>
      <c r="L171" s="186">
        <f t="shared" si="87"/>
        <v>41365</v>
      </c>
      <c r="M171" s="400">
        <f>+J171*(VLOOKUP(L171,CURVECALC!$C$6:$J$312,4,0)+N$5)</f>
        <v>0</v>
      </c>
      <c r="N171" s="208">
        <f>-F171*INDEX(ship_curves,MATCH(L171,'SHIP CURVES'!$A$9:$A$316,0),MATCH(CONCATENATE(P$4,P$5,P$6,P$7),'SHIP CURVES'!$A$9:$AZ$9,0))</f>
        <v>0</v>
      </c>
      <c r="O171" s="209">
        <f>-H171*INDEX(port_processing_fee,MATCH(L171,PORTS!$H$626:$H$933,0),MATCH(P$5,PORTS!$H$626:$Z$626,0))</f>
        <v>0</v>
      </c>
      <c r="P171" s="405">
        <f>(((VLOOKUP(L171,curvecalc,4,0))*IF(F171=0,0,J171/F171)-INDEX(ship_curves,MATCH(L171,'SHIP CURVES'!$A$9:$A$316,0),MATCH(CONCATENATE(P$4,P$5,P$6,P$7),'SHIP CURVES'!$A$9:$Z$9,0))-INDEX(terminal_curves,MATCH(L171,'TERMINAL CURVES'!$A$4:$A$313,0),MATCH(P$5,'TERMINAL CURVES'!$A$4:$N$4,0))*IF(F171=0,0,H171/F171))-(N$8)*((N$7-$N$5)-(INDEX(ship_curves,MATCH(L171,'SHIP CURVES'!$A$9:$A$316,0),MATCH(CONCATENATE(P$4,P$5,P$6,P$7),'SHIP CURVES'!$A$9:$Z$9,0))-INDEX(ship_curves,MATCH(L171,'SHIP CURVES'!$A$9:$A$316,0),MATCH(CONCATENATE(P$4,N$6,P$6,P$7),'SHIP CURVES'!$A$9:$Z$9,0)))-(INDEX(terminal_curves,MATCH(L171,'TERMINAL CURVES'!$A$4:$A$313,0),MATCH(P$5,'TERMINAL CURVES'!$A$4:$N$4,0))-INDEX(terminal_curves,MATCH(L171,'TERMINAL CURVES'!$A$4:$A$313,0),MATCH(N$6,'TERMINAL CURVES'!$A$4:$N$4,0)))*IF(F171=0,0,H171/F171)))*-F171</f>
        <v>0</v>
      </c>
      <c r="Q171" s="403">
        <f t="shared" si="71"/>
        <v>0</v>
      </c>
      <c r="R171" s="338">
        <f>(-H171/((HLOOKUP(P$5,port_specs,2,0)/(365.25))*(L172-L171)))*(INDEX(fixed_capacity_charge,MATCH(L171,PORTS!$H$11:$H$317,0),MATCH(P$5,PORTS!$H$11:$N$11,0))+INDEX(variable_om_charge,MATCH(L171,PORTS!$H$318:$H$625,0),MATCH(P$5,PORTS!$H$318:$N$318,0)))</f>
        <v>0</v>
      </c>
      <c r="S171" s="232">
        <f t="shared" si="72"/>
        <v>0</v>
      </c>
      <c r="T171" s="241">
        <f t="shared" si="73"/>
        <v>0</v>
      </c>
      <c r="V171" s="186">
        <f t="shared" si="88"/>
        <v>41365</v>
      </c>
      <c r="W171" s="215">
        <f t="shared" si="74"/>
        <v>0</v>
      </c>
      <c r="X171" s="191">
        <f t="shared" si="75"/>
        <v>0</v>
      </c>
      <c r="Y171" s="218">
        <f>+IF(AND(X$8&lt;=V171,X$9&gt;=V171),+MIN($B171-SUMIF($H$17:X$17,Y$17,$H171:X171),((INDEX(ROUTE_PER_DAY_BY_SHIP,MATCH(CONCATENATE(X$4,X$5,X$7),ROUTE_PER_DAY_ROUTES,0),MATCH(X$6,ROUTE_PER_DAY_SHIPS,0))*(V172-V171))-(INDEX(ROUTE_PER_DAY_BY_SHIP,MATCH(CONCATENATE(X$4,X$5,X$7),ROUTE_PER_DAY_ROUTES,0),MATCH(X$6,ROUTE_PER_DAY_SHIPS,0))*(V172-V171))*HLOOKUP(X$6,SHIPS,7,0)*INDEX(LADEN_VOYAGE_DAYS,MATCH(CONCATENATE(X$4,X$5,X$7),LADEN_VOYAGE_ROUTES,0),MATCH(X$6,LADEN_VOYAGE_SHIPS,0)))),0)</f>
        <v>0</v>
      </c>
      <c r="Z171" s="118">
        <f t="shared" si="76"/>
        <v>0</v>
      </c>
      <c r="AA171" s="215">
        <f t="shared" si="62"/>
        <v>0</v>
      </c>
      <c r="AB171" s="202"/>
      <c r="AC171" s="186">
        <f t="shared" si="89"/>
        <v>41365</v>
      </c>
      <c r="AD171" s="232">
        <f>+AA171*(VLOOKUP(AC171,CURVECALC!$C$6:$J$312,4,0)+AE$5)</f>
        <v>0</v>
      </c>
      <c r="AE171" s="208">
        <f>-W171*INDEX(ship_curves,MATCH(AC171,'SHIP CURVES'!$A$9:$A$316,0),MATCH(CONCATENATE(AG$4,AG$5,AG$6,AG$7),'SHIP CURVES'!$A$9:$AZ$9,0))</f>
        <v>0</v>
      </c>
      <c r="AF171" s="209">
        <f>-Y171*INDEX(port_processing_fee,MATCH(AC171,PORTS!$H$626:$H$933,0),MATCH(AG$5,PORTS!$H$626:$Z$626,0))</f>
        <v>0</v>
      </c>
      <c r="AG171" s="405">
        <f>(((VLOOKUP(AC171,curvecalc,4,0))*IF(W171=0,0,AA171/W171)-INDEX(ship_curves,MATCH(AC171,'SHIP CURVES'!$A$9:$A$316,0),MATCH(CONCATENATE(AG$4,AG$5,AG$6,AG$7),'SHIP CURVES'!$A$9:$Z$9,0))-INDEX(terminal_curves,MATCH(AC171,'TERMINAL CURVES'!$A$4:$A$313,0),MATCH(AG$5,'TERMINAL CURVES'!$A$4:$N$4,0))*IF(W171=0,0,Y171/W171))-(AE$8)*((AE$7-$N$5)-(INDEX(ship_curves,MATCH(AC171,'SHIP CURVES'!$A$9:$A$316,0),MATCH(CONCATENATE(AG$4,AG$5,AG$6,AG$7),'SHIP CURVES'!$A$9:$Z$9,0))-INDEX(ship_curves,MATCH(AC171,'SHIP CURVES'!$A$9:$A$316,0),MATCH(CONCATENATE(AG$4,AE$6,AG$6,AG$7),'SHIP CURVES'!$A$9:$Z$9,0)))-(INDEX(terminal_curves,MATCH(AC171,'TERMINAL CURVES'!$A$4:$A$313,0),MATCH(AG$5,'TERMINAL CURVES'!$A$4:$N$4,0))-INDEX(terminal_curves,MATCH(AC171,'TERMINAL CURVES'!$A$4:$A$313,0),MATCH(AE$6,'TERMINAL CURVES'!$A$4:$N$4,0)))*IF(W171=0,0,Y171/W171)))*-W171</f>
        <v>0</v>
      </c>
      <c r="AH171" s="343">
        <f t="shared" si="77"/>
        <v>0</v>
      </c>
      <c r="AI171" s="338">
        <f>(-Y171/((HLOOKUP(AG$5,port_specs,2,0)/(365.25))*(AC172-AC171)))*(INDEX(fixed_capacity_charge,MATCH(AC171,PORTS!$H$11:$H$317,0),MATCH(AG$5,PORTS!$H$11:$N$11,0))+INDEX(variable_om_charge,MATCH(AC171,PORTS!$H$318:$H$625,0),MATCH(AG$5,PORTS!$H$318:$N$318,0)))</f>
        <v>0</v>
      </c>
      <c r="AJ171" s="232">
        <f t="shared" si="78"/>
        <v>0</v>
      </c>
      <c r="AK171" s="241">
        <f t="shared" si="79"/>
        <v>0</v>
      </c>
      <c r="AM171" s="186">
        <f t="shared" si="90"/>
        <v>41365</v>
      </c>
      <c r="AN171" s="215">
        <f t="shared" si="80"/>
        <v>5221704.655509592</v>
      </c>
      <c r="AO171" s="191">
        <f t="shared" si="81"/>
        <v>-54827.898882850073</v>
      </c>
      <c r="AP171" s="218">
        <f>+IF(AND(AO$8&lt;=AM171,AO$9&gt;=AM171),+MIN($B171-SUMIF($H$17:AO$17,AP$17,$H171:AO171),((INDEX(ROUTE_PER_DAY_BY_SHIP,MATCH(CONCATENATE(AO$4,AO$5,AO$7),ROUTE_PER_DAY_ROUTES,0),MATCH(AO$6,ROUTE_PER_DAY_SHIPS,0))*(AM172-AM171))-(INDEX(ROUTE_PER_DAY_BY_SHIP,MATCH(CONCATENATE(AO$4,AO$5,AO$7),ROUTE_PER_DAY_ROUTES,0),MATCH(AO$6,ROUTE_PER_DAY_SHIPS,0))*(AM172-AM171))*HLOOKUP(AO$6,SHIPS,7,0)*INDEX(LADEN_VOYAGE_DAYS,MATCH(CONCATENATE(AO$4,AO$5,AO$7),LADEN_VOYAGE_ROUTES,0),MATCH(AO$6,LADEN_VOYAGE_SHIPS,0)))),0)</f>
        <v>5166876.756626742</v>
      </c>
      <c r="AQ171" s="118">
        <f>-(AP171)*PORTS!$I$6</f>
        <v>-129171.91891566856</v>
      </c>
      <c r="AR171" s="215">
        <f t="shared" si="63"/>
        <v>5037704.8377110735</v>
      </c>
      <c r="AS171" s="202"/>
      <c r="AT171" s="186">
        <f t="shared" si="91"/>
        <v>41365</v>
      </c>
      <c r="AU171" s="232">
        <f>+AR171*(VLOOKUP(AT171,CURVECALC!$C$6:$J$312,4,0)+AV$5)</f>
        <v>17984606.270628531</v>
      </c>
      <c r="AV171" s="208">
        <f>-AN171*INDEX(ship_curves,MATCH(AT171,'SHIP CURVES'!$A$9:$A$316,0),MATCH(CONCATENATE(AX$4,AX$5,AX$6,AX$7),'SHIP CURVES'!$A$9:$AZ$9,0))</f>
        <v>-1756060.2079627817</v>
      </c>
      <c r="AW171" s="209">
        <f>-AP171*INDEX(port_processing_fee,MATCH(AT171,PORTS!$H$626:$H$933,0),MATCH(AX$5,PORTS!$H$626:$Z$626,0))</f>
        <v>-160502.12214086566</v>
      </c>
      <c r="AX171" s="405">
        <f>(((VLOOKUP(AT171,curvecalc,4,0))*IF(AN171=0,0,AR171/AN171)-INDEX(ship_curves,MATCH(AT171,'SHIP CURVES'!$A$9:$A$316,0),MATCH(CONCATENATE(AX$4,AX$5,AX$6,AX$7),'SHIP CURVES'!$A$9:$Z$9,0))-INDEX(terminal_curves,MATCH(AT171,'TERMINAL CURVES'!$A$4:$A$313,0),MATCH(AX$5,'TERMINAL CURVES'!$A$4:$N$4,0))*IF(AN171=0,0,AP171/AN171))-(AV$8)*((AV$7-$N$5)-(INDEX(ship_curves,MATCH(AT171,'SHIP CURVES'!$A$9:$A$316,0),MATCH(CONCATENATE(AX$4,AX$5,AX$6,AX$7),'SHIP CURVES'!$A$9:$Z$9,0))-INDEX(ship_curves,MATCH(AT171,'SHIP CURVES'!$A$9:$A$316,0),MATCH(CONCATENATE(AX$4,AV$6,AX$6,AX$7),'SHIP CURVES'!$A$9:$Z$9,0)))-(INDEX(terminal_curves,MATCH(AT171,'TERMINAL CURVES'!$A$4:$A$313,0),MATCH(AX$5,'TERMINAL CURVES'!$A$4:$N$4,0))-INDEX(terminal_curves,MATCH(AT171,'TERMINAL CURVES'!$A$4:$A$313,0),MATCH(AV$6,'TERMINAL CURVES'!$A$4:$N$4,0)))*IF(AN171=0,0,AP171/AN171)))*-AN171</f>
        <v>-14947794.905921394</v>
      </c>
      <c r="AY171" s="343">
        <f t="shared" si="82"/>
        <v>-16864357.236025043</v>
      </c>
      <c r="AZ171" s="338">
        <f>(-AP171/((HLOOKUP(AX$5,port_specs,2,0)/(365.25))*(AT172-AT171)))*(INDEX(fixed_capacity_charge,MATCH(AT171,PORTS!$H$11:$H$317,0),MATCH(AX$5,PORTS!$H$11:$N$11,0))+INDEX(variable_om_charge,MATCH(AT171,PORTS!$H$318:$H$625,0),MATCH(AX$5,PORTS!$H$318:$N$318,0)))</f>
        <v>-1019494.9378492672</v>
      </c>
      <c r="BA171" s="232">
        <f t="shared" si="83"/>
        <v>-17883852.173874311</v>
      </c>
      <c r="BB171" s="241">
        <f t="shared" si="84"/>
        <v>100754.09675421938</v>
      </c>
      <c r="BC171" s="408"/>
      <c r="BD171" s="338">
        <f>+PORTS!I165+PORTS!I473</f>
        <v>1019494.9378492672</v>
      </c>
    </row>
    <row r="172" spans="1:56" x14ac:dyDescent="0.2">
      <c r="A172" s="186">
        <f t="shared" si="85"/>
        <v>41395</v>
      </c>
      <c r="B172" s="215">
        <f>+IF(AND($A172&gt;=$C$8,$A172&lt;=$C$9),1,0)*PORTS!$I$5/(365.25)*(A173-A172)</f>
        <v>5339105.9818476336</v>
      </c>
      <c r="C172" s="351">
        <f t="shared" si="64"/>
        <v>0</v>
      </c>
      <c r="D172">
        <f t="shared" si="65"/>
        <v>2013</v>
      </c>
      <c r="E172" s="186">
        <f t="shared" si="86"/>
        <v>41395</v>
      </c>
      <c r="F172" s="215">
        <f t="shared" si="66"/>
        <v>0</v>
      </c>
      <c r="G172" s="191">
        <f t="shared" si="67"/>
        <v>0</v>
      </c>
      <c r="H172" s="218">
        <f t="shared" si="68"/>
        <v>0</v>
      </c>
      <c r="I172" s="118">
        <f t="shared" si="69"/>
        <v>0</v>
      </c>
      <c r="J172" s="215">
        <f t="shared" si="70"/>
        <v>0</v>
      </c>
      <c r="K172" s="202"/>
      <c r="L172" s="186">
        <f t="shared" si="87"/>
        <v>41395</v>
      </c>
      <c r="M172" s="400">
        <f>+J172*(VLOOKUP(L172,CURVECALC!$C$6:$J$312,4,0)+N$5)</f>
        <v>0</v>
      </c>
      <c r="N172" s="208">
        <f>-F172*INDEX(ship_curves,MATCH(L172,'SHIP CURVES'!$A$9:$A$316,0),MATCH(CONCATENATE(P$4,P$5,P$6,P$7),'SHIP CURVES'!$A$9:$AZ$9,0))</f>
        <v>0</v>
      </c>
      <c r="O172" s="209">
        <f>-H172*INDEX(port_processing_fee,MATCH(L172,PORTS!$H$626:$H$933,0),MATCH(P$5,PORTS!$H$626:$Z$626,0))</f>
        <v>0</v>
      </c>
      <c r="P172" s="405">
        <f>(((VLOOKUP(L172,curvecalc,4,0))*IF(F172=0,0,J172/F172)-INDEX(ship_curves,MATCH(L172,'SHIP CURVES'!$A$9:$A$316,0),MATCH(CONCATENATE(P$4,P$5,P$6,P$7),'SHIP CURVES'!$A$9:$Z$9,0))-INDEX(terminal_curves,MATCH(L172,'TERMINAL CURVES'!$A$4:$A$313,0),MATCH(P$5,'TERMINAL CURVES'!$A$4:$N$4,0))*IF(F172=0,0,H172/F172))-(N$8)*((N$7-$N$5)-(INDEX(ship_curves,MATCH(L172,'SHIP CURVES'!$A$9:$A$316,0),MATCH(CONCATENATE(P$4,P$5,P$6,P$7),'SHIP CURVES'!$A$9:$Z$9,0))-INDEX(ship_curves,MATCH(L172,'SHIP CURVES'!$A$9:$A$316,0),MATCH(CONCATENATE(P$4,N$6,P$6,P$7),'SHIP CURVES'!$A$9:$Z$9,0)))-(INDEX(terminal_curves,MATCH(L172,'TERMINAL CURVES'!$A$4:$A$313,0),MATCH(P$5,'TERMINAL CURVES'!$A$4:$N$4,0))-INDEX(terminal_curves,MATCH(L172,'TERMINAL CURVES'!$A$4:$A$313,0),MATCH(N$6,'TERMINAL CURVES'!$A$4:$N$4,0)))*IF(F172=0,0,H172/F172)))*-F172</f>
        <v>0</v>
      </c>
      <c r="Q172" s="403">
        <f t="shared" si="71"/>
        <v>0</v>
      </c>
      <c r="R172" s="338">
        <f>(-H172/((HLOOKUP(P$5,port_specs,2,0)/(365.25))*(L173-L172)))*(INDEX(fixed_capacity_charge,MATCH(L172,PORTS!$H$11:$H$317,0),MATCH(P$5,PORTS!$H$11:$N$11,0))+INDEX(variable_om_charge,MATCH(L172,PORTS!$H$318:$H$625,0),MATCH(P$5,PORTS!$H$318:$N$318,0)))</f>
        <v>0</v>
      </c>
      <c r="S172" s="232">
        <f t="shared" si="72"/>
        <v>0</v>
      </c>
      <c r="T172" s="241">
        <f t="shared" si="73"/>
        <v>0</v>
      </c>
      <c r="V172" s="186">
        <f t="shared" si="88"/>
        <v>41395</v>
      </c>
      <c r="W172" s="215">
        <f t="shared" si="74"/>
        <v>0</v>
      </c>
      <c r="X172" s="191">
        <f t="shared" si="75"/>
        <v>0</v>
      </c>
      <c r="Y172" s="218">
        <f>+IF(AND(X$8&lt;=V172,X$9&gt;=V172),+MIN($B172-SUMIF($H$17:X$17,Y$17,$H172:X172),((INDEX(ROUTE_PER_DAY_BY_SHIP,MATCH(CONCATENATE(X$4,X$5,X$7),ROUTE_PER_DAY_ROUTES,0),MATCH(X$6,ROUTE_PER_DAY_SHIPS,0))*(V173-V172))-(INDEX(ROUTE_PER_DAY_BY_SHIP,MATCH(CONCATENATE(X$4,X$5,X$7),ROUTE_PER_DAY_ROUTES,0),MATCH(X$6,ROUTE_PER_DAY_SHIPS,0))*(V173-V172))*HLOOKUP(X$6,SHIPS,7,0)*INDEX(LADEN_VOYAGE_DAYS,MATCH(CONCATENATE(X$4,X$5,X$7),LADEN_VOYAGE_ROUTES,0),MATCH(X$6,LADEN_VOYAGE_SHIPS,0)))),0)</f>
        <v>0</v>
      </c>
      <c r="Z172" s="118">
        <f t="shared" si="76"/>
        <v>0</v>
      </c>
      <c r="AA172" s="215">
        <f t="shared" si="62"/>
        <v>0</v>
      </c>
      <c r="AB172" s="202"/>
      <c r="AC172" s="186">
        <f t="shared" si="89"/>
        <v>41395</v>
      </c>
      <c r="AD172" s="232">
        <f>+AA172*(VLOOKUP(AC172,CURVECALC!$C$6:$J$312,4,0)+AE$5)</f>
        <v>0</v>
      </c>
      <c r="AE172" s="208">
        <f>-W172*INDEX(ship_curves,MATCH(AC172,'SHIP CURVES'!$A$9:$A$316,0),MATCH(CONCATENATE(AG$4,AG$5,AG$6,AG$7),'SHIP CURVES'!$A$9:$AZ$9,0))</f>
        <v>0</v>
      </c>
      <c r="AF172" s="209">
        <f>-Y172*INDEX(port_processing_fee,MATCH(AC172,PORTS!$H$626:$H$933,0),MATCH(AG$5,PORTS!$H$626:$Z$626,0))</f>
        <v>0</v>
      </c>
      <c r="AG172" s="405">
        <f>(((VLOOKUP(AC172,curvecalc,4,0))*IF(W172=0,0,AA172/W172)-INDEX(ship_curves,MATCH(AC172,'SHIP CURVES'!$A$9:$A$316,0),MATCH(CONCATENATE(AG$4,AG$5,AG$6,AG$7),'SHIP CURVES'!$A$9:$Z$9,0))-INDEX(terminal_curves,MATCH(AC172,'TERMINAL CURVES'!$A$4:$A$313,0),MATCH(AG$5,'TERMINAL CURVES'!$A$4:$N$4,0))*IF(W172=0,0,Y172/W172))-(AE$8)*((AE$7-$N$5)-(INDEX(ship_curves,MATCH(AC172,'SHIP CURVES'!$A$9:$A$316,0),MATCH(CONCATENATE(AG$4,AG$5,AG$6,AG$7),'SHIP CURVES'!$A$9:$Z$9,0))-INDEX(ship_curves,MATCH(AC172,'SHIP CURVES'!$A$9:$A$316,0),MATCH(CONCATENATE(AG$4,AE$6,AG$6,AG$7),'SHIP CURVES'!$A$9:$Z$9,0)))-(INDEX(terminal_curves,MATCH(AC172,'TERMINAL CURVES'!$A$4:$A$313,0),MATCH(AG$5,'TERMINAL CURVES'!$A$4:$N$4,0))-INDEX(terminal_curves,MATCH(AC172,'TERMINAL CURVES'!$A$4:$A$313,0),MATCH(AE$6,'TERMINAL CURVES'!$A$4:$N$4,0)))*IF(W172=0,0,Y172/W172)))*-W172</f>
        <v>0</v>
      </c>
      <c r="AH172" s="343">
        <f t="shared" si="77"/>
        <v>0</v>
      </c>
      <c r="AI172" s="338">
        <f>(-Y172/((HLOOKUP(AG$5,port_specs,2,0)/(365.25))*(AC173-AC172)))*(INDEX(fixed_capacity_charge,MATCH(AC172,PORTS!$H$11:$H$317,0),MATCH(AG$5,PORTS!$H$11:$N$11,0))+INDEX(variable_om_charge,MATCH(AC172,PORTS!$H$318:$H$625,0),MATCH(AG$5,PORTS!$H$318:$N$318,0)))</f>
        <v>0</v>
      </c>
      <c r="AJ172" s="232">
        <f t="shared" si="78"/>
        <v>0</v>
      </c>
      <c r="AK172" s="241">
        <f t="shared" si="79"/>
        <v>0</v>
      </c>
      <c r="AM172" s="186">
        <f t="shared" si="90"/>
        <v>41395</v>
      </c>
      <c r="AN172" s="215">
        <f t="shared" si="80"/>
        <v>5395761.4773599124</v>
      </c>
      <c r="AO172" s="191">
        <f t="shared" si="81"/>
        <v>-56655.495512278751</v>
      </c>
      <c r="AP172" s="218">
        <f>+IF(AND(AO$8&lt;=AM172,AO$9&gt;=AM172),+MIN($B172-SUMIF($H$17:AO$17,AP$17,$H172:AO172),((INDEX(ROUTE_PER_DAY_BY_SHIP,MATCH(CONCATENATE(AO$4,AO$5,AO$7),ROUTE_PER_DAY_ROUTES,0),MATCH(AO$6,ROUTE_PER_DAY_SHIPS,0))*(AM173-AM172))-(INDEX(ROUTE_PER_DAY_BY_SHIP,MATCH(CONCATENATE(AO$4,AO$5,AO$7),ROUTE_PER_DAY_ROUTES,0),MATCH(AO$6,ROUTE_PER_DAY_SHIPS,0))*(AM173-AM172))*HLOOKUP(AO$6,SHIPS,7,0)*INDEX(LADEN_VOYAGE_DAYS,MATCH(CONCATENATE(AO$4,AO$5,AO$7),LADEN_VOYAGE_ROUTES,0),MATCH(AO$6,LADEN_VOYAGE_SHIPS,0)))),0)</f>
        <v>5339105.9818476336</v>
      </c>
      <c r="AQ172" s="118">
        <f>-(AP172)*PORTS!$I$6</f>
        <v>-133477.64954619083</v>
      </c>
      <c r="AR172" s="215">
        <f t="shared" si="63"/>
        <v>5205628.3323014425</v>
      </c>
      <c r="AS172" s="202"/>
      <c r="AT172" s="186">
        <f t="shared" si="91"/>
        <v>41395</v>
      </c>
      <c r="AU172" s="232">
        <f>+AR172*(VLOOKUP(AT172,CURVECALC!$C$6:$J$312,4,0)+AV$5)</f>
        <v>18558065.004654642</v>
      </c>
      <c r="AV172" s="208">
        <f>-AN172*INDEX(ship_curves,MATCH(AT172,'SHIP CURVES'!$A$9:$A$316,0),MATCH(CONCATENATE(AX$4,AX$5,AX$6,AX$7),'SHIP CURVES'!$A$9:$AZ$9,0))</f>
        <v>-1815180.2728557331</v>
      </c>
      <c r="AW172" s="209">
        <f>-AP172*INDEX(port_processing_fee,MATCH(AT172,PORTS!$H$626:$H$933,0),MATCH(AX$5,PORTS!$H$626:$Z$626,0))</f>
        <v>-166024.95557981005</v>
      </c>
      <c r="AX172" s="405">
        <f>(((VLOOKUP(AT172,curvecalc,4,0))*IF(AN172=0,0,AR172/AN172)-INDEX(ship_curves,MATCH(AT172,'SHIP CURVES'!$A$9:$A$316,0),MATCH(CONCATENATE(AX$4,AX$5,AX$6,AX$7),'SHIP CURVES'!$A$9:$Z$9,0))-INDEX(terminal_curves,MATCH(AT172,'TERMINAL CURVES'!$A$4:$A$313,0),MATCH(AX$5,'TERMINAL CURVES'!$A$4:$N$4,0))*IF(AN172=0,0,AP172/AN172))-(AV$8)*((AV$7-$N$5)-(INDEX(ship_curves,MATCH(AT172,'SHIP CURVES'!$A$9:$A$316,0),MATCH(CONCATENATE(AX$4,AX$5,AX$6,AX$7),'SHIP CURVES'!$A$9:$Z$9,0))-INDEX(ship_curves,MATCH(AT172,'SHIP CURVES'!$A$9:$A$316,0),MATCH(CONCATENATE(AX$4,AV$6,AX$6,AX$7),'SHIP CURVES'!$A$9:$Z$9,0)))-(INDEX(terminal_curves,MATCH(AT172,'TERMINAL CURVES'!$A$4:$A$313,0),MATCH(AX$5,'TERMINAL CURVES'!$A$4:$N$4,0))-INDEX(terminal_curves,MATCH(AT172,'TERMINAL CURVES'!$A$4:$A$313,0),MATCH(AV$6,'TERMINAL CURVES'!$A$4:$N$4,0)))*IF(AN172=0,0,AP172/AN172)))*-AN172</f>
        <v>-15452695.700508239</v>
      </c>
      <c r="AY172" s="343">
        <f t="shared" si="82"/>
        <v>-17433900.928943783</v>
      </c>
      <c r="AZ172" s="338">
        <f>(-AP172/((HLOOKUP(AX$5,port_specs,2,0)/(365.25))*(AT173-AT172)))*(INDEX(fixed_capacity_charge,MATCH(AT172,PORTS!$H$11:$H$317,0),MATCH(AX$5,PORTS!$H$11:$N$11,0))+INDEX(variable_om_charge,MATCH(AT172,PORTS!$H$318:$H$625,0),MATCH(AX$5,PORTS!$H$318:$N$318,0)))</f>
        <v>-1020051.5090648306</v>
      </c>
      <c r="BA172" s="232">
        <f t="shared" si="83"/>
        <v>-18453952.438008614</v>
      </c>
      <c r="BB172" s="241">
        <f t="shared" si="84"/>
        <v>104112.56664602831</v>
      </c>
      <c r="BC172" s="408"/>
      <c r="BD172" s="338">
        <f>+PORTS!I166+PORTS!I474</f>
        <v>1020051.5090648306</v>
      </c>
    </row>
    <row r="173" spans="1:56" x14ac:dyDescent="0.2">
      <c r="A173" s="186">
        <f t="shared" si="85"/>
        <v>41426</v>
      </c>
      <c r="B173" s="215">
        <f>+IF(AND($A173&gt;=$C$8,$A173&lt;=$C$9),1,0)*PORTS!$I$5/(365.25)*(A174-A173)</f>
        <v>5166876.756626742</v>
      </c>
      <c r="C173" s="351">
        <f t="shared" si="64"/>
        <v>0</v>
      </c>
      <c r="D173">
        <f t="shared" si="65"/>
        <v>2013</v>
      </c>
      <c r="E173" s="186">
        <f t="shared" si="86"/>
        <v>41426</v>
      </c>
      <c r="F173" s="215">
        <f t="shared" si="66"/>
        <v>0</v>
      </c>
      <c r="G173" s="191">
        <f t="shared" si="67"/>
        <v>0</v>
      </c>
      <c r="H173" s="218">
        <f t="shared" si="68"/>
        <v>0</v>
      </c>
      <c r="I173" s="118">
        <f t="shared" si="69"/>
        <v>0</v>
      </c>
      <c r="J173" s="215">
        <f t="shared" si="70"/>
        <v>0</v>
      </c>
      <c r="K173" s="202"/>
      <c r="L173" s="186">
        <f t="shared" si="87"/>
        <v>41426</v>
      </c>
      <c r="M173" s="400">
        <f>+J173*(VLOOKUP(L173,CURVECALC!$C$6:$J$312,4,0)+N$5)</f>
        <v>0</v>
      </c>
      <c r="N173" s="208">
        <f>-F173*INDEX(ship_curves,MATCH(L173,'SHIP CURVES'!$A$9:$A$316,0),MATCH(CONCATENATE(P$4,P$5,P$6,P$7),'SHIP CURVES'!$A$9:$AZ$9,0))</f>
        <v>0</v>
      </c>
      <c r="O173" s="209">
        <f>-H173*INDEX(port_processing_fee,MATCH(L173,PORTS!$H$626:$H$933,0),MATCH(P$5,PORTS!$H$626:$Z$626,0))</f>
        <v>0</v>
      </c>
      <c r="P173" s="405">
        <f>(((VLOOKUP(L173,curvecalc,4,0))*IF(F173=0,0,J173/F173)-INDEX(ship_curves,MATCH(L173,'SHIP CURVES'!$A$9:$A$316,0),MATCH(CONCATENATE(P$4,P$5,P$6,P$7),'SHIP CURVES'!$A$9:$Z$9,0))-INDEX(terminal_curves,MATCH(L173,'TERMINAL CURVES'!$A$4:$A$313,0),MATCH(P$5,'TERMINAL CURVES'!$A$4:$N$4,0))*IF(F173=0,0,H173/F173))-(N$8)*((N$7-$N$5)-(INDEX(ship_curves,MATCH(L173,'SHIP CURVES'!$A$9:$A$316,0),MATCH(CONCATENATE(P$4,P$5,P$6,P$7),'SHIP CURVES'!$A$9:$Z$9,0))-INDEX(ship_curves,MATCH(L173,'SHIP CURVES'!$A$9:$A$316,0),MATCH(CONCATENATE(P$4,N$6,P$6,P$7),'SHIP CURVES'!$A$9:$Z$9,0)))-(INDEX(terminal_curves,MATCH(L173,'TERMINAL CURVES'!$A$4:$A$313,0),MATCH(P$5,'TERMINAL CURVES'!$A$4:$N$4,0))-INDEX(terminal_curves,MATCH(L173,'TERMINAL CURVES'!$A$4:$A$313,0),MATCH(N$6,'TERMINAL CURVES'!$A$4:$N$4,0)))*IF(F173=0,0,H173/F173)))*-F173</f>
        <v>0</v>
      </c>
      <c r="Q173" s="403">
        <f t="shared" si="71"/>
        <v>0</v>
      </c>
      <c r="R173" s="338">
        <f>(-H173/((HLOOKUP(P$5,port_specs,2,0)/(365.25))*(L174-L173)))*(INDEX(fixed_capacity_charge,MATCH(L173,PORTS!$H$11:$H$317,0),MATCH(P$5,PORTS!$H$11:$N$11,0))+INDEX(variable_om_charge,MATCH(L173,PORTS!$H$318:$H$625,0),MATCH(P$5,PORTS!$H$318:$N$318,0)))</f>
        <v>0</v>
      </c>
      <c r="S173" s="232">
        <f t="shared" si="72"/>
        <v>0</v>
      </c>
      <c r="T173" s="241">
        <f t="shared" si="73"/>
        <v>0</v>
      </c>
      <c r="V173" s="186">
        <f t="shared" si="88"/>
        <v>41426</v>
      </c>
      <c r="W173" s="215">
        <f t="shared" si="74"/>
        <v>0</v>
      </c>
      <c r="X173" s="191">
        <f t="shared" si="75"/>
        <v>0</v>
      </c>
      <c r="Y173" s="218">
        <f>+IF(AND(X$8&lt;=V173,X$9&gt;=V173),+MIN($B173-SUMIF($H$17:X$17,Y$17,$H173:X173),((INDEX(ROUTE_PER_DAY_BY_SHIP,MATCH(CONCATENATE(X$4,X$5,X$7),ROUTE_PER_DAY_ROUTES,0),MATCH(X$6,ROUTE_PER_DAY_SHIPS,0))*(V174-V173))-(INDEX(ROUTE_PER_DAY_BY_SHIP,MATCH(CONCATENATE(X$4,X$5,X$7),ROUTE_PER_DAY_ROUTES,0),MATCH(X$6,ROUTE_PER_DAY_SHIPS,0))*(V174-V173))*HLOOKUP(X$6,SHIPS,7,0)*INDEX(LADEN_VOYAGE_DAYS,MATCH(CONCATENATE(X$4,X$5,X$7),LADEN_VOYAGE_ROUTES,0),MATCH(X$6,LADEN_VOYAGE_SHIPS,0)))),0)</f>
        <v>0</v>
      </c>
      <c r="Z173" s="118">
        <f t="shared" si="76"/>
        <v>0</v>
      </c>
      <c r="AA173" s="215">
        <f t="shared" si="62"/>
        <v>0</v>
      </c>
      <c r="AB173" s="202"/>
      <c r="AC173" s="186">
        <f t="shared" si="89"/>
        <v>41426</v>
      </c>
      <c r="AD173" s="232">
        <f>+AA173*(VLOOKUP(AC173,CURVECALC!$C$6:$J$312,4,0)+AE$5)</f>
        <v>0</v>
      </c>
      <c r="AE173" s="208">
        <f>-W173*INDEX(ship_curves,MATCH(AC173,'SHIP CURVES'!$A$9:$A$316,0),MATCH(CONCATENATE(AG$4,AG$5,AG$6,AG$7),'SHIP CURVES'!$A$9:$AZ$9,0))</f>
        <v>0</v>
      </c>
      <c r="AF173" s="209">
        <f>-Y173*INDEX(port_processing_fee,MATCH(AC173,PORTS!$H$626:$H$933,0),MATCH(AG$5,PORTS!$H$626:$Z$626,0))</f>
        <v>0</v>
      </c>
      <c r="AG173" s="405">
        <f>(((VLOOKUP(AC173,curvecalc,4,0))*IF(W173=0,0,AA173/W173)-INDEX(ship_curves,MATCH(AC173,'SHIP CURVES'!$A$9:$A$316,0),MATCH(CONCATENATE(AG$4,AG$5,AG$6,AG$7),'SHIP CURVES'!$A$9:$Z$9,0))-INDEX(terminal_curves,MATCH(AC173,'TERMINAL CURVES'!$A$4:$A$313,0),MATCH(AG$5,'TERMINAL CURVES'!$A$4:$N$4,0))*IF(W173=0,0,Y173/W173))-(AE$8)*((AE$7-$N$5)-(INDEX(ship_curves,MATCH(AC173,'SHIP CURVES'!$A$9:$A$316,0),MATCH(CONCATENATE(AG$4,AG$5,AG$6,AG$7),'SHIP CURVES'!$A$9:$Z$9,0))-INDEX(ship_curves,MATCH(AC173,'SHIP CURVES'!$A$9:$A$316,0),MATCH(CONCATENATE(AG$4,AE$6,AG$6,AG$7),'SHIP CURVES'!$A$9:$Z$9,0)))-(INDEX(terminal_curves,MATCH(AC173,'TERMINAL CURVES'!$A$4:$A$313,0),MATCH(AG$5,'TERMINAL CURVES'!$A$4:$N$4,0))-INDEX(terminal_curves,MATCH(AC173,'TERMINAL CURVES'!$A$4:$A$313,0),MATCH(AE$6,'TERMINAL CURVES'!$A$4:$N$4,0)))*IF(W173=0,0,Y173/W173)))*-W173</f>
        <v>0</v>
      </c>
      <c r="AH173" s="343">
        <f t="shared" si="77"/>
        <v>0</v>
      </c>
      <c r="AI173" s="338">
        <f>(-Y173/((HLOOKUP(AG$5,port_specs,2,0)/(365.25))*(AC174-AC173)))*(INDEX(fixed_capacity_charge,MATCH(AC173,PORTS!$H$11:$H$317,0),MATCH(AG$5,PORTS!$H$11:$N$11,0))+INDEX(variable_om_charge,MATCH(AC173,PORTS!$H$318:$H$625,0),MATCH(AG$5,PORTS!$H$318:$N$318,0)))</f>
        <v>0</v>
      </c>
      <c r="AJ173" s="232">
        <f t="shared" si="78"/>
        <v>0</v>
      </c>
      <c r="AK173" s="241">
        <f t="shared" si="79"/>
        <v>0</v>
      </c>
      <c r="AM173" s="186">
        <f t="shared" si="90"/>
        <v>41426</v>
      </c>
      <c r="AN173" s="215">
        <f t="shared" si="80"/>
        <v>5221704.655509592</v>
      </c>
      <c r="AO173" s="191">
        <f t="shared" si="81"/>
        <v>-54827.898882850073</v>
      </c>
      <c r="AP173" s="218">
        <f>+IF(AND(AO$8&lt;=AM173,AO$9&gt;=AM173),+MIN($B173-SUMIF($H$17:AO$17,AP$17,$H173:AO173),((INDEX(ROUTE_PER_DAY_BY_SHIP,MATCH(CONCATENATE(AO$4,AO$5,AO$7),ROUTE_PER_DAY_ROUTES,0),MATCH(AO$6,ROUTE_PER_DAY_SHIPS,0))*(AM174-AM173))-(INDEX(ROUTE_PER_DAY_BY_SHIP,MATCH(CONCATENATE(AO$4,AO$5,AO$7),ROUTE_PER_DAY_ROUTES,0),MATCH(AO$6,ROUTE_PER_DAY_SHIPS,0))*(AM174-AM173))*HLOOKUP(AO$6,SHIPS,7,0)*INDEX(LADEN_VOYAGE_DAYS,MATCH(CONCATENATE(AO$4,AO$5,AO$7),LADEN_VOYAGE_ROUTES,0),MATCH(AO$6,LADEN_VOYAGE_SHIPS,0)))),0)</f>
        <v>5166876.756626742</v>
      </c>
      <c r="AQ173" s="118">
        <f>-(AP173)*PORTS!$I$6</f>
        <v>-129171.91891566856</v>
      </c>
      <c r="AR173" s="215">
        <f t="shared" si="63"/>
        <v>5037704.8377110735</v>
      </c>
      <c r="AS173" s="202"/>
      <c r="AT173" s="186">
        <f t="shared" si="91"/>
        <v>41426</v>
      </c>
      <c r="AU173" s="232">
        <f>+AR173*(VLOOKUP(AT173,CURVECALC!$C$6:$J$312,4,0)+AV$5)</f>
        <v>18160925.939948421</v>
      </c>
      <c r="AV173" s="208">
        <f>-AN173*INDEX(ship_curves,MATCH(AT173,'SHIP CURVES'!$A$9:$A$316,0),MATCH(CONCATENATE(AX$4,AX$5,AX$6,AX$7),'SHIP CURVES'!$A$9:$AZ$9,0))</f>
        <v>-1757193.1119286113</v>
      </c>
      <c r="AW173" s="209">
        <f>-AP173*INDEX(port_processing_fee,MATCH(AT173,PORTS!$H$626:$H$933,0),MATCH(AX$5,PORTS!$H$626:$Z$626,0))</f>
        <v>-160836.67571794096</v>
      </c>
      <c r="AX173" s="405">
        <f>(((VLOOKUP(AT173,curvecalc,4,0))*IF(AN173=0,0,AR173/AN173)-INDEX(ship_curves,MATCH(AT173,'SHIP CURVES'!$A$9:$A$316,0),MATCH(CONCATENATE(AX$4,AX$5,AX$6,AX$7),'SHIP CURVES'!$A$9:$Z$9,0))-INDEX(terminal_curves,MATCH(AT173,'TERMINAL CURVES'!$A$4:$A$313,0),MATCH(AX$5,'TERMINAL CURVES'!$A$4:$N$4,0))*IF(AN173=0,0,AP173/AN173))-(AV$8)*((AV$7-$N$5)-(INDEX(ship_curves,MATCH(AT173,'SHIP CURVES'!$A$9:$A$316,0),MATCH(CONCATENATE(AX$4,AX$5,AX$6,AX$7),'SHIP CURVES'!$A$9:$Z$9,0))-INDEX(ship_curves,MATCH(AT173,'SHIP CURVES'!$A$9:$A$316,0),MATCH(CONCATENATE(AX$4,AV$6,AX$6,AX$7),'SHIP CURVES'!$A$9:$Z$9,0)))-(INDEX(terminal_curves,MATCH(AT173,'TERMINAL CURVES'!$A$4:$A$313,0),MATCH(AX$5,'TERMINAL CURVES'!$A$4:$N$4,0))-INDEX(terminal_curves,MATCH(AT173,'TERMINAL CURVES'!$A$4:$A$313,0),MATCH(AV$6,'TERMINAL CURVES'!$A$4:$N$4,0)))*IF(AN173=0,0,AP173/AN173)))*-AN173</f>
        <v>-15121533.395505568</v>
      </c>
      <c r="AY173" s="343">
        <f t="shared" si="82"/>
        <v>-17039563.183152121</v>
      </c>
      <c r="AZ173" s="338">
        <f>(-AP173/((HLOOKUP(AX$5,port_specs,2,0)/(365.25))*(AT174-AT173)))*(INDEX(fixed_capacity_charge,MATCH(AT173,PORTS!$H$11:$H$317,0),MATCH(AX$5,PORTS!$H$11:$N$11,0))+INDEX(variable_om_charge,MATCH(AT173,PORTS!$H$318:$H$625,0),MATCH(AX$5,PORTS!$H$318:$N$318,0)))</f>
        <v>-1020608.6600420768</v>
      </c>
      <c r="BA173" s="232">
        <f t="shared" si="83"/>
        <v>-18060171.843194198</v>
      </c>
      <c r="BB173" s="241">
        <f t="shared" si="84"/>
        <v>100754.09675422311</v>
      </c>
      <c r="BC173" s="408"/>
      <c r="BD173" s="338">
        <f>+PORTS!I167+PORTS!I475</f>
        <v>1020608.6600420768</v>
      </c>
    </row>
    <row r="174" spans="1:56" x14ac:dyDescent="0.2">
      <c r="A174" s="186">
        <f t="shared" si="85"/>
        <v>41456</v>
      </c>
      <c r="B174" s="215">
        <f>+IF(AND($A174&gt;=$C$8,$A174&lt;=$C$9),1,0)*PORTS!$I$5/(365.25)*(A175-A174)</f>
        <v>5339105.9818476336</v>
      </c>
      <c r="C174" s="351">
        <f t="shared" si="64"/>
        <v>0</v>
      </c>
      <c r="D174">
        <f t="shared" si="65"/>
        <v>2013</v>
      </c>
      <c r="E174" s="186">
        <f t="shared" si="86"/>
        <v>41456</v>
      </c>
      <c r="F174" s="215">
        <f t="shared" si="66"/>
        <v>0</v>
      </c>
      <c r="G174" s="191">
        <f t="shared" si="67"/>
        <v>0</v>
      </c>
      <c r="H174" s="218">
        <f t="shared" si="68"/>
        <v>0</v>
      </c>
      <c r="I174" s="118">
        <f t="shared" si="69"/>
        <v>0</v>
      </c>
      <c r="J174" s="215">
        <f t="shared" si="70"/>
        <v>0</v>
      </c>
      <c r="K174" s="202"/>
      <c r="L174" s="186">
        <f t="shared" si="87"/>
        <v>41456</v>
      </c>
      <c r="M174" s="400">
        <f>+J174*(VLOOKUP(L174,CURVECALC!$C$6:$J$312,4,0)+N$5)</f>
        <v>0</v>
      </c>
      <c r="N174" s="208">
        <f>-F174*INDEX(ship_curves,MATCH(L174,'SHIP CURVES'!$A$9:$A$316,0),MATCH(CONCATENATE(P$4,P$5,P$6,P$7),'SHIP CURVES'!$A$9:$AZ$9,0))</f>
        <v>0</v>
      </c>
      <c r="O174" s="209">
        <f>-H174*INDEX(port_processing_fee,MATCH(L174,PORTS!$H$626:$H$933,0),MATCH(P$5,PORTS!$H$626:$Z$626,0))</f>
        <v>0</v>
      </c>
      <c r="P174" s="405">
        <f>(((VLOOKUP(L174,curvecalc,4,0))*IF(F174=0,0,J174/F174)-INDEX(ship_curves,MATCH(L174,'SHIP CURVES'!$A$9:$A$316,0),MATCH(CONCATENATE(P$4,P$5,P$6,P$7),'SHIP CURVES'!$A$9:$Z$9,0))-INDEX(terminal_curves,MATCH(L174,'TERMINAL CURVES'!$A$4:$A$313,0),MATCH(P$5,'TERMINAL CURVES'!$A$4:$N$4,0))*IF(F174=0,0,H174/F174))-(N$8)*((N$7-$N$5)-(INDEX(ship_curves,MATCH(L174,'SHIP CURVES'!$A$9:$A$316,0),MATCH(CONCATENATE(P$4,P$5,P$6,P$7),'SHIP CURVES'!$A$9:$Z$9,0))-INDEX(ship_curves,MATCH(L174,'SHIP CURVES'!$A$9:$A$316,0),MATCH(CONCATENATE(P$4,N$6,P$6,P$7),'SHIP CURVES'!$A$9:$Z$9,0)))-(INDEX(terminal_curves,MATCH(L174,'TERMINAL CURVES'!$A$4:$A$313,0),MATCH(P$5,'TERMINAL CURVES'!$A$4:$N$4,0))-INDEX(terminal_curves,MATCH(L174,'TERMINAL CURVES'!$A$4:$A$313,0),MATCH(N$6,'TERMINAL CURVES'!$A$4:$N$4,0)))*IF(F174=0,0,H174/F174)))*-F174</f>
        <v>0</v>
      </c>
      <c r="Q174" s="403">
        <f t="shared" si="71"/>
        <v>0</v>
      </c>
      <c r="R174" s="338">
        <f>(-H174/((HLOOKUP(P$5,port_specs,2,0)/(365.25))*(L175-L174)))*(INDEX(fixed_capacity_charge,MATCH(L174,PORTS!$H$11:$H$317,0),MATCH(P$5,PORTS!$H$11:$N$11,0))+INDEX(variable_om_charge,MATCH(L174,PORTS!$H$318:$H$625,0),MATCH(P$5,PORTS!$H$318:$N$318,0)))</f>
        <v>0</v>
      </c>
      <c r="S174" s="232">
        <f t="shared" si="72"/>
        <v>0</v>
      </c>
      <c r="T174" s="241">
        <f t="shared" si="73"/>
        <v>0</v>
      </c>
      <c r="V174" s="186">
        <f t="shared" si="88"/>
        <v>41456</v>
      </c>
      <c r="W174" s="215">
        <f t="shared" si="74"/>
        <v>0</v>
      </c>
      <c r="X174" s="191">
        <f t="shared" si="75"/>
        <v>0</v>
      </c>
      <c r="Y174" s="218">
        <f>+IF(AND(X$8&lt;=V174,X$9&gt;=V174),+MIN($B174-SUMIF($H$17:X$17,Y$17,$H174:X174),((INDEX(ROUTE_PER_DAY_BY_SHIP,MATCH(CONCATENATE(X$4,X$5,X$7),ROUTE_PER_DAY_ROUTES,0),MATCH(X$6,ROUTE_PER_DAY_SHIPS,0))*(V175-V174))-(INDEX(ROUTE_PER_DAY_BY_SHIP,MATCH(CONCATENATE(X$4,X$5,X$7),ROUTE_PER_DAY_ROUTES,0),MATCH(X$6,ROUTE_PER_DAY_SHIPS,0))*(V175-V174))*HLOOKUP(X$6,SHIPS,7,0)*INDEX(LADEN_VOYAGE_DAYS,MATCH(CONCATENATE(X$4,X$5,X$7),LADEN_VOYAGE_ROUTES,0),MATCH(X$6,LADEN_VOYAGE_SHIPS,0)))),0)</f>
        <v>0</v>
      </c>
      <c r="Z174" s="118">
        <f t="shared" si="76"/>
        <v>0</v>
      </c>
      <c r="AA174" s="215">
        <f t="shared" si="62"/>
        <v>0</v>
      </c>
      <c r="AB174" s="202"/>
      <c r="AC174" s="186">
        <f t="shared" si="89"/>
        <v>41456</v>
      </c>
      <c r="AD174" s="232">
        <f>+AA174*(VLOOKUP(AC174,CURVECALC!$C$6:$J$312,4,0)+AE$5)</f>
        <v>0</v>
      </c>
      <c r="AE174" s="208">
        <f>-W174*INDEX(ship_curves,MATCH(AC174,'SHIP CURVES'!$A$9:$A$316,0),MATCH(CONCATENATE(AG$4,AG$5,AG$6,AG$7),'SHIP CURVES'!$A$9:$AZ$9,0))</f>
        <v>0</v>
      </c>
      <c r="AF174" s="209">
        <f>-Y174*INDEX(port_processing_fee,MATCH(AC174,PORTS!$H$626:$H$933,0),MATCH(AG$5,PORTS!$H$626:$Z$626,0))</f>
        <v>0</v>
      </c>
      <c r="AG174" s="405">
        <f>(((VLOOKUP(AC174,curvecalc,4,0))*IF(W174=0,0,AA174/W174)-INDEX(ship_curves,MATCH(AC174,'SHIP CURVES'!$A$9:$A$316,0),MATCH(CONCATENATE(AG$4,AG$5,AG$6,AG$7),'SHIP CURVES'!$A$9:$Z$9,0))-INDEX(terminal_curves,MATCH(AC174,'TERMINAL CURVES'!$A$4:$A$313,0),MATCH(AG$5,'TERMINAL CURVES'!$A$4:$N$4,0))*IF(W174=0,0,Y174/W174))-(AE$8)*((AE$7-$N$5)-(INDEX(ship_curves,MATCH(AC174,'SHIP CURVES'!$A$9:$A$316,0),MATCH(CONCATENATE(AG$4,AG$5,AG$6,AG$7),'SHIP CURVES'!$A$9:$Z$9,0))-INDEX(ship_curves,MATCH(AC174,'SHIP CURVES'!$A$9:$A$316,0),MATCH(CONCATENATE(AG$4,AE$6,AG$6,AG$7),'SHIP CURVES'!$A$9:$Z$9,0)))-(INDEX(terminal_curves,MATCH(AC174,'TERMINAL CURVES'!$A$4:$A$313,0),MATCH(AG$5,'TERMINAL CURVES'!$A$4:$N$4,0))-INDEX(terminal_curves,MATCH(AC174,'TERMINAL CURVES'!$A$4:$A$313,0),MATCH(AE$6,'TERMINAL CURVES'!$A$4:$N$4,0)))*IF(W174=0,0,Y174/W174)))*-W174</f>
        <v>0</v>
      </c>
      <c r="AH174" s="343">
        <f t="shared" si="77"/>
        <v>0</v>
      </c>
      <c r="AI174" s="338">
        <f>(-Y174/((HLOOKUP(AG$5,port_specs,2,0)/(365.25))*(AC175-AC174)))*(INDEX(fixed_capacity_charge,MATCH(AC174,PORTS!$H$11:$H$317,0),MATCH(AG$5,PORTS!$H$11:$N$11,0))+INDEX(variable_om_charge,MATCH(AC174,PORTS!$H$318:$H$625,0),MATCH(AG$5,PORTS!$H$318:$N$318,0)))</f>
        <v>0</v>
      </c>
      <c r="AJ174" s="232">
        <f t="shared" si="78"/>
        <v>0</v>
      </c>
      <c r="AK174" s="241">
        <f t="shared" si="79"/>
        <v>0</v>
      </c>
      <c r="AM174" s="186">
        <f t="shared" si="90"/>
        <v>41456</v>
      </c>
      <c r="AN174" s="215">
        <f t="shared" si="80"/>
        <v>5395761.4773599124</v>
      </c>
      <c r="AO174" s="191">
        <f t="shared" si="81"/>
        <v>-56655.495512278751</v>
      </c>
      <c r="AP174" s="218">
        <f>+IF(AND(AO$8&lt;=AM174,AO$9&gt;=AM174),+MIN($B174-SUMIF($H$17:AO$17,AP$17,$H174:AO174),((INDEX(ROUTE_PER_DAY_BY_SHIP,MATCH(CONCATENATE(AO$4,AO$5,AO$7),ROUTE_PER_DAY_ROUTES,0),MATCH(AO$6,ROUTE_PER_DAY_SHIPS,0))*(AM175-AM174))-(INDEX(ROUTE_PER_DAY_BY_SHIP,MATCH(CONCATENATE(AO$4,AO$5,AO$7),ROUTE_PER_DAY_ROUTES,0),MATCH(AO$6,ROUTE_PER_DAY_SHIPS,0))*(AM175-AM174))*HLOOKUP(AO$6,SHIPS,7,0)*INDEX(LADEN_VOYAGE_DAYS,MATCH(CONCATENATE(AO$4,AO$5,AO$7),LADEN_VOYAGE_ROUTES,0),MATCH(AO$6,LADEN_VOYAGE_SHIPS,0)))),0)</f>
        <v>5339105.9818476336</v>
      </c>
      <c r="AQ174" s="118">
        <f>-(AP174)*PORTS!$I$6</f>
        <v>-133477.64954619083</v>
      </c>
      <c r="AR174" s="215">
        <f t="shared" si="63"/>
        <v>5205628.3323014425</v>
      </c>
      <c r="AS174" s="202"/>
      <c r="AT174" s="186">
        <f t="shared" si="91"/>
        <v>41456</v>
      </c>
      <c r="AU174" s="232">
        <f>+AR174*(VLOOKUP(AT174,CURVECALC!$C$6:$J$312,4,0)+AV$5)</f>
        <v>18766290.137946699</v>
      </c>
      <c r="AV174" s="208">
        <f>-AN174*INDEX(ship_curves,MATCH(AT174,'SHIP CURVES'!$A$9:$A$316,0),MATCH(CONCATENATE(AX$4,AX$5,AX$6,AX$7),'SHIP CURVES'!$A$9:$AZ$9,0))</f>
        <v>-1816353.3791775724</v>
      </c>
      <c r="AW174" s="209">
        <f>-AP174*INDEX(port_processing_fee,MATCH(AT174,PORTS!$H$626:$H$933,0),MATCH(AX$5,PORTS!$H$626:$Z$626,0))</f>
        <v>-166371.02105254095</v>
      </c>
      <c r="AX174" s="405">
        <f>(((VLOOKUP(AT174,curvecalc,4,0))*IF(AN174=0,0,AR174/AN174)-INDEX(ship_curves,MATCH(AT174,'SHIP CURVES'!$A$9:$A$316,0),MATCH(CONCATENATE(AX$4,AX$5,AX$6,AX$7),'SHIP CURVES'!$A$9:$Z$9,0))-INDEX(terminal_curves,MATCH(AT174,'TERMINAL CURVES'!$A$4:$A$313,0),MATCH(AX$5,'TERMINAL CURVES'!$A$4:$N$4,0))*IF(AN174=0,0,AP174/AN174))-(AV$8)*((AV$7-$N$5)-(INDEX(ship_curves,MATCH(AT174,'SHIP CURVES'!$A$9:$A$316,0),MATCH(CONCATENATE(AX$4,AX$5,AX$6,AX$7),'SHIP CURVES'!$A$9:$Z$9,0))-INDEX(ship_curves,MATCH(AT174,'SHIP CURVES'!$A$9:$A$316,0),MATCH(CONCATENATE(AX$4,AV$6,AX$6,AX$7),'SHIP CURVES'!$A$9:$Z$9,0)))-(INDEX(terminal_curves,MATCH(AT174,'TERMINAL CURVES'!$A$4:$A$313,0),MATCH(AX$5,'TERMINAL CURVES'!$A$4:$N$4,0))-INDEX(terminal_curves,MATCH(AT174,'TERMINAL CURVES'!$A$4:$A$313,0),MATCH(AV$6,'TERMINAL CURVES'!$A$4:$N$4,0)))*IF(AN174=0,0,AP174/AN174)))*-AN174</f>
        <v>-15658286.779685633</v>
      </c>
      <c r="AY174" s="343">
        <f t="shared" si="82"/>
        <v>-17641011.179915749</v>
      </c>
      <c r="AZ174" s="338">
        <f>(-AP174/((HLOOKUP(AX$5,port_specs,2,0)/(365.25))*(AT175-AT174)))*(INDEX(fixed_capacity_charge,MATCH(AT174,PORTS!$H$11:$H$317,0),MATCH(AX$5,PORTS!$H$11:$N$11,0))+INDEX(variable_om_charge,MATCH(AT174,PORTS!$H$318:$H$625,0),MATCH(AX$5,PORTS!$H$318:$N$318,0)))</f>
        <v>-1021166.3913849245</v>
      </c>
      <c r="BA174" s="232">
        <f t="shared" si="83"/>
        <v>-18662177.571300674</v>
      </c>
      <c r="BB174" s="241">
        <f t="shared" si="84"/>
        <v>104112.56664602458</v>
      </c>
      <c r="BC174" s="408"/>
      <c r="BD174" s="338">
        <f>+PORTS!I168+PORTS!I476</f>
        <v>1021166.3913849245</v>
      </c>
    </row>
    <row r="175" spans="1:56" x14ac:dyDescent="0.2">
      <c r="A175" s="186">
        <f t="shared" si="85"/>
        <v>41487</v>
      </c>
      <c r="B175" s="215">
        <f>+IF(AND($A175&gt;=$C$8,$A175&lt;=$C$9),1,0)*PORTS!$I$5/(365.25)*(A176-A175)</f>
        <v>5339105.9818476336</v>
      </c>
      <c r="C175" s="351">
        <f t="shared" si="64"/>
        <v>0</v>
      </c>
      <c r="D175">
        <f t="shared" si="65"/>
        <v>2013</v>
      </c>
      <c r="E175" s="186">
        <f t="shared" si="86"/>
        <v>41487</v>
      </c>
      <c r="F175" s="215">
        <f t="shared" si="66"/>
        <v>0</v>
      </c>
      <c r="G175" s="191">
        <f t="shared" si="67"/>
        <v>0</v>
      </c>
      <c r="H175" s="218">
        <f t="shared" si="68"/>
        <v>0</v>
      </c>
      <c r="I175" s="118">
        <f t="shared" si="69"/>
        <v>0</v>
      </c>
      <c r="J175" s="215">
        <f t="shared" si="70"/>
        <v>0</v>
      </c>
      <c r="K175" s="202"/>
      <c r="L175" s="186">
        <f t="shared" si="87"/>
        <v>41487</v>
      </c>
      <c r="M175" s="400">
        <f>+J175*(VLOOKUP(L175,CURVECALC!$C$6:$J$312,4,0)+N$5)</f>
        <v>0</v>
      </c>
      <c r="N175" s="208">
        <f>-F175*INDEX(ship_curves,MATCH(L175,'SHIP CURVES'!$A$9:$A$316,0),MATCH(CONCATENATE(P$4,P$5,P$6,P$7),'SHIP CURVES'!$A$9:$AZ$9,0))</f>
        <v>0</v>
      </c>
      <c r="O175" s="209">
        <f>-H175*INDEX(port_processing_fee,MATCH(L175,PORTS!$H$626:$H$933,0),MATCH(P$5,PORTS!$H$626:$Z$626,0))</f>
        <v>0</v>
      </c>
      <c r="P175" s="405">
        <f>(((VLOOKUP(L175,curvecalc,4,0))*IF(F175=0,0,J175/F175)-INDEX(ship_curves,MATCH(L175,'SHIP CURVES'!$A$9:$A$316,0),MATCH(CONCATENATE(P$4,P$5,P$6,P$7),'SHIP CURVES'!$A$9:$Z$9,0))-INDEX(terminal_curves,MATCH(L175,'TERMINAL CURVES'!$A$4:$A$313,0),MATCH(P$5,'TERMINAL CURVES'!$A$4:$N$4,0))*IF(F175=0,0,H175/F175))-(N$8)*((N$7-$N$5)-(INDEX(ship_curves,MATCH(L175,'SHIP CURVES'!$A$9:$A$316,0),MATCH(CONCATENATE(P$4,P$5,P$6,P$7),'SHIP CURVES'!$A$9:$Z$9,0))-INDEX(ship_curves,MATCH(L175,'SHIP CURVES'!$A$9:$A$316,0),MATCH(CONCATENATE(P$4,N$6,P$6,P$7),'SHIP CURVES'!$A$9:$Z$9,0)))-(INDEX(terminal_curves,MATCH(L175,'TERMINAL CURVES'!$A$4:$A$313,0),MATCH(P$5,'TERMINAL CURVES'!$A$4:$N$4,0))-INDEX(terminal_curves,MATCH(L175,'TERMINAL CURVES'!$A$4:$A$313,0),MATCH(N$6,'TERMINAL CURVES'!$A$4:$N$4,0)))*IF(F175=0,0,H175/F175)))*-F175</f>
        <v>0</v>
      </c>
      <c r="Q175" s="403">
        <f t="shared" si="71"/>
        <v>0</v>
      </c>
      <c r="R175" s="338">
        <f>(-H175/((HLOOKUP(P$5,port_specs,2,0)/(365.25))*(L176-L175)))*(INDEX(fixed_capacity_charge,MATCH(L175,PORTS!$H$11:$H$317,0),MATCH(P$5,PORTS!$H$11:$N$11,0))+INDEX(variable_om_charge,MATCH(L175,PORTS!$H$318:$H$625,0),MATCH(P$5,PORTS!$H$318:$N$318,0)))</f>
        <v>0</v>
      </c>
      <c r="S175" s="232">
        <f t="shared" si="72"/>
        <v>0</v>
      </c>
      <c r="T175" s="241">
        <f t="shared" si="73"/>
        <v>0</v>
      </c>
      <c r="V175" s="186">
        <f t="shared" si="88"/>
        <v>41487</v>
      </c>
      <c r="W175" s="215">
        <f t="shared" si="74"/>
        <v>0</v>
      </c>
      <c r="X175" s="191">
        <f t="shared" si="75"/>
        <v>0</v>
      </c>
      <c r="Y175" s="218">
        <f>+IF(AND(X$8&lt;=V175,X$9&gt;=V175),+MIN($B175-SUMIF($H$17:X$17,Y$17,$H175:X175),((INDEX(ROUTE_PER_DAY_BY_SHIP,MATCH(CONCATENATE(X$4,X$5,X$7),ROUTE_PER_DAY_ROUTES,0),MATCH(X$6,ROUTE_PER_DAY_SHIPS,0))*(V176-V175))-(INDEX(ROUTE_PER_DAY_BY_SHIP,MATCH(CONCATENATE(X$4,X$5,X$7),ROUTE_PER_DAY_ROUTES,0),MATCH(X$6,ROUTE_PER_DAY_SHIPS,0))*(V176-V175))*HLOOKUP(X$6,SHIPS,7,0)*INDEX(LADEN_VOYAGE_DAYS,MATCH(CONCATENATE(X$4,X$5,X$7),LADEN_VOYAGE_ROUTES,0),MATCH(X$6,LADEN_VOYAGE_SHIPS,0)))),0)</f>
        <v>0</v>
      </c>
      <c r="Z175" s="118">
        <f t="shared" si="76"/>
        <v>0</v>
      </c>
      <c r="AA175" s="215">
        <f t="shared" si="62"/>
        <v>0</v>
      </c>
      <c r="AB175" s="202"/>
      <c r="AC175" s="186">
        <f t="shared" si="89"/>
        <v>41487</v>
      </c>
      <c r="AD175" s="232">
        <f>+AA175*(VLOOKUP(AC175,CURVECALC!$C$6:$J$312,4,0)+AE$5)</f>
        <v>0</v>
      </c>
      <c r="AE175" s="208">
        <f>-W175*INDEX(ship_curves,MATCH(AC175,'SHIP CURVES'!$A$9:$A$316,0),MATCH(CONCATENATE(AG$4,AG$5,AG$6,AG$7),'SHIP CURVES'!$A$9:$AZ$9,0))</f>
        <v>0</v>
      </c>
      <c r="AF175" s="209">
        <f>-Y175*INDEX(port_processing_fee,MATCH(AC175,PORTS!$H$626:$H$933,0),MATCH(AG$5,PORTS!$H$626:$Z$626,0))</f>
        <v>0</v>
      </c>
      <c r="AG175" s="405">
        <f>(((VLOOKUP(AC175,curvecalc,4,0))*IF(W175=0,0,AA175/W175)-INDEX(ship_curves,MATCH(AC175,'SHIP CURVES'!$A$9:$A$316,0),MATCH(CONCATENATE(AG$4,AG$5,AG$6,AG$7),'SHIP CURVES'!$A$9:$Z$9,0))-INDEX(terminal_curves,MATCH(AC175,'TERMINAL CURVES'!$A$4:$A$313,0),MATCH(AG$5,'TERMINAL CURVES'!$A$4:$N$4,0))*IF(W175=0,0,Y175/W175))-(AE$8)*((AE$7-$N$5)-(INDEX(ship_curves,MATCH(AC175,'SHIP CURVES'!$A$9:$A$316,0),MATCH(CONCATENATE(AG$4,AG$5,AG$6,AG$7),'SHIP CURVES'!$A$9:$Z$9,0))-INDEX(ship_curves,MATCH(AC175,'SHIP CURVES'!$A$9:$A$316,0),MATCH(CONCATENATE(AG$4,AE$6,AG$6,AG$7),'SHIP CURVES'!$A$9:$Z$9,0)))-(INDEX(terminal_curves,MATCH(AC175,'TERMINAL CURVES'!$A$4:$A$313,0),MATCH(AG$5,'TERMINAL CURVES'!$A$4:$N$4,0))-INDEX(terminal_curves,MATCH(AC175,'TERMINAL CURVES'!$A$4:$A$313,0),MATCH(AE$6,'TERMINAL CURVES'!$A$4:$N$4,0)))*IF(W175=0,0,Y175/W175)))*-W175</f>
        <v>0</v>
      </c>
      <c r="AH175" s="343">
        <f t="shared" si="77"/>
        <v>0</v>
      </c>
      <c r="AI175" s="338">
        <f>(-Y175/((HLOOKUP(AG$5,port_specs,2,0)/(365.25))*(AC176-AC175)))*(INDEX(fixed_capacity_charge,MATCH(AC175,PORTS!$H$11:$H$317,0),MATCH(AG$5,PORTS!$H$11:$N$11,0))+INDEX(variable_om_charge,MATCH(AC175,PORTS!$H$318:$H$625,0),MATCH(AG$5,PORTS!$H$318:$N$318,0)))</f>
        <v>0</v>
      </c>
      <c r="AJ175" s="232">
        <f t="shared" si="78"/>
        <v>0</v>
      </c>
      <c r="AK175" s="241">
        <f t="shared" si="79"/>
        <v>0</v>
      </c>
      <c r="AM175" s="186">
        <f t="shared" si="90"/>
        <v>41487</v>
      </c>
      <c r="AN175" s="215">
        <f t="shared" si="80"/>
        <v>5395761.4773599124</v>
      </c>
      <c r="AO175" s="191">
        <f t="shared" si="81"/>
        <v>-56655.495512278751</v>
      </c>
      <c r="AP175" s="218">
        <f>+IF(AND(AO$8&lt;=AM175,AO$9&gt;=AM175),+MIN($B175-SUMIF($H$17:AO$17,AP$17,$H175:AO175),((INDEX(ROUTE_PER_DAY_BY_SHIP,MATCH(CONCATENATE(AO$4,AO$5,AO$7),ROUTE_PER_DAY_ROUTES,0),MATCH(AO$6,ROUTE_PER_DAY_SHIPS,0))*(AM176-AM175))-(INDEX(ROUTE_PER_DAY_BY_SHIP,MATCH(CONCATENATE(AO$4,AO$5,AO$7),ROUTE_PER_DAY_ROUTES,0),MATCH(AO$6,ROUTE_PER_DAY_SHIPS,0))*(AM176-AM175))*HLOOKUP(AO$6,SHIPS,7,0)*INDEX(LADEN_VOYAGE_DAYS,MATCH(CONCATENATE(AO$4,AO$5,AO$7),LADEN_VOYAGE_ROUTES,0),MATCH(AO$6,LADEN_VOYAGE_SHIPS,0)))),0)</f>
        <v>5339105.9818476336</v>
      </c>
      <c r="AQ175" s="118">
        <f>-(AP175)*PORTS!$I$6</f>
        <v>-133477.64954619083</v>
      </c>
      <c r="AR175" s="215">
        <f t="shared" si="63"/>
        <v>5205628.3323014425</v>
      </c>
      <c r="AS175" s="202"/>
      <c r="AT175" s="186">
        <f t="shared" si="91"/>
        <v>41487</v>
      </c>
      <c r="AU175" s="232">
        <f>+AR175*(VLOOKUP(AT175,CURVECALC!$C$6:$J$312,4,0)+AV$5)</f>
        <v>19078627.837884784</v>
      </c>
      <c r="AV175" s="208">
        <f>-AN175*INDEX(ship_curves,MATCH(AT175,'SHIP CURVES'!$A$9:$A$316,0),MATCH(CONCATENATE(AX$4,AX$5,AX$6,AX$7),'SHIP CURVES'!$A$9:$AZ$9,0))</f>
        <v>-1816941.7659529084</v>
      </c>
      <c r="AW175" s="209">
        <f>-AP175*INDEX(port_processing_fee,MATCH(AT175,PORTS!$H$626:$H$933,0),MATCH(AX$5,PORTS!$H$626:$Z$626,0))</f>
        <v>-166544.32419947069</v>
      </c>
      <c r="AX175" s="405">
        <f>(((VLOOKUP(AT175,curvecalc,4,0))*IF(AN175=0,0,AR175/AN175)-INDEX(ship_curves,MATCH(AT175,'SHIP CURVES'!$A$9:$A$316,0),MATCH(CONCATENATE(AX$4,AX$5,AX$6,AX$7),'SHIP CURVES'!$A$9:$Z$9,0))-INDEX(terminal_curves,MATCH(AT175,'TERMINAL CURVES'!$A$4:$A$313,0),MATCH(AX$5,'TERMINAL CURVES'!$A$4:$N$4,0))*IF(AN175=0,0,AP175/AN175))-(AV$8)*((AV$7-$N$5)-(INDEX(ship_curves,MATCH(AT175,'SHIP CURVES'!$A$9:$A$316,0),MATCH(CONCATENATE(AX$4,AX$5,AX$6,AX$7),'SHIP CURVES'!$A$9:$Z$9,0))-INDEX(ship_curves,MATCH(AT175,'SHIP CURVES'!$A$9:$A$316,0),MATCH(CONCATENATE(AX$4,AV$6,AX$6,AX$7),'SHIP CURVES'!$A$9:$Z$9,0)))-(INDEX(terminal_curves,MATCH(AT175,'TERMINAL CURVES'!$A$4:$A$313,0),MATCH(AX$5,'TERMINAL CURVES'!$A$4:$N$4,0))-INDEX(terminal_curves,MATCH(AT175,'TERMINAL CURVES'!$A$4:$A$313,0),MATCH(AV$6,'TERMINAL CURVES'!$A$4:$N$4,0)))*IF(AN175=0,0,AP175/AN175)))*-AN175</f>
        <v>-15969304.477388456</v>
      </c>
      <c r="AY175" s="343">
        <f t="shared" si="82"/>
        <v>-17952790.567540836</v>
      </c>
      <c r="AZ175" s="338">
        <f>(-AP175/((HLOOKUP(AX$5,port_specs,2,0)/(365.25))*(AT176-AT175)))*(INDEX(fixed_capacity_charge,MATCH(AT175,PORTS!$H$11:$H$317,0),MATCH(AX$5,PORTS!$H$11:$N$11,0))+INDEX(variable_om_charge,MATCH(AT175,PORTS!$H$318:$H$625,0),MATCH(AX$5,PORTS!$H$318:$N$318,0)))</f>
        <v>-1021724.7036979208</v>
      </c>
      <c r="BA175" s="232">
        <f t="shared" si="83"/>
        <v>-18974515.271238755</v>
      </c>
      <c r="BB175" s="241">
        <f t="shared" si="84"/>
        <v>104112.56664602831</v>
      </c>
      <c r="BC175" s="408"/>
      <c r="BD175" s="338">
        <f>+PORTS!I169+PORTS!I477</f>
        <v>1021724.7036979208</v>
      </c>
    </row>
    <row r="176" spans="1:56" x14ac:dyDescent="0.2">
      <c r="A176" s="186">
        <f t="shared" si="85"/>
        <v>41518</v>
      </c>
      <c r="B176" s="215">
        <f>+IF(AND($A176&gt;=$C$8,$A176&lt;=$C$9),1,0)*PORTS!$I$5/(365.25)*(A177-A176)</f>
        <v>5166876.756626742</v>
      </c>
      <c r="C176" s="351">
        <f t="shared" si="64"/>
        <v>0</v>
      </c>
      <c r="D176">
        <f t="shared" si="65"/>
        <v>2013</v>
      </c>
      <c r="E176" s="186">
        <f t="shared" si="86"/>
        <v>41518</v>
      </c>
      <c r="F176" s="215">
        <f t="shared" si="66"/>
        <v>0</v>
      </c>
      <c r="G176" s="191">
        <f t="shared" si="67"/>
        <v>0</v>
      </c>
      <c r="H176" s="218">
        <f t="shared" si="68"/>
        <v>0</v>
      </c>
      <c r="I176" s="118">
        <f t="shared" si="69"/>
        <v>0</v>
      </c>
      <c r="J176" s="215">
        <f t="shared" si="70"/>
        <v>0</v>
      </c>
      <c r="K176" s="202"/>
      <c r="L176" s="186">
        <f t="shared" si="87"/>
        <v>41518</v>
      </c>
      <c r="M176" s="400">
        <f>+J176*(VLOOKUP(L176,CURVECALC!$C$6:$J$312,4,0)+N$5)</f>
        <v>0</v>
      </c>
      <c r="N176" s="208">
        <f>-F176*INDEX(ship_curves,MATCH(L176,'SHIP CURVES'!$A$9:$A$316,0),MATCH(CONCATENATE(P$4,P$5,P$6,P$7),'SHIP CURVES'!$A$9:$AZ$9,0))</f>
        <v>0</v>
      </c>
      <c r="O176" s="209">
        <f>-H176*INDEX(port_processing_fee,MATCH(L176,PORTS!$H$626:$H$933,0),MATCH(P$5,PORTS!$H$626:$Z$626,0))</f>
        <v>0</v>
      </c>
      <c r="P176" s="405">
        <f>(((VLOOKUP(L176,curvecalc,4,0))*IF(F176=0,0,J176/F176)-INDEX(ship_curves,MATCH(L176,'SHIP CURVES'!$A$9:$A$316,0),MATCH(CONCATENATE(P$4,P$5,P$6,P$7),'SHIP CURVES'!$A$9:$Z$9,0))-INDEX(terminal_curves,MATCH(L176,'TERMINAL CURVES'!$A$4:$A$313,0),MATCH(P$5,'TERMINAL CURVES'!$A$4:$N$4,0))*IF(F176=0,0,H176/F176))-(N$8)*((N$7-$N$5)-(INDEX(ship_curves,MATCH(L176,'SHIP CURVES'!$A$9:$A$316,0),MATCH(CONCATENATE(P$4,P$5,P$6,P$7),'SHIP CURVES'!$A$9:$Z$9,0))-INDEX(ship_curves,MATCH(L176,'SHIP CURVES'!$A$9:$A$316,0),MATCH(CONCATENATE(P$4,N$6,P$6,P$7),'SHIP CURVES'!$A$9:$Z$9,0)))-(INDEX(terminal_curves,MATCH(L176,'TERMINAL CURVES'!$A$4:$A$313,0),MATCH(P$5,'TERMINAL CURVES'!$A$4:$N$4,0))-INDEX(terminal_curves,MATCH(L176,'TERMINAL CURVES'!$A$4:$A$313,0),MATCH(N$6,'TERMINAL CURVES'!$A$4:$N$4,0)))*IF(F176=0,0,H176/F176)))*-F176</f>
        <v>0</v>
      </c>
      <c r="Q176" s="403">
        <f t="shared" si="71"/>
        <v>0</v>
      </c>
      <c r="R176" s="338">
        <f>(-H176/((HLOOKUP(P$5,port_specs,2,0)/(365.25))*(L177-L176)))*(INDEX(fixed_capacity_charge,MATCH(L176,PORTS!$H$11:$H$317,0),MATCH(P$5,PORTS!$H$11:$N$11,0))+INDEX(variable_om_charge,MATCH(L176,PORTS!$H$318:$H$625,0),MATCH(P$5,PORTS!$H$318:$N$318,0)))</f>
        <v>0</v>
      </c>
      <c r="S176" s="232">
        <f t="shared" si="72"/>
        <v>0</v>
      </c>
      <c r="T176" s="241">
        <f t="shared" si="73"/>
        <v>0</v>
      </c>
      <c r="V176" s="186">
        <f t="shared" si="88"/>
        <v>41518</v>
      </c>
      <c r="W176" s="215">
        <f t="shared" si="74"/>
        <v>0</v>
      </c>
      <c r="X176" s="191">
        <f t="shared" si="75"/>
        <v>0</v>
      </c>
      <c r="Y176" s="218">
        <f>+IF(AND(X$8&lt;=V176,X$9&gt;=V176),+MIN($B176-SUMIF($H$17:X$17,Y$17,$H176:X176),((INDEX(ROUTE_PER_DAY_BY_SHIP,MATCH(CONCATENATE(X$4,X$5,X$7),ROUTE_PER_DAY_ROUTES,0),MATCH(X$6,ROUTE_PER_DAY_SHIPS,0))*(V177-V176))-(INDEX(ROUTE_PER_DAY_BY_SHIP,MATCH(CONCATENATE(X$4,X$5,X$7),ROUTE_PER_DAY_ROUTES,0),MATCH(X$6,ROUTE_PER_DAY_SHIPS,0))*(V177-V176))*HLOOKUP(X$6,SHIPS,7,0)*INDEX(LADEN_VOYAGE_DAYS,MATCH(CONCATENATE(X$4,X$5,X$7),LADEN_VOYAGE_ROUTES,0),MATCH(X$6,LADEN_VOYAGE_SHIPS,0)))),0)</f>
        <v>0</v>
      </c>
      <c r="Z176" s="118">
        <f t="shared" si="76"/>
        <v>0</v>
      </c>
      <c r="AA176" s="215">
        <f t="shared" si="62"/>
        <v>0</v>
      </c>
      <c r="AB176" s="202"/>
      <c r="AC176" s="186">
        <f t="shared" si="89"/>
        <v>41518</v>
      </c>
      <c r="AD176" s="232">
        <f>+AA176*(VLOOKUP(AC176,CURVECALC!$C$6:$J$312,4,0)+AE$5)</f>
        <v>0</v>
      </c>
      <c r="AE176" s="208">
        <f>-W176*INDEX(ship_curves,MATCH(AC176,'SHIP CURVES'!$A$9:$A$316,0),MATCH(CONCATENATE(AG$4,AG$5,AG$6,AG$7),'SHIP CURVES'!$A$9:$AZ$9,0))</f>
        <v>0</v>
      </c>
      <c r="AF176" s="209">
        <f>-Y176*INDEX(port_processing_fee,MATCH(AC176,PORTS!$H$626:$H$933,0),MATCH(AG$5,PORTS!$H$626:$Z$626,0))</f>
        <v>0</v>
      </c>
      <c r="AG176" s="405">
        <f>(((VLOOKUP(AC176,curvecalc,4,0))*IF(W176=0,0,AA176/W176)-INDEX(ship_curves,MATCH(AC176,'SHIP CURVES'!$A$9:$A$316,0),MATCH(CONCATENATE(AG$4,AG$5,AG$6,AG$7),'SHIP CURVES'!$A$9:$Z$9,0))-INDEX(terminal_curves,MATCH(AC176,'TERMINAL CURVES'!$A$4:$A$313,0),MATCH(AG$5,'TERMINAL CURVES'!$A$4:$N$4,0))*IF(W176=0,0,Y176/W176))-(AE$8)*((AE$7-$N$5)-(INDEX(ship_curves,MATCH(AC176,'SHIP CURVES'!$A$9:$A$316,0),MATCH(CONCATENATE(AG$4,AG$5,AG$6,AG$7),'SHIP CURVES'!$A$9:$Z$9,0))-INDEX(ship_curves,MATCH(AC176,'SHIP CURVES'!$A$9:$A$316,0),MATCH(CONCATENATE(AG$4,AE$6,AG$6,AG$7),'SHIP CURVES'!$A$9:$Z$9,0)))-(INDEX(terminal_curves,MATCH(AC176,'TERMINAL CURVES'!$A$4:$A$313,0),MATCH(AG$5,'TERMINAL CURVES'!$A$4:$N$4,0))-INDEX(terminal_curves,MATCH(AC176,'TERMINAL CURVES'!$A$4:$A$313,0),MATCH(AE$6,'TERMINAL CURVES'!$A$4:$N$4,0)))*IF(W176=0,0,Y176/W176)))*-W176</f>
        <v>0</v>
      </c>
      <c r="AH176" s="343">
        <f t="shared" si="77"/>
        <v>0</v>
      </c>
      <c r="AI176" s="338">
        <f>(-Y176/((HLOOKUP(AG$5,port_specs,2,0)/(365.25))*(AC177-AC176)))*(INDEX(fixed_capacity_charge,MATCH(AC176,PORTS!$H$11:$H$317,0),MATCH(AG$5,PORTS!$H$11:$N$11,0))+INDEX(variable_om_charge,MATCH(AC176,PORTS!$H$318:$H$625,0),MATCH(AG$5,PORTS!$H$318:$N$318,0)))</f>
        <v>0</v>
      </c>
      <c r="AJ176" s="232">
        <f t="shared" si="78"/>
        <v>0</v>
      </c>
      <c r="AK176" s="241">
        <f t="shared" si="79"/>
        <v>0</v>
      </c>
      <c r="AM176" s="186">
        <f t="shared" si="90"/>
        <v>41518</v>
      </c>
      <c r="AN176" s="215">
        <f t="shared" si="80"/>
        <v>5221704.655509592</v>
      </c>
      <c r="AO176" s="191">
        <f t="shared" si="81"/>
        <v>-54827.898882850073</v>
      </c>
      <c r="AP176" s="218">
        <f>+IF(AND(AO$8&lt;=AM176,AO$9&gt;=AM176),+MIN($B176-SUMIF($H$17:AO$17,AP$17,$H176:AO176),((INDEX(ROUTE_PER_DAY_BY_SHIP,MATCH(CONCATENATE(AO$4,AO$5,AO$7),ROUTE_PER_DAY_ROUTES,0),MATCH(AO$6,ROUTE_PER_DAY_SHIPS,0))*(AM177-AM176))-(INDEX(ROUTE_PER_DAY_BY_SHIP,MATCH(CONCATENATE(AO$4,AO$5,AO$7),ROUTE_PER_DAY_ROUTES,0),MATCH(AO$6,ROUTE_PER_DAY_SHIPS,0))*(AM177-AM176))*HLOOKUP(AO$6,SHIPS,7,0)*INDEX(LADEN_VOYAGE_DAYS,MATCH(CONCATENATE(AO$4,AO$5,AO$7),LADEN_VOYAGE_ROUTES,0),MATCH(AO$6,LADEN_VOYAGE_SHIPS,0)))),0)</f>
        <v>5166876.756626742</v>
      </c>
      <c r="AQ176" s="118">
        <f>-(AP176)*PORTS!$I$6</f>
        <v>-129171.91891566856</v>
      </c>
      <c r="AR176" s="215">
        <f t="shared" si="63"/>
        <v>5037704.8377110735</v>
      </c>
      <c r="AS176" s="202"/>
      <c r="AT176" s="186">
        <f t="shared" si="91"/>
        <v>41518</v>
      </c>
      <c r="AU176" s="232">
        <f>+AR176*(VLOOKUP(AT176,CURVECALC!$C$6:$J$312,4,0)+AV$5)</f>
        <v>18362434.133456863</v>
      </c>
      <c r="AV176" s="208">
        <f>-AN176*INDEX(ship_curves,MATCH(AT176,'SHIP CURVES'!$A$9:$A$316,0),MATCH(CONCATENATE(AX$4,AX$5,AX$6,AX$7),'SHIP CURVES'!$A$9:$AZ$9,0))</f>
        <v>-1758901.3340651863</v>
      </c>
      <c r="AW176" s="209">
        <f>-AP176*INDEX(port_processing_fee,MATCH(AT176,PORTS!$H$626:$H$933,0),MATCH(AX$5,PORTS!$H$626:$Z$626,0))</f>
        <v>-161339.8140682372</v>
      </c>
      <c r="AX176" s="405">
        <f>(((VLOOKUP(AT176,curvecalc,4,0))*IF(AN176=0,0,AR176/AN176)-INDEX(ship_curves,MATCH(AT176,'SHIP CURVES'!$A$9:$A$316,0),MATCH(CONCATENATE(AX$4,AX$5,AX$6,AX$7),'SHIP CURVES'!$A$9:$Z$9,0))-INDEX(terminal_curves,MATCH(AT176,'TERMINAL CURVES'!$A$4:$A$313,0),MATCH(AX$5,'TERMINAL CURVES'!$A$4:$N$4,0))*IF(AN176=0,0,AP176/AN176))-(AV$8)*((AV$7-$N$5)-(INDEX(ship_curves,MATCH(AT176,'SHIP CURVES'!$A$9:$A$316,0),MATCH(CONCATENATE(AX$4,AX$5,AX$6,AX$7),'SHIP CURVES'!$A$9:$Z$9,0))-INDEX(ship_curves,MATCH(AT176,'SHIP CURVES'!$A$9:$A$316,0),MATCH(CONCATENATE(AX$4,AV$6,AX$6,AX$7),'SHIP CURVES'!$A$9:$Z$9,0)))-(INDEX(terminal_curves,MATCH(AT176,'TERMINAL CURVES'!$A$4:$A$313,0),MATCH(AX$5,'TERMINAL CURVES'!$A$4:$N$4,0))-INDEX(terminal_curves,MATCH(AT176,'TERMINAL CURVES'!$A$4:$A$313,0),MATCH(AV$6,'TERMINAL CURVES'!$A$4:$N$4,0)))*IF(AN176=0,0,AP176/AN176)))*-AN176</f>
        <v>-15319155.290982973</v>
      </c>
      <c r="AY176" s="343">
        <f t="shared" si="82"/>
        <v>-17239396.439116396</v>
      </c>
      <c r="AZ176" s="338">
        <f>(-AP176/((HLOOKUP(AX$5,port_specs,2,0)/(365.25))*(AT177-AT176)))*(INDEX(fixed_capacity_charge,MATCH(AT176,PORTS!$H$11:$H$317,0),MATCH(AX$5,PORTS!$H$11:$N$11,0))+INDEX(variable_om_charge,MATCH(AT176,PORTS!$H$318:$H$625,0),MATCH(AX$5,PORTS!$H$318:$N$318,0)))</f>
        <v>-1022283.5975862432</v>
      </c>
      <c r="BA176" s="232">
        <f t="shared" si="83"/>
        <v>-18261680.03670264</v>
      </c>
      <c r="BB176" s="241">
        <f t="shared" si="84"/>
        <v>100754.09675422311</v>
      </c>
      <c r="BC176" s="408"/>
      <c r="BD176" s="338">
        <f>+PORTS!I170+PORTS!I478</f>
        <v>1022283.5975862432</v>
      </c>
    </row>
    <row r="177" spans="1:56" x14ac:dyDescent="0.2">
      <c r="A177" s="186">
        <f t="shared" si="85"/>
        <v>41548</v>
      </c>
      <c r="B177" s="215">
        <f>+IF(AND($A177&gt;=$C$8,$A177&lt;=$C$9),1,0)*PORTS!$I$5/(365.25)*(A178-A177)</f>
        <v>5339105.9818476336</v>
      </c>
      <c r="C177" s="351">
        <f t="shared" si="64"/>
        <v>0</v>
      </c>
      <c r="D177">
        <f t="shared" si="65"/>
        <v>2013</v>
      </c>
      <c r="E177" s="186">
        <f t="shared" si="86"/>
        <v>41548</v>
      </c>
      <c r="F177" s="215">
        <f t="shared" si="66"/>
        <v>0</v>
      </c>
      <c r="G177" s="191">
        <f t="shared" si="67"/>
        <v>0</v>
      </c>
      <c r="H177" s="218">
        <f t="shared" si="68"/>
        <v>0</v>
      </c>
      <c r="I177" s="118">
        <f t="shared" si="69"/>
        <v>0</v>
      </c>
      <c r="J177" s="215">
        <f t="shared" si="70"/>
        <v>0</v>
      </c>
      <c r="K177" s="202"/>
      <c r="L177" s="186">
        <f t="shared" si="87"/>
        <v>41548</v>
      </c>
      <c r="M177" s="400">
        <f>+J177*(VLOOKUP(L177,CURVECALC!$C$6:$J$312,4,0)+N$5)</f>
        <v>0</v>
      </c>
      <c r="N177" s="208">
        <f>-F177*INDEX(ship_curves,MATCH(L177,'SHIP CURVES'!$A$9:$A$316,0),MATCH(CONCATENATE(P$4,P$5,P$6,P$7),'SHIP CURVES'!$A$9:$AZ$9,0))</f>
        <v>0</v>
      </c>
      <c r="O177" s="209">
        <f>-H177*INDEX(port_processing_fee,MATCH(L177,PORTS!$H$626:$H$933,0),MATCH(P$5,PORTS!$H$626:$Z$626,0))</f>
        <v>0</v>
      </c>
      <c r="P177" s="405">
        <f>(((VLOOKUP(L177,curvecalc,4,0))*IF(F177=0,0,J177/F177)-INDEX(ship_curves,MATCH(L177,'SHIP CURVES'!$A$9:$A$316,0),MATCH(CONCATENATE(P$4,P$5,P$6,P$7),'SHIP CURVES'!$A$9:$Z$9,0))-INDEX(terminal_curves,MATCH(L177,'TERMINAL CURVES'!$A$4:$A$313,0),MATCH(P$5,'TERMINAL CURVES'!$A$4:$N$4,0))*IF(F177=0,0,H177/F177))-(N$8)*((N$7-$N$5)-(INDEX(ship_curves,MATCH(L177,'SHIP CURVES'!$A$9:$A$316,0),MATCH(CONCATENATE(P$4,P$5,P$6,P$7),'SHIP CURVES'!$A$9:$Z$9,0))-INDEX(ship_curves,MATCH(L177,'SHIP CURVES'!$A$9:$A$316,0),MATCH(CONCATENATE(P$4,N$6,P$6,P$7),'SHIP CURVES'!$A$9:$Z$9,0)))-(INDEX(terminal_curves,MATCH(L177,'TERMINAL CURVES'!$A$4:$A$313,0),MATCH(P$5,'TERMINAL CURVES'!$A$4:$N$4,0))-INDEX(terminal_curves,MATCH(L177,'TERMINAL CURVES'!$A$4:$A$313,0),MATCH(N$6,'TERMINAL CURVES'!$A$4:$N$4,0)))*IF(F177=0,0,H177/F177)))*-F177</f>
        <v>0</v>
      </c>
      <c r="Q177" s="403">
        <f t="shared" si="71"/>
        <v>0</v>
      </c>
      <c r="R177" s="338">
        <f>(-H177/((HLOOKUP(P$5,port_specs,2,0)/(365.25))*(L178-L177)))*(INDEX(fixed_capacity_charge,MATCH(L177,PORTS!$H$11:$H$317,0),MATCH(P$5,PORTS!$H$11:$N$11,0))+INDEX(variable_om_charge,MATCH(L177,PORTS!$H$318:$H$625,0),MATCH(P$5,PORTS!$H$318:$N$318,0)))</f>
        <v>0</v>
      </c>
      <c r="S177" s="232">
        <f t="shared" si="72"/>
        <v>0</v>
      </c>
      <c r="T177" s="241">
        <f t="shared" si="73"/>
        <v>0</v>
      </c>
      <c r="V177" s="186">
        <f t="shared" si="88"/>
        <v>41548</v>
      </c>
      <c r="W177" s="215">
        <f t="shared" si="74"/>
        <v>0</v>
      </c>
      <c r="X177" s="191">
        <f t="shared" si="75"/>
        <v>0</v>
      </c>
      <c r="Y177" s="218">
        <f>+IF(AND(X$8&lt;=V177,X$9&gt;=V177),+MIN($B177-SUMIF($H$17:X$17,Y$17,$H177:X177),((INDEX(ROUTE_PER_DAY_BY_SHIP,MATCH(CONCATENATE(X$4,X$5,X$7),ROUTE_PER_DAY_ROUTES,0),MATCH(X$6,ROUTE_PER_DAY_SHIPS,0))*(V178-V177))-(INDEX(ROUTE_PER_DAY_BY_SHIP,MATCH(CONCATENATE(X$4,X$5,X$7),ROUTE_PER_DAY_ROUTES,0),MATCH(X$6,ROUTE_PER_DAY_SHIPS,0))*(V178-V177))*HLOOKUP(X$6,SHIPS,7,0)*INDEX(LADEN_VOYAGE_DAYS,MATCH(CONCATENATE(X$4,X$5,X$7),LADEN_VOYAGE_ROUTES,0),MATCH(X$6,LADEN_VOYAGE_SHIPS,0)))),0)</f>
        <v>0</v>
      </c>
      <c r="Z177" s="118">
        <f t="shared" si="76"/>
        <v>0</v>
      </c>
      <c r="AA177" s="215">
        <f t="shared" si="62"/>
        <v>0</v>
      </c>
      <c r="AB177" s="202"/>
      <c r="AC177" s="186">
        <f t="shared" si="89"/>
        <v>41548</v>
      </c>
      <c r="AD177" s="232">
        <f>+AA177*(VLOOKUP(AC177,CURVECALC!$C$6:$J$312,4,0)+AE$5)</f>
        <v>0</v>
      </c>
      <c r="AE177" s="208">
        <f>-W177*INDEX(ship_curves,MATCH(AC177,'SHIP CURVES'!$A$9:$A$316,0),MATCH(CONCATENATE(AG$4,AG$5,AG$6,AG$7),'SHIP CURVES'!$A$9:$AZ$9,0))</f>
        <v>0</v>
      </c>
      <c r="AF177" s="209">
        <f>-Y177*INDEX(port_processing_fee,MATCH(AC177,PORTS!$H$626:$H$933,0),MATCH(AG$5,PORTS!$H$626:$Z$626,0))</f>
        <v>0</v>
      </c>
      <c r="AG177" s="405">
        <f>(((VLOOKUP(AC177,curvecalc,4,0))*IF(W177=0,0,AA177/W177)-INDEX(ship_curves,MATCH(AC177,'SHIP CURVES'!$A$9:$A$316,0),MATCH(CONCATENATE(AG$4,AG$5,AG$6,AG$7),'SHIP CURVES'!$A$9:$Z$9,0))-INDEX(terminal_curves,MATCH(AC177,'TERMINAL CURVES'!$A$4:$A$313,0),MATCH(AG$5,'TERMINAL CURVES'!$A$4:$N$4,0))*IF(W177=0,0,Y177/W177))-(AE$8)*((AE$7-$N$5)-(INDEX(ship_curves,MATCH(AC177,'SHIP CURVES'!$A$9:$A$316,0),MATCH(CONCATENATE(AG$4,AG$5,AG$6,AG$7),'SHIP CURVES'!$A$9:$Z$9,0))-INDEX(ship_curves,MATCH(AC177,'SHIP CURVES'!$A$9:$A$316,0),MATCH(CONCATENATE(AG$4,AE$6,AG$6,AG$7),'SHIP CURVES'!$A$9:$Z$9,0)))-(INDEX(terminal_curves,MATCH(AC177,'TERMINAL CURVES'!$A$4:$A$313,0),MATCH(AG$5,'TERMINAL CURVES'!$A$4:$N$4,0))-INDEX(terminal_curves,MATCH(AC177,'TERMINAL CURVES'!$A$4:$A$313,0),MATCH(AE$6,'TERMINAL CURVES'!$A$4:$N$4,0)))*IF(W177=0,0,Y177/W177)))*-W177</f>
        <v>0</v>
      </c>
      <c r="AH177" s="343">
        <f t="shared" si="77"/>
        <v>0</v>
      </c>
      <c r="AI177" s="338">
        <f>(-Y177/((HLOOKUP(AG$5,port_specs,2,0)/(365.25))*(AC178-AC177)))*(INDEX(fixed_capacity_charge,MATCH(AC177,PORTS!$H$11:$H$317,0),MATCH(AG$5,PORTS!$H$11:$N$11,0))+INDEX(variable_om_charge,MATCH(AC177,PORTS!$H$318:$H$625,0),MATCH(AG$5,PORTS!$H$318:$N$318,0)))</f>
        <v>0</v>
      </c>
      <c r="AJ177" s="232">
        <f t="shared" si="78"/>
        <v>0</v>
      </c>
      <c r="AK177" s="241">
        <f t="shared" si="79"/>
        <v>0</v>
      </c>
      <c r="AM177" s="186">
        <f t="shared" si="90"/>
        <v>41548</v>
      </c>
      <c r="AN177" s="215">
        <f t="shared" si="80"/>
        <v>5395761.4773599124</v>
      </c>
      <c r="AO177" s="191">
        <f t="shared" si="81"/>
        <v>-56655.495512278751</v>
      </c>
      <c r="AP177" s="218">
        <f>+IF(AND(AO$8&lt;=AM177,AO$9&gt;=AM177),+MIN($B177-SUMIF($H$17:AO$17,AP$17,$H177:AO177),((INDEX(ROUTE_PER_DAY_BY_SHIP,MATCH(CONCATENATE(AO$4,AO$5,AO$7),ROUTE_PER_DAY_ROUTES,0),MATCH(AO$6,ROUTE_PER_DAY_SHIPS,0))*(AM178-AM177))-(INDEX(ROUTE_PER_DAY_BY_SHIP,MATCH(CONCATENATE(AO$4,AO$5,AO$7),ROUTE_PER_DAY_ROUTES,0),MATCH(AO$6,ROUTE_PER_DAY_SHIPS,0))*(AM178-AM177))*HLOOKUP(AO$6,SHIPS,7,0)*INDEX(LADEN_VOYAGE_DAYS,MATCH(CONCATENATE(AO$4,AO$5,AO$7),LADEN_VOYAGE_ROUTES,0),MATCH(AO$6,LADEN_VOYAGE_SHIPS,0)))),0)</f>
        <v>5339105.9818476336</v>
      </c>
      <c r="AQ177" s="118">
        <f>-(AP177)*PORTS!$I$6</f>
        <v>-133477.64954619083</v>
      </c>
      <c r="AR177" s="215">
        <f t="shared" si="63"/>
        <v>5205628.3323014425</v>
      </c>
      <c r="AS177" s="202"/>
      <c r="AT177" s="186">
        <f t="shared" si="91"/>
        <v>41548</v>
      </c>
      <c r="AU177" s="232">
        <f>+AR177*(VLOOKUP(AT177,CURVECALC!$C$6:$J$312,4,0)+AV$5)</f>
        <v>19026571.554561771</v>
      </c>
      <c r="AV177" s="208">
        <f>-AN177*INDEX(ship_curves,MATCH(AT177,'SHIP CURVES'!$A$9:$A$316,0),MATCH(CONCATENATE(AX$4,AX$5,AX$6,AX$7),'SHIP CURVES'!$A$9:$AZ$9,0))</f>
        <v>-1818122.2194746884</v>
      </c>
      <c r="AW177" s="209">
        <f>-AP177*INDEX(port_processing_fee,MATCH(AT177,PORTS!$H$626:$H$933,0),MATCH(AX$5,PORTS!$H$626:$Z$626,0))</f>
        <v>-166891.47225371021</v>
      </c>
      <c r="AX177" s="405">
        <f>(((VLOOKUP(AT177,curvecalc,4,0))*IF(AN177=0,0,AR177/AN177)-INDEX(ship_curves,MATCH(AT177,'SHIP CURVES'!$A$9:$A$316,0),MATCH(CONCATENATE(AX$4,AX$5,AX$6,AX$7),'SHIP CURVES'!$A$9:$Z$9,0))-INDEX(terminal_curves,MATCH(AT177,'TERMINAL CURVES'!$A$4:$A$313,0),MATCH(AX$5,'TERMINAL CURVES'!$A$4:$N$4,0))*IF(AN177=0,0,AP177/AN177))-(AV$8)*((AV$7-$N$5)-(INDEX(ship_curves,MATCH(AT177,'SHIP CURVES'!$A$9:$A$316,0),MATCH(CONCATENATE(AX$4,AX$5,AX$6,AX$7),'SHIP CURVES'!$A$9:$Z$9,0))-INDEX(ship_curves,MATCH(AT177,'SHIP CURVES'!$A$9:$A$316,0),MATCH(CONCATENATE(AX$4,AV$6,AX$6,AX$7),'SHIP CURVES'!$A$9:$Z$9,0)))-(INDEX(terminal_curves,MATCH(AT177,'TERMINAL CURVES'!$A$4:$A$313,0),MATCH(AX$5,'TERMINAL CURVES'!$A$4:$N$4,0))-INDEX(terminal_curves,MATCH(AT177,'TERMINAL CURVES'!$A$4:$A$313,0),MATCH(AV$6,'TERMINAL CURVES'!$A$4:$N$4,0)))*IF(AN177=0,0,AP177/AN177)))*-AN177</f>
        <v>-15914602.222531643</v>
      </c>
      <c r="AY177" s="343">
        <f t="shared" si="82"/>
        <v>-17899615.914260041</v>
      </c>
      <c r="AZ177" s="338">
        <f>(-AP177/((HLOOKUP(AX$5,port_specs,2,0)/(365.25))*(AT178-AT177)))*(INDEX(fixed_capacity_charge,MATCH(AT177,PORTS!$H$11:$H$317,0),MATCH(AX$5,PORTS!$H$11:$N$11,0))+INDEX(variable_om_charge,MATCH(AT177,PORTS!$H$318:$H$625,0),MATCH(AX$5,PORTS!$H$318:$N$318,0)))</f>
        <v>-1022843.0736556994</v>
      </c>
      <c r="BA177" s="232">
        <f t="shared" si="83"/>
        <v>-18922458.987915739</v>
      </c>
      <c r="BB177" s="241">
        <f t="shared" si="84"/>
        <v>104112.56664603204</v>
      </c>
      <c r="BC177" s="408"/>
      <c r="BD177" s="338">
        <f>+PORTS!I171+PORTS!I479</f>
        <v>1022843.0736556994</v>
      </c>
    </row>
    <row r="178" spans="1:56" x14ac:dyDescent="0.2">
      <c r="A178" s="186">
        <f t="shared" si="85"/>
        <v>41579</v>
      </c>
      <c r="B178" s="215">
        <f>+IF(AND($A178&gt;=$C$8,$A178&lt;=$C$9),1,0)*PORTS!$I$5/(365.25)*(A179-A178)</f>
        <v>5166876.756626742</v>
      </c>
      <c r="C178" s="351">
        <f t="shared" si="64"/>
        <v>0</v>
      </c>
      <c r="D178">
        <f t="shared" si="65"/>
        <v>2013</v>
      </c>
      <c r="E178" s="186">
        <f t="shared" si="86"/>
        <v>41579</v>
      </c>
      <c r="F178" s="215">
        <f t="shared" si="66"/>
        <v>0</v>
      </c>
      <c r="G178" s="191">
        <f t="shared" si="67"/>
        <v>0</v>
      </c>
      <c r="H178" s="218">
        <f t="shared" si="68"/>
        <v>0</v>
      </c>
      <c r="I178" s="118">
        <f t="shared" si="69"/>
        <v>0</v>
      </c>
      <c r="J178" s="215">
        <f t="shared" si="70"/>
        <v>0</v>
      </c>
      <c r="K178" s="202"/>
      <c r="L178" s="186">
        <f t="shared" si="87"/>
        <v>41579</v>
      </c>
      <c r="M178" s="400">
        <f>+J178*(VLOOKUP(L178,CURVECALC!$C$6:$J$312,4,0)+N$5)</f>
        <v>0</v>
      </c>
      <c r="N178" s="208">
        <f>-F178*INDEX(ship_curves,MATCH(L178,'SHIP CURVES'!$A$9:$A$316,0),MATCH(CONCATENATE(P$4,P$5,P$6,P$7),'SHIP CURVES'!$A$9:$AZ$9,0))</f>
        <v>0</v>
      </c>
      <c r="O178" s="209">
        <f>-H178*INDEX(port_processing_fee,MATCH(L178,PORTS!$H$626:$H$933,0),MATCH(P$5,PORTS!$H$626:$Z$626,0))</f>
        <v>0</v>
      </c>
      <c r="P178" s="405">
        <f>(((VLOOKUP(L178,curvecalc,4,0))*IF(F178=0,0,J178/F178)-INDEX(ship_curves,MATCH(L178,'SHIP CURVES'!$A$9:$A$316,0),MATCH(CONCATENATE(P$4,P$5,P$6,P$7),'SHIP CURVES'!$A$9:$Z$9,0))-INDEX(terminal_curves,MATCH(L178,'TERMINAL CURVES'!$A$4:$A$313,0),MATCH(P$5,'TERMINAL CURVES'!$A$4:$N$4,0))*IF(F178=0,0,H178/F178))-(N$8)*((N$7-$N$5)-(INDEX(ship_curves,MATCH(L178,'SHIP CURVES'!$A$9:$A$316,0),MATCH(CONCATENATE(P$4,P$5,P$6,P$7),'SHIP CURVES'!$A$9:$Z$9,0))-INDEX(ship_curves,MATCH(L178,'SHIP CURVES'!$A$9:$A$316,0),MATCH(CONCATENATE(P$4,N$6,P$6,P$7),'SHIP CURVES'!$A$9:$Z$9,0)))-(INDEX(terminal_curves,MATCH(L178,'TERMINAL CURVES'!$A$4:$A$313,0),MATCH(P$5,'TERMINAL CURVES'!$A$4:$N$4,0))-INDEX(terminal_curves,MATCH(L178,'TERMINAL CURVES'!$A$4:$A$313,0),MATCH(N$6,'TERMINAL CURVES'!$A$4:$N$4,0)))*IF(F178=0,0,H178/F178)))*-F178</f>
        <v>0</v>
      </c>
      <c r="Q178" s="403">
        <f t="shared" si="71"/>
        <v>0</v>
      </c>
      <c r="R178" s="338">
        <f>(-H178/((HLOOKUP(P$5,port_specs,2,0)/(365.25))*(L179-L178)))*(INDEX(fixed_capacity_charge,MATCH(L178,PORTS!$H$11:$H$317,0),MATCH(P$5,PORTS!$H$11:$N$11,0))+INDEX(variable_om_charge,MATCH(L178,PORTS!$H$318:$H$625,0),MATCH(P$5,PORTS!$H$318:$N$318,0)))</f>
        <v>0</v>
      </c>
      <c r="S178" s="232">
        <f t="shared" si="72"/>
        <v>0</v>
      </c>
      <c r="T178" s="241">
        <f t="shared" si="73"/>
        <v>0</v>
      </c>
      <c r="V178" s="186">
        <f t="shared" si="88"/>
        <v>41579</v>
      </c>
      <c r="W178" s="215">
        <f t="shared" si="74"/>
        <v>0</v>
      </c>
      <c r="X178" s="191">
        <f t="shared" si="75"/>
        <v>0</v>
      </c>
      <c r="Y178" s="218">
        <f>+IF(AND(X$8&lt;=V178,X$9&gt;=V178),+MIN($B178-SUMIF($H$17:X$17,Y$17,$H178:X178),((INDEX(ROUTE_PER_DAY_BY_SHIP,MATCH(CONCATENATE(X$4,X$5,X$7),ROUTE_PER_DAY_ROUTES,0),MATCH(X$6,ROUTE_PER_DAY_SHIPS,0))*(V179-V178))-(INDEX(ROUTE_PER_DAY_BY_SHIP,MATCH(CONCATENATE(X$4,X$5,X$7),ROUTE_PER_DAY_ROUTES,0),MATCH(X$6,ROUTE_PER_DAY_SHIPS,0))*(V179-V178))*HLOOKUP(X$6,SHIPS,7,0)*INDEX(LADEN_VOYAGE_DAYS,MATCH(CONCATENATE(X$4,X$5,X$7),LADEN_VOYAGE_ROUTES,0),MATCH(X$6,LADEN_VOYAGE_SHIPS,0)))),0)</f>
        <v>0</v>
      </c>
      <c r="Z178" s="118">
        <f t="shared" si="76"/>
        <v>0</v>
      </c>
      <c r="AA178" s="215">
        <f t="shared" si="62"/>
        <v>0</v>
      </c>
      <c r="AB178" s="202"/>
      <c r="AC178" s="186">
        <f t="shared" si="89"/>
        <v>41579</v>
      </c>
      <c r="AD178" s="232">
        <f>+AA178*(VLOOKUP(AC178,CURVECALC!$C$6:$J$312,4,0)+AE$5)</f>
        <v>0</v>
      </c>
      <c r="AE178" s="208">
        <f>-W178*INDEX(ship_curves,MATCH(AC178,'SHIP CURVES'!$A$9:$A$316,0),MATCH(CONCATENATE(AG$4,AG$5,AG$6,AG$7),'SHIP CURVES'!$A$9:$AZ$9,0))</f>
        <v>0</v>
      </c>
      <c r="AF178" s="209">
        <f>-Y178*INDEX(port_processing_fee,MATCH(AC178,PORTS!$H$626:$H$933,0),MATCH(AG$5,PORTS!$H$626:$Z$626,0))</f>
        <v>0</v>
      </c>
      <c r="AG178" s="405">
        <f>(((VLOOKUP(AC178,curvecalc,4,0))*IF(W178=0,0,AA178/W178)-INDEX(ship_curves,MATCH(AC178,'SHIP CURVES'!$A$9:$A$316,0),MATCH(CONCATENATE(AG$4,AG$5,AG$6,AG$7),'SHIP CURVES'!$A$9:$Z$9,0))-INDEX(terminal_curves,MATCH(AC178,'TERMINAL CURVES'!$A$4:$A$313,0),MATCH(AG$5,'TERMINAL CURVES'!$A$4:$N$4,0))*IF(W178=0,0,Y178/W178))-(AE$8)*((AE$7-$N$5)-(INDEX(ship_curves,MATCH(AC178,'SHIP CURVES'!$A$9:$A$316,0),MATCH(CONCATENATE(AG$4,AG$5,AG$6,AG$7),'SHIP CURVES'!$A$9:$Z$9,0))-INDEX(ship_curves,MATCH(AC178,'SHIP CURVES'!$A$9:$A$316,0),MATCH(CONCATENATE(AG$4,AE$6,AG$6,AG$7),'SHIP CURVES'!$A$9:$Z$9,0)))-(INDEX(terminal_curves,MATCH(AC178,'TERMINAL CURVES'!$A$4:$A$313,0),MATCH(AG$5,'TERMINAL CURVES'!$A$4:$N$4,0))-INDEX(terminal_curves,MATCH(AC178,'TERMINAL CURVES'!$A$4:$A$313,0),MATCH(AE$6,'TERMINAL CURVES'!$A$4:$N$4,0)))*IF(W178=0,0,Y178/W178)))*-W178</f>
        <v>0</v>
      </c>
      <c r="AH178" s="343">
        <f t="shared" si="77"/>
        <v>0</v>
      </c>
      <c r="AI178" s="338">
        <f>(-Y178/((HLOOKUP(AG$5,port_specs,2,0)/(365.25))*(AC179-AC178)))*(INDEX(fixed_capacity_charge,MATCH(AC178,PORTS!$H$11:$H$317,0),MATCH(AG$5,PORTS!$H$11:$N$11,0))+INDEX(variable_om_charge,MATCH(AC178,PORTS!$H$318:$H$625,0),MATCH(AG$5,PORTS!$H$318:$N$318,0)))</f>
        <v>0</v>
      </c>
      <c r="AJ178" s="232">
        <f t="shared" si="78"/>
        <v>0</v>
      </c>
      <c r="AK178" s="241">
        <f t="shared" si="79"/>
        <v>0</v>
      </c>
      <c r="AM178" s="186">
        <f t="shared" si="90"/>
        <v>41579</v>
      </c>
      <c r="AN178" s="215">
        <f t="shared" si="80"/>
        <v>5221704.655509592</v>
      </c>
      <c r="AO178" s="191">
        <f t="shared" si="81"/>
        <v>-54827.898882850073</v>
      </c>
      <c r="AP178" s="218">
        <f>+IF(AND(AO$8&lt;=AM178,AO$9&gt;=AM178),+MIN($B178-SUMIF($H$17:AO$17,AP$17,$H178:AO178),((INDEX(ROUTE_PER_DAY_BY_SHIP,MATCH(CONCATENATE(AO$4,AO$5,AO$7),ROUTE_PER_DAY_ROUTES,0),MATCH(AO$6,ROUTE_PER_DAY_SHIPS,0))*(AM179-AM178))-(INDEX(ROUTE_PER_DAY_BY_SHIP,MATCH(CONCATENATE(AO$4,AO$5,AO$7),ROUTE_PER_DAY_ROUTES,0),MATCH(AO$6,ROUTE_PER_DAY_SHIPS,0))*(AM179-AM178))*HLOOKUP(AO$6,SHIPS,7,0)*INDEX(LADEN_VOYAGE_DAYS,MATCH(CONCATENATE(AO$4,AO$5,AO$7),LADEN_VOYAGE_ROUTES,0),MATCH(AO$6,LADEN_VOYAGE_SHIPS,0)))),0)</f>
        <v>5166876.756626742</v>
      </c>
      <c r="AQ178" s="118">
        <f>-(AP178)*PORTS!$I$6</f>
        <v>-129171.91891566856</v>
      </c>
      <c r="AR178" s="215">
        <f t="shared" si="63"/>
        <v>5037704.8377110735</v>
      </c>
      <c r="AS178" s="202"/>
      <c r="AT178" s="186">
        <f t="shared" si="91"/>
        <v>41579</v>
      </c>
      <c r="AU178" s="232">
        <f>+AR178*(VLOOKUP(AT178,CURVECALC!$C$6:$J$312,4,0)+AV$5)</f>
        <v>18710035.767258927</v>
      </c>
      <c r="AV178" s="208">
        <f>-AN178*INDEX(ship_curves,MATCH(AT178,'SHIP CURVES'!$A$9:$A$316,0),MATCH(CONCATENATE(AX$4,AX$5,AX$6,AX$7),'SHIP CURVES'!$A$9:$AZ$9,0))</f>
        <v>-1760046.0883877194</v>
      </c>
      <c r="AW178" s="209">
        <f>-AP178*INDEX(port_processing_fee,MATCH(AT178,PORTS!$H$626:$H$933,0),MATCH(AX$5,PORTS!$H$626:$Z$626,0))</f>
        <v>-161676.11374578177</v>
      </c>
      <c r="AX178" s="405">
        <f>(((VLOOKUP(AT178,curvecalc,4,0))*IF(AN178=0,0,AR178/AN178)-INDEX(ship_curves,MATCH(AT178,'SHIP CURVES'!$A$9:$A$316,0),MATCH(CONCATENATE(AX$4,AX$5,AX$6,AX$7),'SHIP CURVES'!$A$9:$Z$9,0))-INDEX(terminal_curves,MATCH(AT178,'TERMINAL CURVES'!$A$4:$A$313,0),MATCH(AX$5,'TERMINAL CURVES'!$A$4:$N$4,0))*IF(AN178=0,0,AP178/AN178))-(AV$8)*((AV$7-$N$5)-(INDEX(ship_curves,MATCH(AT178,'SHIP CURVES'!$A$9:$A$316,0),MATCH(CONCATENATE(AX$4,AX$5,AX$6,AX$7),'SHIP CURVES'!$A$9:$Z$9,0))-INDEX(ship_curves,MATCH(AT178,'SHIP CURVES'!$A$9:$A$316,0),MATCH(CONCATENATE(AX$4,AV$6,AX$6,AX$7),'SHIP CURVES'!$A$9:$Z$9,0)))-(INDEX(terminal_curves,MATCH(AT178,'TERMINAL CURVES'!$A$4:$A$313,0),MATCH(AX$5,'TERMINAL CURVES'!$A$4:$N$4,0))-INDEX(terminal_curves,MATCH(AT178,'TERMINAL CURVES'!$A$4:$A$313,0),MATCH(AV$6,'TERMINAL CURVES'!$A$4:$N$4,0)))*IF(AN178=0,0,AP178/AN178)))*-AN178</f>
        <v>-15664156.335858475</v>
      </c>
      <c r="AY178" s="343">
        <f t="shared" si="82"/>
        <v>-17585878.537991978</v>
      </c>
      <c r="AZ178" s="338">
        <f>(-AP178/((HLOOKUP(AX$5,port_specs,2,0)/(365.25))*(AT179-AT178)))*(INDEX(fixed_capacity_charge,MATCH(AT178,PORTS!$H$11:$H$317,0),MATCH(AX$5,PORTS!$H$11:$N$11,0))+INDEX(variable_om_charge,MATCH(AT178,PORTS!$H$318:$H$625,0),MATCH(AX$5,PORTS!$H$318:$N$318,0)))</f>
        <v>-1023403.1325127278</v>
      </c>
      <c r="BA178" s="232">
        <f t="shared" si="83"/>
        <v>-18609281.670504704</v>
      </c>
      <c r="BB178" s="241">
        <f t="shared" si="84"/>
        <v>100754.09675422311</v>
      </c>
      <c r="BC178" s="408"/>
      <c r="BD178" s="338">
        <f>+PORTS!I172+PORTS!I480</f>
        <v>1023403.1325127278</v>
      </c>
    </row>
    <row r="179" spans="1:56" x14ac:dyDescent="0.2">
      <c r="A179" s="186">
        <f t="shared" si="85"/>
        <v>41609</v>
      </c>
      <c r="B179" s="215">
        <f>+IF(AND($A179&gt;=$C$8,$A179&lt;=$C$9),1,0)*PORTS!$I$5/(365.25)*(A180-A179)</f>
        <v>5339105.9818476336</v>
      </c>
      <c r="C179" s="351">
        <f t="shared" si="64"/>
        <v>0</v>
      </c>
      <c r="D179">
        <f t="shared" si="65"/>
        <v>2013</v>
      </c>
      <c r="E179" s="186">
        <f t="shared" si="86"/>
        <v>41609</v>
      </c>
      <c r="F179" s="215">
        <f t="shared" si="66"/>
        <v>0</v>
      </c>
      <c r="G179" s="191">
        <f t="shared" si="67"/>
        <v>0</v>
      </c>
      <c r="H179" s="218">
        <f t="shared" si="68"/>
        <v>0</v>
      </c>
      <c r="I179" s="118">
        <f t="shared" si="69"/>
        <v>0</v>
      </c>
      <c r="J179" s="215">
        <f t="shared" si="70"/>
        <v>0</v>
      </c>
      <c r="K179" s="202"/>
      <c r="L179" s="186">
        <f t="shared" si="87"/>
        <v>41609</v>
      </c>
      <c r="M179" s="400">
        <f>+J179*(VLOOKUP(L179,CURVECALC!$C$6:$J$312,4,0)+N$5)</f>
        <v>0</v>
      </c>
      <c r="N179" s="208">
        <f>-F179*INDEX(ship_curves,MATCH(L179,'SHIP CURVES'!$A$9:$A$316,0),MATCH(CONCATENATE(P$4,P$5,P$6,P$7),'SHIP CURVES'!$A$9:$AZ$9,0))</f>
        <v>0</v>
      </c>
      <c r="O179" s="209">
        <f>-H179*INDEX(port_processing_fee,MATCH(L179,PORTS!$H$626:$H$933,0),MATCH(P$5,PORTS!$H$626:$Z$626,0))</f>
        <v>0</v>
      </c>
      <c r="P179" s="405">
        <f>(((VLOOKUP(L179,curvecalc,4,0))*IF(F179=0,0,J179/F179)-INDEX(ship_curves,MATCH(L179,'SHIP CURVES'!$A$9:$A$316,0),MATCH(CONCATENATE(P$4,P$5,P$6,P$7),'SHIP CURVES'!$A$9:$Z$9,0))-INDEX(terminal_curves,MATCH(L179,'TERMINAL CURVES'!$A$4:$A$313,0),MATCH(P$5,'TERMINAL CURVES'!$A$4:$N$4,0))*IF(F179=0,0,H179/F179))-(N$8)*((N$7-$N$5)-(INDEX(ship_curves,MATCH(L179,'SHIP CURVES'!$A$9:$A$316,0),MATCH(CONCATENATE(P$4,P$5,P$6,P$7),'SHIP CURVES'!$A$9:$Z$9,0))-INDEX(ship_curves,MATCH(L179,'SHIP CURVES'!$A$9:$A$316,0),MATCH(CONCATENATE(P$4,N$6,P$6,P$7),'SHIP CURVES'!$A$9:$Z$9,0)))-(INDEX(terminal_curves,MATCH(L179,'TERMINAL CURVES'!$A$4:$A$313,0),MATCH(P$5,'TERMINAL CURVES'!$A$4:$N$4,0))-INDEX(terminal_curves,MATCH(L179,'TERMINAL CURVES'!$A$4:$A$313,0),MATCH(N$6,'TERMINAL CURVES'!$A$4:$N$4,0)))*IF(F179=0,0,H179/F179)))*-F179</f>
        <v>0</v>
      </c>
      <c r="Q179" s="403">
        <f t="shared" si="71"/>
        <v>0</v>
      </c>
      <c r="R179" s="338">
        <f>(-H179/((HLOOKUP(P$5,port_specs,2,0)/(365.25))*(L180-L179)))*(INDEX(fixed_capacity_charge,MATCH(L179,PORTS!$H$11:$H$317,0),MATCH(P$5,PORTS!$H$11:$N$11,0))+INDEX(variable_om_charge,MATCH(L179,PORTS!$H$318:$H$625,0),MATCH(P$5,PORTS!$H$318:$N$318,0)))</f>
        <v>0</v>
      </c>
      <c r="S179" s="232">
        <f t="shared" si="72"/>
        <v>0</v>
      </c>
      <c r="T179" s="241">
        <f t="shared" si="73"/>
        <v>0</v>
      </c>
      <c r="V179" s="186">
        <f t="shared" si="88"/>
        <v>41609</v>
      </c>
      <c r="W179" s="215">
        <f t="shared" si="74"/>
        <v>0</v>
      </c>
      <c r="X179" s="191">
        <f t="shared" si="75"/>
        <v>0</v>
      </c>
      <c r="Y179" s="218">
        <f>+IF(AND(X$8&lt;=V179,X$9&gt;=V179),+MIN($B179-SUMIF($H$17:X$17,Y$17,$H179:X179),((INDEX(ROUTE_PER_DAY_BY_SHIP,MATCH(CONCATENATE(X$4,X$5,X$7),ROUTE_PER_DAY_ROUTES,0),MATCH(X$6,ROUTE_PER_DAY_SHIPS,0))*(V180-V179))-(INDEX(ROUTE_PER_DAY_BY_SHIP,MATCH(CONCATENATE(X$4,X$5,X$7),ROUTE_PER_DAY_ROUTES,0),MATCH(X$6,ROUTE_PER_DAY_SHIPS,0))*(V180-V179))*HLOOKUP(X$6,SHIPS,7,0)*INDEX(LADEN_VOYAGE_DAYS,MATCH(CONCATENATE(X$4,X$5,X$7),LADEN_VOYAGE_ROUTES,0),MATCH(X$6,LADEN_VOYAGE_SHIPS,0)))),0)</f>
        <v>0</v>
      </c>
      <c r="Z179" s="118">
        <f t="shared" si="76"/>
        <v>0</v>
      </c>
      <c r="AA179" s="215">
        <f t="shared" si="62"/>
        <v>0</v>
      </c>
      <c r="AB179" s="202"/>
      <c r="AC179" s="186">
        <f t="shared" si="89"/>
        <v>41609</v>
      </c>
      <c r="AD179" s="232">
        <f>+AA179*(VLOOKUP(AC179,CURVECALC!$C$6:$J$312,4,0)+AE$5)</f>
        <v>0</v>
      </c>
      <c r="AE179" s="208">
        <f>-W179*INDEX(ship_curves,MATCH(AC179,'SHIP CURVES'!$A$9:$A$316,0),MATCH(CONCATENATE(AG$4,AG$5,AG$6,AG$7),'SHIP CURVES'!$A$9:$AZ$9,0))</f>
        <v>0</v>
      </c>
      <c r="AF179" s="209">
        <f>-Y179*INDEX(port_processing_fee,MATCH(AC179,PORTS!$H$626:$H$933,0),MATCH(AG$5,PORTS!$H$626:$Z$626,0))</f>
        <v>0</v>
      </c>
      <c r="AG179" s="405">
        <f>(((VLOOKUP(AC179,curvecalc,4,0))*IF(W179=0,0,AA179/W179)-INDEX(ship_curves,MATCH(AC179,'SHIP CURVES'!$A$9:$A$316,0),MATCH(CONCATENATE(AG$4,AG$5,AG$6,AG$7),'SHIP CURVES'!$A$9:$Z$9,0))-INDEX(terminal_curves,MATCH(AC179,'TERMINAL CURVES'!$A$4:$A$313,0),MATCH(AG$5,'TERMINAL CURVES'!$A$4:$N$4,0))*IF(W179=0,0,Y179/W179))-(AE$8)*((AE$7-$N$5)-(INDEX(ship_curves,MATCH(AC179,'SHIP CURVES'!$A$9:$A$316,0),MATCH(CONCATENATE(AG$4,AG$5,AG$6,AG$7),'SHIP CURVES'!$A$9:$Z$9,0))-INDEX(ship_curves,MATCH(AC179,'SHIP CURVES'!$A$9:$A$316,0),MATCH(CONCATENATE(AG$4,AE$6,AG$6,AG$7),'SHIP CURVES'!$A$9:$Z$9,0)))-(INDEX(terminal_curves,MATCH(AC179,'TERMINAL CURVES'!$A$4:$A$313,0),MATCH(AG$5,'TERMINAL CURVES'!$A$4:$N$4,0))-INDEX(terminal_curves,MATCH(AC179,'TERMINAL CURVES'!$A$4:$A$313,0),MATCH(AE$6,'TERMINAL CURVES'!$A$4:$N$4,0)))*IF(W179=0,0,Y179/W179)))*-W179</f>
        <v>0</v>
      </c>
      <c r="AH179" s="343">
        <f t="shared" si="77"/>
        <v>0</v>
      </c>
      <c r="AI179" s="338">
        <f>(-Y179/((HLOOKUP(AG$5,port_specs,2,0)/(365.25))*(AC180-AC179)))*(INDEX(fixed_capacity_charge,MATCH(AC179,PORTS!$H$11:$H$317,0),MATCH(AG$5,PORTS!$H$11:$N$11,0))+INDEX(variable_om_charge,MATCH(AC179,PORTS!$H$318:$H$625,0),MATCH(AG$5,PORTS!$H$318:$N$318,0)))</f>
        <v>0</v>
      </c>
      <c r="AJ179" s="232">
        <f t="shared" si="78"/>
        <v>0</v>
      </c>
      <c r="AK179" s="241">
        <f t="shared" si="79"/>
        <v>0</v>
      </c>
      <c r="AM179" s="186">
        <f t="shared" si="90"/>
        <v>41609</v>
      </c>
      <c r="AN179" s="215">
        <f t="shared" si="80"/>
        <v>5395761.4773599124</v>
      </c>
      <c r="AO179" s="191">
        <f t="shared" si="81"/>
        <v>-56655.495512278751</v>
      </c>
      <c r="AP179" s="218">
        <f>+IF(AND(AO$8&lt;=AM179,AO$9&gt;=AM179),+MIN($B179-SUMIF($H$17:AO$17,AP$17,$H179:AO179),((INDEX(ROUTE_PER_DAY_BY_SHIP,MATCH(CONCATENATE(AO$4,AO$5,AO$7),ROUTE_PER_DAY_ROUTES,0),MATCH(AO$6,ROUTE_PER_DAY_SHIPS,0))*(AM180-AM179))-(INDEX(ROUTE_PER_DAY_BY_SHIP,MATCH(CONCATENATE(AO$4,AO$5,AO$7),ROUTE_PER_DAY_ROUTES,0),MATCH(AO$6,ROUTE_PER_DAY_SHIPS,0))*(AM180-AM179))*HLOOKUP(AO$6,SHIPS,7,0)*INDEX(LADEN_VOYAGE_DAYS,MATCH(CONCATENATE(AO$4,AO$5,AO$7),LADEN_VOYAGE_ROUTES,0),MATCH(AO$6,LADEN_VOYAGE_SHIPS,0)))),0)</f>
        <v>5339105.9818476336</v>
      </c>
      <c r="AQ179" s="118">
        <f>-(AP179)*PORTS!$I$6</f>
        <v>-133477.64954619083</v>
      </c>
      <c r="AR179" s="215">
        <f t="shared" si="63"/>
        <v>5205628.3323014425</v>
      </c>
      <c r="AS179" s="202"/>
      <c r="AT179" s="186">
        <f t="shared" si="91"/>
        <v>41609</v>
      </c>
      <c r="AU179" s="232">
        <f>+AR179*(VLOOKUP(AT179,CURVECALC!$C$6:$J$312,4,0)+AV$5)</f>
        <v>19724125.751090165</v>
      </c>
      <c r="AV179" s="208">
        <f>-AN179*INDEX(ship_curves,MATCH(AT179,'SHIP CURVES'!$A$9:$A$316,0),MATCH(CONCATENATE(AX$4,AX$5,AX$6,AX$7),'SHIP CURVES'!$A$9:$AZ$9,0))</f>
        <v>-1819307.5966763056</v>
      </c>
      <c r="AW179" s="209">
        <f>-AP179*INDEX(port_processing_fee,MATCH(AT179,PORTS!$H$626:$H$933,0),MATCH(AX$5,PORTS!$H$626:$Z$626,0))</f>
        <v>-167239.34390974251</v>
      </c>
      <c r="AX179" s="405">
        <f>(((VLOOKUP(AT179,curvecalc,4,0))*IF(AN179=0,0,AR179/AN179)-INDEX(ship_curves,MATCH(AT179,'SHIP CURVES'!$A$9:$A$316,0),MATCH(CONCATENATE(AX$4,AX$5,AX$6,AX$7),'SHIP CURVES'!$A$9:$Z$9,0))-INDEX(terminal_curves,MATCH(AT179,'TERMINAL CURVES'!$A$4:$A$313,0),MATCH(AX$5,'TERMINAL CURVES'!$A$4:$N$4,0))*IF(AN179=0,0,AP179/AN179))-(AV$8)*((AV$7-$N$5)-(INDEX(ship_curves,MATCH(AT179,'SHIP CURVES'!$A$9:$A$316,0),MATCH(CONCATENATE(AX$4,AX$5,AX$6,AX$7),'SHIP CURVES'!$A$9:$Z$9,0))-INDEX(ship_curves,MATCH(AT179,'SHIP CURVES'!$A$9:$A$316,0),MATCH(CONCATENATE(AX$4,AV$6,AX$6,AX$7),'SHIP CURVES'!$A$9:$Z$9,0)))-(INDEX(terminal_curves,MATCH(AT179,'TERMINAL CURVES'!$A$4:$A$313,0),MATCH(AX$5,'TERMINAL CURVES'!$A$4:$N$4,0))-INDEX(terminal_curves,MATCH(AT179,'TERMINAL CURVES'!$A$4:$A$313,0),MATCH(AV$6,'TERMINAL CURVES'!$A$4:$N$4,0)))*IF(AN179=0,0,AP179/AN179)))*-AN179</f>
        <v>-16609502.469093692</v>
      </c>
      <c r="AY179" s="343">
        <f t="shared" si="82"/>
        <v>-18596049.409679741</v>
      </c>
      <c r="AZ179" s="338">
        <f>(-AP179/((HLOOKUP(AX$5,port_specs,2,0)/(365.25))*(AT180-AT179)))*(INDEX(fixed_capacity_charge,MATCH(AT179,PORTS!$H$11:$H$317,0),MATCH(AX$5,PORTS!$H$11:$N$11,0))+INDEX(variable_om_charge,MATCH(AT179,PORTS!$H$318:$H$625,0),MATCH(AX$5,PORTS!$H$318:$N$318,0)))</f>
        <v>-1023963.774764399</v>
      </c>
      <c r="BA179" s="232">
        <f t="shared" si="83"/>
        <v>-19620013.184444141</v>
      </c>
      <c r="BB179" s="241">
        <f t="shared" si="84"/>
        <v>104112.56664602458</v>
      </c>
      <c r="BC179" s="408"/>
      <c r="BD179" s="338">
        <f>+PORTS!I173+PORTS!I481</f>
        <v>1023963.774764399</v>
      </c>
    </row>
    <row r="180" spans="1:56" x14ac:dyDescent="0.2">
      <c r="A180" s="186">
        <f t="shared" si="85"/>
        <v>41640</v>
      </c>
      <c r="B180" s="215">
        <f>+IF(AND($A180&gt;=$C$8,$A180&lt;=$C$9),1,0)*PORTS!$I$5/(365.25)*(A181-A180)</f>
        <v>5339105.9818476336</v>
      </c>
      <c r="C180" s="351">
        <f t="shared" si="64"/>
        <v>0</v>
      </c>
      <c r="D180">
        <f t="shared" si="65"/>
        <v>2014</v>
      </c>
      <c r="E180" s="186">
        <f t="shared" si="86"/>
        <v>41640</v>
      </c>
      <c r="F180" s="215">
        <f t="shared" si="66"/>
        <v>0</v>
      </c>
      <c r="G180" s="191">
        <f t="shared" si="67"/>
        <v>0</v>
      </c>
      <c r="H180" s="218">
        <f t="shared" si="68"/>
        <v>0</v>
      </c>
      <c r="I180" s="118">
        <f t="shared" si="69"/>
        <v>0</v>
      </c>
      <c r="J180" s="215">
        <f t="shared" si="70"/>
        <v>0</v>
      </c>
      <c r="K180" s="202"/>
      <c r="L180" s="186">
        <f t="shared" si="87"/>
        <v>41640</v>
      </c>
      <c r="M180" s="400">
        <f>+J180*(VLOOKUP(L180,CURVECALC!$C$6:$J$312,4,0)+N$5)</f>
        <v>0</v>
      </c>
      <c r="N180" s="208">
        <f>-F180*INDEX(ship_curves,MATCH(L180,'SHIP CURVES'!$A$9:$A$316,0),MATCH(CONCATENATE(P$4,P$5,P$6,P$7),'SHIP CURVES'!$A$9:$AZ$9,0))</f>
        <v>0</v>
      </c>
      <c r="O180" s="209">
        <f>-H180*INDEX(port_processing_fee,MATCH(L180,PORTS!$H$626:$H$933,0),MATCH(P$5,PORTS!$H$626:$Z$626,0))</f>
        <v>0</v>
      </c>
      <c r="P180" s="405">
        <f>(((VLOOKUP(L180,curvecalc,4,0))*IF(F180=0,0,J180/F180)-INDEX(ship_curves,MATCH(L180,'SHIP CURVES'!$A$9:$A$316,0),MATCH(CONCATENATE(P$4,P$5,P$6,P$7),'SHIP CURVES'!$A$9:$Z$9,0))-INDEX(terminal_curves,MATCH(L180,'TERMINAL CURVES'!$A$4:$A$313,0),MATCH(P$5,'TERMINAL CURVES'!$A$4:$N$4,0))*IF(F180=0,0,H180/F180))-(N$8)*((N$7-$N$5)-(INDEX(ship_curves,MATCH(L180,'SHIP CURVES'!$A$9:$A$316,0),MATCH(CONCATENATE(P$4,P$5,P$6,P$7),'SHIP CURVES'!$A$9:$Z$9,0))-INDEX(ship_curves,MATCH(L180,'SHIP CURVES'!$A$9:$A$316,0),MATCH(CONCATENATE(P$4,N$6,P$6,P$7),'SHIP CURVES'!$A$9:$Z$9,0)))-(INDEX(terminal_curves,MATCH(L180,'TERMINAL CURVES'!$A$4:$A$313,0),MATCH(P$5,'TERMINAL CURVES'!$A$4:$N$4,0))-INDEX(terminal_curves,MATCH(L180,'TERMINAL CURVES'!$A$4:$A$313,0),MATCH(N$6,'TERMINAL CURVES'!$A$4:$N$4,0)))*IF(F180=0,0,H180/F180)))*-F180</f>
        <v>0</v>
      </c>
      <c r="Q180" s="403">
        <f t="shared" si="71"/>
        <v>0</v>
      </c>
      <c r="R180" s="338">
        <f>(-H180/((HLOOKUP(P$5,port_specs,2,0)/(365.25))*(L181-L180)))*(INDEX(fixed_capacity_charge,MATCH(L180,PORTS!$H$11:$H$317,0),MATCH(P$5,PORTS!$H$11:$N$11,0))+INDEX(variable_om_charge,MATCH(L180,PORTS!$H$318:$H$625,0),MATCH(P$5,PORTS!$H$318:$N$318,0)))</f>
        <v>0</v>
      </c>
      <c r="S180" s="232">
        <f t="shared" si="72"/>
        <v>0</v>
      </c>
      <c r="T180" s="241">
        <f t="shared" si="73"/>
        <v>0</v>
      </c>
      <c r="V180" s="186">
        <f t="shared" si="88"/>
        <v>41640</v>
      </c>
      <c r="W180" s="215">
        <f t="shared" si="74"/>
        <v>0</v>
      </c>
      <c r="X180" s="191">
        <f t="shared" si="75"/>
        <v>0</v>
      </c>
      <c r="Y180" s="218">
        <f>+IF(AND(X$8&lt;=V180,X$9&gt;=V180),+MIN($B180-SUMIF($H$17:X$17,Y$17,$H180:X180),((INDEX(ROUTE_PER_DAY_BY_SHIP,MATCH(CONCATENATE(X$4,X$5,X$7),ROUTE_PER_DAY_ROUTES,0),MATCH(X$6,ROUTE_PER_DAY_SHIPS,0))*(V181-V180))-(INDEX(ROUTE_PER_DAY_BY_SHIP,MATCH(CONCATENATE(X$4,X$5,X$7),ROUTE_PER_DAY_ROUTES,0),MATCH(X$6,ROUTE_PER_DAY_SHIPS,0))*(V181-V180))*HLOOKUP(X$6,SHIPS,7,0)*INDEX(LADEN_VOYAGE_DAYS,MATCH(CONCATENATE(X$4,X$5,X$7),LADEN_VOYAGE_ROUTES,0),MATCH(X$6,LADEN_VOYAGE_SHIPS,0)))),0)</f>
        <v>0</v>
      </c>
      <c r="Z180" s="118">
        <f t="shared" si="76"/>
        <v>0</v>
      </c>
      <c r="AA180" s="215">
        <f t="shared" si="62"/>
        <v>0</v>
      </c>
      <c r="AB180" s="202"/>
      <c r="AC180" s="186">
        <f t="shared" si="89"/>
        <v>41640</v>
      </c>
      <c r="AD180" s="232">
        <f>+AA180*(VLOOKUP(AC180,CURVECALC!$C$6:$J$312,4,0)+AE$5)</f>
        <v>0</v>
      </c>
      <c r="AE180" s="208">
        <f>-W180*INDEX(ship_curves,MATCH(AC180,'SHIP CURVES'!$A$9:$A$316,0),MATCH(CONCATENATE(AG$4,AG$5,AG$6,AG$7),'SHIP CURVES'!$A$9:$AZ$9,0))</f>
        <v>0</v>
      </c>
      <c r="AF180" s="209">
        <f>-Y180*INDEX(port_processing_fee,MATCH(AC180,PORTS!$H$626:$H$933,0),MATCH(AG$5,PORTS!$H$626:$Z$626,0))</f>
        <v>0</v>
      </c>
      <c r="AG180" s="405">
        <f>(((VLOOKUP(AC180,curvecalc,4,0))*IF(W180=0,0,AA180/W180)-INDEX(ship_curves,MATCH(AC180,'SHIP CURVES'!$A$9:$A$316,0),MATCH(CONCATENATE(AG$4,AG$5,AG$6,AG$7),'SHIP CURVES'!$A$9:$Z$9,0))-INDEX(terminal_curves,MATCH(AC180,'TERMINAL CURVES'!$A$4:$A$313,0),MATCH(AG$5,'TERMINAL CURVES'!$A$4:$N$4,0))*IF(W180=0,0,Y180/W180))-(AE$8)*((AE$7-$N$5)-(INDEX(ship_curves,MATCH(AC180,'SHIP CURVES'!$A$9:$A$316,0),MATCH(CONCATENATE(AG$4,AG$5,AG$6,AG$7),'SHIP CURVES'!$A$9:$Z$9,0))-INDEX(ship_curves,MATCH(AC180,'SHIP CURVES'!$A$9:$A$316,0),MATCH(CONCATENATE(AG$4,AE$6,AG$6,AG$7),'SHIP CURVES'!$A$9:$Z$9,0)))-(INDEX(terminal_curves,MATCH(AC180,'TERMINAL CURVES'!$A$4:$A$313,0),MATCH(AG$5,'TERMINAL CURVES'!$A$4:$N$4,0))-INDEX(terminal_curves,MATCH(AC180,'TERMINAL CURVES'!$A$4:$A$313,0),MATCH(AE$6,'TERMINAL CURVES'!$A$4:$N$4,0)))*IF(W180=0,0,Y180/W180)))*-W180</f>
        <v>0</v>
      </c>
      <c r="AH180" s="343">
        <f t="shared" si="77"/>
        <v>0</v>
      </c>
      <c r="AI180" s="338">
        <f>(-Y180/((HLOOKUP(AG$5,port_specs,2,0)/(365.25))*(AC181-AC180)))*(INDEX(fixed_capacity_charge,MATCH(AC180,PORTS!$H$11:$H$317,0),MATCH(AG$5,PORTS!$H$11:$N$11,0))+INDEX(variable_om_charge,MATCH(AC180,PORTS!$H$318:$H$625,0),MATCH(AG$5,PORTS!$H$318:$N$318,0)))</f>
        <v>0</v>
      </c>
      <c r="AJ180" s="232">
        <f t="shared" si="78"/>
        <v>0</v>
      </c>
      <c r="AK180" s="241">
        <f t="shared" si="79"/>
        <v>0</v>
      </c>
      <c r="AM180" s="186">
        <f t="shared" si="90"/>
        <v>41640</v>
      </c>
      <c r="AN180" s="215">
        <f t="shared" si="80"/>
        <v>5395761.4773599124</v>
      </c>
      <c r="AO180" s="191">
        <f t="shared" si="81"/>
        <v>-56655.495512278751</v>
      </c>
      <c r="AP180" s="218">
        <f>+IF(AND(AO$8&lt;=AM180,AO$9&gt;=AM180),+MIN($B180-SUMIF($H$17:AO$17,AP$17,$H180:AO180),((INDEX(ROUTE_PER_DAY_BY_SHIP,MATCH(CONCATENATE(AO$4,AO$5,AO$7),ROUTE_PER_DAY_ROUTES,0),MATCH(AO$6,ROUTE_PER_DAY_SHIPS,0))*(AM181-AM180))-(INDEX(ROUTE_PER_DAY_BY_SHIP,MATCH(CONCATENATE(AO$4,AO$5,AO$7),ROUTE_PER_DAY_ROUTES,0),MATCH(AO$6,ROUTE_PER_DAY_SHIPS,0))*(AM181-AM180))*HLOOKUP(AO$6,SHIPS,7,0)*INDEX(LADEN_VOYAGE_DAYS,MATCH(CONCATENATE(AO$4,AO$5,AO$7),LADEN_VOYAGE_ROUTES,0),MATCH(AO$6,LADEN_VOYAGE_SHIPS,0)))),0)</f>
        <v>5339105.9818476336</v>
      </c>
      <c r="AQ180" s="118">
        <f>-(AP180)*PORTS!$I$6</f>
        <v>-133477.64954619083</v>
      </c>
      <c r="AR180" s="215">
        <f t="shared" si="63"/>
        <v>5205628.3323014425</v>
      </c>
      <c r="AS180" s="202"/>
      <c r="AT180" s="186">
        <f t="shared" si="91"/>
        <v>41640</v>
      </c>
      <c r="AU180" s="232">
        <f>+AR180*(VLOOKUP(AT180,CURVECALC!$C$6:$J$312,4,0)+AV$5)</f>
        <v>20702783.877562836</v>
      </c>
      <c r="AV180" s="208">
        <f>-AN180*INDEX(ship_curves,MATCH(AT180,'SHIP CURVES'!$A$9:$A$316,0),MATCH(CONCATENATE(AX$4,AX$5,AX$6,AX$7),'SHIP CURVES'!$A$9:$AZ$9,0))</f>
        <v>-1819902.1380714306</v>
      </c>
      <c r="AW180" s="209">
        <f>-AP180*INDEX(port_processing_fee,MATCH(AT180,PORTS!$H$626:$H$933,0),MATCH(AX$5,PORTS!$H$626:$Z$626,0))</f>
        <v>-167413.55155964851</v>
      </c>
      <c r="AX180" s="405">
        <f>(((VLOOKUP(AT180,curvecalc,4,0))*IF(AN180=0,0,AR180/AN180)-INDEX(ship_curves,MATCH(AT180,'SHIP CURVES'!$A$9:$A$316,0),MATCH(CONCATENATE(AX$4,AX$5,AX$6,AX$7),'SHIP CURVES'!$A$9:$Z$9,0))-INDEX(terminal_curves,MATCH(AT180,'TERMINAL CURVES'!$A$4:$A$313,0),MATCH(AX$5,'TERMINAL CURVES'!$A$4:$N$4,0))*IF(AN180=0,0,AP180/AN180))-(AV$8)*((AV$7-$N$5)-(INDEX(ship_curves,MATCH(AT180,'SHIP CURVES'!$A$9:$A$316,0),MATCH(CONCATENATE(AX$4,AX$5,AX$6,AX$7),'SHIP CURVES'!$A$9:$Z$9,0))-INDEX(ship_curves,MATCH(AT180,'SHIP CURVES'!$A$9:$A$316,0),MATCH(CONCATENATE(AX$4,AV$6,AX$6,AX$7),'SHIP CURVES'!$A$9:$Z$9,0)))-(INDEX(terminal_curves,MATCH(AT180,'TERMINAL CURVES'!$A$4:$A$313,0),MATCH(AX$5,'TERMINAL CURVES'!$A$4:$N$4,0))-INDEX(terminal_curves,MATCH(AT180,'TERMINAL CURVES'!$A$4:$A$313,0),MATCH(AV$6,'TERMINAL CURVES'!$A$4:$N$4,0)))*IF(AN180=0,0,AP180/AN180)))*-AN180</f>
        <v>-17586830.620267313</v>
      </c>
      <c r="AY180" s="343">
        <f t="shared" si="82"/>
        <v>-19574146.309898391</v>
      </c>
      <c r="AZ180" s="338">
        <f>(-AP180/((HLOOKUP(AX$5,port_specs,2,0)/(365.25))*(AT181-AT180)))*(INDEX(fixed_capacity_charge,MATCH(AT180,PORTS!$H$11:$H$317,0),MATCH(AX$5,PORTS!$H$11:$N$11,0))+INDEX(variable_om_charge,MATCH(AT180,PORTS!$H$318:$H$625,0),MATCH(AX$5,PORTS!$H$318:$N$318,0)))</f>
        <v>-1024525.0010184157</v>
      </c>
      <c r="BA180" s="232">
        <f t="shared" si="83"/>
        <v>-20598671.310916808</v>
      </c>
      <c r="BB180" s="241">
        <f t="shared" si="84"/>
        <v>104112.56664602831</v>
      </c>
      <c r="BC180" s="408"/>
      <c r="BD180" s="338">
        <f>+PORTS!I174+PORTS!I482</f>
        <v>1024525.0010184157</v>
      </c>
    </row>
    <row r="181" spans="1:56" x14ac:dyDescent="0.2">
      <c r="A181" s="186">
        <f t="shared" si="85"/>
        <v>41671</v>
      </c>
      <c r="B181" s="215">
        <f>+IF(AND($A181&gt;=$C$8,$A181&lt;=$C$9),1,0)*PORTS!$I$5/(365.25)*(A182-A181)</f>
        <v>4822418.3061849596</v>
      </c>
      <c r="C181" s="351">
        <f t="shared" si="64"/>
        <v>0</v>
      </c>
      <c r="D181">
        <f t="shared" si="65"/>
        <v>2014</v>
      </c>
      <c r="E181" s="186">
        <f t="shared" si="86"/>
        <v>41671</v>
      </c>
      <c r="F181" s="215">
        <f t="shared" si="66"/>
        <v>0</v>
      </c>
      <c r="G181" s="191">
        <f t="shared" si="67"/>
        <v>0</v>
      </c>
      <c r="H181" s="218">
        <f t="shared" si="68"/>
        <v>0</v>
      </c>
      <c r="I181" s="118">
        <f t="shared" si="69"/>
        <v>0</v>
      </c>
      <c r="J181" s="215">
        <f t="shared" si="70"/>
        <v>0</v>
      </c>
      <c r="K181" s="202"/>
      <c r="L181" s="186">
        <f t="shared" si="87"/>
        <v>41671</v>
      </c>
      <c r="M181" s="400">
        <f>+J181*(VLOOKUP(L181,CURVECALC!$C$6:$J$312,4,0)+N$5)</f>
        <v>0</v>
      </c>
      <c r="N181" s="208">
        <f>-F181*INDEX(ship_curves,MATCH(L181,'SHIP CURVES'!$A$9:$A$316,0),MATCH(CONCATENATE(P$4,P$5,P$6,P$7),'SHIP CURVES'!$A$9:$AZ$9,0))</f>
        <v>0</v>
      </c>
      <c r="O181" s="209">
        <f>-H181*INDEX(port_processing_fee,MATCH(L181,PORTS!$H$626:$H$933,0),MATCH(P$5,PORTS!$H$626:$Z$626,0))</f>
        <v>0</v>
      </c>
      <c r="P181" s="405">
        <f>(((VLOOKUP(L181,curvecalc,4,0))*IF(F181=0,0,J181/F181)-INDEX(ship_curves,MATCH(L181,'SHIP CURVES'!$A$9:$A$316,0),MATCH(CONCATENATE(P$4,P$5,P$6,P$7),'SHIP CURVES'!$A$9:$Z$9,0))-INDEX(terminal_curves,MATCH(L181,'TERMINAL CURVES'!$A$4:$A$313,0),MATCH(P$5,'TERMINAL CURVES'!$A$4:$N$4,0))*IF(F181=0,0,H181/F181))-(N$8)*((N$7-$N$5)-(INDEX(ship_curves,MATCH(L181,'SHIP CURVES'!$A$9:$A$316,0),MATCH(CONCATENATE(P$4,P$5,P$6,P$7),'SHIP CURVES'!$A$9:$Z$9,0))-INDEX(ship_curves,MATCH(L181,'SHIP CURVES'!$A$9:$A$316,0),MATCH(CONCATENATE(P$4,N$6,P$6,P$7),'SHIP CURVES'!$A$9:$Z$9,0)))-(INDEX(terminal_curves,MATCH(L181,'TERMINAL CURVES'!$A$4:$A$313,0),MATCH(P$5,'TERMINAL CURVES'!$A$4:$N$4,0))-INDEX(terminal_curves,MATCH(L181,'TERMINAL CURVES'!$A$4:$A$313,0),MATCH(N$6,'TERMINAL CURVES'!$A$4:$N$4,0)))*IF(F181=0,0,H181/F181)))*-F181</f>
        <v>0</v>
      </c>
      <c r="Q181" s="403">
        <f t="shared" si="71"/>
        <v>0</v>
      </c>
      <c r="R181" s="338">
        <f>(-H181/((HLOOKUP(P$5,port_specs,2,0)/(365.25))*(L182-L181)))*(INDEX(fixed_capacity_charge,MATCH(L181,PORTS!$H$11:$H$317,0),MATCH(P$5,PORTS!$H$11:$N$11,0))+INDEX(variable_om_charge,MATCH(L181,PORTS!$H$318:$H$625,0),MATCH(P$5,PORTS!$H$318:$N$318,0)))</f>
        <v>0</v>
      </c>
      <c r="S181" s="232">
        <f t="shared" si="72"/>
        <v>0</v>
      </c>
      <c r="T181" s="241">
        <f t="shared" si="73"/>
        <v>0</v>
      </c>
      <c r="V181" s="186">
        <f t="shared" si="88"/>
        <v>41671</v>
      </c>
      <c r="W181" s="215">
        <f t="shared" si="74"/>
        <v>0</v>
      </c>
      <c r="X181" s="191">
        <f t="shared" si="75"/>
        <v>0</v>
      </c>
      <c r="Y181" s="218">
        <f>+IF(AND(X$8&lt;=V181,X$9&gt;=V181),+MIN($B181-SUMIF($H$17:X$17,Y$17,$H181:X181),((INDEX(ROUTE_PER_DAY_BY_SHIP,MATCH(CONCATENATE(X$4,X$5,X$7),ROUTE_PER_DAY_ROUTES,0),MATCH(X$6,ROUTE_PER_DAY_SHIPS,0))*(V182-V181))-(INDEX(ROUTE_PER_DAY_BY_SHIP,MATCH(CONCATENATE(X$4,X$5,X$7),ROUTE_PER_DAY_ROUTES,0),MATCH(X$6,ROUTE_PER_DAY_SHIPS,0))*(V182-V181))*HLOOKUP(X$6,SHIPS,7,0)*INDEX(LADEN_VOYAGE_DAYS,MATCH(CONCATENATE(X$4,X$5,X$7),LADEN_VOYAGE_ROUTES,0),MATCH(X$6,LADEN_VOYAGE_SHIPS,0)))),0)</f>
        <v>0</v>
      </c>
      <c r="Z181" s="118">
        <f t="shared" si="76"/>
        <v>0</v>
      </c>
      <c r="AA181" s="215">
        <f t="shared" si="62"/>
        <v>0</v>
      </c>
      <c r="AB181" s="202"/>
      <c r="AC181" s="186">
        <f t="shared" si="89"/>
        <v>41671</v>
      </c>
      <c r="AD181" s="232">
        <f>+AA181*(VLOOKUP(AC181,CURVECALC!$C$6:$J$312,4,0)+AE$5)</f>
        <v>0</v>
      </c>
      <c r="AE181" s="208">
        <f>-W181*INDEX(ship_curves,MATCH(AC181,'SHIP CURVES'!$A$9:$A$316,0),MATCH(CONCATENATE(AG$4,AG$5,AG$6,AG$7),'SHIP CURVES'!$A$9:$AZ$9,0))</f>
        <v>0</v>
      </c>
      <c r="AF181" s="209">
        <f>-Y181*INDEX(port_processing_fee,MATCH(AC181,PORTS!$H$626:$H$933,0),MATCH(AG$5,PORTS!$H$626:$Z$626,0))</f>
        <v>0</v>
      </c>
      <c r="AG181" s="405">
        <f>(((VLOOKUP(AC181,curvecalc,4,0))*IF(W181=0,0,AA181/W181)-INDEX(ship_curves,MATCH(AC181,'SHIP CURVES'!$A$9:$A$316,0),MATCH(CONCATENATE(AG$4,AG$5,AG$6,AG$7),'SHIP CURVES'!$A$9:$Z$9,0))-INDEX(terminal_curves,MATCH(AC181,'TERMINAL CURVES'!$A$4:$A$313,0),MATCH(AG$5,'TERMINAL CURVES'!$A$4:$N$4,0))*IF(W181=0,0,Y181/W181))-(AE$8)*((AE$7-$N$5)-(INDEX(ship_curves,MATCH(AC181,'SHIP CURVES'!$A$9:$A$316,0),MATCH(CONCATENATE(AG$4,AG$5,AG$6,AG$7),'SHIP CURVES'!$A$9:$Z$9,0))-INDEX(ship_curves,MATCH(AC181,'SHIP CURVES'!$A$9:$A$316,0),MATCH(CONCATENATE(AG$4,AE$6,AG$6,AG$7),'SHIP CURVES'!$A$9:$Z$9,0)))-(INDEX(terminal_curves,MATCH(AC181,'TERMINAL CURVES'!$A$4:$A$313,0),MATCH(AG$5,'TERMINAL CURVES'!$A$4:$N$4,0))-INDEX(terminal_curves,MATCH(AC181,'TERMINAL CURVES'!$A$4:$A$313,0),MATCH(AE$6,'TERMINAL CURVES'!$A$4:$N$4,0)))*IF(W181=0,0,Y181/W181)))*-W181</f>
        <v>0</v>
      </c>
      <c r="AH181" s="343">
        <f t="shared" si="77"/>
        <v>0</v>
      </c>
      <c r="AI181" s="338">
        <f>(-Y181/((HLOOKUP(AG$5,port_specs,2,0)/(365.25))*(AC182-AC181)))*(INDEX(fixed_capacity_charge,MATCH(AC181,PORTS!$H$11:$H$317,0),MATCH(AG$5,PORTS!$H$11:$N$11,0))+INDEX(variable_om_charge,MATCH(AC181,PORTS!$H$318:$H$625,0),MATCH(AG$5,PORTS!$H$318:$N$318,0)))</f>
        <v>0</v>
      </c>
      <c r="AJ181" s="232">
        <f t="shared" si="78"/>
        <v>0</v>
      </c>
      <c r="AK181" s="241">
        <f t="shared" si="79"/>
        <v>0</v>
      </c>
      <c r="AM181" s="186">
        <f t="shared" si="90"/>
        <v>41671</v>
      </c>
      <c r="AN181" s="215">
        <f t="shared" si="80"/>
        <v>4873591.0118089532</v>
      </c>
      <c r="AO181" s="191">
        <f t="shared" si="81"/>
        <v>-51172.70562399365</v>
      </c>
      <c r="AP181" s="218">
        <f>+IF(AND(AO$8&lt;=AM181,AO$9&gt;=AM181),+MIN($B181-SUMIF($H$17:AO$17,AP$17,$H181:AO181),((INDEX(ROUTE_PER_DAY_BY_SHIP,MATCH(CONCATENATE(AO$4,AO$5,AO$7),ROUTE_PER_DAY_ROUTES,0),MATCH(AO$6,ROUTE_PER_DAY_SHIPS,0))*(AM182-AM181))-(INDEX(ROUTE_PER_DAY_BY_SHIP,MATCH(CONCATENATE(AO$4,AO$5,AO$7),ROUTE_PER_DAY_ROUTES,0),MATCH(AO$6,ROUTE_PER_DAY_SHIPS,0))*(AM182-AM181))*HLOOKUP(AO$6,SHIPS,7,0)*INDEX(LADEN_VOYAGE_DAYS,MATCH(CONCATENATE(AO$4,AO$5,AO$7),LADEN_VOYAGE_ROUTES,0),MATCH(AO$6,LADEN_VOYAGE_SHIPS,0)))),0)</f>
        <v>4822418.3061849596</v>
      </c>
      <c r="AQ181" s="118">
        <f>-(AP181)*PORTS!$I$6</f>
        <v>-120560.457654624</v>
      </c>
      <c r="AR181" s="215">
        <f t="shared" si="63"/>
        <v>4701857.8485303354</v>
      </c>
      <c r="AS181" s="202"/>
      <c r="AT181" s="186">
        <f t="shared" si="91"/>
        <v>41671</v>
      </c>
      <c r="AU181" s="232">
        <f>+AR181*(VLOOKUP(AT181,CURVECALC!$C$6:$J$312,4,0)+AV$5)</f>
        <v>18294928.888631534</v>
      </c>
      <c r="AV181" s="208">
        <f>-AN181*INDEX(ship_curves,MATCH(AT181,'SHIP CURVES'!$A$9:$A$316,0),MATCH(CONCATENATE(AX$4,AX$5,AX$6,AX$7),'SHIP CURVES'!$A$9:$AZ$9,0))</f>
        <v>-1644320.7002143532</v>
      </c>
      <c r="AW181" s="209">
        <f>-AP181*INDEX(port_processing_fee,MATCH(AT181,PORTS!$H$626:$H$933,0),MATCH(AX$5,PORTS!$H$626:$Z$626,0))</f>
        <v>-151369.75286851553</v>
      </c>
      <c r="AX181" s="405">
        <f>(((VLOOKUP(AT181,curvecalc,4,0))*IF(AN181=0,0,AR181/AN181)-INDEX(ship_curves,MATCH(AT181,'SHIP CURVES'!$A$9:$A$316,0),MATCH(CONCATENATE(AX$4,AX$5,AX$6,AX$7),'SHIP CURVES'!$A$9:$Z$9,0))-INDEX(terminal_curves,MATCH(AT181,'TERMINAL CURVES'!$A$4:$A$313,0),MATCH(AX$5,'TERMINAL CURVES'!$A$4:$N$4,0))*IF(AN181=0,0,AP181/AN181))-(AV$8)*((AV$7-$N$5)-(INDEX(ship_curves,MATCH(AT181,'SHIP CURVES'!$A$9:$A$316,0),MATCH(CONCATENATE(AX$4,AX$5,AX$6,AX$7),'SHIP CURVES'!$A$9:$Z$9,0))-INDEX(ship_curves,MATCH(AT181,'SHIP CURVES'!$A$9:$A$316,0),MATCH(CONCATENATE(AX$4,AV$6,AX$6,AX$7),'SHIP CURVES'!$A$9:$Z$9,0)))-(INDEX(terminal_curves,MATCH(AT181,'TERMINAL CURVES'!$A$4:$A$313,0),MATCH(AX$5,'TERMINAL CURVES'!$A$4:$N$4,0))-INDEX(terminal_curves,MATCH(AT181,'TERMINAL CURVES'!$A$4:$A$313,0),MATCH(AV$6,'TERMINAL CURVES'!$A$4:$N$4,0)))*IF(AN181=0,0,AP181/AN181)))*-AN181</f>
        <v>-15380114.466694944</v>
      </c>
      <c r="AY181" s="343">
        <f t="shared" si="82"/>
        <v>-17175804.919777811</v>
      </c>
      <c r="AZ181" s="338">
        <f>(-AP181/((HLOOKUP(AX$5,port_specs,2,0)/(365.25))*(AT182-AT181)))*(INDEX(fixed_capacity_charge,MATCH(AT181,PORTS!$H$11:$H$317,0),MATCH(AX$5,PORTS!$H$11:$N$11,0))+INDEX(variable_om_charge,MATCH(AT181,PORTS!$H$318:$H$625,0),MATCH(AX$5,PORTS!$H$318:$N$318,0)))</f>
        <v>-1025086.8118831138</v>
      </c>
      <c r="BA181" s="232">
        <f t="shared" si="83"/>
        <v>-18200891.731660925</v>
      </c>
      <c r="BB181" s="241">
        <f t="shared" si="84"/>
        <v>94037.156970608979</v>
      </c>
      <c r="BC181" s="408"/>
      <c r="BD181" s="338">
        <f>+PORTS!I175+PORTS!I483</f>
        <v>1025086.8118831138</v>
      </c>
    </row>
    <row r="182" spans="1:56" x14ac:dyDescent="0.2">
      <c r="A182" s="186">
        <f t="shared" si="85"/>
        <v>41699</v>
      </c>
      <c r="B182" s="215">
        <f>+IF(AND($A182&gt;=$C$8,$A182&lt;=$C$9),1,0)*PORTS!$I$5/(365.25)*(A183-A182)</f>
        <v>5339105.9818476336</v>
      </c>
      <c r="C182" s="351">
        <f t="shared" si="64"/>
        <v>0</v>
      </c>
      <c r="D182">
        <f t="shared" si="65"/>
        <v>2014</v>
      </c>
      <c r="E182" s="186">
        <f t="shared" si="86"/>
        <v>41699</v>
      </c>
      <c r="F182" s="215">
        <f t="shared" si="66"/>
        <v>0</v>
      </c>
      <c r="G182" s="191">
        <f t="shared" si="67"/>
        <v>0</v>
      </c>
      <c r="H182" s="218">
        <f t="shared" si="68"/>
        <v>0</v>
      </c>
      <c r="I182" s="118">
        <f t="shared" si="69"/>
        <v>0</v>
      </c>
      <c r="J182" s="215">
        <f t="shared" si="70"/>
        <v>0</v>
      </c>
      <c r="K182" s="202"/>
      <c r="L182" s="186">
        <f t="shared" si="87"/>
        <v>41699</v>
      </c>
      <c r="M182" s="400">
        <f>+J182*(VLOOKUP(L182,CURVECALC!$C$6:$J$312,4,0)+N$5)</f>
        <v>0</v>
      </c>
      <c r="N182" s="208">
        <f>-F182*INDEX(ship_curves,MATCH(L182,'SHIP CURVES'!$A$9:$A$316,0),MATCH(CONCATENATE(P$4,P$5,P$6,P$7),'SHIP CURVES'!$A$9:$AZ$9,0))</f>
        <v>0</v>
      </c>
      <c r="O182" s="209">
        <f>-H182*INDEX(port_processing_fee,MATCH(L182,PORTS!$H$626:$H$933,0),MATCH(P$5,PORTS!$H$626:$Z$626,0))</f>
        <v>0</v>
      </c>
      <c r="P182" s="405">
        <f>(((VLOOKUP(L182,curvecalc,4,0))*IF(F182=0,0,J182/F182)-INDEX(ship_curves,MATCH(L182,'SHIP CURVES'!$A$9:$A$316,0),MATCH(CONCATENATE(P$4,P$5,P$6,P$7),'SHIP CURVES'!$A$9:$Z$9,0))-INDEX(terminal_curves,MATCH(L182,'TERMINAL CURVES'!$A$4:$A$313,0),MATCH(P$5,'TERMINAL CURVES'!$A$4:$N$4,0))*IF(F182=0,0,H182/F182))-(N$8)*((N$7-$N$5)-(INDEX(ship_curves,MATCH(L182,'SHIP CURVES'!$A$9:$A$316,0),MATCH(CONCATENATE(P$4,P$5,P$6,P$7),'SHIP CURVES'!$A$9:$Z$9,0))-INDEX(ship_curves,MATCH(L182,'SHIP CURVES'!$A$9:$A$316,0),MATCH(CONCATENATE(P$4,N$6,P$6,P$7),'SHIP CURVES'!$A$9:$Z$9,0)))-(INDEX(terminal_curves,MATCH(L182,'TERMINAL CURVES'!$A$4:$A$313,0),MATCH(P$5,'TERMINAL CURVES'!$A$4:$N$4,0))-INDEX(terminal_curves,MATCH(L182,'TERMINAL CURVES'!$A$4:$A$313,0),MATCH(N$6,'TERMINAL CURVES'!$A$4:$N$4,0)))*IF(F182=0,0,H182/F182)))*-F182</f>
        <v>0</v>
      </c>
      <c r="Q182" s="403">
        <f t="shared" si="71"/>
        <v>0</v>
      </c>
      <c r="R182" s="338">
        <f>(-H182/((HLOOKUP(P$5,port_specs,2,0)/(365.25))*(L183-L182)))*(INDEX(fixed_capacity_charge,MATCH(L182,PORTS!$H$11:$H$317,0),MATCH(P$5,PORTS!$H$11:$N$11,0))+INDEX(variable_om_charge,MATCH(L182,PORTS!$H$318:$H$625,0),MATCH(P$5,PORTS!$H$318:$N$318,0)))</f>
        <v>0</v>
      </c>
      <c r="S182" s="232">
        <f t="shared" si="72"/>
        <v>0</v>
      </c>
      <c r="T182" s="241">
        <f t="shared" si="73"/>
        <v>0</v>
      </c>
      <c r="V182" s="186">
        <f t="shared" si="88"/>
        <v>41699</v>
      </c>
      <c r="W182" s="215">
        <f t="shared" si="74"/>
        <v>0</v>
      </c>
      <c r="X182" s="191">
        <f t="shared" si="75"/>
        <v>0</v>
      </c>
      <c r="Y182" s="218">
        <f>+IF(AND(X$8&lt;=V182,X$9&gt;=V182),+MIN($B182-SUMIF($H$17:X$17,Y$17,$H182:X182),((INDEX(ROUTE_PER_DAY_BY_SHIP,MATCH(CONCATENATE(X$4,X$5,X$7),ROUTE_PER_DAY_ROUTES,0),MATCH(X$6,ROUTE_PER_DAY_SHIPS,0))*(V183-V182))-(INDEX(ROUTE_PER_DAY_BY_SHIP,MATCH(CONCATENATE(X$4,X$5,X$7),ROUTE_PER_DAY_ROUTES,0),MATCH(X$6,ROUTE_PER_DAY_SHIPS,0))*(V183-V182))*HLOOKUP(X$6,SHIPS,7,0)*INDEX(LADEN_VOYAGE_DAYS,MATCH(CONCATENATE(X$4,X$5,X$7),LADEN_VOYAGE_ROUTES,0),MATCH(X$6,LADEN_VOYAGE_SHIPS,0)))),0)</f>
        <v>0</v>
      </c>
      <c r="Z182" s="118">
        <f t="shared" si="76"/>
        <v>0</v>
      </c>
      <c r="AA182" s="215">
        <f t="shared" si="62"/>
        <v>0</v>
      </c>
      <c r="AB182" s="202"/>
      <c r="AC182" s="186">
        <f t="shared" si="89"/>
        <v>41699</v>
      </c>
      <c r="AD182" s="232">
        <f>+AA182*(VLOOKUP(AC182,CURVECALC!$C$6:$J$312,4,0)+AE$5)</f>
        <v>0</v>
      </c>
      <c r="AE182" s="208">
        <f>-W182*INDEX(ship_curves,MATCH(AC182,'SHIP CURVES'!$A$9:$A$316,0),MATCH(CONCATENATE(AG$4,AG$5,AG$6,AG$7),'SHIP CURVES'!$A$9:$AZ$9,0))</f>
        <v>0</v>
      </c>
      <c r="AF182" s="209">
        <f>-Y182*INDEX(port_processing_fee,MATCH(AC182,PORTS!$H$626:$H$933,0),MATCH(AG$5,PORTS!$H$626:$Z$626,0))</f>
        <v>0</v>
      </c>
      <c r="AG182" s="405">
        <f>(((VLOOKUP(AC182,curvecalc,4,0))*IF(W182=0,0,AA182/W182)-INDEX(ship_curves,MATCH(AC182,'SHIP CURVES'!$A$9:$A$316,0),MATCH(CONCATENATE(AG$4,AG$5,AG$6,AG$7),'SHIP CURVES'!$A$9:$Z$9,0))-INDEX(terminal_curves,MATCH(AC182,'TERMINAL CURVES'!$A$4:$A$313,0),MATCH(AG$5,'TERMINAL CURVES'!$A$4:$N$4,0))*IF(W182=0,0,Y182/W182))-(AE$8)*((AE$7-$N$5)-(INDEX(ship_curves,MATCH(AC182,'SHIP CURVES'!$A$9:$A$316,0),MATCH(CONCATENATE(AG$4,AG$5,AG$6,AG$7),'SHIP CURVES'!$A$9:$Z$9,0))-INDEX(ship_curves,MATCH(AC182,'SHIP CURVES'!$A$9:$A$316,0),MATCH(CONCATENATE(AG$4,AE$6,AG$6,AG$7),'SHIP CURVES'!$A$9:$Z$9,0)))-(INDEX(terminal_curves,MATCH(AC182,'TERMINAL CURVES'!$A$4:$A$313,0),MATCH(AG$5,'TERMINAL CURVES'!$A$4:$N$4,0))-INDEX(terminal_curves,MATCH(AC182,'TERMINAL CURVES'!$A$4:$A$313,0),MATCH(AE$6,'TERMINAL CURVES'!$A$4:$N$4,0)))*IF(W182=0,0,Y182/W182)))*-W182</f>
        <v>0</v>
      </c>
      <c r="AH182" s="343">
        <f t="shared" si="77"/>
        <v>0</v>
      </c>
      <c r="AI182" s="338">
        <f>(-Y182/((HLOOKUP(AG$5,port_specs,2,0)/(365.25))*(AC183-AC182)))*(INDEX(fixed_capacity_charge,MATCH(AC182,PORTS!$H$11:$H$317,0),MATCH(AG$5,PORTS!$H$11:$N$11,0))+INDEX(variable_om_charge,MATCH(AC182,PORTS!$H$318:$H$625,0),MATCH(AG$5,PORTS!$H$318:$N$318,0)))</f>
        <v>0</v>
      </c>
      <c r="AJ182" s="232">
        <f t="shared" si="78"/>
        <v>0</v>
      </c>
      <c r="AK182" s="241">
        <f t="shared" si="79"/>
        <v>0</v>
      </c>
      <c r="AM182" s="186">
        <f t="shared" si="90"/>
        <v>41699</v>
      </c>
      <c r="AN182" s="215">
        <f t="shared" si="80"/>
        <v>5395761.4773599124</v>
      </c>
      <c r="AO182" s="191">
        <f t="shared" si="81"/>
        <v>-56655.495512278751</v>
      </c>
      <c r="AP182" s="218">
        <f>+IF(AND(AO$8&lt;=AM182,AO$9&gt;=AM182),+MIN($B182-SUMIF($H$17:AO$17,AP$17,$H182:AO182),((INDEX(ROUTE_PER_DAY_BY_SHIP,MATCH(CONCATENATE(AO$4,AO$5,AO$7),ROUTE_PER_DAY_ROUTES,0),MATCH(AO$6,ROUTE_PER_DAY_SHIPS,0))*(AM183-AM182))-(INDEX(ROUTE_PER_DAY_BY_SHIP,MATCH(CONCATENATE(AO$4,AO$5,AO$7),ROUTE_PER_DAY_ROUTES,0),MATCH(AO$6,ROUTE_PER_DAY_SHIPS,0))*(AM183-AM182))*HLOOKUP(AO$6,SHIPS,7,0)*INDEX(LADEN_VOYAGE_DAYS,MATCH(CONCATENATE(AO$4,AO$5,AO$7),LADEN_VOYAGE_ROUTES,0),MATCH(AO$6,LADEN_VOYAGE_SHIPS,0)))),0)</f>
        <v>5339105.9818476336</v>
      </c>
      <c r="AQ182" s="118">
        <f>-(AP182)*PORTS!$I$6</f>
        <v>-133477.64954619083</v>
      </c>
      <c r="AR182" s="215">
        <f t="shared" si="63"/>
        <v>5205628.3323014425</v>
      </c>
      <c r="AS182" s="202"/>
      <c r="AT182" s="186">
        <f t="shared" si="91"/>
        <v>41699</v>
      </c>
      <c r="AU182" s="232">
        <f>+AR182*(VLOOKUP(AT182,CURVECALC!$C$6:$J$312,4,0)+AV$5)</f>
        <v>19698097.609428659</v>
      </c>
      <c r="AV182" s="208">
        <f>-AN182*INDEX(ship_curves,MATCH(AT182,'SHIP CURVES'!$A$9:$A$316,0),MATCH(CONCATENATE(AX$4,AX$5,AX$6,AX$7),'SHIP CURVES'!$A$9:$AZ$9,0))</f>
        <v>-1821094.9393258756</v>
      </c>
      <c r="AW182" s="209">
        <f>-AP182*INDEX(port_processing_fee,MATCH(AT182,PORTS!$H$626:$H$933,0),MATCH(AX$5,PORTS!$H$626:$Z$626,0))</f>
        <v>-167762.5114473938</v>
      </c>
      <c r="AX182" s="405">
        <f>(((VLOOKUP(AT182,curvecalc,4,0))*IF(AN182=0,0,AR182/AN182)-INDEX(ship_curves,MATCH(AT182,'SHIP CURVES'!$A$9:$A$316,0),MATCH(CONCATENATE(AX$4,AX$5,AX$6,AX$7),'SHIP CURVES'!$A$9:$Z$9,0))-INDEX(terminal_curves,MATCH(AT182,'TERMINAL CURVES'!$A$4:$A$313,0),MATCH(AX$5,'TERMINAL CURVES'!$A$4:$N$4,0))*IF(AN182=0,0,AP182/AN182))-(AV$8)*((AV$7-$N$5)-(INDEX(ship_curves,MATCH(AT182,'SHIP CURVES'!$A$9:$A$316,0),MATCH(CONCATENATE(AX$4,AX$5,AX$6,AX$7),'SHIP CURVES'!$A$9:$Z$9,0))-INDEX(ship_curves,MATCH(AT182,'SHIP CURVES'!$A$9:$A$316,0),MATCH(CONCATENATE(AX$4,AV$6,AX$6,AX$7),'SHIP CURVES'!$A$9:$Z$9,0)))-(INDEX(terminal_curves,MATCH(AT182,'TERMINAL CURVES'!$A$4:$A$313,0),MATCH(AX$5,'TERMINAL CURVES'!$A$4:$N$4,0))-INDEX(terminal_curves,MATCH(AT182,'TERMINAL CURVES'!$A$4:$A$313,0),MATCH(AV$6,'TERMINAL CURVES'!$A$4:$N$4,0)))*IF(AN182=0,0,AP182/AN182)))*-AN182</f>
        <v>-16579478.384041898</v>
      </c>
      <c r="AY182" s="343">
        <f t="shared" si="82"/>
        <v>-18568335.834815167</v>
      </c>
      <c r="AZ182" s="338">
        <f>(-AP182/((HLOOKUP(AX$5,port_specs,2,0)/(365.25))*(AT183-AT182)))*(INDEX(fixed_capacity_charge,MATCH(AT182,PORTS!$H$11:$H$317,0),MATCH(AX$5,PORTS!$H$11:$N$11,0))+INDEX(variable_om_charge,MATCH(AT182,PORTS!$H$318:$H$625,0),MATCH(AX$5,PORTS!$H$318:$N$318,0)))</f>
        <v>-1025649.2079674625</v>
      </c>
      <c r="BA182" s="232">
        <f t="shared" si="83"/>
        <v>-19593985.042782631</v>
      </c>
      <c r="BB182" s="241">
        <f t="shared" si="84"/>
        <v>104112.56664602831</v>
      </c>
      <c r="BC182" s="408"/>
      <c r="BD182" s="338">
        <f>+PORTS!I176+PORTS!I484</f>
        <v>1025649.2079674625</v>
      </c>
    </row>
    <row r="183" spans="1:56" x14ac:dyDescent="0.2">
      <c r="A183" s="186">
        <f t="shared" si="85"/>
        <v>41730</v>
      </c>
      <c r="B183" s="215">
        <f>+IF(AND($A183&gt;=$C$8,$A183&lt;=$C$9),1,0)*PORTS!$I$5/(365.25)*(A184-A183)</f>
        <v>5166876.756626742</v>
      </c>
      <c r="C183" s="351">
        <f t="shared" si="64"/>
        <v>0</v>
      </c>
      <c r="D183">
        <f t="shared" si="65"/>
        <v>2014</v>
      </c>
      <c r="E183" s="186">
        <f t="shared" si="86"/>
        <v>41730</v>
      </c>
      <c r="F183" s="215">
        <f t="shared" si="66"/>
        <v>0</v>
      </c>
      <c r="G183" s="191">
        <f t="shared" si="67"/>
        <v>0</v>
      </c>
      <c r="H183" s="218">
        <f t="shared" si="68"/>
        <v>0</v>
      </c>
      <c r="I183" s="118">
        <f t="shared" si="69"/>
        <v>0</v>
      </c>
      <c r="J183" s="215">
        <f t="shared" si="70"/>
        <v>0</v>
      </c>
      <c r="K183" s="202"/>
      <c r="L183" s="186">
        <f t="shared" si="87"/>
        <v>41730</v>
      </c>
      <c r="M183" s="400">
        <f>+J183*(VLOOKUP(L183,CURVECALC!$C$6:$J$312,4,0)+N$5)</f>
        <v>0</v>
      </c>
      <c r="N183" s="208">
        <f>-F183*INDEX(ship_curves,MATCH(L183,'SHIP CURVES'!$A$9:$A$316,0),MATCH(CONCATENATE(P$4,P$5,P$6,P$7),'SHIP CURVES'!$A$9:$AZ$9,0))</f>
        <v>0</v>
      </c>
      <c r="O183" s="209">
        <f>-H183*INDEX(port_processing_fee,MATCH(L183,PORTS!$H$626:$H$933,0),MATCH(P$5,PORTS!$H$626:$Z$626,0))</f>
        <v>0</v>
      </c>
      <c r="P183" s="405">
        <f>(((VLOOKUP(L183,curvecalc,4,0))*IF(F183=0,0,J183/F183)-INDEX(ship_curves,MATCH(L183,'SHIP CURVES'!$A$9:$A$316,0),MATCH(CONCATENATE(P$4,P$5,P$6,P$7),'SHIP CURVES'!$A$9:$Z$9,0))-INDEX(terminal_curves,MATCH(L183,'TERMINAL CURVES'!$A$4:$A$313,0),MATCH(P$5,'TERMINAL CURVES'!$A$4:$N$4,0))*IF(F183=0,0,H183/F183))-(N$8)*((N$7-$N$5)-(INDEX(ship_curves,MATCH(L183,'SHIP CURVES'!$A$9:$A$316,0),MATCH(CONCATENATE(P$4,P$5,P$6,P$7),'SHIP CURVES'!$A$9:$Z$9,0))-INDEX(ship_curves,MATCH(L183,'SHIP CURVES'!$A$9:$A$316,0),MATCH(CONCATENATE(P$4,N$6,P$6,P$7),'SHIP CURVES'!$A$9:$Z$9,0)))-(INDEX(terminal_curves,MATCH(L183,'TERMINAL CURVES'!$A$4:$A$313,0),MATCH(P$5,'TERMINAL CURVES'!$A$4:$N$4,0))-INDEX(terminal_curves,MATCH(L183,'TERMINAL CURVES'!$A$4:$A$313,0),MATCH(N$6,'TERMINAL CURVES'!$A$4:$N$4,0)))*IF(F183=0,0,H183/F183)))*-F183</f>
        <v>0</v>
      </c>
      <c r="Q183" s="403">
        <f t="shared" si="71"/>
        <v>0</v>
      </c>
      <c r="R183" s="338">
        <f>(-H183/((HLOOKUP(P$5,port_specs,2,0)/(365.25))*(L184-L183)))*(INDEX(fixed_capacity_charge,MATCH(L183,PORTS!$H$11:$H$317,0),MATCH(P$5,PORTS!$H$11:$N$11,0))+INDEX(variable_om_charge,MATCH(L183,PORTS!$H$318:$H$625,0),MATCH(P$5,PORTS!$H$318:$N$318,0)))</f>
        <v>0</v>
      </c>
      <c r="S183" s="232">
        <f t="shared" si="72"/>
        <v>0</v>
      </c>
      <c r="T183" s="241">
        <f t="shared" si="73"/>
        <v>0</v>
      </c>
      <c r="V183" s="186">
        <f t="shared" si="88"/>
        <v>41730</v>
      </c>
      <c r="W183" s="215">
        <f t="shared" si="74"/>
        <v>0</v>
      </c>
      <c r="X183" s="191">
        <f t="shared" si="75"/>
        <v>0</v>
      </c>
      <c r="Y183" s="218">
        <f>+IF(AND(X$8&lt;=V183,X$9&gt;=V183),+MIN($B183-SUMIF($H$17:X$17,Y$17,$H183:X183),((INDEX(ROUTE_PER_DAY_BY_SHIP,MATCH(CONCATENATE(X$4,X$5,X$7),ROUTE_PER_DAY_ROUTES,0),MATCH(X$6,ROUTE_PER_DAY_SHIPS,0))*(V184-V183))-(INDEX(ROUTE_PER_DAY_BY_SHIP,MATCH(CONCATENATE(X$4,X$5,X$7),ROUTE_PER_DAY_ROUTES,0),MATCH(X$6,ROUTE_PER_DAY_SHIPS,0))*(V184-V183))*HLOOKUP(X$6,SHIPS,7,0)*INDEX(LADEN_VOYAGE_DAYS,MATCH(CONCATENATE(X$4,X$5,X$7),LADEN_VOYAGE_ROUTES,0),MATCH(X$6,LADEN_VOYAGE_SHIPS,0)))),0)</f>
        <v>0</v>
      </c>
      <c r="Z183" s="118">
        <f t="shared" si="76"/>
        <v>0</v>
      </c>
      <c r="AA183" s="215">
        <f t="shared" si="62"/>
        <v>0</v>
      </c>
      <c r="AB183" s="202"/>
      <c r="AC183" s="186">
        <f t="shared" si="89"/>
        <v>41730</v>
      </c>
      <c r="AD183" s="232">
        <f>+AA183*(VLOOKUP(AC183,CURVECALC!$C$6:$J$312,4,0)+AE$5)</f>
        <v>0</v>
      </c>
      <c r="AE183" s="208">
        <f>-W183*INDEX(ship_curves,MATCH(AC183,'SHIP CURVES'!$A$9:$A$316,0),MATCH(CONCATENATE(AG$4,AG$5,AG$6,AG$7),'SHIP CURVES'!$A$9:$AZ$9,0))</f>
        <v>0</v>
      </c>
      <c r="AF183" s="209">
        <f>-Y183*INDEX(port_processing_fee,MATCH(AC183,PORTS!$H$626:$H$933,0),MATCH(AG$5,PORTS!$H$626:$Z$626,0))</f>
        <v>0</v>
      </c>
      <c r="AG183" s="405">
        <f>(((VLOOKUP(AC183,curvecalc,4,0))*IF(W183=0,0,AA183/W183)-INDEX(ship_curves,MATCH(AC183,'SHIP CURVES'!$A$9:$A$316,0),MATCH(CONCATENATE(AG$4,AG$5,AG$6,AG$7),'SHIP CURVES'!$A$9:$Z$9,0))-INDEX(terminal_curves,MATCH(AC183,'TERMINAL CURVES'!$A$4:$A$313,0),MATCH(AG$5,'TERMINAL CURVES'!$A$4:$N$4,0))*IF(W183=0,0,Y183/W183))-(AE$8)*((AE$7-$N$5)-(INDEX(ship_curves,MATCH(AC183,'SHIP CURVES'!$A$9:$A$316,0),MATCH(CONCATENATE(AG$4,AG$5,AG$6,AG$7),'SHIP CURVES'!$A$9:$Z$9,0))-INDEX(ship_curves,MATCH(AC183,'SHIP CURVES'!$A$9:$A$316,0),MATCH(CONCATENATE(AG$4,AE$6,AG$6,AG$7),'SHIP CURVES'!$A$9:$Z$9,0)))-(INDEX(terminal_curves,MATCH(AC183,'TERMINAL CURVES'!$A$4:$A$313,0),MATCH(AG$5,'TERMINAL CURVES'!$A$4:$N$4,0))-INDEX(terminal_curves,MATCH(AC183,'TERMINAL CURVES'!$A$4:$A$313,0),MATCH(AE$6,'TERMINAL CURVES'!$A$4:$N$4,0)))*IF(W183=0,0,Y183/W183)))*-W183</f>
        <v>0</v>
      </c>
      <c r="AH183" s="343">
        <f t="shared" si="77"/>
        <v>0</v>
      </c>
      <c r="AI183" s="338">
        <f>(-Y183/((HLOOKUP(AG$5,port_specs,2,0)/(365.25))*(AC184-AC183)))*(INDEX(fixed_capacity_charge,MATCH(AC183,PORTS!$H$11:$H$317,0),MATCH(AG$5,PORTS!$H$11:$N$11,0))+INDEX(variable_om_charge,MATCH(AC183,PORTS!$H$318:$H$625,0),MATCH(AG$5,PORTS!$H$318:$N$318,0)))</f>
        <v>0</v>
      </c>
      <c r="AJ183" s="232">
        <f t="shared" si="78"/>
        <v>0</v>
      </c>
      <c r="AK183" s="241">
        <f t="shared" si="79"/>
        <v>0</v>
      </c>
      <c r="AM183" s="186">
        <f t="shared" si="90"/>
        <v>41730</v>
      </c>
      <c r="AN183" s="215">
        <f t="shared" si="80"/>
        <v>5221704.655509592</v>
      </c>
      <c r="AO183" s="191">
        <f t="shared" si="81"/>
        <v>-54827.898882850073</v>
      </c>
      <c r="AP183" s="218">
        <f>+IF(AND(AO$8&lt;=AM183,AO$9&gt;=AM183),+MIN($B183-SUMIF($H$17:AO$17,AP$17,$H183:AO183),((INDEX(ROUTE_PER_DAY_BY_SHIP,MATCH(CONCATENATE(AO$4,AO$5,AO$7),ROUTE_PER_DAY_ROUTES,0),MATCH(AO$6,ROUTE_PER_DAY_SHIPS,0))*(AM184-AM183))-(INDEX(ROUTE_PER_DAY_BY_SHIP,MATCH(CONCATENATE(AO$4,AO$5,AO$7),ROUTE_PER_DAY_ROUTES,0),MATCH(AO$6,ROUTE_PER_DAY_SHIPS,0))*(AM184-AM183))*HLOOKUP(AO$6,SHIPS,7,0)*INDEX(LADEN_VOYAGE_DAYS,MATCH(CONCATENATE(AO$4,AO$5,AO$7),LADEN_VOYAGE_ROUTES,0),MATCH(AO$6,LADEN_VOYAGE_SHIPS,0)))),0)</f>
        <v>5166876.756626742</v>
      </c>
      <c r="AQ183" s="118">
        <f>-(AP183)*PORTS!$I$6</f>
        <v>-129171.91891566856</v>
      </c>
      <c r="AR183" s="215">
        <f t="shared" si="63"/>
        <v>5037704.8377110735</v>
      </c>
      <c r="AS183" s="202"/>
      <c r="AT183" s="186">
        <f t="shared" si="91"/>
        <v>41730</v>
      </c>
      <c r="AU183" s="232">
        <f>+AR183*(VLOOKUP(AT183,CURVECALC!$C$6:$J$312,4,0)+AV$5)</f>
        <v>18523640.688263614</v>
      </c>
      <c r="AV183" s="208">
        <f>-AN183*INDEX(ship_curves,MATCH(AT183,'SHIP CURVES'!$A$9:$A$316,0),MATCH(CONCATENATE(AX$4,AX$5,AX$6,AX$7),'SHIP CURVES'!$A$9:$AZ$9,0))</f>
        <v>-1762928.907436955</v>
      </c>
      <c r="AW183" s="209">
        <f>-AP183*INDEX(port_processing_fee,MATCH(AT183,PORTS!$H$626:$H$933,0),MATCH(AX$5,PORTS!$H$626:$Z$626,0))</f>
        <v>-162519.93296466273</v>
      </c>
      <c r="AX183" s="405">
        <f>(((VLOOKUP(AT183,curvecalc,4,0))*IF(AN183=0,0,AR183/AN183)-INDEX(ship_curves,MATCH(AT183,'SHIP CURVES'!$A$9:$A$316,0),MATCH(CONCATENATE(AX$4,AX$5,AX$6,AX$7),'SHIP CURVES'!$A$9:$Z$9,0))-INDEX(terminal_curves,MATCH(AT183,'TERMINAL CURVES'!$A$4:$A$313,0),MATCH(AX$5,'TERMINAL CURVES'!$A$4:$N$4,0))*IF(AN183=0,0,AP183/AN183))-(AV$8)*((AV$7-$N$5)-(INDEX(ship_curves,MATCH(AT183,'SHIP CURVES'!$A$9:$A$316,0),MATCH(CONCATENATE(AX$4,AX$5,AX$6,AX$7),'SHIP CURVES'!$A$9:$Z$9,0))-INDEX(ship_curves,MATCH(AT183,'SHIP CURVES'!$A$9:$A$316,0),MATCH(CONCATENATE(AX$4,AV$6,AX$6,AX$7),'SHIP CURVES'!$A$9:$Z$9,0)))-(INDEX(terminal_curves,MATCH(AT183,'TERMINAL CURVES'!$A$4:$A$313,0),MATCH(AX$5,'TERMINAL CURVES'!$A$4:$N$4,0))-INDEX(terminal_curves,MATCH(AT183,'TERMINAL CURVES'!$A$4:$A$313,0),MATCH(AV$6,'TERMINAL CURVES'!$A$4:$N$4,0)))*IF(AN183=0,0,AP183/AN183)))*-AN183</f>
        <v>-15471225.561226709</v>
      </c>
      <c r="AY183" s="343">
        <f t="shared" si="82"/>
        <v>-17396674.401628327</v>
      </c>
      <c r="AZ183" s="338">
        <f>(-AP183/((HLOOKUP(AX$5,port_specs,2,0)/(365.25))*(AT184-AT183)))*(INDEX(fixed_capacity_charge,MATCH(AT183,PORTS!$H$11:$H$317,0),MATCH(AX$5,PORTS!$H$11:$N$11,0))+INDEX(variable_om_charge,MATCH(AT183,PORTS!$H$318:$H$625,0),MATCH(AX$5,PORTS!$H$318:$N$318,0)))</f>
        <v>-1026212.1898810656</v>
      </c>
      <c r="BA183" s="232">
        <f t="shared" si="83"/>
        <v>-18422886.591509391</v>
      </c>
      <c r="BB183" s="241">
        <f t="shared" si="84"/>
        <v>100754.09675422311</v>
      </c>
      <c r="BC183" s="408"/>
      <c r="BD183" s="338">
        <f>+PORTS!I177+PORTS!I485</f>
        <v>1026212.1898810656</v>
      </c>
    </row>
    <row r="184" spans="1:56" x14ac:dyDescent="0.2">
      <c r="A184" s="186">
        <f t="shared" si="85"/>
        <v>41760</v>
      </c>
      <c r="B184" s="215">
        <f>+IF(AND($A184&gt;=$C$8,$A184&lt;=$C$9),1,0)*PORTS!$I$5/(365.25)*(A185-A184)</f>
        <v>5339105.9818476336</v>
      </c>
      <c r="C184" s="351">
        <f t="shared" si="64"/>
        <v>0</v>
      </c>
      <c r="D184">
        <f t="shared" si="65"/>
        <v>2014</v>
      </c>
      <c r="E184" s="186">
        <f t="shared" si="86"/>
        <v>41760</v>
      </c>
      <c r="F184" s="215">
        <f t="shared" si="66"/>
        <v>0</v>
      </c>
      <c r="G184" s="191">
        <f t="shared" si="67"/>
        <v>0</v>
      </c>
      <c r="H184" s="218">
        <f t="shared" si="68"/>
        <v>0</v>
      </c>
      <c r="I184" s="118">
        <f t="shared" si="69"/>
        <v>0</v>
      </c>
      <c r="J184" s="215">
        <f t="shared" si="70"/>
        <v>0</v>
      </c>
      <c r="K184" s="202"/>
      <c r="L184" s="186">
        <f t="shared" si="87"/>
        <v>41760</v>
      </c>
      <c r="M184" s="400">
        <f>+J184*(VLOOKUP(L184,CURVECALC!$C$6:$J$312,4,0)+N$5)</f>
        <v>0</v>
      </c>
      <c r="N184" s="208">
        <f>-F184*INDEX(ship_curves,MATCH(L184,'SHIP CURVES'!$A$9:$A$316,0),MATCH(CONCATENATE(P$4,P$5,P$6,P$7),'SHIP CURVES'!$A$9:$AZ$9,0))</f>
        <v>0</v>
      </c>
      <c r="O184" s="209">
        <f>-H184*INDEX(port_processing_fee,MATCH(L184,PORTS!$H$626:$H$933,0),MATCH(P$5,PORTS!$H$626:$Z$626,0))</f>
        <v>0</v>
      </c>
      <c r="P184" s="405">
        <f>(((VLOOKUP(L184,curvecalc,4,0))*IF(F184=0,0,J184/F184)-INDEX(ship_curves,MATCH(L184,'SHIP CURVES'!$A$9:$A$316,0),MATCH(CONCATENATE(P$4,P$5,P$6,P$7),'SHIP CURVES'!$A$9:$Z$9,0))-INDEX(terminal_curves,MATCH(L184,'TERMINAL CURVES'!$A$4:$A$313,0),MATCH(P$5,'TERMINAL CURVES'!$A$4:$N$4,0))*IF(F184=0,0,H184/F184))-(N$8)*((N$7-$N$5)-(INDEX(ship_curves,MATCH(L184,'SHIP CURVES'!$A$9:$A$316,0),MATCH(CONCATENATE(P$4,P$5,P$6,P$7),'SHIP CURVES'!$A$9:$Z$9,0))-INDEX(ship_curves,MATCH(L184,'SHIP CURVES'!$A$9:$A$316,0),MATCH(CONCATENATE(P$4,N$6,P$6,P$7),'SHIP CURVES'!$A$9:$Z$9,0)))-(INDEX(terminal_curves,MATCH(L184,'TERMINAL CURVES'!$A$4:$A$313,0),MATCH(P$5,'TERMINAL CURVES'!$A$4:$N$4,0))-INDEX(terminal_curves,MATCH(L184,'TERMINAL CURVES'!$A$4:$A$313,0),MATCH(N$6,'TERMINAL CURVES'!$A$4:$N$4,0)))*IF(F184=0,0,H184/F184)))*-F184</f>
        <v>0</v>
      </c>
      <c r="Q184" s="403">
        <f t="shared" si="71"/>
        <v>0</v>
      </c>
      <c r="R184" s="338">
        <f>(-H184/((HLOOKUP(P$5,port_specs,2,0)/(365.25))*(L185-L184)))*(INDEX(fixed_capacity_charge,MATCH(L184,PORTS!$H$11:$H$317,0),MATCH(P$5,PORTS!$H$11:$N$11,0))+INDEX(variable_om_charge,MATCH(L184,PORTS!$H$318:$H$625,0),MATCH(P$5,PORTS!$H$318:$N$318,0)))</f>
        <v>0</v>
      </c>
      <c r="S184" s="232">
        <f t="shared" si="72"/>
        <v>0</v>
      </c>
      <c r="T184" s="241">
        <f t="shared" si="73"/>
        <v>0</v>
      </c>
      <c r="V184" s="186">
        <f t="shared" si="88"/>
        <v>41760</v>
      </c>
      <c r="W184" s="215">
        <f t="shared" si="74"/>
        <v>0</v>
      </c>
      <c r="X184" s="191">
        <f t="shared" si="75"/>
        <v>0</v>
      </c>
      <c r="Y184" s="218">
        <f>+IF(AND(X$8&lt;=V184,X$9&gt;=V184),+MIN($B184-SUMIF($H$17:X$17,Y$17,$H184:X184),((INDEX(ROUTE_PER_DAY_BY_SHIP,MATCH(CONCATENATE(X$4,X$5,X$7),ROUTE_PER_DAY_ROUTES,0),MATCH(X$6,ROUTE_PER_DAY_SHIPS,0))*(V185-V184))-(INDEX(ROUTE_PER_DAY_BY_SHIP,MATCH(CONCATENATE(X$4,X$5,X$7),ROUTE_PER_DAY_ROUTES,0),MATCH(X$6,ROUTE_PER_DAY_SHIPS,0))*(V185-V184))*HLOOKUP(X$6,SHIPS,7,0)*INDEX(LADEN_VOYAGE_DAYS,MATCH(CONCATENATE(X$4,X$5,X$7),LADEN_VOYAGE_ROUTES,0),MATCH(X$6,LADEN_VOYAGE_SHIPS,0)))),0)</f>
        <v>0</v>
      </c>
      <c r="Z184" s="118">
        <f t="shared" si="76"/>
        <v>0</v>
      </c>
      <c r="AA184" s="215">
        <f t="shared" si="62"/>
        <v>0</v>
      </c>
      <c r="AB184" s="202"/>
      <c r="AC184" s="186">
        <f t="shared" si="89"/>
        <v>41760</v>
      </c>
      <c r="AD184" s="232">
        <f>+AA184*(VLOOKUP(AC184,CURVECALC!$C$6:$J$312,4,0)+AE$5)</f>
        <v>0</v>
      </c>
      <c r="AE184" s="208">
        <f>-W184*INDEX(ship_curves,MATCH(AC184,'SHIP CURVES'!$A$9:$A$316,0),MATCH(CONCATENATE(AG$4,AG$5,AG$6,AG$7),'SHIP CURVES'!$A$9:$AZ$9,0))</f>
        <v>0</v>
      </c>
      <c r="AF184" s="209">
        <f>-Y184*INDEX(port_processing_fee,MATCH(AC184,PORTS!$H$626:$H$933,0),MATCH(AG$5,PORTS!$H$626:$Z$626,0))</f>
        <v>0</v>
      </c>
      <c r="AG184" s="405">
        <f>(((VLOOKUP(AC184,curvecalc,4,0))*IF(W184=0,0,AA184/W184)-INDEX(ship_curves,MATCH(AC184,'SHIP CURVES'!$A$9:$A$316,0),MATCH(CONCATENATE(AG$4,AG$5,AG$6,AG$7),'SHIP CURVES'!$A$9:$Z$9,0))-INDEX(terminal_curves,MATCH(AC184,'TERMINAL CURVES'!$A$4:$A$313,0),MATCH(AG$5,'TERMINAL CURVES'!$A$4:$N$4,0))*IF(W184=0,0,Y184/W184))-(AE$8)*((AE$7-$N$5)-(INDEX(ship_curves,MATCH(AC184,'SHIP CURVES'!$A$9:$A$316,0),MATCH(CONCATENATE(AG$4,AG$5,AG$6,AG$7),'SHIP CURVES'!$A$9:$Z$9,0))-INDEX(ship_curves,MATCH(AC184,'SHIP CURVES'!$A$9:$A$316,0),MATCH(CONCATENATE(AG$4,AE$6,AG$6,AG$7),'SHIP CURVES'!$A$9:$Z$9,0)))-(INDEX(terminal_curves,MATCH(AC184,'TERMINAL CURVES'!$A$4:$A$313,0),MATCH(AG$5,'TERMINAL CURVES'!$A$4:$N$4,0))-INDEX(terminal_curves,MATCH(AC184,'TERMINAL CURVES'!$A$4:$A$313,0),MATCH(AE$6,'TERMINAL CURVES'!$A$4:$N$4,0)))*IF(W184=0,0,Y184/W184)))*-W184</f>
        <v>0</v>
      </c>
      <c r="AH184" s="343">
        <f t="shared" si="77"/>
        <v>0</v>
      </c>
      <c r="AI184" s="338">
        <f>(-Y184/((HLOOKUP(AG$5,port_specs,2,0)/(365.25))*(AC185-AC184)))*(INDEX(fixed_capacity_charge,MATCH(AC184,PORTS!$H$11:$H$317,0),MATCH(AG$5,PORTS!$H$11:$N$11,0))+INDEX(variable_om_charge,MATCH(AC184,PORTS!$H$318:$H$625,0),MATCH(AG$5,PORTS!$H$318:$N$318,0)))</f>
        <v>0</v>
      </c>
      <c r="AJ184" s="232">
        <f t="shared" si="78"/>
        <v>0</v>
      </c>
      <c r="AK184" s="241">
        <f t="shared" si="79"/>
        <v>0</v>
      </c>
      <c r="AM184" s="186">
        <f t="shared" si="90"/>
        <v>41760</v>
      </c>
      <c r="AN184" s="215">
        <f t="shared" si="80"/>
        <v>5395761.4773599124</v>
      </c>
      <c r="AO184" s="191">
        <f t="shared" si="81"/>
        <v>-56655.495512278751</v>
      </c>
      <c r="AP184" s="218">
        <f>+IF(AND(AO$8&lt;=AM184,AO$9&gt;=AM184),+MIN($B184-SUMIF($H$17:AO$17,AP$17,$H184:AO184),((INDEX(ROUTE_PER_DAY_BY_SHIP,MATCH(CONCATENATE(AO$4,AO$5,AO$7),ROUTE_PER_DAY_ROUTES,0),MATCH(AO$6,ROUTE_PER_DAY_SHIPS,0))*(AM185-AM184))-(INDEX(ROUTE_PER_DAY_BY_SHIP,MATCH(CONCATENATE(AO$4,AO$5,AO$7),ROUTE_PER_DAY_ROUTES,0),MATCH(AO$6,ROUTE_PER_DAY_SHIPS,0))*(AM185-AM184))*HLOOKUP(AO$6,SHIPS,7,0)*INDEX(LADEN_VOYAGE_DAYS,MATCH(CONCATENATE(AO$4,AO$5,AO$7),LADEN_VOYAGE_ROUTES,0),MATCH(AO$6,LADEN_VOYAGE_SHIPS,0)))),0)</f>
        <v>5339105.9818476336</v>
      </c>
      <c r="AQ184" s="118">
        <f>-(AP184)*PORTS!$I$6</f>
        <v>-133477.64954619083</v>
      </c>
      <c r="AR184" s="215">
        <f t="shared" si="63"/>
        <v>5205628.3323014425</v>
      </c>
      <c r="AS184" s="202"/>
      <c r="AT184" s="186">
        <f t="shared" si="91"/>
        <v>41760</v>
      </c>
      <c r="AU184" s="232">
        <f>+AR184*(VLOOKUP(AT184,CURVECALC!$C$6:$J$312,4,0)+AV$5)</f>
        <v>19120272.8645432</v>
      </c>
      <c r="AV184" s="208">
        <f>-AN184*INDEX(ship_curves,MATCH(AT184,'SHIP CURVES'!$A$9:$A$316,0),MATCH(CONCATENATE(AX$4,AX$5,AX$6,AX$7),'SHIP CURVES'!$A$9:$AZ$9,0))</f>
        <v>-1822292.7157626357</v>
      </c>
      <c r="AW184" s="209">
        <f>-AP184*INDEX(port_processing_fee,MATCH(AT184,PORTS!$H$626:$H$933,0),MATCH(AX$5,PORTS!$H$626:$Z$626,0))</f>
        <v>-168112.19871355098</v>
      </c>
      <c r="AX184" s="405">
        <f>(((VLOOKUP(AT184,curvecalc,4,0))*IF(AN184=0,0,AR184/AN184)-INDEX(ship_curves,MATCH(AT184,'SHIP CURVES'!$A$9:$A$316,0),MATCH(CONCATENATE(AX$4,AX$5,AX$6,AX$7),'SHIP CURVES'!$A$9:$Z$9,0))-INDEX(terminal_curves,MATCH(AT184,'TERMINAL CURVES'!$A$4:$A$313,0),MATCH(AX$5,'TERMINAL CURVES'!$A$4:$N$4,0))*IF(AN184=0,0,AP184/AN184))-(AV$8)*((AV$7-$N$5)-(INDEX(ship_curves,MATCH(AT184,'SHIP CURVES'!$A$9:$A$316,0),MATCH(CONCATENATE(AX$4,AX$5,AX$6,AX$7),'SHIP CURVES'!$A$9:$Z$9,0))-INDEX(ship_curves,MATCH(AT184,'SHIP CURVES'!$A$9:$A$316,0),MATCH(CONCATENATE(AX$4,AV$6,AX$6,AX$7),'SHIP CURVES'!$A$9:$Z$9,0)))-(INDEX(terminal_curves,MATCH(AT184,'TERMINAL CURVES'!$A$4:$A$313,0),MATCH(AX$5,'TERMINAL CURVES'!$A$4:$N$4,0))-INDEX(terminal_curves,MATCH(AT184,'TERMINAL CURVES'!$A$4:$A$313,0),MATCH(AV$6,'TERMINAL CURVES'!$A$4:$N$4,0)))*IF(AN184=0,0,AP184/AN184)))*-AN184</f>
        <v>-15998979.62518682</v>
      </c>
      <c r="AY184" s="343">
        <f t="shared" si="82"/>
        <v>-17989384.539663006</v>
      </c>
      <c r="AZ184" s="338">
        <f>(-AP184/((HLOOKUP(AX$5,port_specs,2,0)/(365.25))*(AT185-AT184)))*(INDEX(fixed_capacity_charge,MATCH(AT184,PORTS!$H$11:$H$317,0),MATCH(AX$5,PORTS!$H$11:$N$11,0))+INDEX(variable_om_charge,MATCH(AT184,PORTS!$H$318:$H$625,0),MATCH(AX$5,PORTS!$H$318:$N$318,0)))</f>
        <v>-1026775.7582341623</v>
      </c>
      <c r="BA184" s="232">
        <f t="shared" si="83"/>
        <v>-19016160.297897168</v>
      </c>
      <c r="BB184" s="241">
        <f t="shared" si="84"/>
        <v>104112.56664603204</v>
      </c>
      <c r="BC184" s="408"/>
      <c r="BD184" s="338">
        <f>+PORTS!I178+PORTS!I486</f>
        <v>1026775.7582341623</v>
      </c>
    </row>
    <row r="185" spans="1:56" x14ac:dyDescent="0.2">
      <c r="A185" s="186">
        <f t="shared" si="85"/>
        <v>41791</v>
      </c>
      <c r="B185" s="215">
        <f>+IF(AND($A185&gt;=$C$8,$A185&lt;=$C$9),1,0)*PORTS!$I$5/(365.25)*(A186-A185)</f>
        <v>5166876.756626742</v>
      </c>
      <c r="C185" s="351">
        <f t="shared" si="64"/>
        <v>0</v>
      </c>
      <c r="D185">
        <f t="shared" si="65"/>
        <v>2014</v>
      </c>
      <c r="E185" s="186">
        <f t="shared" si="86"/>
        <v>41791</v>
      </c>
      <c r="F185" s="215">
        <f t="shared" si="66"/>
        <v>0</v>
      </c>
      <c r="G185" s="191">
        <f t="shared" si="67"/>
        <v>0</v>
      </c>
      <c r="H185" s="218">
        <f t="shared" si="68"/>
        <v>0</v>
      </c>
      <c r="I185" s="118">
        <f t="shared" si="69"/>
        <v>0</v>
      </c>
      <c r="J185" s="215">
        <f t="shared" si="70"/>
        <v>0</v>
      </c>
      <c r="K185" s="202"/>
      <c r="L185" s="186">
        <f t="shared" si="87"/>
        <v>41791</v>
      </c>
      <c r="M185" s="400">
        <f>+J185*(VLOOKUP(L185,CURVECALC!$C$6:$J$312,4,0)+N$5)</f>
        <v>0</v>
      </c>
      <c r="N185" s="208">
        <f>-F185*INDEX(ship_curves,MATCH(L185,'SHIP CURVES'!$A$9:$A$316,0),MATCH(CONCATENATE(P$4,P$5,P$6,P$7),'SHIP CURVES'!$A$9:$AZ$9,0))</f>
        <v>0</v>
      </c>
      <c r="O185" s="209">
        <f>-H185*INDEX(port_processing_fee,MATCH(L185,PORTS!$H$626:$H$933,0),MATCH(P$5,PORTS!$H$626:$Z$626,0))</f>
        <v>0</v>
      </c>
      <c r="P185" s="405">
        <f>(((VLOOKUP(L185,curvecalc,4,0))*IF(F185=0,0,J185/F185)-INDEX(ship_curves,MATCH(L185,'SHIP CURVES'!$A$9:$A$316,0),MATCH(CONCATENATE(P$4,P$5,P$6,P$7),'SHIP CURVES'!$A$9:$Z$9,0))-INDEX(terminal_curves,MATCH(L185,'TERMINAL CURVES'!$A$4:$A$313,0),MATCH(P$5,'TERMINAL CURVES'!$A$4:$N$4,0))*IF(F185=0,0,H185/F185))-(N$8)*((N$7-$N$5)-(INDEX(ship_curves,MATCH(L185,'SHIP CURVES'!$A$9:$A$316,0),MATCH(CONCATENATE(P$4,P$5,P$6,P$7),'SHIP CURVES'!$A$9:$Z$9,0))-INDEX(ship_curves,MATCH(L185,'SHIP CURVES'!$A$9:$A$316,0),MATCH(CONCATENATE(P$4,N$6,P$6,P$7),'SHIP CURVES'!$A$9:$Z$9,0)))-(INDEX(terminal_curves,MATCH(L185,'TERMINAL CURVES'!$A$4:$A$313,0),MATCH(P$5,'TERMINAL CURVES'!$A$4:$N$4,0))-INDEX(terminal_curves,MATCH(L185,'TERMINAL CURVES'!$A$4:$A$313,0),MATCH(N$6,'TERMINAL CURVES'!$A$4:$N$4,0)))*IF(F185=0,0,H185/F185)))*-F185</f>
        <v>0</v>
      </c>
      <c r="Q185" s="403">
        <f t="shared" si="71"/>
        <v>0</v>
      </c>
      <c r="R185" s="338">
        <f>(-H185/((HLOOKUP(P$5,port_specs,2,0)/(365.25))*(L186-L185)))*(INDEX(fixed_capacity_charge,MATCH(L185,PORTS!$H$11:$H$317,0),MATCH(P$5,PORTS!$H$11:$N$11,0))+INDEX(variable_om_charge,MATCH(L185,PORTS!$H$318:$H$625,0),MATCH(P$5,PORTS!$H$318:$N$318,0)))</f>
        <v>0</v>
      </c>
      <c r="S185" s="232">
        <f t="shared" si="72"/>
        <v>0</v>
      </c>
      <c r="T185" s="241">
        <f t="shared" si="73"/>
        <v>0</v>
      </c>
      <c r="V185" s="186">
        <f t="shared" si="88"/>
        <v>41791</v>
      </c>
      <c r="W185" s="215">
        <f t="shared" si="74"/>
        <v>0</v>
      </c>
      <c r="X185" s="191">
        <f t="shared" si="75"/>
        <v>0</v>
      </c>
      <c r="Y185" s="218">
        <f>+IF(AND(X$8&lt;=V185,X$9&gt;=V185),+MIN($B185-SUMIF($H$17:X$17,Y$17,$H185:X185),((INDEX(ROUTE_PER_DAY_BY_SHIP,MATCH(CONCATENATE(X$4,X$5,X$7),ROUTE_PER_DAY_ROUTES,0),MATCH(X$6,ROUTE_PER_DAY_SHIPS,0))*(V186-V185))-(INDEX(ROUTE_PER_DAY_BY_SHIP,MATCH(CONCATENATE(X$4,X$5,X$7),ROUTE_PER_DAY_ROUTES,0),MATCH(X$6,ROUTE_PER_DAY_SHIPS,0))*(V186-V185))*HLOOKUP(X$6,SHIPS,7,0)*INDEX(LADEN_VOYAGE_DAYS,MATCH(CONCATENATE(X$4,X$5,X$7),LADEN_VOYAGE_ROUTES,0),MATCH(X$6,LADEN_VOYAGE_SHIPS,0)))),0)</f>
        <v>0</v>
      </c>
      <c r="Z185" s="118">
        <f t="shared" si="76"/>
        <v>0</v>
      </c>
      <c r="AA185" s="215">
        <f t="shared" si="62"/>
        <v>0</v>
      </c>
      <c r="AB185" s="202"/>
      <c r="AC185" s="186">
        <f t="shared" si="89"/>
        <v>41791</v>
      </c>
      <c r="AD185" s="232">
        <f>+AA185*(VLOOKUP(AC185,CURVECALC!$C$6:$J$312,4,0)+AE$5)</f>
        <v>0</v>
      </c>
      <c r="AE185" s="208">
        <f>-W185*INDEX(ship_curves,MATCH(AC185,'SHIP CURVES'!$A$9:$A$316,0),MATCH(CONCATENATE(AG$4,AG$5,AG$6,AG$7),'SHIP CURVES'!$A$9:$AZ$9,0))</f>
        <v>0</v>
      </c>
      <c r="AF185" s="209">
        <f>-Y185*INDEX(port_processing_fee,MATCH(AC185,PORTS!$H$626:$H$933,0),MATCH(AG$5,PORTS!$H$626:$Z$626,0))</f>
        <v>0</v>
      </c>
      <c r="AG185" s="405">
        <f>(((VLOOKUP(AC185,curvecalc,4,0))*IF(W185=0,0,AA185/W185)-INDEX(ship_curves,MATCH(AC185,'SHIP CURVES'!$A$9:$A$316,0),MATCH(CONCATENATE(AG$4,AG$5,AG$6,AG$7),'SHIP CURVES'!$A$9:$Z$9,0))-INDEX(terminal_curves,MATCH(AC185,'TERMINAL CURVES'!$A$4:$A$313,0),MATCH(AG$5,'TERMINAL CURVES'!$A$4:$N$4,0))*IF(W185=0,0,Y185/W185))-(AE$8)*((AE$7-$N$5)-(INDEX(ship_curves,MATCH(AC185,'SHIP CURVES'!$A$9:$A$316,0),MATCH(CONCATENATE(AG$4,AG$5,AG$6,AG$7),'SHIP CURVES'!$A$9:$Z$9,0))-INDEX(ship_curves,MATCH(AC185,'SHIP CURVES'!$A$9:$A$316,0),MATCH(CONCATENATE(AG$4,AE$6,AG$6,AG$7),'SHIP CURVES'!$A$9:$Z$9,0)))-(INDEX(terminal_curves,MATCH(AC185,'TERMINAL CURVES'!$A$4:$A$313,0),MATCH(AG$5,'TERMINAL CURVES'!$A$4:$N$4,0))-INDEX(terminal_curves,MATCH(AC185,'TERMINAL CURVES'!$A$4:$A$313,0),MATCH(AE$6,'TERMINAL CURVES'!$A$4:$N$4,0)))*IF(W185=0,0,Y185/W185)))*-W185</f>
        <v>0</v>
      </c>
      <c r="AH185" s="343">
        <f t="shared" si="77"/>
        <v>0</v>
      </c>
      <c r="AI185" s="338">
        <f>(-Y185/((HLOOKUP(AG$5,port_specs,2,0)/(365.25))*(AC186-AC185)))*(INDEX(fixed_capacity_charge,MATCH(AC185,PORTS!$H$11:$H$317,0),MATCH(AG$5,PORTS!$H$11:$N$11,0))+INDEX(variable_om_charge,MATCH(AC185,PORTS!$H$318:$H$625,0),MATCH(AG$5,PORTS!$H$318:$N$318,0)))</f>
        <v>0</v>
      </c>
      <c r="AJ185" s="232">
        <f t="shared" si="78"/>
        <v>0</v>
      </c>
      <c r="AK185" s="241">
        <f t="shared" si="79"/>
        <v>0</v>
      </c>
      <c r="AM185" s="186">
        <f t="shared" si="90"/>
        <v>41791</v>
      </c>
      <c r="AN185" s="215">
        <f t="shared" si="80"/>
        <v>5221704.655509592</v>
      </c>
      <c r="AO185" s="191">
        <f t="shared" si="81"/>
        <v>-54827.898882850073</v>
      </c>
      <c r="AP185" s="218">
        <f>+IF(AND(AO$8&lt;=AM185,AO$9&gt;=AM185),+MIN($B185-SUMIF($H$17:AO$17,AP$17,$H185:AO185),((INDEX(ROUTE_PER_DAY_BY_SHIP,MATCH(CONCATENATE(AO$4,AO$5,AO$7),ROUTE_PER_DAY_ROUTES,0),MATCH(AO$6,ROUTE_PER_DAY_SHIPS,0))*(AM186-AM185))-(INDEX(ROUTE_PER_DAY_BY_SHIP,MATCH(CONCATENATE(AO$4,AO$5,AO$7),ROUTE_PER_DAY_ROUTES,0),MATCH(AO$6,ROUTE_PER_DAY_SHIPS,0))*(AM186-AM185))*HLOOKUP(AO$6,SHIPS,7,0)*INDEX(LADEN_VOYAGE_DAYS,MATCH(CONCATENATE(AO$4,AO$5,AO$7),LADEN_VOYAGE_ROUTES,0),MATCH(AO$6,LADEN_VOYAGE_SHIPS,0)))),0)</f>
        <v>5166876.756626742</v>
      </c>
      <c r="AQ185" s="118">
        <f>-(AP185)*PORTS!$I$6</f>
        <v>-129171.91891566856</v>
      </c>
      <c r="AR185" s="215">
        <f t="shared" si="63"/>
        <v>5037704.8377110735</v>
      </c>
      <c r="AS185" s="202"/>
      <c r="AT185" s="186">
        <f t="shared" si="91"/>
        <v>41791</v>
      </c>
      <c r="AU185" s="232">
        <f>+AR185*(VLOOKUP(AT185,CURVECALC!$C$6:$J$312,4,0)+AV$5)</f>
        <v>18710035.767258927</v>
      </c>
      <c r="AV185" s="208">
        <f>-AN185*INDEX(ship_curves,MATCH(AT185,'SHIP CURVES'!$A$9:$A$316,0),MATCH(CONCATENATE(AX$4,AX$5,AX$6,AX$7),'SHIP CURVES'!$A$9:$AZ$9,0))</f>
        <v>-1764090.4607959907</v>
      </c>
      <c r="AW185" s="209">
        <f>-AP185*INDEX(port_processing_fee,MATCH(AT185,PORTS!$H$626:$H$933,0),MATCH(AX$5,PORTS!$H$626:$Z$626,0))</f>
        <v>-162858.69250375248</v>
      </c>
      <c r="AX185" s="405">
        <f>(((VLOOKUP(AT185,curvecalc,4,0))*IF(AN185=0,0,AR185/AN185)-INDEX(ship_curves,MATCH(AT185,'SHIP CURVES'!$A$9:$A$316,0),MATCH(CONCATENATE(AX$4,AX$5,AX$6,AX$7),'SHIP CURVES'!$A$9:$Z$9,0))-INDEX(terminal_curves,MATCH(AT185,'TERMINAL CURVES'!$A$4:$A$313,0),MATCH(AX$5,'TERMINAL CURVES'!$A$4:$N$4,0))*IF(AN185=0,0,AP185/AN185))-(AV$8)*((AV$7-$N$5)-(INDEX(ship_curves,MATCH(AT185,'SHIP CURVES'!$A$9:$A$316,0),MATCH(CONCATENATE(AX$4,AX$5,AX$6,AX$7),'SHIP CURVES'!$A$9:$Z$9,0))-INDEX(ship_curves,MATCH(AT185,'SHIP CURVES'!$A$9:$A$316,0),MATCH(CONCATENATE(AX$4,AV$6,AX$6,AX$7),'SHIP CURVES'!$A$9:$Z$9,0)))-(INDEX(terminal_curves,MATCH(AT185,'TERMINAL CURVES'!$A$4:$A$313,0),MATCH(AX$5,'TERMINAL CURVES'!$A$4:$N$4,0))-INDEX(terminal_curves,MATCH(AT185,'TERMINAL CURVES'!$A$4:$A$313,0),MATCH(AV$6,'TERMINAL CURVES'!$A$4:$N$4,0)))*IF(AN185=0,0,AP185/AN185)))*-AN185</f>
        <v>-15654992.603567336</v>
      </c>
      <c r="AY185" s="343">
        <f t="shared" si="82"/>
        <v>-17581941.756867077</v>
      </c>
      <c r="AZ185" s="338">
        <f>(-AP185/((HLOOKUP(AX$5,port_specs,2,0)/(365.25))*(AT186-AT185)))*(INDEX(fixed_capacity_charge,MATCH(AT185,PORTS!$H$11:$H$317,0),MATCH(AX$5,PORTS!$H$11:$N$11,0))+INDEX(variable_om_charge,MATCH(AT185,PORTS!$H$318:$H$625,0),MATCH(AX$5,PORTS!$H$318:$N$318,0)))</f>
        <v>-1027339.9136376267</v>
      </c>
      <c r="BA185" s="232">
        <f t="shared" si="83"/>
        <v>-18609281.670504704</v>
      </c>
      <c r="BB185" s="241">
        <f t="shared" si="84"/>
        <v>100754.09675422311</v>
      </c>
      <c r="BC185" s="408"/>
      <c r="BD185" s="338">
        <f>+PORTS!I179+PORTS!I487</f>
        <v>1027339.9136376267</v>
      </c>
    </row>
    <row r="186" spans="1:56" x14ac:dyDescent="0.2">
      <c r="A186" s="186">
        <f t="shared" si="85"/>
        <v>41821</v>
      </c>
      <c r="B186" s="215">
        <f>+IF(AND($A186&gt;=$C$8,$A186&lt;=$C$9),1,0)*PORTS!$I$5/(365.25)*(A187-A186)</f>
        <v>5339105.9818476336</v>
      </c>
      <c r="C186" s="351">
        <f t="shared" si="64"/>
        <v>0</v>
      </c>
      <c r="D186">
        <f t="shared" si="65"/>
        <v>2014</v>
      </c>
      <c r="E186" s="186">
        <f t="shared" si="86"/>
        <v>41821</v>
      </c>
      <c r="F186" s="215">
        <f t="shared" si="66"/>
        <v>0</v>
      </c>
      <c r="G186" s="191">
        <f t="shared" si="67"/>
        <v>0</v>
      </c>
      <c r="H186" s="218">
        <f t="shared" si="68"/>
        <v>0</v>
      </c>
      <c r="I186" s="118">
        <f t="shared" si="69"/>
        <v>0</v>
      </c>
      <c r="J186" s="215">
        <f t="shared" si="70"/>
        <v>0</v>
      </c>
      <c r="K186" s="202"/>
      <c r="L186" s="186">
        <f t="shared" si="87"/>
        <v>41821</v>
      </c>
      <c r="M186" s="400">
        <f>+J186*(VLOOKUP(L186,CURVECALC!$C$6:$J$312,4,0)+N$5)</f>
        <v>0</v>
      </c>
      <c r="N186" s="208">
        <f>-F186*INDEX(ship_curves,MATCH(L186,'SHIP CURVES'!$A$9:$A$316,0),MATCH(CONCATENATE(P$4,P$5,P$6,P$7),'SHIP CURVES'!$A$9:$AZ$9,0))</f>
        <v>0</v>
      </c>
      <c r="O186" s="209">
        <f>-H186*INDEX(port_processing_fee,MATCH(L186,PORTS!$H$626:$H$933,0),MATCH(P$5,PORTS!$H$626:$Z$626,0))</f>
        <v>0</v>
      </c>
      <c r="P186" s="405">
        <f>(((VLOOKUP(L186,curvecalc,4,0))*IF(F186=0,0,J186/F186)-INDEX(ship_curves,MATCH(L186,'SHIP CURVES'!$A$9:$A$316,0),MATCH(CONCATENATE(P$4,P$5,P$6,P$7),'SHIP CURVES'!$A$9:$Z$9,0))-INDEX(terminal_curves,MATCH(L186,'TERMINAL CURVES'!$A$4:$A$313,0),MATCH(P$5,'TERMINAL CURVES'!$A$4:$N$4,0))*IF(F186=0,0,H186/F186))-(N$8)*((N$7-$N$5)-(INDEX(ship_curves,MATCH(L186,'SHIP CURVES'!$A$9:$A$316,0),MATCH(CONCATENATE(P$4,P$5,P$6,P$7),'SHIP CURVES'!$A$9:$Z$9,0))-INDEX(ship_curves,MATCH(L186,'SHIP CURVES'!$A$9:$A$316,0),MATCH(CONCATENATE(P$4,N$6,P$6,P$7),'SHIP CURVES'!$A$9:$Z$9,0)))-(INDEX(terminal_curves,MATCH(L186,'TERMINAL CURVES'!$A$4:$A$313,0),MATCH(P$5,'TERMINAL CURVES'!$A$4:$N$4,0))-INDEX(terminal_curves,MATCH(L186,'TERMINAL CURVES'!$A$4:$A$313,0),MATCH(N$6,'TERMINAL CURVES'!$A$4:$N$4,0)))*IF(F186=0,0,H186/F186)))*-F186</f>
        <v>0</v>
      </c>
      <c r="Q186" s="403">
        <f t="shared" si="71"/>
        <v>0</v>
      </c>
      <c r="R186" s="338">
        <f>(-H186/((HLOOKUP(P$5,port_specs,2,0)/(365.25))*(L187-L186)))*(INDEX(fixed_capacity_charge,MATCH(L186,PORTS!$H$11:$H$317,0),MATCH(P$5,PORTS!$H$11:$N$11,0))+INDEX(variable_om_charge,MATCH(L186,PORTS!$H$318:$H$625,0),MATCH(P$5,PORTS!$H$318:$N$318,0)))</f>
        <v>0</v>
      </c>
      <c r="S186" s="232">
        <f t="shared" si="72"/>
        <v>0</v>
      </c>
      <c r="T186" s="241">
        <f t="shared" si="73"/>
        <v>0</v>
      </c>
      <c r="V186" s="186">
        <f t="shared" si="88"/>
        <v>41821</v>
      </c>
      <c r="W186" s="215">
        <f t="shared" si="74"/>
        <v>0</v>
      </c>
      <c r="X186" s="191">
        <f t="shared" si="75"/>
        <v>0</v>
      </c>
      <c r="Y186" s="218">
        <f>+IF(AND(X$8&lt;=V186,X$9&gt;=V186),+MIN($B186-SUMIF($H$17:X$17,Y$17,$H186:X186),((INDEX(ROUTE_PER_DAY_BY_SHIP,MATCH(CONCATENATE(X$4,X$5,X$7),ROUTE_PER_DAY_ROUTES,0),MATCH(X$6,ROUTE_PER_DAY_SHIPS,0))*(V187-V186))-(INDEX(ROUTE_PER_DAY_BY_SHIP,MATCH(CONCATENATE(X$4,X$5,X$7),ROUTE_PER_DAY_ROUTES,0),MATCH(X$6,ROUTE_PER_DAY_SHIPS,0))*(V187-V186))*HLOOKUP(X$6,SHIPS,7,0)*INDEX(LADEN_VOYAGE_DAYS,MATCH(CONCATENATE(X$4,X$5,X$7),LADEN_VOYAGE_ROUTES,0),MATCH(X$6,LADEN_VOYAGE_SHIPS,0)))),0)</f>
        <v>0</v>
      </c>
      <c r="Z186" s="118">
        <f t="shared" si="76"/>
        <v>0</v>
      </c>
      <c r="AA186" s="215">
        <f t="shared" si="62"/>
        <v>0</v>
      </c>
      <c r="AB186" s="202"/>
      <c r="AC186" s="186">
        <f t="shared" si="89"/>
        <v>41821</v>
      </c>
      <c r="AD186" s="232">
        <f>+AA186*(VLOOKUP(AC186,CURVECALC!$C$6:$J$312,4,0)+AE$5)</f>
        <v>0</v>
      </c>
      <c r="AE186" s="208">
        <f>-W186*INDEX(ship_curves,MATCH(AC186,'SHIP CURVES'!$A$9:$A$316,0),MATCH(CONCATENATE(AG$4,AG$5,AG$6,AG$7),'SHIP CURVES'!$A$9:$AZ$9,0))</f>
        <v>0</v>
      </c>
      <c r="AF186" s="209">
        <f>-Y186*INDEX(port_processing_fee,MATCH(AC186,PORTS!$H$626:$H$933,0),MATCH(AG$5,PORTS!$H$626:$Z$626,0))</f>
        <v>0</v>
      </c>
      <c r="AG186" s="405">
        <f>(((VLOOKUP(AC186,curvecalc,4,0))*IF(W186=0,0,AA186/W186)-INDEX(ship_curves,MATCH(AC186,'SHIP CURVES'!$A$9:$A$316,0),MATCH(CONCATENATE(AG$4,AG$5,AG$6,AG$7),'SHIP CURVES'!$A$9:$Z$9,0))-INDEX(terminal_curves,MATCH(AC186,'TERMINAL CURVES'!$A$4:$A$313,0),MATCH(AG$5,'TERMINAL CURVES'!$A$4:$N$4,0))*IF(W186=0,0,Y186/W186))-(AE$8)*((AE$7-$N$5)-(INDEX(ship_curves,MATCH(AC186,'SHIP CURVES'!$A$9:$A$316,0),MATCH(CONCATENATE(AG$4,AG$5,AG$6,AG$7),'SHIP CURVES'!$A$9:$Z$9,0))-INDEX(ship_curves,MATCH(AC186,'SHIP CURVES'!$A$9:$A$316,0),MATCH(CONCATENATE(AG$4,AE$6,AG$6,AG$7),'SHIP CURVES'!$A$9:$Z$9,0)))-(INDEX(terminal_curves,MATCH(AC186,'TERMINAL CURVES'!$A$4:$A$313,0),MATCH(AG$5,'TERMINAL CURVES'!$A$4:$N$4,0))-INDEX(terminal_curves,MATCH(AC186,'TERMINAL CURVES'!$A$4:$A$313,0),MATCH(AE$6,'TERMINAL CURVES'!$A$4:$N$4,0)))*IF(W186=0,0,Y186/W186)))*-W186</f>
        <v>0</v>
      </c>
      <c r="AH186" s="343">
        <f t="shared" si="77"/>
        <v>0</v>
      </c>
      <c r="AI186" s="338">
        <f>(-Y186/((HLOOKUP(AG$5,port_specs,2,0)/(365.25))*(AC187-AC186)))*(INDEX(fixed_capacity_charge,MATCH(AC186,PORTS!$H$11:$H$317,0),MATCH(AG$5,PORTS!$H$11:$N$11,0))+INDEX(variable_om_charge,MATCH(AC186,PORTS!$H$318:$H$625,0),MATCH(AG$5,PORTS!$H$318:$N$318,0)))</f>
        <v>0</v>
      </c>
      <c r="AJ186" s="232">
        <f t="shared" si="78"/>
        <v>0</v>
      </c>
      <c r="AK186" s="241">
        <f t="shared" si="79"/>
        <v>0</v>
      </c>
      <c r="AM186" s="186">
        <f t="shared" si="90"/>
        <v>41821</v>
      </c>
      <c r="AN186" s="215">
        <f t="shared" si="80"/>
        <v>5395761.4773599124</v>
      </c>
      <c r="AO186" s="191">
        <f t="shared" si="81"/>
        <v>-56655.495512278751</v>
      </c>
      <c r="AP186" s="218">
        <f>+IF(AND(AO$8&lt;=AM186,AO$9&gt;=AM186),+MIN($B186-SUMIF($H$17:AO$17,AP$17,$H186:AO186),((INDEX(ROUTE_PER_DAY_BY_SHIP,MATCH(CONCATENATE(AO$4,AO$5,AO$7),ROUTE_PER_DAY_ROUTES,0),MATCH(AO$6,ROUTE_PER_DAY_SHIPS,0))*(AM187-AM186))-(INDEX(ROUTE_PER_DAY_BY_SHIP,MATCH(CONCATENATE(AO$4,AO$5,AO$7),ROUTE_PER_DAY_ROUTES,0),MATCH(AO$6,ROUTE_PER_DAY_SHIPS,0))*(AM187-AM186))*HLOOKUP(AO$6,SHIPS,7,0)*INDEX(LADEN_VOYAGE_DAYS,MATCH(CONCATENATE(AO$4,AO$5,AO$7),LADEN_VOYAGE_ROUTES,0),MATCH(AO$6,LADEN_VOYAGE_SHIPS,0)))),0)</f>
        <v>5339105.9818476336</v>
      </c>
      <c r="AQ186" s="118">
        <f>-(AP186)*PORTS!$I$6</f>
        <v>-133477.64954619083</v>
      </c>
      <c r="AR186" s="215">
        <f t="shared" si="63"/>
        <v>5205628.3323014425</v>
      </c>
      <c r="AS186" s="202"/>
      <c r="AT186" s="186">
        <f t="shared" si="91"/>
        <v>41821</v>
      </c>
      <c r="AU186" s="232">
        <f>+AR186*(VLOOKUP(AT186,CURVECALC!$C$6:$J$312,4,0)+AV$5)</f>
        <v>19333703.626167558</v>
      </c>
      <c r="AV186" s="208">
        <f>-AN186*INDEX(ship_curves,MATCH(AT186,'SHIP CURVES'!$A$9:$A$316,0),MATCH(CONCATENATE(AX$4,AX$5,AX$6,AX$7),'SHIP CURVES'!$A$9:$AZ$9,0))</f>
        <v>-1823495.4881332312</v>
      </c>
      <c r="AW186" s="209">
        <f>-AP186*INDEX(port_processing_fee,MATCH(AT186,PORTS!$H$626:$H$933,0),MATCH(AX$5,PORTS!$H$626:$Z$626,0))</f>
        <v>-168462.6148742809</v>
      </c>
      <c r="AX186" s="405">
        <f>(((VLOOKUP(AT186,curvecalc,4,0))*IF(AN186=0,0,AR186/AN186)-INDEX(ship_curves,MATCH(AT186,'SHIP CURVES'!$A$9:$A$316,0),MATCH(CONCATENATE(AX$4,AX$5,AX$6,AX$7),'SHIP CURVES'!$A$9:$Z$9,0))-INDEX(terminal_curves,MATCH(AT186,'TERMINAL CURVES'!$A$4:$A$313,0),MATCH(AX$5,'TERMINAL CURVES'!$A$4:$N$4,0))*IF(AN186=0,0,AP186/AN186))-(AV$8)*((AV$7-$N$5)-(INDEX(ship_curves,MATCH(AT186,'SHIP CURVES'!$A$9:$A$316,0),MATCH(CONCATENATE(AX$4,AX$5,AX$6,AX$7),'SHIP CURVES'!$A$9:$Z$9,0))-INDEX(ship_curves,MATCH(AT186,'SHIP CURVES'!$A$9:$A$316,0),MATCH(CONCATENATE(AX$4,AV$6,AX$6,AX$7),'SHIP CURVES'!$A$9:$Z$9,0)))-(INDEX(terminal_curves,MATCH(AT186,'TERMINAL CURVES'!$A$4:$A$313,0),MATCH(AX$5,'TERMINAL CURVES'!$A$4:$N$4,0))-INDEX(terminal_curves,MATCH(AT186,'TERMINAL CURVES'!$A$4:$A$313,0),MATCH(AV$6,'TERMINAL CURVES'!$A$4:$N$4,0)))*IF(AN186=0,0,AP186/AN186)))*-AN186</f>
        <v>-16209728.299811048</v>
      </c>
      <c r="AY186" s="343">
        <f t="shared" si="82"/>
        <v>-18201686.402818561</v>
      </c>
      <c r="AZ186" s="338">
        <f>(-AP186/((HLOOKUP(AX$5,port_specs,2,0)/(365.25))*(AT187-AT186)))*(INDEX(fixed_capacity_charge,MATCH(AT186,PORTS!$H$11:$H$317,0),MATCH(AX$5,PORTS!$H$11:$N$11,0))+INDEX(variable_om_charge,MATCH(AT186,PORTS!$H$318:$H$625,0),MATCH(AX$5,PORTS!$H$318:$N$318,0)))</f>
        <v>-1027904.6567029697</v>
      </c>
      <c r="BA186" s="232">
        <f t="shared" si="83"/>
        <v>-19229591.05952153</v>
      </c>
      <c r="BB186" s="241">
        <f t="shared" si="84"/>
        <v>104112.56664602831</v>
      </c>
      <c r="BC186" s="408"/>
      <c r="BD186" s="338">
        <f>+PORTS!I180+PORTS!I488</f>
        <v>1027904.6567029697</v>
      </c>
    </row>
    <row r="187" spans="1:56" x14ac:dyDescent="0.2">
      <c r="A187" s="186">
        <f t="shared" si="85"/>
        <v>41852</v>
      </c>
      <c r="B187" s="215">
        <f>+IF(AND($A187&gt;=$C$8,$A187&lt;=$C$9),1,0)*PORTS!$I$5/(365.25)*(A188-A187)</f>
        <v>5339105.9818476336</v>
      </c>
      <c r="C187" s="351">
        <f t="shared" si="64"/>
        <v>0</v>
      </c>
      <c r="D187">
        <f t="shared" si="65"/>
        <v>2014</v>
      </c>
      <c r="E187" s="186">
        <f t="shared" si="86"/>
        <v>41852</v>
      </c>
      <c r="F187" s="215">
        <f t="shared" si="66"/>
        <v>0</v>
      </c>
      <c r="G187" s="191">
        <f t="shared" si="67"/>
        <v>0</v>
      </c>
      <c r="H187" s="218">
        <f t="shared" si="68"/>
        <v>0</v>
      </c>
      <c r="I187" s="118">
        <f t="shared" si="69"/>
        <v>0</v>
      </c>
      <c r="J187" s="215">
        <f t="shared" si="70"/>
        <v>0</v>
      </c>
      <c r="K187" s="202"/>
      <c r="L187" s="186">
        <f t="shared" si="87"/>
        <v>41852</v>
      </c>
      <c r="M187" s="400">
        <f>+J187*(VLOOKUP(L187,CURVECALC!$C$6:$J$312,4,0)+N$5)</f>
        <v>0</v>
      </c>
      <c r="N187" s="208">
        <f>-F187*INDEX(ship_curves,MATCH(L187,'SHIP CURVES'!$A$9:$A$316,0),MATCH(CONCATENATE(P$4,P$5,P$6,P$7),'SHIP CURVES'!$A$9:$AZ$9,0))</f>
        <v>0</v>
      </c>
      <c r="O187" s="209">
        <f>-H187*INDEX(port_processing_fee,MATCH(L187,PORTS!$H$626:$H$933,0),MATCH(P$5,PORTS!$H$626:$Z$626,0))</f>
        <v>0</v>
      </c>
      <c r="P187" s="405">
        <f>(((VLOOKUP(L187,curvecalc,4,0))*IF(F187=0,0,J187/F187)-INDEX(ship_curves,MATCH(L187,'SHIP CURVES'!$A$9:$A$316,0),MATCH(CONCATENATE(P$4,P$5,P$6,P$7),'SHIP CURVES'!$A$9:$Z$9,0))-INDEX(terminal_curves,MATCH(L187,'TERMINAL CURVES'!$A$4:$A$313,0),MATCH(P$5,'TERMINAL CURVES'!$A$4:$N$4,0))*IF(F187=0,0,H187/F187))-(N$8)*((N$7-$N$5)-(INDEX(ship_curves,MATCH(L187,'SHIP CURVES'!$A$9:$A$316,0),MATCH(CONCATENATE(P$4,P$5,P$6,P$7),'SHIP CURVES'!$A$9:$Z$9,0))-INDEX(ship_curves,MATCH(L187,'SHIP CURVES'!$A$9:$A$316,0),MATCH(CONCATENATE(P$4,N$6,P$6,P$7),'SHIP CURVES'!$A$9:$Z$9,0)))-(INDEX(terminal_curves,MATCH(L187,'TERMINAL CURVES'!$A$4:$A$313,0),MATCH(P$5,'TERMINAL CURVES'!$A$4:$N$4,0))-INDEX(terminal_curves,MATCH(L187,'TERMINAL CURVES'!$A$4:$A$313,0),MATCH(N$6,'TERMINAL CURVES'!$A$4:$N$4,0)))*IF(F187=0,0,H187/F187)))*-F187</f>
        <v>0</v>
      </c>
      <c r="Q187" s="403">
        <f t="shared" si="71"/>
        <v>0</v>
      </c>
      <c r="R187" s="338">
        <f>(-H187/((HLOOKUP(P$5,port_specs,2,0)/(365.25))*(L188-L187)))*(INDEX(fixed_capacity_charge,MATCH(L187,PORTS!$H$11:$H$317,0),MATCH(P$5,PORTS!$H$11:$N$11,0))+INDEX(variable_om_charge,MATCH(L187,PORTS!$H$318:$H$625,0),MATCH(P$5,PORTS!$H$318:$N$318,0)))</f>
        <v>0</v>
      </c>
      <c r="S187" s="232">
        <f t="shared" si="72"/>
        <v>0</v>
      </c>
      <c r="T187" s="241">
        <f t="shared" si="73"/>
        <v>0</v>
      </c>
      <c r="V187" s="186">
        <f t="shared" si="88"/>
        <v>41852</v>
      </c>
      <c r="W187" s="215">
        <f t="shared" si="74"/>
        <v>0</v>
      </c>
      <c r="X187" s="191">
        <f t="shared" si="75"/>
        <v>0</v>
      </c>
      <c r="Y187" s="218">
        <f>+IF(AND(X$8&lt;=V187,X$9&gt;=V187),+MIN($B187-SUMIF($H$17:X$17,Y$17,$H187:X187),((INDEX(ROUTE_PER_DAY_BY_SHIP,MATCH(CONCATENATE(X$4,X$5,X$7),ROUTE_PER_DAY_ROUTES,0),MATCH(X$6,ROUTE_PER_DAY_SHIPS,0))*(V188-V187))-(INDEX(ROUTE_PER_DAY_BY_SHIP,MATCH(CONCATENATE(X$4,X$5,X$7),ROUTE_PER_DAY_ROUTES,0),MATCH(X$6,ROUTE_PER_DAY_SHIPS,0))*(V188-V187))*HLOOKUP(X$6,SHIPS,7,0)*INDEX(LADEN_VOYAGE_DAYS,MATCH(CONCATENATE(X$4,X$5,X$7),LADEN_VOYAGE_ROUTES,0),MATCH(X$6,LADEN_VOYAGE_SHIPS,0)))),0)</f>
        <v>0</v>
      </c>
      <c r="Z187" s="118">
        <f t="shared" si="76"/>
        <v>0</v>
      </c>
      <c r="AA187" s="215">
        <f t="shared" si="62"/>
        <v>0</v>
      </c>
      <c r="AB187" s="202"/>
      <c r="AC187" s="186">
        <f t="shared" si="89"/>
        <v>41852</v>
      </c>
      <c r="AD187" s="232">
        <f>+AA187*(VLOOKUP(AC187,CURVECALC!$C$6:$J$312,4,0)+AE$5)</f>
        <v>0</v>
      </c>
      <c r="AE187" s="208">
        <f>-W187*INDEX(ship_curves,MATCH(AC187,'SHIP CURVES'!$A$9:$A$316,0),MATCH(CONCATENATE(AG$4,AG$5,AG$6,AG$7),'SHIP CURVES'!$A$9:$AZ$9,0))</f>
        <v>0</v>
      </c>
      <c r="AF187" s="209">
        <f>-Y187*INDEX(port_processing_fee,MATCH(AC187,PORTS!$H$626:$H$933,0),MATCH(AG$5,PORTS!$H$626:$Z$626,0))</f>
        <v>0</v>
      </c>
      <c r="AG187" s="405">
        <f>(((VLOOKUP(AC187,curvecalc,4,0))*IF(W187=0,0,AA187/W187)-INDEX(ship_curves,MATCH(AC187,'SHIP CURVES'!$A$9:$A$316,0),MATCH(CONCATENATE(AG$4,AG$5,AG$6,AG$7),'SHIP CURVES'!$A$9:$Z$9,0))-INDEX(terminal_curves,MATCH(AC187,'TERMINAL CURVES'!$A$4:$A$313,0),MATCH(AG$5,'TERMINAL CURVES'!$A$4:$N$4,0))*IF(W187=0,0,Y187/W187))-(AE$8)*((AE$7-$N$5)-(INDEX(ship_curves,MATCH(AC187,'SHIP CURVES'!$A$9:$A$316,0),MATCH(CONCATENATE(AG$4,AG$5,AG$6,AG$7),'SHIP CURVES'!$A$9:$Z$9,0))-INDEX(ship_curves,MATCH(AC187,'SHIP CURVES'!$A$9:$A$316,0),MATCH(CONCATENATE(AG$4,AE$6,AG$6,AG$7),'SHIP CURVES'!$A$9:$Z$9,0)))-(INDEX(terminal_curves,MATCH(AC187,'TERMINAL CURVES'!$A$4:$A$313,0),MATCH(AG$5,'TERMINAL CURVES'!$A$4:$N$4,0))-INDEX(terminal_curves,MATCH(AC187,'TERMINAL CURVES'!$A$4:$A$313,0),MATCH(AE$6,'TERMINAL CURVES'!$A$4:$N$4,0)))*IF(W187=0,0,Y187/W187)))*-W187</f>
        <v>0</v>
      </c>
      <c r="AH187" s="343">
        <f t="shared" si="77"/>
        <v>0</v>
      </c>
      <c r="AI187" s="338">
        <f>(-Y187/((HLOOKUP(AG$5,port_specs,2,0)/(365.25))*(AC188-AC187)))*(INDEX(fixed_capacity_charge,MATCH(AC187,PORTS!$H$11:$H$317,0),MATCH(AG$5,PORTS!$H$11:$N$11,0))+INDEX(variable_om_charge,MATCH(AC187,PORTS!$H$318:$H$625,0),MATCH(AG$5,PORTS!$H$318:$N$318,0)))</f>
        <v>0</v>
      </c>
      <c r="AJ187" s="232">
        <f t="shared" si="78"/>
        <v>0</v>
      </c>
      <c r="AK187" s="241">
        <f t="shared" si="79"/>
        <v>0</v>
      </c>
      <c r="AM187" s="186">
        <f t="shared" si="90"/>
        <v>41852</v>
      </c>
      <c r="AN187" s="215">
        <f t="shared" si="80"/>
        <v>5395761.4773599124</v>
      </c>
      <c r="AO187" s="191">
        <f t="shared" si="81"/>
        <v>-56655.495512278751</v>
      </c>
      <c r="AP187" s="218">
        <f>+IF(AND(AO$8&lt;=AM187,AO$9&gt;=AM187),+MIN($B187-SUMIF($H$17:AO$17,AP$17,$H187:AO187),((INDEX(ROUTE_PER_DAY_BY_SHIP,MATCH(CONCATENATE(AO$4,AO$5,AO$7),ROUTE_PER_DAY_ROUTES,0),MATCH(AO$6,ROUTE_PER_DAY_SHIPS,0))*(AM188-AM187))-(INDEX(ROUTE_PER_DAY_BY_SHIP,MATCH(CONCATENATE(AO$4,AO$5,AO$7),ROUTE_PER_DAY_ROUTES,0),MATCH(AO$6,ROUTE_PER_DAY_SHIPS,0))*(AM188-AM187))*HLOOKUP(AO$6,SHIPS,7,0)*INDEX(LADEN_VOYAGE_DAYS,MATCH(CONCATENATE(AO$4,AO$5,AO$7),LADEN_VOYAGE_ROUTES,0),MATCH(AO$6,LADEN_VOYAGE_SHIPS,0)))),0)</f>
        <v>5339105.9818476336</v>
      </c>
      <c r="AQ187" s="118">
        <f>-(AP187)*PORTS!$I$6</f>
        <v>-133477.64954619083</v>
      </c>
      <c r="AR187" s="215">
        <f t="shared" si="63"/>
        <v>5205628.3323014425</v>
      </c>
      <c r="AS187" s="202"/>
      <c r="AT187" s="186">
        <f t="shared" si="91"/>
        <v>41852</v>
      </c>
      <c r="AU187" s="232">
        <f>+AR187*(VLOOKUP(AT187,CURVECALC!$C$6:$J$312,4,0)+AV$5)</f>
        <v>19646041.326105643</v>
      </c>
      <c r="AV187" s="208">
        <f>-AN187*INDEX(ship_curves,MATCH(AT187,'SHIP CURVES'!$A$9:$A$316,0),MATCH(CONCATENATE(AX$4,AX$5,AX$6,AX$7),'SHIP CURVES'!$A$9:$AZ$9,0))</f>
        <v>-1824098.7543022253</v>
      </c>
      <c r="AW187" s="209">
        <f>-AP187*INDEX(port_processing_fee,MATCH(AT187,PORTS!$H$626:$H$933,0),MATCH(AX$5,PORTS!$H$626:$Z$626,0))</f>
        <v>-168638.09676477493</v>
      </c>
      <c r="AX187" s="405">
        <f>(((VLOOKUP(AT187,curvecalc,4,0))*IF(AN187=0,0,AR187/AN187)-INDEX(ship_curves,MATCH(AT187,'SHIP CURVES'!$A$9:$A$316,0),MATCH(CONCATENATE(AX$4,AX$5,AX$6,AX$7),'SHIP CURVES'!$A$9:$Z$9,0))-INDEX(terminal_curves,MATCH(AT187,'TERMINAL CURVES'!$A$4:$A$313,0),MATCH(AX$5,'TERMINAL CURVES'!$A$4:$N$4,0))*IF(AN187=0,0,AP187/AN187))-(AV$8)*((AV$7-$N$5)-(INDEX(ship_curves,MATCH(AT187,'SHIP CURVES'!$A$9:$A$316,0),MATCH(CONCATENATE(AX$4,AX$5,AX$6,AX$7),'SHIP CURVES'!$A$9:$Z$9,0))-INDEX(ship_curves,MATCH(AT187,'SHIP CURVES'!$A$9:$A$316,0),MATCH(CONCATENATE(AX$4,AV$6,AX$6,AX$7),'SHIP CURVES'!$A$9:$Z$9,0)))-(INDEX(terminal_curves,MATCH(AT187,'TERMINAL CURVES'!$A$4:$A$313,0),MATCH(AX$5,'TERMINAL CURVES'!$A$4:$N$4,0))-INDEX(terminal_curves,MATCH(AT187,'TERMINAL CURVES'!$A$4:$A$313,0),MATCH(AV$6,'TERMINAL CURVES'!$A$4:$N$4,0)))*IF(AN187=0,0,AP187/AN187)))*-AN187</f>
        <v>-16520721.920350278</v>
      </c>
      <c r="AY187" s="343">
        <f t="shared" si="82"/>
        <v>-18513458.771417279</v>
      </c>
      <c r="AZ187" s="338">
        <f>(-AP187/((HLOOKUP(AX$5,port_specs,2,0)/(365.25))*(AT188-AT187)))*(INDEX(fixed_capacity_charge,MATCH(AT187,PORTS!$H$11:$H$317,0),MATCH(AX$5,PORTS!$H$11:$N$11,0))+INDEX(variable_om_charge,MATCH(AT187,PORTS!$H$318:$H$625,0),MATCH(AX$5,PORTS!$H$318:$N$318,0)))</f>
        <v>-1028469.988042339</v>
      </c>
      <c r="BA187" s="232">
        <f t="shared" si="83"/>
        <v>-19541928.759459618</v>
      </c>
      <c r="BB187" s="241">
        <f t="shared" si="84"/>
        <v>104112.56664602458</v>
      </c>
      <c r="BC187" s="408"/>
      <c r="BD187" s="338">
        <f>+PORTS!I181+PORTS!I489</f>
        <v>1028469.988042339</v>
      </c>
    </row>
    <row r="188" spans="1:56" x14ac:dyDescent="0.2">
      <c r="A188" s="186">
        <f t="shared" si="85"/>
        <v>41883</v>
      </c>
      <c r="B188" s="215">
        <f>+IF(AND($A188&gt;=$C$8,$A188&lt;=$C$9),1,0)*PORTS!$I$5/(365.25)*(A189-A188)</f>
        <v>5166876.756626742</v>
      </c>
      <c r="C188" s="351">
        <f t="shared" si="64"/>
        <v>0</v>
      </c>
      <c r="D188">
        <f t="shared" si="65"/>
        <v>2014</v>
      </c>
      <c r="E188" s="186">
        <f t="shared" si="86"/>
        <v>41883</v>
      </c>
      <c r="F188" s="215">
        <f t="shared" si="66"/>
        <v>0</v>
      </c>
      <c r="G188" s="191">
        <f t="shared" si="67"/>
        <v>0</v>
      </c>
      <c r="H188" s="218">
        <f t="shared" si="68"/>
        <v>0</v>
      </c>
      <c r="I188" s="118">
        <f t="shared" si="69"/>
        <v>0</v>
      </c>
      <c r="J188" s="215">
        <f t="shared" si="70"/>
        <v>0</v>
      </c>
      <c r="K188" s="202"/>
      <c r="L188" s="186">
        <f t="shared" si="87"/>
        <v>41883</v>
      </c>
      <c r="M188" s="400">
        <f>+J188*(VLOOKUP(L188,CURVECALC!$C$6:$J$312,4,0)+N$5)</f>
        <v>0</v>
      </c>
      <c r="N188" s="208">
        <f>-F188*INDEX(ship_curves,MATCH(L188,'SHIP CURVES'!$A$9:$A$316,0),MATCH(CONCATENATE(P$4,P$5,P$6,P$7),'SHIP CURVES'!$A$9:$AZ$9,0))</f>
        <v>0</v>
      </c>
      <c r="O188" s="209">
        <f>-H188*INDEX(port_processing_fee,MATCH(L188,PORTS!$H$626:$H$933,0),MATCH(P$5,PORTS!$H$626:$Z$626,0))</f>
        <v>0</v>
      </c>
      <c r="P188" s="405">
        <f>(((VLOOKUP(L188,curvecalc,4,0))*IF(F188=0,0,J188/F188)-INDEX(ship_curves,MATCH(L188,'SHIP CURVES'!$A$9:$A$316,0),MATCH(CONCATENATE(P$4,P$5,P$6,P$7),'SHIP CURVES'!$A$9:$Z$9,0))-INDEX(terminal_curves,MATCH(L188,'TERMINAL CURVES'!$A$4:$A$313,0),MATCH(P$5,'TERMINAL CURVES'!$A$4:$N$4,0))*IF(F188=0,0,H188/F188))-(N$8)*((N$7-$N$5)-(INDEX(ship_curves,MATCH(L188,'SHIP CURVES'!$A$9:$A$316,0),MATCH(CONCATENATE(P$4,P$5,P$6,P$7),'SHIP CURVES'!$A$9:$Z$9,0))-INDEX(ship_curves,MATCH(L188,'SHIP CURVES'!$A$9:$A$316,0),MATCH(CONCATENATE(P$4,N$6,P$6,P$7),'SHIP CURVES'!$A$9:$Z$9,0)))-(INDEX(terminal_curves,MATCH(L188,'TERMINAL CURVES'!$A$4:$A$313,0),MATCH(P$5,'TERMINAL CURVES'!$A$4:$N$4,0))-INDEX(terminal_curves,MATCH(L188,'TERMINAL CURVES'!$A$4:$A$313,0),MATCH(N$6,'TERMINAL CURVES'!$A$4:$N$4,0)))*IF(F188=0,0,H188/F188)))*-F188</f>
        <v>0</v>
      </c>
      <c r="Q188" s="403">
        <f t="shared" si="71"/>
        <v>0</v>
      </c>
      <c r="R188" s="338">
        <f>(-H188/((HLOOKUP(P$5,port_specs,2,0)/(365.25))*(L189-L188)))*(INDEX(fixed_capacity_charge,MATCH(L188,PORTS!$H$11:$H$317,0),MATCH(P$5,PORTS!$H$11:$N$11,0))+INDEX(variable_om_charge,MATCH(L188,PORTS!$H$318:$H$625,0),MATCH(P$5,PORTS!$H$318:$N$318,0)))</f>
        <v>0</v>
      </c>
      <c r="S188" s="232">
        <f t="shared" si="72"/>
        <v>0</v>
      </c>
      <c r="T188" s="241">
        <f t="shared" si="73"/>
        <v>0</v>
      </c>
      <c r="V188" s="186">
        <f t="shared" si="88"/>
        <v>41883</v>
      </c>
      <c r="W188" s="215">
        <f t="shared" si="74"/>
        <v>0</v>
      </c>
      <c r="X188" s="191">
        <f t="shared" si="75"/>
        <v>0</v>
      </c>
      <c r="Y188" s="218">
        <f>+IF(AND(X$8&lt;=V188,X$9&gt;=V188),+MIN($B188-SUMIF($H$17:X$17,Y$17,$H188:X188),((INDEX(ROUTE_PER_DAY_BY_SHIP,MATCH(CONCATENATE(X$4,X$5,X$7),ROUTE_PER_DAY_ROUTES,0),MATCH(X$6,ROUTE_PER_DAY_SHIPS,0))*(V189-V188))-(INDEX(ROUTE_PER_DAY_BY_SHIP,MATCH(CONCATENATE(X$4,X$5,X$7),ROUTE_PER_DAY_ROUTES,0),MATCH(X$6,ROUTE_PER_DAY_SHIPS,0))*(V189-V188))*HLOOKUP(X$6,SHIPS,7,0)*INDEX(LADEN_VOYAGE_DAYS,MATCH(CONCATENATE(X$4,X$5,X$7),LADEN_VOYAGE_ROUTES,0),MATCH(X$6,LADEN_VOYAGE_SHIPS,0)))),0)</f>
        <v>0</v>
      </c>
      <c r="Z188" s="118">
        <f t="shared" si="76"/>
        <v>0</v>
      </c>
      <c r="AA188" s="215">
        <f t="shared" si="62"/>
        <v>0</v>
      </c>
      <c r="AB188" s="202"/>
      <c r="AC188" s="186">
        <f t="shared" si="89"/>
        <v>41883</v>
      </c>
      <c r="AD188" s="232">
        <f>+AA188*(VLOOKUP(AC188,CURVECALC!$C$6:$J$312,4,0)+AE$5)</f>
        <v>0</v>
      </c>
      <c r="AE188" s="208">
        <f>-W188*INDEX(ship_curves,MATCH(AC188,'SHIP CURVES'!$A$9:$A$316,0),MATCH(CONCATENATE(AG$4,AG$5,AG$6,AG$7),'SHIP CURVES'!$A$9:$AZ$9,0))</f>
        <v>0</v>
      </c>
      <c r="AF188" s="209">
        <f>-Y188*INDEX(port_processing_fee,MATCH(AC188,PORTS!$H$626:$H$933,0),MATCH(AG$5,PORTS!$H$626:$Z$626,0))</f>
        <v>0</v>
      </c>
      <c r="AG188" s="405">
        <f>(((VLOOKUP(AC188,curvecalc,4,0))*IF(W188=0,0,AA188/W188)-INDEX(ship_curves,MATCH(AC188,'SHIP CURVES'!$A$9:$A$316,0),MATCH(CONCATENATE(AG$4,AG$5,AG$6,AG$7),'SHIP CURVES'!$A$9:$Z$9,0))-INDEX(terminal_curves,MATCH(AC188,'TERMINAL CURVES'!$A$4:$A$313,0),MATCH(AG$5,'TERMINAL CURVES'!$A$4:$N$4,0))*IF(W188=0,0,Y188/W188))-(AE$8)*((AE$7-$N$5)-(INDEX(ship_curves,MATCH(AC188,'SHIP CURVES'!$A$9:$A$316,0),MATCH(CONCATENATE(AG$4,AG$5,AG$6,AG$7),'SHIP CURVES'!$A$9:$Z$9,0))-INDEX(ship_curves,MATCH(AC188,'SHIP CURVES'!$A$9:$A$316,0),MATCH(CONCATENATE(AG$4,AE$6,AG$6,AG$7),'SHIP CURVES'!$A$9:$Z$9,0)))-(INDEX(terminal_curves,MATCH(AC188,'TERMINAL CURVES'!$A$4:$A$313,0),MATCH(AG$5,'TERMINAL CURVES'!$A$4:$N$4,0))-INDEX(terminal_curves,MATCH(AC188,'TERMINAL CURVES'!$A$4:$A$313,0),MATCH(AE$6,'TERMINAL CURVES'!$A$4:$N$4,0)))*IF(W188=0,0,Y188/W188)))*-W188</f>
        <v>0</v>
      </c>
      <c r="AH188" s="343">
        <f t="shared" si="77"/>
        <v>0</v>
      </c>
      <c r="AI188" s="338">
        <f>(-Y188/((HLOOKUP(AG$5,port_specs,2,0)/(365.25))*(AC189-AC188)))*(INDEX(fixed_capacity_charge,MATCH(AC188,PORTS!$H$11:$H$317,0),MATCH(AG$5,PORTS!$H$11:$N$11,0))+INDEX(variable_om_charge,MATCH(AC188,PORTS!$H$318:$H$625,0),MATCH(AG$5,PORTS!$H$318:$N$318,0)))</f>
        <v>0</v>
      </c>
      <c r="AJ188" s="232">
        <f t="shared" si="78"/>
        <v>0</v>
      </c>
      <c r="AK188" s="241">
        <f t="shared" si="79"/>
        <v>0</v>
      </c>
      <c r="AM188" s="186">
        <f t="shared" si="90"/>
        <v>41883</v>
      </c>
      <c r="AN188" s="215">
        <f t="shared" si="80"/>
        <v>5221704.655509592</v>
      </c>
      <c r="AO188" s="191">
        <f t="shared" si="81"/>
        <v>-54827.898882850073</v>
      </c>
      <c r="AP188" s="218">
        <f>+IF(AND(AO$8&lt;=AM188,AO$9&gt;=AM188),+MIN($B188-SUMIF($H$17:AO$17,AP$17,$H188:AO188),((INDEX(ROUTE_PER_DAY_BY_SHIP,MATCH(CONCATENATE(AO$4,AO$5,AO$7),ROUTE_PER_DAY_ROUTES,0),MATCH(AO$6,ROUTE_PER_DAY_SHIPS,0))*(AM189-AM188))-(INDEX(ROUTE_PER_DAY_BY_SHIP,MATCH(CONCATENATE(AO$4,AO$5,AO$7),ROUTE_PER_DAY_ROUTES,0),MATCH(AO$6,ROUTE_PER_DAY_SHIPS,0))*(AM189-AM188))*HLOOKUP(AO$6,SHIPS,7,0)*INDEX(LADEN_VOYAGE_DAYS,MATCH(CONCATENATE(AO$4,AO$5,AO$7),LADEN_VOYAGE_ROUTES,0),MATCH(AO$6,LADEN_VOYAGE_SHIPS,0)))),0)</f>
        <v>5166876.756626742</v>
      </c>
      <c r="AQ188" s="118">
        <f>-(AP188)*PORTS!$I$6</f>
        <v>-129171.91891566856</v>
      </c>
      <c r="AR188" s="215">
        <f t="shared" si="63"/>
        <v>5037704.8377110735</v>
      </c>
      <c r="AS188" s="202"/>
      <c r="AT188" s="186">
        <f t="shared" si="91"/>
        <v>41883</v>
      </c>
      <c r="AU188" s="232">
        <f>+AR188*(VLOOKUP(AT188,CURVECALC!$C$6:$J$312,4,0)+AV$5)</f>
        <v>18906506.25592966</v>
      </c>
      <c r="AV188" s="208">
        <f>-AN188*INDEX(ship_curves,MATCH(AT188,'SHIP CURVES'!$A$9:$A$316,0),MATCH(CONCATENATE(AX$4,AX$5,AX$6,AX$7),'SHIP CURVES'!$A$9:$AZ$9,0))</f>
        <v>-1765841.8812345846</v>
      </c>
      <c r="AW188" s="209">
        <f>-AP188*INDEX(port_processing_fee,MATCH(AT188,PORTS!$H$626:$H$933,0),MATCH(AX$5,PORTS!$H$626:$Z$626,0))</f>
        <v>-163368.15624087572</v>
      </c>
      <c r="AX188" s="405">
        <f>(((VLOOKUP(AT188,curvecalc,4,0))*IF(AN188=0,0,AR188/AN188)-INDEX(ship_curves,MATCH(AT188,'SHIP CURVES'!$A$9:$A$316,0),MATCH(CONCATENATE(AX$4,AX$5,AX$6,AX$7),'SHIP CURVES'!$A$9:$Z$9,0))-INDEX(terminal_curves,MATCH(AT188,'TERMINAL CURVES'!$A$4:$A$313,0),MATCH(AX$5,'TERMINAL CURVES'!$A$4:$N$4,0))*IF(AN188=0,0,AP188/AN188))-(AV$8)*((AV$7-$N$5)-(INDEX(ship_curves,MATCH(AT188,'SHIP CURVES'!$A$9:$A$316,0),MATCH(CONCATENATE(AX$4,AX$5,AX$6,AX$7),'SHIP CURVES'!$A$9:$Z$9,0))-INDEX(ship_curves,MATCH(AT188,'SHIP CURVES'!$A$9:$A$316,0),MATCH(CONCATENATE(AX$4,AV$6,AX$6,AX$7),'SHIP CURVES'!$A$9:$Z$9,0)))-(INDEX(terminal_curves,MATCH(AT188,'TERMINAL CURVES'!$A$4:$A$313,0),MATCH(AX$5,'TERMINAL CURVES'!$A$4:$N$4,0))-INDEX(terminal_curves,MATCH(AT188,'TERMINAL CURVES'!$A$4:$A$313,0),MATCH(AV$6,'TERMINAL CURVES'!$A$4:$N$4,0)))*IF(AN188=0,0,AP188/AN188)))*-AN188</f>
        <v>-15847506.213431457</v>
      </c>
      <c r="AY188" s="343">
        <f t="shared" si="82"/>
        <v>-17776716.250906918</v>
      </c>
      <c r="AZ188" s="338">
        <f>(-AP188/((HLOOKUP(AX$5,port_specs,2,0)/(365.25))*(AT189-AT188)))*(INDEX(fixed_capacity_charge,MATCH(AT188,PORTS!$H$11:$H$317,0),MATCH(AX$5,PORTS!$H$11:$N$11,0))+INDEX(variable_om_charge,MATCH(AT188,PORTS!$H$318:$H$625,0),MATCH(AX$5,PORTS!$H$318:$N$318,0)))</f>
        <v>-1029035.9082685204</v>
      </c>
      <c r="BA188" s="232">
        <f t="shared" si="83"/>
        <v>-18805752.159175437</v>
      </c>
      <c r="BB188" s="241">
        <f t="shared" si="84"/>
        <v>100754.09675422311</v>
      </c>
      <c r="BC188" s="408"/>
      <c r="BD188" s="338">
        <f>+PORTS!I182+PORTS!I490</f>
        <v>1029035.9082685204</v>
      </c>
    </row>
    <row r="189" spans="1:56" x14ac:dyDescent="0.2">
      <c r="A189" s="186">
        <f t="shared" si="85"/>
        <v>41913</v>
      </c>
      <c r="B189" s="215">
        <f>+IF(AND($A189&gt;=$C$8,$A189&lt;=$C$9),1,0)*PORTS!$I$5/(365.25)*(A190-A189)</f>
        <v>5339105.9818476336</v>
      </c>
      <c r="C189" s="351">
        <f t="shared" si="64"/>
        <v>0</v>
      </c>
      <c r="D189">
        <f t="shared" si="65"/>
        <v>2014</v>
      </c>
      <c r="E189" s="186">
        <f t="shared" si="86"/>
        <v>41913</v>
      </c>
      <c r="F189" s="215">
        <f t="shared" si="66"/>
        <v>0</v>
      </c>
      <c r="G189" s="191">
        <f t="shared" si="67"/>
        <v>0</v>
      </c>
      <c r="H189" s="218">
        <f t="shared" si="68"/>
        <v>0</v>
      </c>
      <c r="I189" s="118">
        <f t="shared" si="69"/>
        <v>0</v>
      </c>
      <c r="J189" s="215">
        <f t="shared" si="70"/>
        <v>0</v>
      </c>
      <c r="K189" s="202"/>
      <c r="L189" s="186">
        <f t="shared" si="87"/>
        <v>41913</v>
      </c>
      <c r="M189" s="400">
        <f>+J189*(VLOOKUP(L189,CURVECALC!$C$6:$J$312,4,0)+N$5)</f>
        <v>0</v>
      </c>
      <c r="N189" s="208">
        <f>-F189*INDEX(ship_curves,MATCH(L189,'SHIP CURVES'!$A$9:$A$316,0),MATCH(CONCATENATE(P$4,P$5,P$6,P$7),'SHIP CURVES'!$A$9:$AZ$9,0))</f>
        <v>0</v>
      </c>
      <c r="O189" s="209">
        <f>-H189*INDEX(port_processing_fee,MATCH(L189,PORTS!$H$626:$H$933,0),MATCH(P$5,PORTS!$H$626:$Z$626,0))</f>
        <v>0</v>
      </c>
      <c r="P189" s="405">
        <f>(((VLOOKUP(L189,curvecalc,4,0))*IF(F189=0,0,J189/F189)-INDEX(ship_curves,MATCH(L189,'SHIP CURVES'!$A$9:$A$316,0),MATCH(CONCATENATE(P$4,P$5,P$6,P$7),'SHIP CURVES'!$A$9:$Z$9,0))-INDEX(terminal_curves,MATCH(L189,'TERMINAL CURVES'!$A$4:$A$313,0),MATCH(P$5,'TERMINAL CURVES'!$A$4:$N$4,0))*IF(F189=0,0,H189/F189))-(N$8)*((N$7-$N$5)-(INDEX(ship_curves,MATCH(L189,'SHIP CURVES'!$A$9:$A$316,0),MATCH(CONCATENATE(P$4,P$5,P$6,P$7),'SHIP CURVES'!$A$9:$Z$9,0))-INDEX(ship_curves,MATCH(L189,'SHIP CURVES'!$A$9:$A$316,0),MATCH(CONCATENATE(P$4,N$6,P$6,P$7),'SHIP CURVES'!$A$9:$Z$9,0)))-(INDEX(terminal_curves,MATCH(L189,'TERMINAL CURVES'!$A$4:$A$313,0),MATCH(P$5,'TERMINAL CURVES'!$A$4:$N$4,0))-INDEX(terminal_curves,MATCH(L189,'TERMINAL CURVES'!$A$4:$A$313,0),MATCH(N$6,'TERMINAL CURVES'!$A$4:$N$4,0)))*IF(F189=0,0,H189/F189)))*-F189</f>
        <v>0</v>
      </c>
      <c r="Q189" s="403">
        <f t="shared" si="71"/>
        <v>0</v>
      </c>
      <c r="R189" s="338">
        <f>(-H189/((HLOOKUP(P$5,port_specs,2,0)/(365.25))*(L190-L189)))*(INDEX(fixed_capacity_charge,MATCH(L189,PORTS!$H$11:$H$317,0),MATCH(P$5,PORTS!$H$11:$N$11,0))+INDEX(variable_om_charge,MATCH(L189,PORTS!$H$318:$H$625,0),MATCH(P$5,PORTS!$H$318:$N$318,0)))</f>
        <v>0</v>
      </c>
      <c r="S189" s="232">
        <f t="shared" si="72"/>
        <v>0</v>
      </c>
      <c r="T189" s="241">
        <f t="shared" si="73"/>
        <v>0</v>
      </c>
      <c r="V189" s="186">
        <f t="shared" si="88"/>
        <v>41913</v>
      </c>
      <c r="W189" s="215">
        <f t="shared" si="74"/>
        <v>0</v>
      </c>
      <c r="X189" s="191">
        <f t="shared" si="75"/>
        <v>0</v>
      </c>
      <c r="Y189" s="218">
        <f>+IF(AND(X$8&lt;=V189,X$9&gt;=V189),+MIN($B189-SUMIF($H$17:X$17,Y$17,$H189:X189),((INDEX(ROUTE_PER_DAY_BY_SHIP,MATCH(CONCATENATE(X$4,X$5,X$7),ROUTE_PER_DAY_ROUTES,0),MATCH(X$6,ROUTE_PER_DAY_SHIPS,0))*(V190-V189))-(INDEX(ROUTE_PER_DAY_BY_SHIP,MATCH(CONCATENATE(X$4,X$5,X$7),ROUTE_PER_DAY_ROUTES,0),MATCH(X$6,ROUTE_PER_DAY_SHIPS,0))*(V190-V189))*HLOOKUP(X$6,SHIPS,7,0)*INDEX(LADEN_VOYAGE_DAYS,MATCH(CONCATENATE(X$4,X$5,X$7),LADEN_VOYAGE_ROUTES,0),MATCH(X$6,LADEN_VOYAGE_SHIPS,0)))),0)</f>
        <v>0</v>
      </c>
      <c r="Z189" s="118">
        <f t="shared" si="76"/>
        <v>0</v>
      </c>
      <c r="AA189" s="215">
        <f t="shared" si="62"/>
        <v>0</v>
      </c>
      <c r="AB189" s="202"/>
      <c r="AC189" s="186">
        <f t="shared" si="89"/>
        <v>41913</v>
      </c>
      <c r="AD189" s="232">
        <f>+AA189*(VLOOKUP(AC189,CURVECALC!$C$6:$J$312,4,0)+AE$5)</f>
        <v>0</v>
      </c>
      <c r="AE189" s="208">
        <f>-W189*INDEX(ship_curves,MATCH(AC189,'SHIP CURVES'!$A$9:$A$316,0),MATCH(CONCATENATE(AG$4,AG$5,AG$6,AG$7),'SHIP CURVES'!$A$9:$AZ$9,0))</f>
        <v>0</v>
      </c>
      <c r="AF189" s="209">
        <f>-Y189*INDEX(port_processing_fee,MATCH(AC189,PORTS!$H$626:$H$933,0),MATCH(AG$5,PORTS!$H$626:$Z$626,0))</f>
        <v>0</v>
      </c>
      <c r="AG189" s="405">
        <f>(((VLOOKUP(AC189,curvecalc,4,0))*IF(W189=0,0,AA189/W189)-INDEX(ship_curves,MATCH(AC189,'SHIP CURVES'!$A$9:$A$316,0),MATCH(CONCATENATE(AG$4,AG$5,AG$6,AG$7),'SHIP CURVES'!$A$9:$Z$9,0))-INDEX(terminal_curves,MATCH(AC189,'TERMINAL CURVES'!$A$4:$A$313,0),MATCH(AG$5,'TERMINAL CURVES'!$A$4:$N$4,0))*IF(W189=0,0,Y189/W189))-(AE$8)*((AE$7-$N$5)-(INDEX(ship_curves,MATCH(AC189,'SHIP CURVES'!$A$9:$A$316,0),MATCH(CONCATENATE(AG$4,AG$5,AG$6,AG$7),'SHIP CURVES'!$A$9:$Z$9,0))-INDEX(ship_curves,MATCH(AC189,'SHIP CURVES'!$A$9:$A$316,0),MATCH(CONCATENATE(AG$4,AE$6,AG$6,AG$7),'SHIP CURVES'!$A$9:$Z$9,0)))-(INDEX(terminal_curves,MATCH(AC189,'TERMINAL CURVES'!$A$4:$A$313,0),MATCH(AG$5,'TERMINAL CURVES'!$A$4:$N$4,0))-INDEX(terminal_curves,MATCH(AC189,'TERMINAL CURVES'!$A$4:$A$313,0),MATCH(AE$6,'TERMINAL CURVES'!$A$4:$N$4,0)))*IF(W189=0,0,Y189/W189)))*-W189</f>
        <v>0</v>
      </c>
      <c r="AH189" s="343">
        <f t="shared" si="77"/>
        <v>0</v>
      </c>
      <c r="AI189" s="338">
        <f>(-Y189/((HLOOKUP(AG$5,port_specs,2,0)/(365.25))*(AC190-AC189)))*(INDEX(fixed_capacity_charge,MATCH(AC189,PORTS!$H$11:$H$317,0),MATCH(AG$5,PORTS!$H$11:$N$11,0))+INDEX(variable_om_charge,MATCH(AC189,PORTS!$H$318:$H$625,0),MATCH(AG$5,PORTS!$H$318:$N$318,0)))</f>
        <v>0</v>
      </c>
      <c r="AJ189" s="232">
        <f t="shared" si="78"/>
        <v>0</v>
      </c>
      <c r="AK189" s="241">
        <f t="shared" si="79"/>
        <v>0</v>
      </c>
      <c r="AM189" s="186">
        <f t="shared" si="90"/>
        <v>41913</v>
      </c>
      <c r="AN189" s="215">
        <f t="shared" si="80"/>
        <v>5395761.4773599124</v>
      </c>
      <c r="AO189" s="191">
        <f t="shared" si="81"/>
        <v>-56655.495512278751</v>
      </c>
      <c r="AP189" s="218">
        <f>+IF(AND(AO$8&lt;=AM189,AO$9&gt;=AM189),+MIN($B189-SUMIF($H$17:AO$17,AP$17,$H189:AO189),((INDEX(ROUTE_PER_DAY_BY_SHIP,MATCH(CONCATENATE(AO$4,AO$5,AO$7),ROUTE_PER_DAY_ROUTES,0),MATCH(AO$6,ROUTE_PER_DAY_SHIPS,0))*(AM190-AM189))-(INDEX(ROUTE_PER_DAY_BY_SHIP,MATCH(CONCATENATE(AO$4,AO$5,AO$7),ROUTE_PER_DAY_ROUTES,0),MATCH(AO$6,ROUTE_PER_DAY_SHIPS,0))*(AM190-AM189))*HLOOKUP(AO$6,SHIPS,7,0)*INDEX(LADEN_VOYAGE_DAYS,MATCH(CONCATENATE(AO$4,AO$5,AO$7),LADEN_VOYAGE_ROUTES,0),MATCH(AO$6,LADEN_VOYAGE_SHIPS,0)))),0)</f>
        <v>5339105.9818476336</v>
      </c>
      <c r="AQ189" s="118">
        <f>-(AP189)*PORTS!$I$6</f>
        <v>-133477.64954619083</v>
      </c>
      <c r="AR189" s="215">
        <f t="shared" si="63"/>
        <v>5205628.3323014425</v>
      </c>
      <c r="AS189" s="202"/>
      <c r="AT189" s="186">
        <f t="shared" si="91"/>
        <v>41913</v>
      </c>
      <c r="AU189" s="232">
        <f>+AR189*(VLOOKUP(AT189,CURVECALC!$C$6:$J$312,4,0)+AV$5)</f>
        <v>19583573.786118023</v>
      </c>
      <c r="AV189" s="208">
        <f>-AN189*INDEX(ship_curves,MATCH(AT189,'SHIP CURVES'!$A$9:$A$316,0),MATCH(CONCATENATE(AX$4,AX$5,AX$6,AX$7),'SHIP CURVES'!$A$9:$AZ$9,0))</f>
        <v>-1825309.0596721119</v>
      </c>
      <c r="AW189" s="209">
        <f>-AP189*INDEX(port_processing_fee,MATCH(AT189,PORTS!$H$626:$H$933,0),MATCH(AX$5,PORTS!$H$626:$Z$626,0))</f>
        <v>-168989.60911708084</v>
      </c>
      <c r="AX189" s="405">
        <f>(((VLOOKUP(AT189,curvecalc,4,0))*IF(AN189=0,0,AR189/AN189)-INDEX(ship_curves,MATCH(AT189,'SHIP CURVES'!$A$9:$A$316,0),MATCH(CONCATENATE(AX$4,AX$5,AX$6,AX$7),'SHIP CURVES'!$A$9:$Z$9,0))-INDEX(terminal_curves,MATCH(AT189,'TERMINAL CURVES'!$A$4:$A$313,0),MATCH(AX$5,'TERMINAL CURVES'!$A$4:$N$4,0))*IF(AN189=0,0,AP189/AN189))-(AV$8)*((AV$7-$N$5)-(INDEX(ship_curves,MATCH(AT189,'SHIP CURVES'!$A$9:$A$316,0),MATCH(CONCATENATE(AX$4,AX$5,AX$6,AX$7),'SHIP CURVES'!$A$9:$Z$9,0))-INDEX(ship_curves,MATCH(AT189,'SHIP CURVES'!$A$9:$A$316,0),MATCH(CONCATENATE(AX$4,AV$6,AX$6,AX$7),'SHIP CURVES'!$A$9:$Z$9,0)))-(INDEX(terminal_curves,MATCH(AT189,'TERMINAL CURVES'!$A$4:$A$313,0),MATCH(AX$5,'TERMINAL CURVES'!$A$4:$N$4,0))-INDEX(terminal_curves,MATCH(AT189,'TERMINAL CURVES'!$A$4:$A$313,0),MATCH(AV$6,'TERMINAL CURVES'!$A$4:$N$4,0)))*IF(AN189=0,0,AP189/AN189)))*-AN189</f>
        <v>-16455560.132687865</v>
      </c>
      <c r="AY189" s="343">
        <f t="shared" si="82"/>
        <v>-18449858.801477056</v>
      </c>
      <c r="AZ189" s="338">
        <f>(-AP189/((HLOOKUP(AX$5,port_specs,2,0)/(365.25))*(AT190-AT189)))*(INDEX(fixed_capacity_charge,MATCH(AT189,PORTS!$H$11:$H$317,0),MATCH(AX$5,PORTS!$H$11:$N$11,0))+INDEX(variable_om_charge,MATCH(AT189,PORTS!$H$318:$H$625,0),MATCH(AX$5,PORTS!$H$318:$N$318,0)))</f>
        <v>-1029602.4179949372</v>
      </c>
      <c r="BA189" s="232">
        <f t="shared" si="83"/>
        <v>-19479461.219471995</v>
      </c>
      <c r="BB189" s="241">
        <f t="shared" si="84"/>
        <v>104112.56664602831</v>
      </c>
      <c r="BC189" s="408"/>
      <c r="BD189" s="338">
        <f>+PORTS!I183+PORTS!I491</f>
        <v>1029602.4179949372</v>
      </c>
    </row>
    <row r="190" spans="1:56" x14ac:dyDescent="0.2">
      <c r="A190" s="186">
        <f t="shared" si="85"/>
        <v>41944</v>
      </c>
      <c r="B190" s="215">
        <f>+IF(AND($A190&gt;=$C$8,$A190&lt;=$C$9),1,0)*PORTS!$I$5/(365.25)*(A191-A190)</f>
        <v>5166876.756626742</v>
      </c>
      <c r="C190" s="351">
        <f t="shared" si="64"/>
        <v>0</v>
      </c>
      <c r="D190">
        <f t="shared" si="65"/>
        <v>2014</v>
      </c>
      <c r="E190" s="186">
        <f t="shared" si="86"/>
        <v>41944</v>
      </c>
      <c r="F190" s="215">
        <f t="shared" si="66"/>
        <v>0</v>
      </c>
      <c r="G190" s="191">
        <f t="shared" si="67"/>
        <v>0</v>
      </c>
      <c r="H190" s="218">
        <f t="shared" si="68"/>
        <v>0</v>
      </c>
      <c r="I190" s="118">
        <f t="shared" si="69"/>
        <v>0</v>
      </c>
      <c r="J190" s="215">
        <f t="shared" si="70"/>
        <v>0</v>
      </c>
      <c r="K190" s="202"/>
      <c r="L190" s="186">
        <f t="shared" si="87"/>
        <v>41944</v>
      </c>
      <c r="M190" s="400">
        <f>+J190*(VLOOKUP(L190,CURVECALC!$C$6:$J$312,4,0)+N$5)</f>
        <v>0</v>
      </c>
      <c r="N190" s="208">
        <f>-F190*INDEX(ship_curves,MATCH(L190,'SHIP CURVES'!$A$9:$A$316,0),MATCH(CONCATENATE(P$4,P$5,P$6,P$7),'SHIP CURVES'!$A$9:$AZ$9,0))</f>
        <v>0</v>
      </c>
      <c r="O190" s="209">
        <f>-H190*INDEX(port_processing_fee,MATCH(L190,PORTS!$H$626:$H$933,0),MATCH(P$5,PORTS!$H$626:$Z$626,0))</f>
        <v>0</v>
      </c>
      <c r="P190" s="405">
        <f>(((VLOOKUP(L190,curvecalc,4,0))*IF(F190=0,0,J190/F190)-INDEX(ship_curves,MATCH(L190,'SHIP CURVES'!$A$9:$A$316,0),MATCH(CONCATENATE(P$4,P$5,P$6,P$7),'SHIP CURVES'!$A$9:$Z$9,0))-INDEX(terminal_curves,MATCH(L190,'TERMINAL CURVES'!$A$4:$A$313,0),MATCH(P$5,'TERMINAL CURVES'!$A$4:$N$4,0))*IF(F190=0,0,H190/F190))-(N$8)*((N$7-$N$5)-(INDEX(ship_curves,MATCH(L190,'SHIP CURVES'!$A$9:$A$316,0),MATCH(CONCATENATE(P$4,P$5,P$6,P$7),'SHIP CURVES'!$A$9:$Z$9,0))-INDEX(ship_curves,MATCH(L190,'SHIP CURVES'!$A$9:$A$316,0),MATCH(CONCATENATE(P$4,N$6,P$6,P$7),'SHIP CURVES'!$A$9:$Z$9,0)))-(INDEX(terminal_curves,MATCH(L190,'TERMINAL CURVES'!$A$4:$A$313,0),MATCH(P$5,'TERMINAL CURVES'!$A$4:$N$4,0))-INDEX(terminal_curves,MATCH(L190,'TERMINAL CURVES'!$A$4:$A$313,0),MATCH(N$6,'TERMINAL CURVES'!$A$4:$N$4,0)))*IF(F190=0,0,H190/F190)))*-F190</f>
        <v>0</v>
      </c>
      <c r="Q190" s="403">
        <f t="shared" si="71"/>
        <v>0</v>
      </c>
      <c r="R190" s="338">
        <f>(-H190/((HLOOKUP(P$5,port_specs,2,0)/(365.25))*(L191-L190)))*(INDEX(fixed_capacity_charge,MATCH(L190,PORTS!$H$11:$H$317,0),MATCH(P$5,PORTS!$H$11:$N$11,0))+INDEX(variable_om_charge,MATCH(L190,PORTS!$H$318:$H$625,0),MATCH(P$5,PORTS!$H$318:$N$318,0)))</f>
        <v>0</v>
      </c>
      <c r="S190" s="232">
        <f t="shared" si="72"/>
        <v>0</v>
      </c>
      <c r="T190" s="241">
        <f t="shared" si="73"/>
        <v>0</v>
      </c>
      <c r="V190" s="186">
        <f t="shared" si="88"/>
        <v>41944</v>
      </c>
      <c r="W190" s="215">
        <f t="shared" si="74"/>
        <v>0</v>
      </c>
      <c r="X190" s="191">
        <f t="shared" si="75"/>
        <v>0</v>
      </c>
      <c r="Y190" s="218">
        <f>+IF(AND(X$8&lt;=V190,X$9&gt;=V190),+MIN($B190-SUMIF($H$17:X$17,Y$17,$H190:X190),((INDEX(ROUTE_PER_DAY_BY_SHIP,MATCH(CONCATENATE(X$4,X$5,X$7),ROUTE_PER_DAY_ROUTES,0),MATCH(X$6,ROUTE_PER_DAY_SHIPS,0))*(V191-V190))-(INDEX(ROUTE_PER_DAY_BY_SHIP,MATCH(CONCATENATE(X$4,X$5,X$7),ROUTE_PER_DAY_ROUTES,0),MATCH(X$6,ROUTE_PER_DAY_SHIPS,0))*(V191-V190))*HLOOKUP(X$6,SHIPS,7,0)*INDEX(LADEN_VOYAGE_DAYS,MATCH(CONCATENATE(X$4,X$5,X$7),LADEN_VOYAGE_ROUTES,0),MATCH(X$6,LADEN_VOYAGE_SHIPS,0)))),0)</f>
        <v>0</v>
      </c>
      <c r="Z190" s="118">
        <f t="shared" si="76"/>
        <v>0</v>
      </c>
      <c r="AA190" s="215">
        <f t="shared" si="62"/>
        <v>0</v>
      </c>
      <c r="AB190" s="202"/>
      <c r="AC190" s="186">
        <f t="shared" si="89"/>
        <v>41944</v>
      </c>
      <c r="AD190" s="232">
        <f>+AA190*(VLOOKUP(AC190,CURVECALC!$C$6:$J$312,4,0)+AE$5)</f>
        <v>0</v>
      </c>
      <c r="AE190" s="208">
        <f>-W190*INDEX(ship_curves,MATCH(AC190,'SHIP CURVES'!$A$9:$A$316,0),MATCH(CONCATENATE(AG$4,AG$5,AG$6,AG$7),'SHIP CURVES'!$A$9:$AZ$9,0))</f>
        <v>0</v>
      </c>
      <c r="AF190" s="209">
        <f>-Y190*INDEX(port_processing_fee,MATCH(AC190,PORTS!$H$626:$H$933,0),MATCH(AG$5,PORTS!$H$626:$Z$626,0))</f>
        <v>0</v>
      </c>
      <c r="AG190" s="405">
        <f>(((VLOOKUP(AC190,curvecalc,4,0))*IF(W190=0,0,AA190/W190)-INDEX(ship_curves,MATCH(AC190,'SHIP CURVES'!$A$9:$A$316,0),MATCH(CONCATENATE(AG$4,AG$5,AG$6,AG$7),'SHIP CURVES'!$A$9:$Z$9,0))-INDEX(terminal_curves,MATCH(AC190,'TERMINAL CURVES'!$A$4:$A$313,0),MATCH(AG$5,'TERMINAL CURVES'!$A$4:$N$4,0))*IF(W190=0,0,Y190/W190))-(AE$8)*((AE$7-$N$5)-(INDEX(ship_curves,MATCH(AC190,'SHIP CURVES'!$A$9:$A$316,0),MATCH(CONCATENATE(AG$4,AG$5,AG$6,AG$7),'SHIP CURVES'!$A$9:$Z$9,0))-INDEX(ship_curves,MATCH(AC190,'SHIP CURVES'!$A$9:$A$316,0),MATCH(CONCATENATE(AG$4,AE$6,AG$6,AG$7),'SHIP CURVES'!$A$9:$Z$9,0)))-(INDEX(terminal_curves,MATCH(AC190,'TERMINAL CURVES'!$A$4:$A$313,0),MATCH(AG$5,'TERMINAL CURVES'!$A$4:$N$4,0))-INDEX(terminal_curves,MATCH(AC190,'TERMINAL CURVES'!$A$4:$A$313,0),MATCH(AE$6,'TERMINAL CURVES'!$A$4:$N$4,0)))*IF(W190=0,0,Y190/W190)))*-W190</f>
        <v>0</v>
      </c>
      <c r="AH190" s="343">
        <f t="shared" si="77"/>
        <v>0</v>
      </c>
      <c r="AI190" s="338">
        <f>(-Y190/((HLOOKUP(AG$5,port_specs,2,0)/(365.25))*(AC191-AC190)))*(INDEX(fixed_capacity_charge,MATCH(AC190,PORTS!$H$11:$H$317,0),MATCH(AG$5,PORTS!$H$11:$N$11,0))+INDEX(variable_om_charge,MATCH(AC190,PORTS!$H$318:$H$625,0),MATCH(AG$5,PORTS!$H$318:$N$318,0)))</f>
        <v>0</v>
      </c>
      <c r="AJ190" s="232">
        <f t="shared" si="78"/>
        <v>0</v>
      </c>
      <c r="AK190" s="241">
        <f t="shared" si="79"/>
        <v>0</v>
      </c>
      <c r="AM190" s="186">
        <f t="shared" si="90"/>
        <v>41944</v>
      </c>
      <c r="AN190" s="215">
        <f t="shared" si="80"/>
        <v>5221704.655509592</v>
      </c>
      <c r="AO190" s="191">
        <f t="shared" si="81"/>
        <v>-54827.898882850073</v>
      </c>
      <c r="AP190" s="218">
        <f>+IF(AND(AO$8&lt;=AM190,AO$9&gt;=AM190),+MIN($B190-SUMIF($H$17:AO$17,AP$17,$H190:AO190),((INDEX(ROUTE_PER_DAY_BY_SHIP,MATCH(CONCATENATE(AO$4,AO$5,AO$7),ROUTE_PER_DAY_ROUTES,0),MATCH(AO$6,ROUTE_PER_DAY_SHIPS,0))*(AM191-AM190))-(INDEX(ROUTE_PER_DAY_BY_SHIP,MATCH(CONCATENATE(AO$4,AO$5,AO$7),ROUTE_PER_DAY_ROUTES,0),MATCH(AO$6,ROUTE_PER_DAY_SHIPS,0))*(AM191-AM190))*HLOOKUP(AO$6,SHIPS,7,0)*INDEX(LADEN_VOYAGE_DAYS,MATCH(CONCATENATE(AO$4,AO$5,AO$7),LADEN_VOYAGE_ROUTES,0),MATCH(AO$6,LADEN_VOYAGE_SHIPS,0)))),0)</f>
        <v>5166876.756626742</v>
      </c>
      <c r="AQ190" s="118">
        <f>-(AP190)*PORTS!$I$6</f>
        <v>-129171.91891566856</v>
      </c>
      <c r="AR190" s="215">
        <f t="shared" si="63"/>
        <v>5037704.8377110735</v>
      </c>
      <c r="AS190" s="202"/>
      <c r="AT190" s="186">
        <f t="shared" si="91"/>
        <v>41944</v>
      </c>
      <c r="AU190" s="232">
        <f>+AR190*(VLOOKUP(AT190,CURVECALC!$C$6:$J$312,4,0)+AV$5)</f>
        <v>19223881.660705458</v>
      </c>
      <c r="AV190" s="208">
        <f>-AN190*INDEX(ship_curves,MATCH(AT190,'SHIP CURVES'!$A$9:$A$316,0),MATCH(CONCATENATE(AX$4,AX$5,AX$6,AX$7),'SHIP CURVES'!$A$9:$AZ$9,0))</f>
        <v>-1767015.5846275592</v>
      </c>
      <c r="AW190" s="209">
        <f>-AP190*INDEX(port_processing_fee,MATCH(AT190,PORTS!$H$626:$H$933,0),MATCH(AX$5,PORTS!$H$626:$Z$626,0))</f>
        <v>-163708.68383217204</v>
      </c>
      <c r="AX190" s="405">
        <f>(((VLOOKUP(AT190,curvecalc,4,0))*IF(AN190=0,0,AR190/AN190)-INDEX(ship_curves,MATCH(AT190,'SHIP CURVES'!$A$9:$A$316,0),MATCH(CONCATENATE(AX$4,AX$5,AX$6,AX$7),'SHIP CURVES'!$A$9:$Z$9,0))-INDEX(terminal_curves,MATCH(AT190,'TERMINAL CURVES'!$A$4:$A$313,0),MATCH(AX$5,'TERMINAL CURVES'!$A$4:$N$4,0))*IF(AN190=0,0,AP190/AN190))-(AV$8)*((AV$7-$N$5)-(INDEX(ship_curves,MATCH(AT190,'SHIP CURVES'!$A$9:$A$316,0),MATCH(CONCATENATE(AX$4,AX$5,AX$6,AX$7),'SHIP CURVES'!$A$9:$Z$9,0))-INDEX(ship_curves,MATCH(AT190,'SHIP CURVES'!$A$9:$A$316,0),MATCH(CONCATENATE(AX$4,AV$6,AX$6,AX$7),'SHIP CURVES'!$A$9:$Z$9,0)))-(INDEX(terminal_curves,MATCH(AT190,'TERMINAL CURVES'!$A$4:$A$313,0),MATCH(AX$5,'TERMINAL CURVES'!$A$4:$N$4,0))-INDEX(terminal_curves,MATCH(AT190,'TERMINAL CURVES'!$A$4:$A$313,0),MATCH(AV$6,'TERMINAL CURVES'!$A$4:$N$4,0)))*IF(AN190=0,0,AP190/AN190)))*-AN190</f>
        <v>-16162233.777655853</v>
      </c>
      <c r="AY190" s="343">
        <f t="shared" si="82"/>
        <v>-18092958.046115585</v>
      </c>
      <c r="AZ190" s="338">
        <f>(-AP190/((HLOOKUP(AX$5,port_specs,2,0)/(365.25))*(AT191-AT190)))*(INDEX(fixed_capacity_charge,MATCH(AT190,PORTS!$H$11:$H$317,0),MATCH(AX$5,PORTS!$H$11:$N$11,0))+INDEX(variable_om_charge,MATCH(AT190,PORTS!$H$318:$H$625,0),MATCH(AX$5,PORTS!$H$318:$N$318,0)))</f>
        <v>-1030169.5178356522</v>
      </c>
      <c r="BA190" s="232">
        <f t="shared" si="83"/>
        <v>-19123127.563951235</v>
      </c>
      <c r="BB190" s="241">
        <f t="shared" si="84"/>
        <v>100754.09675422311</v>
      </c>
      <c r="BC190" s="408"/>
      <c r="BD190" s="338">
        <f>+PORTS!I184+PORTS!I492</f>
        <v>1030169.5178356522</v>
      </c>
    </row>
    <row r="191" spans="1:56" x14ac:dyDescent="0.2">
      <c r="A191" s="186">
        <f t="shared" si="85"/>
        <v>41974</v>
      </c>
      <c r="B191" s="215">
        <f>+IF(AND($A191&gt;=$C$8,$A191&lt;=$C$9),1,0)*PORTS!$I$5/(365.25)*(A192-A191)</f>
        <v>5339105.9818476336</v>
      </c>
      <c r="C191" s="351">
        <f t="shared" si="64"/>
        <v>0</v>
      </c>
      <c r="D191">
        <f t="shared" si="65"/>
        <v>2014</v>
      </c>
      <c r="E191" s="186">
        <f t="shared" si="86"/>
        <v>41974</v>
      </c>
      <c r="F191" s="215">
        <f t="shared" si="66"/>
        <v>0</v>
      </c>
      <c r="G191" s="191">
        <f t="shared" si="67"/>
        <v>0</v>
      </c>
      <c r="H191" s="218">
        <f t="shared" si="68"/>
        <v>0</v>
      </c>
      <c r="I191" s="118">
        <f t="shared" si="69"/>
        <v>0</v>
      </c>
      <c r="J191" s="215">
        <f t="shared" si="70"/>
        <v>0</v>
      </c>
      <c r="K191" s="202"/>
      <c r="L191" s="186">
        <f t="shared" si="87"/>
        <v>41974</v>
      </c>
      <c r="M191" s="400">
        <f>+J191*(VLOOKUP(L191,CURVECALC!$C$6:$J$312,4,0)+N$5)</f>
        <v>0</v>
      </c>
      <c r="N191" s="208">
        <f>-F191*INDEX(ship_curves,MATCH(L191,'SHIP CURVES'!$A$9:$A$316,0),MATCH(CONCATENATE(P$4,P$5,P$6,P$7),'SHIP CURVES'!$A$9:$AZ$9,0))</f>
        <v>0</v>
      </c>
      <c r="O191" s="209">
        <f>-H191*INDEX(port_processing_fee,MATCH(L191,PORTS!$H$626:$H$933,0),MATCH(P$5,PORTS!$H$626:$Z$626,0))</f>
        <v>0</v>
      </c>
      <c r="P191" s="405">
        <f>(((VLOOKUP(L191,curvecalc,4,0))*IF(F191=0,0,J191/F191)-INDEX(ship_curves,MATCH(L191,'SHIP CURVES'!$A$9:$A$316,0),MATCH(CONCATENATE(P$4,P$5,P$6,P$7),'SHIP CURVES'!$A$9:$Z$9,0))-INDEX(terminal_curves,MATCH(L191,'TERMINAL CURVES'!$A$4:$A$313,0),MATCH(P$5,'TERMINAL CURVES'!$A$4:$N$4,0))*IF(F191=0,0,H191/F191))-(N$8)*((N$7-$N$5)-(INDEX(ship_curves,MATCH(L191,'SHIP CURVES'!$A$9:$A$316,0),MATCH(CONCATENATE(P$4,P$5,P$6,P$7),'SHIP CURVES'!$A$9:$Z$9,0))-INDEX(ship_curves,MATCH(L191,'SHIP CURVES'!$A$9:$A$316,0),MATCH(CONCATENATE(P$4,N$6,P$6,P$7),'SHIP CURVES'!$A$9:$Z$9,0)))-(INDEX(terminal_curves,MATCH(L191,'TERMINAL CURVES'!$A$4:$A$313,0),MATCH(P$5,'TERMINAL CURVES'!$A$4:$N$4,0))-INDEX(terminal_curves,MATCH(L191,'TERMINAL CURVES'!$A$4:$A$313,0),MATCH(N$6,'TERMINAL CURVES'!$A$4:$N$4,0)))*IF(F191=0,0,H191/F191)))*-F191</f>
        <v>0</v>
      </c>
      <c r="Q191" s="403">
        <f t="shared" si="71"/>
        <v>0</v>
      </c>
      <c r="R191" s="338">
        <f>(-H191/((HLOOKUP(P$5,port_specs,2,0)/(365.25))*(L192-L191)))*(INDEX(fixed_capacity_charge,MATCH(L191,PORTS!$H$11:$H$317,0),MATCH(P$5,PORTS!$H$11:$N$11,0))+INDEX(variable_om_charge,MATCH(L191,PORTS!$H$318:$H$625,0),MATCH(P$5,PORTS!$H$318:$N$318,0)))</f>
        <v>0</v>
      </c>
      <c r="S191" s="232">
        <f t="shared" si="72"/>
        <v>0</v>
      </c>
      <c r="T191" s="241">
        <f t="shared" si="73"/>
        <v>0</v>
      </c>
      <c r="V191" s="186">
        <f t="shared" si="88"/>
        <v>41974</v>
      </c>
      <c r="W191" s="215">
        <f t="shared" si="74"/>
        <v>0</v>
      </c>
      <c r="X191" s="191">
        <f t="shared" si="75"/>
        <v>0</v>
      </c>
      <c r="Y191" s="218">
        <f>+IF(AND(X$8&lt;=V191,X$9&gt;=V191),+MIN($B191-SUMIF($H$17:X$17,Y$17,$H191:X191),((INDEX(ROUTE_PER_DAY_BY_SHIP,MATCH(CONCATENATE(X$4,X$5,X$7),ROUTE_PER_DAY_ROUTES,0),MATCH(X$6,ROUTE_PER_DAY_SHIPS,0))*(V192-V191))-(INDEX(ROUTE_PER_DAY_BY_SHIP,MATCH(CONCATENATE(X$4,X$5,X$7),ROUTE_PER_DAY_ROUTES,0),MATCH(X$6,ROUTE_PER_DAY_SHIPS,0))*(V192-V191))*HLOOKUP(X$6,SHIPS,7,0)*INDEX(LADEN_VOYAGE_DAYS,MATCH(CONCATENATE(X$4,X$5,X$7),LADEN_VOYAGE_ROUTES,0),MATCH(X$6,LADEN_VOYAGE_SHIPS,0)))),0)</f>
        <v>0</v>
      </c>
      <c r="Z191" s="118">
        <f t="shared" si="76"/>
        <v>0</v>
      </c>
      <c r="AA191" s="215">
        <f t="shared" si="62"/>
        <v>0</v>
      </c>
      <c r="AB191" s="202"/>
      <c r="AC191" s="186">
        <f t="shared" si="89"/>
        <v>41974</v>
      </c>
      <c r="AD191" s="232">
        <f>+AA191*(VLOOKUP(AC191,CURVECALC!$C$6:$J$312,4,0)+AE$5)</f>
        <v>0</v>
      </c>
      <c r="AE191" s="208">
        <f>-W191*INDEX(ship_curves,MATCH(AC191,'SHIP CURVES'!$A$9:$A$316,0),MATCH(CONCATENATE(AG$4,AG$5,AG$6,AG$7),'SHIP CURVES'!$A$9:$AZ$9,0))</f>
        <v>0</v>
      </c>
      <c r="AF191" s="209">
        <f>-Y191*INDEX(port_processing_fee,MATCH(AC191,PORTS!$H$626:$H$933,0),MATCH(AG$5,PORTS!$H$626:$Z$626,0))</f>
        <v>0</v>
      </c>
      <c r="AG191" s="405">
        <f>(((VLOOKUP(AC191,curvecalc,4,0))*IF(W191=0,0,AA191/W191)-INDEX(ship_curves,MATCH(AC191,'SHIP CURVES'!$A$9:$A$316,0),MATCH(CONCATENATE(AG$4,AG$5,AG$6,AG$7),'SHIP CURVES'!$A$9:$Z$9,0))-INDEX(terminal_curves,MATCH(AC191,'TERMINAL CURVES'!$A$4:$A$313,0),MATCH(AG$5,'TERMINAL CURVES'!$A$4:$N$4,0))*IF(W191=0,0,Y191/W191))-(AE$8)*((AE$7-$N$5)-(INDEX(ship_curves,MATCH(AC191,'SHIP CURVES'!$A$9:$A$316,0),MATCH(CONCATENATE(AG$4,AG$5,AG$6,AG$7),'SHIP CURVES'!$A$9:$Z$9,0))-INDEX(ship_curves,MATCH(AC191,'SHIP CURVES'!$A$9:$A$316,0),MATCH(CONCATENATE(AG$4,AE$6,AG$6,AG$7),'SHIP CURVES'!$A$9:$Z$9,0)))-(INDEX(terminal_curves,MATCH(AC191,'TERMINAL CURVES'!$A$4:$A$313,0),MATCH(AG$5,'TERMINAL CURVES'!$A$4:$N$4,0))-INDEX(terminal_curves,MATCH(AC191,'TERMINAL CURVES'!$A$4:$A$313,0),MATCH(AE$6,'TERMINAL CURVES'!$A$4:$N$4,0)))*IF(W191=0,0,Y191/W191)))*-W191</f>
        <v>0</v>
      </c>
      <c r="AH191" s="343">
        <f t="shared" si="77"/>
        <v>0</v>
      </c>
      <c r="AI191" s="338">
        <f>(-Y191/((HLOOKUP(AG$5,port_specs,2,0)/(365.25))*(AC192-AC191)))*(INDEX(fixed_capacity_charge,MATCH(AC191,PORTS!$H$11:$H$317,0),MATCH(AG$5,PORTS!$H$11:$N$11,0))+INDEX(variable_om_charge,MATCH(AC191,PORTS!$H$318:$H$625,0),MATCH(AG$5,PORTS!$H$318:$N$318,0)))</f>
        <v>0</v>
      </c>
      <c r="AJ191" s="232">
        <f t="shared" si="78"/>
        <v>0</v>
      </c>
      <c r="AK191" s="241">
        <f t="shared" si="79"/>
        <v>0</v>
      </c>
      <c r="AM191" s="186">
        <f t="shared" si="90"/>
        <v>41974</v>
      </c>
      <c r="AN191" s="215">
        <f t="shared" si="80"/>
        <v>5395761.4773599124</v>
      </c>
      <c r="AO191" s="191">
        <f t="shared" si="81"/>
        <v>-56655.495512278751</v>
      </c>
      <c r="AP191" s="218">
        <f>+IF(AND(AO$8&lt;=AM191,AO$9&gt;=AM191),+MIN($B191-SUMIF($H$17:AO$17,AP$17,$H191:AO191),((INDEX(ROUTE_PER_DAY_BY_SHIP,MATCH(CONCATENATE(AO$4,AO$5,AO$7),ROUTE_PER_DAY_ROUTES,0),MATCH(AO$6,ROUTE_PER_DAY_SHIPS,0))*(AM192-AM191))-(INDEX(ROUTE_PER_DAY_BY_SHIP,MATCH(CONCATENATE(AO$4,AO$5,AO$7),ROUTE_PER_DAY_ROUTES,0),MATCH(AO$6,ROUTE_PER_DAY_SHIPS,0))*(AM192-AM191))*HLOOKUP(AO$6,SHIPS,7,0)*INDEX(LADEN_VOYAGE_DAYS,MATCH(CONCATENATE(AO$4,AO$5,AO$7),LADEN_VOYAGE_ROUTES,0),MATCH(AO$6,LADEN_VOYAGE_SHIPS,0)))),0)</f>
        <v>5339105.9818476336</v>
      </c>
      <c r="AQ191" s="118">
        <f>-(AP191)*PORTS!$I$6</f>
        <v>-133477.64954619083</v>
      </c>
      <c r="AR191" s="215">
        <f t="shared" si="63"/>
        <v>5205628.3323014425</v>
      </c>
      <c r="AS191" s="202"/>
      <c r="AT191" s="186">
        <f t="shared" si="91"/>
        <v>41974</v>
      </c>
      <c r="AU191" s="232">
        <f>+AR191*(VLOOKUP(AT191,CURVECALC!$C$6:$J$312,4,0)+AV$5)</f>
        <v>20239482.955988009</v>
      </c>
      <c r="AV191" s="208">
        <f>-AN191*INDEX(ship_curves,MATCH(AT191,'SHIP CURVES'!$A$9:$A$316,0),MATCH(CONCATENATE(AX$4,AX$5,AX$6,AX$7),'SHIP CURVES'!$A$9:$AZ$9,0))</f>
        <v>-1826524.4132341011</v>
      </c>
      <c r="AW191" s="209">
        <f>-AP191*INDEX(port_processing_fee,MATCH(AT191,PORTS!$H$626:$H$933,0),MATCH(AX$5,PORTS!$H$626:$Z$626,0))</f>
        <v>-169341.85416820267</v>
      </c>
      <c r="AX191" s="405">
        <f>(((VLOOKUP(AT191,curvecalc,4,0))*IF(AN191=0,0,AR191/AN191)-INDEX(ship_curves,MATCH(AT191,'SHIP CURVES'!$A$9:$A$316,0),MATCH(CONCATENATE(AX$4,AX$5,AX$6,AX$7),'SHIP CURVES'!$A$9:$Z$9,0))-INDEX(terminal_curves,MATCH(AT191,'TERMINAL CURVES'!$A$4:$A$313,0),MATCH(AX$5,'TERMINAL CURVES'!$A$4:$N$4,0))*IF(AN191=0,0,AP191/AN191))-(AV$8)*((AV$7-$N$5)-(INDEX(ship_curves,MATCH(AT191,'SHIP CURVES'!$A$9:$A$316,0),MATCH(CONCATENATE(AX$4,AX$5,AX$6,AX$7),'SHIP CURVES'!$A$9:$Z$9,0))-INDEX(ship_curves,MATCH(AT191,'SHIP CURVES'!$A$9:$A$316,0),MATCH(CONCATENATE(AX$4,AV$6,AX$6,AX$7),'SHIP CURVES'!$A$9:$Z$9,0)))-(INDEX(terminal_curves,MATCH(AT191,'TERMINAL CURVES'!$A$4:$A$313,0),MATCH(AX$5,'TERMINAL CURVES'!$A$4:$N$4,0))-INDEX(terminal_curves,MATCH(AT191,'TERMINAL CURVES'!$A$4:$A$313,0),MATCH(AV$6,'TERMINAL CURVES'!$A$4:$N$4,0)))*IF(AN191=0,0,AP191/AN191)))*-AN191</f>
        <v>-17108766.913534306</v>
      </c>
      <c r="AY191" s="343">
        <f t="shared" si="82"/>
        <v>-19104633.180936608</v>
      </c>
      <c r="AZ191" s="338">
        <f>(-AP191/((HLOOKUP(AX$5,port_specs,2,0)/(365.25))*(AT192-AT191)))*(INDEX(fixed_capacity_charge,MATCH(AT191,PORTS!$H$11:$H$317,0),MATCH(AX$5,PORTS!$H$11:$N$11,0))+INDEX(variable_om_charge,MATCH(AT191,PORTS!$H$318:$H$625,0),MATCH(AX$5,PORTS!$H$318:$N$318,0)))</f>
        <v>-1030737.2084053683</v>
      </c>
      <c r="BA191" s="232">
        <f t="shared" si="83"/>
        <v>-20135370.389341976</v>
      </c>
      <c r="BB191" s="241">
        <f t="shared" si="84"/>
        <v>104112.56664603204</v>
      </c>
      <c r="BC191" s="408"/>
      <c r="BD191" s="338">
        <f>+PORTS!I185+PORTS!I493</f>
        <v>1030737.2084053683</v>
      </c>
    </row>
    <row r="192" spans="1:56" x14ac:dyDescent="0.2">
      <c r="A192" s="186">
        <f t="shared" si="85"/>
        <v>42005</v>
      </c>
      <c r="B192" s="215">
        <f>+IF(AND($A192&gt;=$C$8,$A192&lt;=$C$9),1,0)*PORTS!$I$5/(365.25)*(A193-A192)</f>
        <v>5339105.9818476336</v>
      </c>
      <c r="C192" s="351">
        <f t="shared" si="64"/>
        <v>0</v>
      </c>
      <c r="D192">
        <f t="shared" si="65"/>
        <v>2015</v>
      </c>
      <c r="E192" s="186">
        <f t="shared" si="86"/>
        <v>42005</v>
      </c>
      <c r="F192" s="215">
        <f t="shared" si="66"/>
        <v>0</v>
      </c>
      <c r="G192" s="191">
        <f t="shared" si="67"/>
        <v>0</v>
      </c>
      <c r="H192" s="218">
        <f t="shared" si="68"/>
        <v>0</v>
      </c>
      <c r="I192" s="118">
        <f t="shared" si="69"/>
        <v>0</v>
      </c>
      <c r="J192" s="215">
        <f t="shared" si="70"/>
        <v>0</v>
      </c>
      <c r="K192" s="202"/>
      <c r="L192" s="186">
        <f t="shared" si="87"/>
        <v>42005</v>
      </c>
      <c r="M192" s="400">
        <f>+J192*(VLOOKUP(L192,CURVECALC!$C$6:$J$312,4,0)+N$5)</f>
        <v>0</v>
      </c>
      <c r="N192" s="208">
        <f>-F192*INDEX(ship_curves,MATCH(L192,'SHIP CURVES'!$A$9:$A$316,0),MATCH(CONCATENATE(P$4,P$5,P$6,P$7),'SHIP CURVES'!$A$9:$AZ$9,0))</f>
        <v>0</v>
      </c>
      <c r="O192" s="209">
        <f>-H192*INDEX(port_processing_fee,MATCH(L192,PORTS!$H$626:$H$933,0),MATCH(P$5,PORTS!$H$626:$Z$626,0))</f>
        <v>0</v>
      </c>
      <c r="P192" s="405">
        <f>(((VLOOKUP(L192,curvecalc,4,0))*IF(F192=0,0,J192/F192)-INDEX(ship_curves,MATCH(L192,'SHIP CURVES'!$A$9:$A$316,0),MATCH(CONCATENATE(P$4,P$5,P$6,P$7),'SHIP CURVES'!$A$9:$Z$9,0))-INDEX(terminal_curves,MATCH(L192,'TERMINAL CURVES'!$A$4:$A$313,0),MATCH(P$5,'TERMINAL CURVES'!$A$4:$N$4,0))*IF(F192=0,0,H192/F192))-(N$8)*((N$7-$N$5)-(INDEX(ship_curves,MATCH(L192,'SHIP CURVES'!$A$9:$A$316,0),MATCH(CONCATENATE(P$4,P$5,P$6,P$7),'SHIP CURVES'!$A$9:$Z$9,0))-INDEX(ship_curves,MATCH(L192,'SHIP CURVES'!$A$9:$A$316,0),MATCH(CONCATENATE(P$4,N$6,P$6,P$7),'SHIP CURVES'!$A$9:$Z$9,0)))-(INDEX(terminal_curves,MATCH(L192,'TERMINAL CURVES'!$A$4:$A$313,0),MATCH(P$5,'TERMINAL CURVES'!$A$4:$N$4,0))-INDEX(terminal_curves,MATCH(L192,'TERMINAL CURVES'!$A$4:$A$313,0),MATCH(N$6,'TERMINAL CURVES'!$A$4:$N$4,0)))*IF(F192=0,0,H192/F192)))*-F192</f>
        <v>0</v>
      </c>
      <c r="Q192" s="403">
        <f t="shared" si="71"/>
        <v>0</v>
      </c>
      <c r="R192" s="338">
        <f>(-H192/((HLOOKUP(P$5,port_specs,2,0)/(365.25))*(L193-L192)))*(INDEX(fixed_capacity_charge,MATCH(L192,PORTS!$H$11:$H$317,0),MATCH(P$5,PORTS!$H$11:$N$11,0))+INDEX(variable_om_charge,MATCH(L192,PORTS!$H$318:$H$625,0),MATCH(P$5,PORTS!$H$318:$N$318,0)))</f>
        <v>0</v>
      </c>
      <c r="S192" s="232">
        <f t="shared" si="72"/>
        <v>0</v>
      </c>
      <c r="T192" s="241">
        <f t="shared" si="73"/>
        <v>0</v>
      </c>
      <c r="V192" s="186">
        <f t="shared" si="88"/>
        <v>42005</v>
      </c>
      <c r="W192" s="215">
        <f t="shared" si="74"/>
        <v>0</v>
      </c>
      <c r="X192" s="191">
        <f t="shared" si="75"/>
        <v>0</v>
      </c>
      <c r="Y192" s="218">
        <f>+IF(AND(X$8&lt;=V192,X$9&gt;=V192),+MIN($B192-SUMIF($H$17:X$17,Y$17,$H192:X192),((INDEX(ROUTE_PER_DAY_BY_SHIP,MATCH(CONCATENATE(X$4,X$5,X$7),ROUTE_PER_DAY_ROUTES,0),MATCH(X$6,ROUTE_PER_DAY_SHIPS,0))*(V193-V192))-(INDEX(ROUTE_PER_DAY_BY_SHIP,MATCH(CONCATENATE(X$4,X$5,X$7),ROUTE_PER_DAY_ROUTES,0),MATCH(X$6,ROUTE_PER_DAY_SHIPS,0))*(V193-V192))*HLOOKUP(X$6,SHIPS,7,0)*INDEX(LADEN_VOYAGE_DAYS,MATCH(CONCATENATE(X$4,X$5,X$7),LADEN_VOYAGE_ROUTES,0),MATCH(X$6,LADEN_VOYAGE_SHIPS,0)))),0)</f>
        <v>0</v>
      </c>
      <c r="Z192" s="118">
        <f t="shared" si="76"/>
        <v>0</v>
      </c>
      <c r="AA192" s="215">
        <f t="shared" si="62"/>
        <v>0</v>
      </c>
      <c r="AB192" s="202"/>
      <c r="AC192" s="186">
        <f t="shared" si="89"/>
        <v>42005</v>
      </c>
      <c r="AD192" s="232">
        <f>+AA192*(VLOOKUP(AC192,CURVECALC!$C$6:$J$312,4,0)+AE$5)</f>
        <v>0</v>
      </c>
      <c r="AE192" s="208">
        <f>-W192*INDEX(ship_curves,MATCH(AC192,'SHIP CURVES'!$A$9:$A$316,0),MATCH(CONCATENATE(AG$4,AG$5,AG$6,AG$7),'SHIP CURVES'!$A$9:$AZ$9,0))</f>
        <v>0</v>
      </c>
      <c r="AF192" s="209">
        <f>-Y192*INDEX(port_processing_fee,MATCH(AC192,PORTS!$H$626:$H$933,0),MATCH(AG$5,PORTS!$H$626:$Z$626,0))</f>
        <v>0</v>
      </c>
      <c r="AG192" s="405">
        <f>(((VLOOKUP(AC192,curvecalc,4,0))*IF(W192=0,0,AA192/W192)-INDEX(ship_curves,MATCH(AC192,'SHIP CURVES'!$A$9:$A$316,0),MATCH(CONCATENATE(AG$4,AG$5,AG$6,AG$7),'SHIP CURVES'!$A$9:$Z$9,0))-INDEX(terminal_curves,MATCH(AC192,'TERMINAL CURVES'!$A$4:$A$313,0),MATCH(AG$5,'TERMINAL CURVES'!$A$4:$N$4,0))*IF(W192=0,0,Y192/W192))-(AE$8)*((AE$7-$N$5)-(INDEX(ship_curves,MATCH(AC192,'SHIP CURVES'!$A$9:$A$316,0),MATCH(CONCATENATE(AG$4,AG$5,AG$6,AG$7),'SHIP CURVES'!$A$9:$Z$9,0))-INDEX(ship_curves,MATCH(AC192,'SHIP CURVES'!$A$9:$A$316,0),MATCH(CONCATENATE(AG$4,AE$6,AG$6,AG$7),'SHIP CURVES'!$A$9:$Z$9,0)))-(INDEX(terminal_curves,MATCH(AC192,'TERMINAL CURVES'!$A$4:$A$313,0),MATCH(AG$5,'TERMINAL CURVES'!$A$4:$N$4,0))-INDEX(terminal_curves,MATCH(AC192,'TERMINAL CURVES'!$A$4:$A$313,0),MATCH(AE$6,'TERMINAL CURVES'!$A$4:$N$4,0)))*IF(W192=0,0,Y192/W192)))*-W192</f>
        <v>0</v>
      </c>
      <c r="AH192" s="343">
        <f t="shared" si="77"/>
        <v>0</v>
      </c>
      <c r="AI192" s="338">
        <f>(-Y192/((HLOOKUP(AG$5,port_specs,2,0)/(365.25))*(AC193-AC192)))*(INDEX(fixed_capacity_charge,MATCH(AC192,PORTS!$H$11:$H$317,0),MATCH(AG$5,PORTS!$H$11:$N$11,0))+INDEX(variable_om_charge,MATCH(AC192,PORTS!$H$318:$H$625,0),MATCH(AG$5,PORTS!$H$318:$N$318,0)))</f>
        <v>0</v>
      </c>
      <c r="AJ192" s="232">
        <f t="shared" si="78"/>
        <v>0</v>
      </c>
      <c r="AK192" s="241">
        <f t="shared" si="79"/>
        <v>0</v>
      </c>
      <c r="AM192" s="186">
        <f t="shared" si="90"/>
        <v>42005</v>
      </c>
      <c r="AN192" s="215">
        <f t="shared" si="80"/>
        <v>5395761.4773599124</v>
      </c>
      <c r="AO192" s="191">
        <f t="shared" si="81"/>
        <v>-56655.495512278751</v>
      </c>
      <c r="AP192" s="218">
        <f>+IF(AND(AO$8&lt;=AM192,AO$9&gt;=AM192),+MIN($B192-SUMIF($H$17:AO$17,AP$17,$H192:AO192),((INDEX(ROUTE_PER_DAY_BY_SHIP,MATCH(CONCATENATE(AO$4,AO$5,AO$7),ROUTE_PER_DAY_ROUTES,0),MATCH(AO$6,ROUTE_PER_DAY_SHIPS,0))*(AM193-AM192))-(INDEX(ROUTE_PER_DAY_BY_SHIP,MATCH(CONCATENATE(AO$4,AO$5,AO$7),ROUTE_PER_DAY_ROUTES,0),MATCH(AO$6,ROUTE_PER_DAY_SHIPS,0))*(AM193-AM192))*HLOOKUP(AO$6,SHIPS,7,0)*INDEX(LADEN_VOYAGE_DAYS,MATCH(CONCATENATE(AO$4,AO$5,AO$7),LADEN_VOYAGE_ROUTES,0),MATCH(AO$6,LADEN_VOYAGE_SHIPS,0)))),0)</f>
        <v>5339105.9818476336</v>
      </c>
      <c r="AQ192" s="118">
        <f>-(AP192)*PORTS!$I$6</f>
        <v>-133477.64954619083</v>
      </c>
      <c r="AR192" s="215">
        <f t="shared" si="63"/>
        <v>5205628.3323014425</v>
      </c>
      <c r="AS192" s="202"/>
      <c r="AT192" s="186">
        <f t="shared" si="91"/>
        <v>42005</v>
      </c>
      <c r="AU192" s="232">
        <f>+AR192*(VLOOKUP(AT192,CURVECALC!$C$6:$J$312,4,0)+AV$5)</f>
        <v>21233757.967457581</v>
      </c>
      <c r="AV192" s="208">
        <f>-AN192*INDEX(ship_curves,MATCH(AT192,'SHIP CURVES'!$A$9:$A$316,0),MATCH(CONCATENATE(AX$4,AX$5,AX$6,AX$7),'SHIP CURVES'!$A$9:$AZ$9,0))</f>
        <v>-1827133.9896637215</v>
      </c>
      <c r="AW192" s="209">
        <f>-AP192*INDEX(port_processing_fee,MATCH(AT192,PORTS!$H$626:$H$933,0),MATCH(AX$5,PORTS!$H$626:$Z$626,0))</f>
        <v>-169518.25193296123</v>
      </c>
      <c r="AX192" s="405">
        <f>(((VLOOKUP(AT192,curvecalc,4,0))*IF(AN192=0,0,AR192/AN192)-INDEX(ship_curves,MATCH(AT192,'SHIP CURVES'!$A$9:$A$316,0),MATCH(CONCATENATE(AX$4,AX$5,AX$6,AX$7),'SHIP CURVES'!$A$9:$Z$9,0))-INDEX(terminal_curves,MATCH(AT192,'TERMINAL CURVES'!$A$4:$A$313,0),MATCH(AX$5,'TERMINAL CURVES'!$A$4:$N$4,0))*IF(AN192=0,0,AP192/AN192))-(AV$8)*((AV$7-$N$5)-(INDEX(ship_curves,MATCH(AT192,'SHIP CURVES'!$A$9:$A$316,0),MATCH(CONCATENATE(AX$4,AX$5,AX$6,AX$7),'SHIP CURVES'!$A$9:$Z$9,0))-INDEX(ship_curves,MATCH(AT192,'SHIP CURVES'!$A$9:$A$316,0),MATCH(CONCATENATE(AX$4,AV$6,AX$6,AX$7),'SHIP CURVES'!$A$9:$Z$9,0)))-(INDEX(terminal_curves,MATCH(AT192,'TERMINAL CURVES'!$A$4:$A$313,0),MATCH(AX$5,'TERMINAL CURVES'!$A$4:$N$4,0))-INDEX(terminal_curves,MATCH(AT192,'TERMINAL CURVES'!$A$4:$A$313,0),MATCH(AV$6,'TERMINAL CURVES'!$A$4:$N$4,0)))*IF(AN192=0,0,AP192/AN192)))*-AN192</f>
        <v>-18101687.668895446</v>
      </c>
      <c r="AY192" s="343">
        <f t="shared" si="82"/>
        <v>-20098339.91049213</v>
      </c>
      <c r="AZ192" s="338">
        <f>(-AP192/((HLOOKUP(AX$5,port_specs,2,0)/(365.25))*(AT193-AT192)))*(INDEX(fixed_capacity_charge,MATCH(AT192,PORTS!$H$11:$H$317,0),MATCH(AX$5,PORTS!$H$11:$N$11,0))+INDEX(variable_om_charge,MATCH(AT192,PORTS!$H$318:$H$625,0),MATCH(AX$5,PORTS!$H$318:$N$318,0)))</f>
        <v>-1031305.4903194276</v>
      </c>
      <c r="BA192" s="232">
        <f t="shared" si="83"/>
        <v>-21129645.400811557</v>
      </c>
      <c r="BB192" s="241">
        <f t="shared" si="84"/>
        <v>104112.56664602458</v>
      </c>
      <c r="BC192" s="408"/>
      <c r="BD192" s="338">
        <f>+PORTS!I186+PORTS!I494</f>
        <v>1031305.4903194276</v>
      </c>
    </row>
    <row r="193" spans="1:56" x14ac:dyDescent="0.2">
      <c r="A193" s="186">
        <f t="shared" si="85"/>
        <v>42036</v>
      </c>
      <c r="B193" s="215">
        <f>+IF(AND($A193&gt;=$C$8,$A193&lt;=$C$9),1,0)*PORTS!$I$5/(365.25)*(A194-A193)</f>
        <v>4822418.3061849596</v>
      </c>
      <c r="C193" s="351">
        <f t="shared" si="64"/>
        <v>0</v>
      </c>
      <c r="D193">
        <f t="shared" si="65"/>
        <v>2015</v>
      </c>
      <c r="E193" s="186">
        <f t="shared" si="86"/>
        <v>42036</v>
      </c>
      <c r="F193" s="215">
        <f t="shared" si="66"/>
        <v>0</v>
      </c>
      <c r="G193" s="191">
        <f t="shared" si="67"/>
        <v>0</v>
      </c>
      <c r="H193" s="218">
        <f t="shared" si="68"/>
        <v>0</v>
      </c>
      <c r="I193" s="118">
        <f t="shared" si="69"/>
        <v>0</v>
      </c>
      <c r="J193" s="215">
        <f t="shared" si="70"/>
        <v>0</v>
      </c>
      <c r="K193" s="202"/>
      <c r="L193" s="186">
        <f t="shared" si="87"/>
        <v>42036</v>
      </c>
      <c r="M193" s="400">
        <f>+J193*(VLOOKUP(L193,CURVECALC!$C$6:$J$312,4,0)+N$5)</f>
        <v>0</v>
      </c>
      <c r="N193" s="208">
        <f>-F193*INDEX(ship_curves,MATCH(L193,'SHIP CURVES'!$A$9:$A$316,0),MATCH(CONCATENATE(P$4,P$5,P$6,P$7),'SHIP CURVES'!$A$9:$AZ$9,0))</f>
        <v>0</v>
      </c>
      <c r="O193" s="209">
        <f>-H193*INDEX(port_processing_fee,MATCH(L193,PORTS!$H$626:$H$933,0),MATCH(P$5,PORTS!$H$626:$Z$626,0))</f>
        <v>0</v>
      </c>
      <c r="P193" s="405">
        <f>(((VLOOKUP(L193,curvecalc,4,0))*IF(F193=0,0,J193/F193)-INDEX(ship_curves,MATCH(L193,'SHIP CURVES'!$A$9:$A$316,0),MATCH(CONCATENATE(P$4,P$5,P$6,P$7),'SHIP CURVES'!$A$9:$Z$9,0))-INDEX(terminal_curves,MATCH(L193,'TERMINAL CURVES'!$A$4:$A$313,0),MATCH(P$5,'TERMINAL CURVES'!$A$4:$N$4,0))*IF(F193=0,0,H193/F193))-(N$8)*((N$7-$N$5)-(INDEX(ship_curves,MATCH(L193,'SHIP CURVES'!$A$9:$A$316,0),MATCH(CONCATENATE(P$4,P$5,P$6,P$7),'SHIP CURVES'!$A$9:$Z$9,0))-INDEX(ship_curves,MATCH(L193,'SHIP CURVES'!$A$9:$A$316,0),MATCH(CONCATENATE(P$4,N$6,P$6,P$7),'SHIP CURVES'!$A$9:$Z$9,0)))-(INDEX(terminal_curves,MATCH(L193,'TERMINAL CURVES'!$A$4:$A$313,0),MATCH(P$5,'TERMINAL CURVES'!$A$4:$N$4,0))-INDEX(terminal_curves,MATCH(L193,'TERMINAL CURVES'!$A$4:$A$313,0),MATCH(N$6,'TERMINAL CURVES'!$A$4:$N$4,0)))*IF(F193=0,0,H193/F193)))*-F193</f>
        <v>0</v>
      </c>
      <c r="Q193" s="403">
        <f t="shared" si="71"/>
        <v>0</v>
      </c>
      <c r="R193" s="338">
        <f>(-H193/((HLOOKUP(P$5,port_specs,2,0)/(365.25))*(L194-L193)))*(INDEX(fixed_capacity_charge,MATCH(L193,PORTS!$H$11:$H$317,0),MATCH(P$5,PORTS!$H$11:$N$11,0))+INDEX(variable_om_charge,MATCH(L193,PORTS!$H$318:$H$625,0),MATCH(P$5,PORTS!$H$318:$N$318,0)))</f>
        <v>0</v>
      </c>
      <c r="S193" s="232">
        <f t="shared" si="72"/>
        <v>0</v>
      </c>
      <c r="T193" s="241">
        <f t="shared" si="73"/>
        <v>0</v>
      </c>
      <c r="V193" s="186">
        <f t="shared" si="88"/>
        <v>42036</v>
      </c>
      <c r="W193" s="215">
        <f t="shared" si="74"/>
        <v>0</v>
      </c>
      <c r="X193" s="191">
        <f t="shared" si="75"/>
        <v>0</v>
      </c>
      <c r="Y193" s="218">
        <f>+IF(AND(X$8&lt;=V193,X$9&gt;=V193),+MIN($B193-SUMIF($H$17:X$17,Y$17,$H193:X193),((INDEX(ROUTE_PER_DAY_BY_SHIP,MATCH(CONCATENATE(X$4,X$5,X$7),ROUTE_PER_DAY_ROUTES,0),MATCH(X$6,ROUTE_PER_DAY_SHIPS,0))*(V194-V193))-(INDEX(ROUTE_PER_DAY_BY_SHIP,MATCH(CONCATENATE(X$4,X$5,X$7),ROUTE_PER_DAY_ROUTES,0),MATCH(X$6,ROUTE_PER_DAY_SHIPS,0))*(V194-V193))*HLOOKUP(X$6,SHIPS,7,0)*INDEX(LADEN_VOYAGE_DAYS,MATCH(CONCATENATE(X$4,X$5,X$7),LADEN_VOYAGE_ROUTES,0),MATCH(X$6,LADEN_VOYAGE_SHIPS,0)))),0)</f>
        <v>0</v>
      </c>
      <c r="Z193" s="118">
        <f t="shared" si="76"/>
        <v>0</v>
      </c>
      <c r="AA193" s="215">
        <f t="shared" si="62"/>
        <v>0</v>
      </c>
      <c r="AB193" s="202"/>
      <c r="AC193" s="186">
        <f t="shared" si="89"/>
        <v>42036</v>
      </c>
      <c r="AD193" s="232">
        <f>+AA193*(VLOOKUP(AC193,CURVECALC!$C$6:$J$312,4,0)+AE$5)</f>
        <v>0</v>
      </c>
      <c r="AE193" s="208">
        <f>-W193*INDEX(ship_curves,MATCH(AC193,'SHIP CURVES'!$A$9:$A$316,0),MATCH(CONCATENATE(AG$4,AG$5,AG$6,AG$7),'SHIP CURVES'!$A$9:$AZ$9,0))</f>
        <v>0</v>
      </c>
      <c r="AF193" s="209">
        <f>-Y193*INDEX(port_processing_fee,MATCH(AC193,PORTS!$H$626:$H$933,0),MATCH(AG$5,PORTS!$H$626:$Z$626,0))</f>
        <v>0</v>
      </c>
      <c r="AG193" s="405">
        <f>(((VLOOKUP(AC193,curvecalc,4,0))*IF(W193=0,0,AA193/W193)-INDEX(ship_curves,MATCH(AC193,'SHIP CURVES'!$A$9:$A$316,0),MATCH(CONCATENATE(AG$4,AG$5,AG$6,AG$7),'SHIP CURVES'!$A$9:$Z$9,0))-INDEX(terminal_curves,MATCH(AC193,'TERMINAL CURVES'!$A$4:$A$313,0),MATCH(AG$5,'TERMINAL CURVES'!$A$4:$N$4,0))*IF(W193=0,0,Y193/W193))-(AE$8)*((AE$7-$N$5)-(INDEX(ship_curves,MATCH(AC193,'SHIP CURVES'!$A$9:$A$316,0),MATCH(CONCATENATE(AG$4,AG$5,AG$6,AG$7),'SHIP CURVES'!$A$9:$Z$9,0))-INDEX(ship_curves,MATCH(AC193,'SHIP CURVES'!$A$9:$A$316,0),MATCH(CONCATENATE(AG$4,AE$6,AG$6,AG$7),'SHIP CURVES'!$A$9:$Z$9,0)))-(INDEX(terminal_curves,MATCH(AC193,'TERMINAL CURVES'!$A$4:$A$313,0),MATCH(AG$5,'TERMINAL CURVES'!$A$4:$N$4,0))-INDEX(terminal_curves,MATCH(AC193,'TERMINAL CURVES'!$A$4:$A$313,0),MATCH(AE$6,'TERMINAL CURVES'!$A$4:$N$4,0)))*IF(W193=0,0,Y193/W193)))*-W193</f>
        <v>0</v>
      </c>
      <c r="AH193" s="343">
        <f t="shared" si="77"/>
        <v>0</v>
      </c>
      <c r="AI193" s="338">
        <f>(-Y193/((HLOOKUP(AG$5,port_specs,2,0)/(365.25))*(AC194-AC193)))*(INDEX(fixed_capacity_charge,MATCH(AC193,PORTS!$H$11:$H$317,0),MATCH(AG$5,PORTS!$H$11:$N$11,0))+INDEX(variable_om_charge,MATCH(AC193,PORTS!$H$318:$H$625,0),MATCH(AG$5,PORTS!$H$318:$N$318,0)))</f>
        <v>0</v>
      </c>
      <c r="AJ193" s="232">
        <f t="shared" si="78"/>
        <v>0</v>
      </c>
      <c r="AK193" s="241">
        <f t="shared" si="79"/>
        <v>0</v>
      </c>
      <c r="AM193" s="186">
        <f t="shared" si="90"/>
        <v>42036</v>
      </c>
      <c r="AN193" s="215">
        <f t="shared" si="80"/>
        <v>4873591.0118089532</v>
      </c>
      <c r="AO193" s="191">
        <f t="shared" si="81"/>
        <v>-51172.70562399365</v>
      </c>
      <c r="AP193" s="218">
        <f>+IF(AND(AO$8&lt;=AM193,AO$9&gt;=AM193),+MIN($B193-SUMIF($H$17:AO$17,AP$17,$H193:AO193),((INDEX(ROUTE_PER_DAY_BY_SHIP,MATCH(CONCATENATE(AO$4,AO$5,AO$7),ROUTE_PER_DAY_ROUTES,0),MATCH(AO$6,ROUTE_PER_DAY_SHIPS,0))*(AM194-AM193))-(INDEX(ROUTE_PER_DAY_BY_SHIP,MATCH(CONCATENATE(AO$4,AO$5,AO$7),ROUTE_PER_DAY_ROUTES,0),MATCH(AO$6,ROUTE_PER_DAY_SHIPS,0))*(AM194-AM193))*HLOOKUP(AO$6,SHIPS,7,0)*INDEX(LADEN_VOYAGE_DAYS,MATCH(CONCATENATE(AO$4,AO$5,AO$7),LADEN_VOYAGE_ROUTES,0),MATCH(AO$6,LADEN_VOYAGE_SHIPS,0)))),0)</f>
        <v>4822418.3061849596</v>
      </c>
      <c r="AQ193" s="118">
        <f>-(AP193)*PORTS!$I$6</f>
        <v>-120560.457654624</v>
      </c>
      <c r="AR193" s="215">
        <f t="shared" si="63"/>
        <v>4701857.8485303354</v>
      </c>
      <c r="AS193" s="202"/>
      <c r="AT193" s="186">
        <f t="shared" si="91"/>
        <v>42036</v>
      </c>
      <c r="AU193" s="232">
        <f>+AR193*(VLOOKUP(AT193,CURVECALC!$C$6:$J$312,4,0)+AV$5)</f>
        <v>18793325.820575751</v>
      </c>
      <c r="AV193" s="208">
        <f>-AN193*INDEX(ship_curves,MATCH(AT193,'SHIP CURVES'!$A$9:$A$316,0),MATCH(CONCATENATE(AX$4,AX$5,AX$6,AX$7),'SHIP CURVES'!$A$9:$AZ$9,0))</f>
        <v>-1650866.3035238269</v>
      </c>
      <c r="AW193" s="209">
        <f>-AP193*INDEX(port_processing_fee,MATCH(AT193,PORTS!$H$626:$H$933,0),MATCH(AX$5,PORTS!$H$626:$Z$626,0))</f>
        <v>-153272.75278938579</v>
      </c>
      <c r="AX193" s="405">
        <f>(((VLOOKUP(AT193,curvecalc,4,0))*IF(AN193=0,0,AR193/AN193)-INDEX(ship_curves,MATCH(AT193,'SHIP CURVES'!$A$9:$A$316,0),MATCH(CONCATENATE(AX$4,AX$5,AX$6,AX$7),'SHIP CURVES'!$A$9:$Z$9,0))-INDEX(terminal_curves,MATCH(AT193,'TERMINAL CURVES'!$A$4:$A$313,0),MATCH(AX$5,'TERMINAL CURVES'!$A$4:$N$4,0))*IF(AN193=0,0,AP193/AN193))-(AV$8)*((AV$7-$N$5)-(INDEX(ship_curves,MATCH(AT193,'SHIP CURVES'!$A$9:$A$316,0),MATCH(CONCATENATE(AX$4,AX$5,AX$6,AX$7),'SHIP CURVES'!$A$9:$Z$9,0))-INDEX(ship_curves,MATCH(AT193,'SHIP CURVES'!$A$9:$A$316,0),MATCH(CONCATENATE(AX$4,AV$6,AX$6,AX$7),'SHIP CURVES'!$A$9:$Z$9,0)))-(INDEX(terminal_curves,MATCH(AT193,'TERMINAL CURVES'!$A$4:$A$313,0),MATCH(AX$5,'TERMINAL CURVES'!$A$4:$N$4,0))-INDEX(terminal_curves,MATCH(AT193,'TERMINAL CURVES'!$A$4:$A$313,0),MATCH(AV$6,'TERMINAL CURVES'!$A$4:$N$4,0)))*IF(AN193=0,0,AP193/AN193)))*-AN193</f>
        <v>-15863275.243098116</v>
      </c>
      <c r="AY193" s="343">
        <f t="shared" si="82"/>
        <v>-17667414.299411327</v>
      </c>
      <c r="AZ193" s="338">
        <f>(-AP193/((HLOOKUP(AX$5,port_specs,2,0)/(365.25))*(AT194-AT193)))*(INDEX(fixed_capacity_charge,MATCH(AT193,PORTS!$H$11:$H$317,0),MATCH(AX$5,PORTS!$H$11:$N$11,0))+INDEX(variable_om_charge,MATCH(AT193,PORTS!$H$318:$H$625,0),MATCH(AX$5,PORTS!$H$318:$N$318,0)))</f>
        <v>-1031874.3641938141</v>
      </c>
      <c r="BA193" s="232">
        <f t="shared" si="83"/>
        <v>-18699288.663605142</v>
      </c>
      <c r="BB193" s="241">
        <f t="shared" si="84"/>
        <v>94037.156970608979</v>
      </c>
      <c r="BC193" s="408"/>
      <c r="BD193" s="338">
        <f>+PORTS!I187+PORTS!I495</f>
        <v>1031874.3641938141</v>
      </c>
    </row>
    <row r="194" spans="1:56" x14ac:dyDescent="0.2">
      <c r="A194" s="186">
        <f t="shared" si="85"/>
        <v>42064</v>
      </c>
      <c r="B194" s="215">
        <f>+IF(AND($A194&gt;=$C$8,$A194&lt;=$C$9),1,0)*PORTS!$I$5/(365.25)*(A195-A194)</f>
        <v>5339105.9818476336</v>
      </c>
      <c r="C194" s="351">
        <f t="shared" si="64"/>
        <v>0</v>
      </c>
      <c r="D194">
        <f t="shared" si="65"/>
        <v>2015</v>
      </c>
      <c r="E194" s="186">
        <f t="shared" si="86"/>
        <v>42064</v>
      </c>
      <c r="F194" s="215">
        <f t="shared" si="66"/>
        <v>0</v>
      </c>
      <c r="G194" s="191">
        <f t="shared" si="67"/>
        <v>0</v>
      </c>
      <c r="H194" s="218">
        <f t="shared" si="68"/>
        <v>0</v>
      </c>
      <c r="I194" s="118">
        <f t="shared" si="69"/>
        <v>0</v>
      </c>
      <c r="J194" s="215">
        <f t="shared" si="70"/>
        <v>0</v>
      </c>
      <c r="K194" s="202"/>
      <c r="L194" s="186">
        <f t="shared" si="87"/>
        <v>42064</v>
      </c>
      <c r="M194" s="400">
        <f>+J194*(VLOOKUP(L194,CURVECALC!$C$6:$J$312,4,0)+N$5)</f>
        <v>0</v>
      </c>
      <c r="N194" s="208">
        <f>-F194*INDEX(ship_curves,MATCH(L194,'SHIP CURVES'!$A$9:$A$316,0),MATCH(CONCATENATE(P$4,P$5,P$6,P$7),'SHIP CURVES'!$A$9:$AZ$9,0))</f>
        <v>0</v>
      </c>
      <c r="O194" s="209">
        <f>-H194*INDEX(port_processing_fee,MATCH(L194,PORTS!$H$626:$H$933,0),MATCH(P$5,PORTS!$H$626:$Z$626,0))</f>
        <v>0</v>
      </c>
      <c r="P194" s="405">
        <f>(((VLOOKUP(L194,curvecalc,4,0))*IF(F194=0,0,J194/F194)-INDEX(ship_curves,MATCH(L194,'SHIP CURVES'!$A$9:$A$316,0),MATCH(CONCATENATE(P$4,P$5,P$6,P$7),'SHIP CURVES'!$A$9:$Z$9,0))-INDEX(terminal_curves,MATCH(L194,'TERMINAL CURVES'!$A$4:$A$313,0),MATCH(P$5,'TERMINAL CURVES'!$A$4:$N$4,0))*IF(F194=0,0,H194/F194))-(N$8)*((N$7-$N$5)-(INDEX(ship_curves,MATCH(L194,'SHIP CURVES'!$A$9:$A$316,0),MATCH(CONCATENATE(P$4,P$5,P$6,P$7),'SHIP CURVES'!$A$9:$Z$9,0))-INDEX(ship_curves,MATCH(L194,'SHIP CURVES'!$A$9:$A$316,0),MATCH(CONCATENATE(P$4,N$6,P$6,P$7),'SHIP CURVES'!$A$9:$Z$9,0)))-(INDEX(terminal_curves,MATCH(L194,'TERMINAL CURVES'!$A$4:$A$313,0),MATCH(P$5,'TERMINAL CURVES'!$A$4:$N$4,0))-INDEX(terminal_curves,MATCH(L194,'TERMINAL CURVES'!$A$4:$A$313,0),MATCH(N$6,'TERMINAL CURVES'!$A$4:$N$4,0)))*IF(F194=0,0,H194/F194)))*-F194</f>
        <v>0</v>
      </c>
      <c r="Q194" s="403">
        <f t="shared" si="71"/>
        <v>0</v>
      </c>
      <c r="R194" s="338">
        <f>(-H194/((HLOOKUP(P$5,port_specs,2,0)/(365.25))*(L195-L194)))*(INDEX(fixed_capacity_charge,MATCH(L194,PORTS!$H$11:$H$317,0),MATCH(P$5,PORTS!$H$11:$N$11,0))+INDEX(variable_om_charge,MATCH(L194,PORTS!$H$318:$H$625,0),MATCH(P$5,PORTS!$H$318:$N$318,0)))</f>
        <v>0</v>
      </c>
      <c r="S194" s="232">
        <f t="shared" si="72"/>
        <v>0</v>
      </c>
      <c r="T194" s="241">
        <f t="shared" si="73"/>
        <v>0</v>
      </c>
      <c r="V194" s="186">
        <f t="shared" si="88"/>
        <v>42064</v>
      </c>
      <c r="W194" s="215">
        <f t="shared" si="74"/>
        <v>0</v>
      </c>
      <c r="X194" s="191">
        <f t="shared" si="75"/>
        <v>0</v>
      </c>
      <c r="Y194" s="218">
        <f>+IF(AND(X$8&lt;=V194,X$9&gt;=V194),+MIN($B194-SUMIF($H$17:X$17,Y$17,$H194:X194),((INDEX(ROUTE_PER_DAY_BY_SHIP,MATCH(CONCATENATE(X$4,X$5,X$7),ROUTE_PER_DAY_ROUTES,0),MATCH(X$6,ROUTE_PER_DAY_SHIPS,0))*(V195-V194))-(INDEX(ROUTE_PER_DAY_BY_SHIP,MATCH(CONCATENATE(X$4,X$5,X$7),ROUTE_PER_DAY_ROUTES,0),MATCH(X$6,ROUTE_PER_DAY_SHIPS,0))*(V195-V194))*HLOOKUP(X$6,SHIPS,7,0)*INDEX(LADEN_VOYAGE_DAYS,MATCH(CONCATENATE(X$4,X$5,X$7),LADEN_VOYAGE_ROUTES,0),MATCH(X$6,LADEN_VOYAGE_SHIPS,0)))),0)</f>
        <v>0</v>
      </c>
      <c r="Z194" s="118">
        <f t="shared" si="76"/>
        <v>0</v>
      </c>
      <c r="AA194" s="215">
        <f t="shared" si="62"/>
        <v>0</v>
      </c>
      <c r="AB194" s="202"/>
      <c r="AC194" s="186">
        <f t="shared" si="89"/>
        <v>42064</v>
      </c>
      <c r="AD194" s="232">
        <f>+AA194*(VLOOKUP(AC194,CURVECALC!$C$6:$J$312,4,0)+AE$5)</f>
        <v>0</v>
      </c>
      <c r="AE194" s="208">
        <f>-W194*INDEX(ship_curves,MATCH(AC194,'SHIP CURVES'!$A$9:$A$316,0),MATCH(CONCATENATE(AG$4,AG$5,AG$6,AG$7),'SHIP CURVES'!$A$9:$AZ$9,0))</f>
        <v>0</v>
      </c>
      <c r="AF194" s="209">
        <f>-Y194*INDEX(port_processing_fee,MATCH(AC194,PORTS!$H$626:$H$933,0),MATCH(AG$5,PORTS!$H$626:$Z$626,0))</f>
        <v>0</v>
      </c>
      <c r="AG194" s="405">
        <f>(((VLOOKUP(AC194,curvecalc,4,0))*IF(W194=0,0,AA194/W194)-INDEX(ship_curves,MATCH(AC194,'SHIP CURVES'!$A$9:$A$316,0),MATCH(CONCATENATE(AG$4,AG$5,AG$6,AG$7),'SHIP CURVES'!$A$9:$Z$9,0))-INDEX(terminal_curves,MATCH(AC194,'TERMINAL CURVES'!$A$4:$A$313,0),MATCH(AG$5,'TERMINAL CURVES'!$A$4:$N$4,0))*IF(W194=0,0,Y194/W194))-(AE$8)*((AE$7-$N$5)-(INDEX(ship_curves,MATCH(AC194,'SHIP CURVES'!$A$9:$A$316,0),MATCH(CONCATENATE(AG$4,AG$5,AG$6,AG$7),'SHIP CURVES'!$A$9:$Z$9,0))-INDEX(ship_curves,MATCH(AC194,'SHIP CURVES'!$A$9:$A$316,0),MATCH(CONCATENATE(AG$4,AE$6,AG$6,AG$7),'SHIP CURVES'!$A$9:$Z$9,0)))-(INDEX(terminal_curves,MATCH(AC194,'TERMINAL CURVES'!$A$4:$A$313,0),MATCH(AG$5,'TERMINAL CURVES'!$A$4:$N$4,0))-INDEX(terminal_curves,MATCH(AC194,'TERMINAL CURVES'!$A$4:$A$313,0),MATCH(AE$6,'TERMINAL CURVES'!$A$4:$N$4,0)))*IF(W194=0,0,Y194/W194)))*-W194</f>
        <v>0</v>
      </c>
      <c r="AH194" s="343">
        <f t="shared" si="77"/>
        <v>0</v>
      </c>
      <c r="AI194" s="338">
        <f>(-Y194/((HLOOKUP(AG$5,port_specs,2,0)/(365.25))*(AC195-AC194)))*(INDEX(fixed_capacity_charge,MATCH(AC194,PORTS!$H$11:$H$317,0),MATCH(AG$5,PORTS!$H$11:$N$11,0))+INDEX(variable_om_charge,MATCH(AC194,PORTS!$H$318:$H$625,0),MATCH(AG$5,PORTS!$H$318:$N$318,0)))</f>
        <v>0</v>
      </c>
      <c r="AJ194" s="232">
        <f t="shared" si="78"/>
        <v>0</v>
      </c>
      <c r="AK194" s="241">
        <f t="shared" si="79"/>
        <v>0</v>
      </c>
      <c r="AM194" s="186">
        <f t="shared" si="90"/>
        <v>42064</v>
      </c>
      <c r="AN194" s="215">
        <f t="shared" si="80"/>
        <v>5395761.4773599124</v>
      </c>
      <c r="AO194" s="191">
        <f t="shared" si="81"/>
        <v>-56655.495512278751</v>
      </c>
      <c r="AP194" s="218">
        <f>+IF(AND(AO$8&lt;=AM194,AO$9&gt;=AM194),+MIN($B194-SUMIF($H$17:AO$17,AP$17,$H194:AO194),((INDEX(ROUTE_PER_DAY_BY_SHIP,MATCH(CONCATENATE(AO$4,AO$5,AO$7),ROUTE_PER_DAY_ROUTES,0),MATCH(AO$6,ROUTE_PER_DAY_SHIPS,0))*(AM195-AM194))-(INDEX(ROUTE_PER_DAY_BY_SHIP,MATCH(CONCATENATE(AO$4,AO$5,AO$7),ROUTE_PER_DAY_ROUTES,0),MATCH(AO$6,ROUTE_PER_DAY_SHIPS,0))*(AM195-AM194))*HLOOKUP(AO$6,SHIPS,7,0)*INDEX(LADEN_VOYAGE_DAYS,MATCH(CONCATENATE(AO$4,AO$5,AO$7),LADEN_VOYAGE_ROUTES,0),MATCH(AO$6,LADEN_VOYAGE_SHIPS,0)))),0)</f>
        <v>5339105.9818476336</v>
      </c>
      <c r="AQ194" s="118">
        <f>-(AP194)*PORTS!$I$6</f>
        <v>-133477.64954619083</v>
      </c>
      <c r="AR194" s="215">
        <f t="shared" si="63"/>
        <v>5205628.3323014425</v>
      </c>
      <c r="AS194" s="202"/>
      <c r="AT194" s="186">
        <f t="shared" si="91"/>
        <v>42064</v>
      </c>
      <c r="AU194" s="232">
        <f>+AR194*(VLOOKUP(AT194,CURVECALC!$C$6:$J$312,4,0)+AV$5)</f>
        <v>20265511.097649515</v>
      </c>
      <c r="AV194" s="208">
        <f>-AN194*INDEX(ship_curves,MATCH(AT194,'SHIP CURVES'!$A$9:$A$316,0),MATCH(CONCATENATE(AX$4,AX$5,AX$6,AX$7),'SHIP CURVES'!$A$9:$AZ$9,0))</f>
        <v>-1828356.9550213788</v>
      </c>
      <c r="AW194" s="209">
        <f>-AP194*INDEX(port_processing_fee,MATCH(AT194,PORTS!$H$626:$H$933,0),MATCH(AX$5,PORTS!$H$626:$Z$626,0))</f>
        <v>-169871.59889689702</v>
      </c>
      <c r="AX194" s="405">
        <f>(((VLOOKUP(AT194,curvecalc,4,0))*IF(AN194=0,0,AR194/AN194)-INDEX(ship_curves,MATCH(AT194,'SHIP CURVES'!$A$9:$A$316,0),MATCH(CONCATENATE(AX$4,AX$5,AX$6,AX$7),'SHIP CURVES'!$A$9:$Z$9,0))-INDEX(terminal_curves,MATCH(AT194,'TERMINAL CURVES'!$A$4:$A$313,0),MATCH(AX$5,'TERMINAL CURVES'!$A$4:$N$4,0))*IF(AN194=0,0,AP194/AN194))-(AV$8)*((AV$7-$N$5)-(INDEX(ship_curves,MATCH(AT194,'SHIP CURVES'!$A$9:$A$316,0),MATCH(CONCATENATE(AX$4,AX$5,AX$6,AX$7),'SHIP CURVES'!$A$9:$Z$9,0))-INDEX(ship_curves,MATCH(AT194,'SHIP CURVES'!$A$9:$A$316,0),MATCH(CONCATENATE(AX$4,AV$6,AX$6,AX$7),'SHIP CURVES'!$A$9:$Z$9,0)))-(INDEX(terminal_curves,MATCH(AT194,'TERMINAL CURVES'!$A$4:$A$313,0),MATCH(AX$5,'TERMINAL CURVES'!$A$4:$N$4,0))-INDEX(terminal_curves,MATCH(AT194,'TERMINAL CURVES'!$A$4:$A$313,0),MATCH(AV$6,'TERMINAL CURVES'!$A$4:$N$4,0)))*IF(AN194=0,0,AP194/AN194)))*-AN194</f>
        <v>-17130726.146440055</v>
      </c>
      <c r="AY194" s="343">
        <f t="shared" si="82"/>
        <v>-19128954.700358331</v>
      </c>
      <c r="AZ194" s="338">
        <f>(-AP194/((HLOOKUP(AX$5,port_specs,2,0)/(365.25))*(AT195-AT194)))*(INDEX(fixed_capacity_charge,MATCH(AT194,PORTS!$H$11:$H$317,0),MATCH(AX$5,PORTS!$H$11:$N$11,0))+INDEX(variable_om_charge,MATCH(AT194,PORTS!$H$318:$H$625,0),MATCH(AX$5,PORTS!$H$318:$N$318,0)))</f>
        <v>-1032443.8306451531</v>
      </c>
      <c r="BA194" s="232">
        <f t="shared" si="83"/>
        <v>-20161398.531003483</v>
      </c>
      <c r="BB194" s="241">
        <f t="shared" si="84"/>
        <v>104112.56664603204</v>
      </c>
      <c r="BC194" s="408"/>
      <c r="BD194" s="338">
        <f>+PORTS!I188+PORTS!I496</f>
        <v>1032443.8306451531</v>
      </c>
    </row>
    <row r="195" spans="1:56" x14ac:dyDescent="0.2">
      <c r="A195" s="186">
        <f t="shared" si="85"/>
        <v>42095</v>
      </c>
      <c r="B195" s="215">
        <f>+IF(AND($A195&gt;=$C$8,$A195&lt;=$C$9),1,0)*PORTS!$I$5/(365.25)*(A196-A195)</f>
        <v>5166876.756626742</v>
      </c>
      <c r="C195" s="351">
        <f t="shared" si="64"/>
        <v>0</v>
      </c>
      <c r="D195">
        <f t="shared" si="65"/>
        <v>2015</v>
      </c>
      <c r="E195" s="186">
        <f t="shared" si="86"/>
        <v>42095</v>
      </c>
      <c r="F195" s="215">
        <f t="shared" si="66"/>
        <v>0</v>
      </c>
      <c r="G195" s="191">
        <f t="shared" si="67"/>
        <v>0</v>
      </c>
      <c r="H195" s="218">
        <f t="shared" si="68"/>
        <v>0</v>
      </c>
      <c r="I195" s="118">
        <f t="shared" si="69"/>
        <v>0</v>
      </c>
      <c r="J195" s="215">
        <f t="shared" si="70"/>
        <v>0</v>
      </c>
      <c r="K195" s="202"/>
      <c r="L195" s="186">
        <f t="shared" si="87"/>
        <v>42095</v>
      </c>
      <c r="M195" s="400">
        <f>+J195*(VLOOKUP(L195,CURVECALC!$C$6:$J$312,4,0)+N$5)</f>
        <v>0</v>
      </c>
      <c r="N195" s="208">
        <f>-F195*INDEX(ship_curves,MATCH(L195,'SHIP CURVES'!$A$9:$A$316,0),MATCH(CONCATENATE(P$4,P$5,P$6,P$7),'SHIP CURVES'!$A$9:$AZ$9,0))</f>
        <v>0</v>
      </c>
      <c r="O195" s="209">
        <f>-H195*INDEX(port_processing_fee,MATCH(L195,PORTS!$H$626:$H$933,0),MATCH(P$5,PORTS!$H$626:$Z$626,0))</f>
        <v>0</v>
      </c>
      <c r="P195" s="405">
        <f>(((VLOOKUP(L195,curvecalc,4,0))*IF(F195=0,0,J195/F195)-INDEX(ship_curves,MATCH(L195,'SHIP CURVES'!$A$9:$A$316,0),MATCH(CONCATENATE(P$4,P$5,P$6,P$7),'SHIP CURVES'!$A$9:$Z$9,0))-INDEX(terminal_curves,MATCH(L195,'TERMINAL CURVES'!$A$4:$A$313,0),MATCH(P$5,'TERMINAL CURVES'!$A$4:$N$4,0))*IF(F195=0,0,H195/F195))-(N$8)*((N$7-$N$5)-(INDEX(ship_curves,MATCH(L195,'SHIP CURVES'!$A$9:$A$316,0),MATCH(CONCATENATE(P$4,P$5,P$6,P$7),'SHIP CURVES'!$A$9:$Z$9,0))-INDEX(ship_curves,MATCH(L195,'SHIP CURVES'!$A$9:$A$316,0),MATCH(CONCATENATE(P$4,N$6,P$6,P$7),'SHIP CURVES'!$A$9:$Z$9,0)))-(INDEX(terminal_curves,MATCH(L195,'TERMINAL CURVES'!$A$4:$A$313,0),MATCH(P$5,'TERMINAL CURVES'!$A$4:$N$4,0))-INDEX(terminal_curves,MATCH(L195,'TERMINAL CURVES'!$A$4:$A$313,0),MATCH(N$6,'TERMINAL CURVES'!$A$4:$N$4,0)))*IF(F195=0,0,H195/F195)))*-F195</f>
        <v>0</v>
      </c>
      <c r="Q195" s="403">
        <f t="shared" si="71"/>
        <v>0</v>
      </c>
      <c r="R195" s="338">
        <f>(-H195/((HLOOKUP(P$5,port_specs,2,0)/(365.25))*(L196-L195)))*(INDEX(fixed_capacity_charge,MATCH(L195,PORTS!$H$11:$H$317,0),MATCH(P$5,PORTS!$H$11:$N$11,0))+INDEX(variable_om_charge,MATCH(L195,PORTS!$H$318:$H$625,0),MATCH(P$5,PORTS!$H$318:$N$318,0)))</f>
        <v>0</v>
      </c>
      <c r="S195" s="232">
        <f t="shared" si="72"/>
        <v>0</v>
      </c>
      <c r="T195" s="241">
        <f t="shared" si="73"/>
        <v>0</v>
      </c>
      <c r="V195" s="186">
        <f t="shared" si="88"/>
        <v>42095</v>
      </c>
      <c r="W195" s="215">
        <f t="shared" si="74"/>
        <v>0</v>
      </c>
      <c r="X195" s="191">
        <f t="shared" si="75"/>
        <v>0</v>
      </c>
      <c r="Y195" s="218">
        <f>+IF(AND(X$8&lt;=V195,X$9&gt;=V195),+MIN($B195-SUMIF($H$17:X$17,Y$17,$H195:X195),((INDEX(ROUTE_PER_DAY_BY_SHIP,MATCH(CONCATENATE(X$4,X$5,X$7),ROUTE_PER_DAY_ROUTES,0),MATCH(X$6,ROUTE_PER_DAY_SHIPS,0))*(V196-V195))-(INDEX(ROUTE_PER_DAY_BY_SHIP,MATCH(CONCATENATE(X$4,X$5,X$7),ROUTE_PER_DAY_ROUTES,0),MATCH(X$6,ROUTE_PER_DAY_SHIPS,0))*(V196-V195))*HLOOKUP(X$6,SHIPS,7,0)*INDEX(LADEN_VOYAGE_DAYS,MATCH(CONCATENATE(X$4,X$5,X$7),LADEN_VOYAGE_ROUTES,0),MATCH(X$6,LADEN_VOYAGE_SHIPS,0)))),0)</f>
        <v>0</v>
      </c>
      <c r="Z195" s="118">
        <f t="shared" si="76"/>
        <v>0</v>
      </c>
      <c r="AA195" s="215">
        <f t="shared" si="62"/>
        <v>0</v>
      </c>
      <c r="AB195" s="202"/>
      <c r="AC195" s="186">
        <f t="shared" si="89"/>
        <v>42095</v>
      </c>
      <c r="AD195" s="232">
        <f>+AA195*(VLOOKUP(AC195,CURVECALC!$C$6:$J$312,4,0)+AE$5)</f>
        <v>0</v>
      </c>
      <c r="AE195" s="208">
        <f>-W195*INDEX(ship_curves,MATCH(AC195,'SHIP CURVES'!$A$9:$A$316,0),MATCH(CONCATENATE(AG$4,AG$5,AG$6,AG$7),'SHIP CURVES'!$A$9:$AZ$9,0))</f>
        <v>0</v>
      </c>
      <c r="AF195" s="209">
        <f>-Y195*INDEX(port_processing_fee,MATCH(AC195,PORTS!$H$626:$H$933,0),MATCH(AG$5,PORTS!$H$626:$Z$626,0))</f>
        <v>0</v>
      </c>
      <c r="AG195" s="405">
        <f>(((VLOOKUP(AC195,curvecalc,4,0))*IF(W195=0,0,AA195/W195)-INDEX(ship_curves,MATCH(AC195,'SHIP CURVES'!$A$9:$A$316,0),MATCH(CONCATENATE(AG$4,AG$5,AG$6,AG$7),'SHIP CURVES'!$A$9:$Z$9,0))-INDEX(terminal_curves,MATCH(AC195,'TERMINAL CURVES'!$A$4:$A$313,0),MATCH(AG$5,'TERMINAL CURVES'!$A$4:$N$4,0))*IF(W195=0,0,Y195/W195))-(AE$8)*((AE$7-$N$5)-(INDEX(ship_curves,MATCH(AC195,'SHIP CURVES'!$A$9:$A$316,0),MATCH(CONCATENATE(AG$4,AG$5,AG$6,AG$7),'SHIP CURVES'!$A$9:$Z$9,0))-INDEX(ship_curves,MATCH(AC195,'SHIP CURVES'!$A$9:$A$316,0),MATCH(CONCATENATE(AG$4,AE$6,AG$6,AG$7),'SHIP CURVES'!$A$9:$Z$9,0)))-(INDEX(terminal_curves,MATCH(AC195,'TERMINAL CURVES'!$A$4:$A$313,0),MATCH(AG$5,'TERMINAL CURVES'!$A$4:$N$4,0))-INDEX(terminal_curves,MATCH(AC195,'TERMINAL CURVES'!$A$4:$A$313,0),MATCH(AE$6,'TERMINAL CURVES'!$A$4:$N$4,0)))*IF(W195=0,0,Y195/W195)))*-W195</f>
        <v>0</v>
      </c>
      <c r="AH195" s="343">
        <f t="shared" si="77"/>
        <v>0</v>
      </c>
      <c r="AI195" s="338">
        <f>(-Y195/((HLOOKUP(AG$5,port_specs,2,0)/(365.25))*(AC196-AC195)))*(INDEX(fixed_capacity_charge,MATCH(AC195,PORTS!$H$11:$H$317,0),MATCH(AG$5,PORTS!$H$11:$N$11,0))+INDEX(variable_om_charge,MATCH(AC195,PORTS!$H$318:$H$625,0),MATCH(AG$5,PORTS!$H$318:$N$318,0)))</f>
        <v>0</v>
      </c>
      <c r="AJ195" s="232">
        <f t="shared" si="78"/>
        <v>0</v>
      </c>
      <c r="AK195" s="241">
        <f t="shared" si="79"/>
        <v>0</v>
      </c>
      <c r="AM195" s="186">
        <f t="shared" si="90"/>
        <v>42095</v>
      </c>
      <c r="AN195" s="215">
        <f t="shared" si="80"/>
        <v>5221704.655509592</v>
      </c>
      <c r="AO195" s="191">
        <f t="shared" si="81"/>
        <v>-54827.898882850073</v>
      </c>
      <c r="AP195" s="218">
        <f>+IF(AND(AO$8&lt;=AM195,AO$9&gt;=AM195),+MIN($B195-SUMIF($H$17:AO$17,AP$17,$H195:AO195),((INDEX(ROUTE_PER_DAY_BY_SHIP,MATCH(CONCATENATE(AO$4,AO$5,AO$7),ROUTE_PER_DAY_ROUTES,0),MATCH(AO$6,ROUTE_PER_DAY_SHIPS,0))*(AM196-AM195))-(INDEX(ROUTE_PER_DAY_BY_SHIP,MATCH(CONCATENATE(AO$4,AO$5,AO$7),ROUTE_PER_DAY_ROUTES,0),MATCH(AO$6,ROUTE_PER_DAY_SHIPS,0))*(AM196-AM195))*HLOOKUP(AO$6,SHIPS,7,0)*INDEX(LADEN_VOYAGE_DAYS,MATCH(CONCATENATE(AO$4,AO$5,AO$7),LADEN_VOYAGE_ROUTES,0),MATCH(AO$6,LADEN_VOYAGE_SHIPS,0)))),0)</f>
        <v>5166876.756626742</v>
      </c>
      <c r="AQ195" s="118">
        <f>-(AP195)*PORTS!$I$6</f>
        <v>-129171.91891566856</v>
      </c>
      <c r="AR195" s="215">
        <f t="shared" si="63"/>
        <v>5037704.8377110735</v>
      </c>
      <c r="AS195" s="202"/>
      <c r="AT195" s="186">
        <f t="shared" si="91"/>
        <v>42095</v>
      </c>
      <c r="AU195" s="232">
        <f>+AR195*(VLOOKUP(AT195,CURVECALC!$C$6:$J$312,4,0)+AV$5)</f>
        <v>19087863.630087256</v>
      </c>
      <c r="AV195" s="208">
        <f>-AN195*INDEX(ship_curves,MATCH(AT195,'SHIP CURVES'!$A$9:$A$316,0),MATCH(CONCATENATE(AX$4,AX$5,AX$6,AX$7),'SHIP CURVES'!$A$9:$AZ$9,0))</f>
        <v>-1769971.3057223123</v>
      </c>
      <c r="AW195" s="209">
        <f>-AP195*INDEX(port_processing_fee,MATCH(AT195,PORTS!$H$626:$H$933,0),MATCH(AX$5,PORTS!$H$626:$Z$626,0))</f>
        <v>-164563.11143136895</v>
      </c>
      <c r="AX195" s="405">
        <f>(((VLOOKUP(AT195,curvecalc,4,0))*IF(AN195=0,0,AR195/AN195)-INDEX(ship_curves,MATCH(AT195,'SHIP CURVES'!$A$9:$A$316,0),MATCH(CONCATENATE(AX$4,AX$5,AX$6,AX$7),'SHIP CURVES'!$A$9:$Z$9,0))-INDEX(terminal_curves,MATCH(AT195,'TERMINAL CURVES'!$A$4:$A$313,0),MATCH(AX$5,'TERMINAL CURVES'!$A$4:$N$4,0))*IF(AN195=0,0,AP195/AN195))-(AV$8)*((AV$7-$N$5)-(INDEX(ship_curves,MATCH(AT195,'SHIP CURVES'!$A$9:$A$316,0),MATCH(CONCATENATE(AX$4,AX$5,AX$6,AX$7),'SHIP CURVES'!$A$9:$Z$9,0))-INDEX(ship_curves,MATCH(AT195,'SHIP CURVES'!$A$9:$A$316,0),MATCH(CONCATENATE(AX$4,AV$6,AX$6,AX$7),'SHIP CURVES'!$A$9:$Z$9,0)))-(INDEX(terminal_curves,MATCH(AT195,'TERMINAL CURVES'!$A$4:$A$313,0),MATCH(AX$5,'TERMINAL CURVES'!$A$4:$N$4,0))-INDEX(terminal_curves,MATCH(AT195,'TERMINAL CURVES'!$A$4:$A$313,0),MATCH(AV$6,'TERMINAL CURVES'!$A$4:$N$4,0)))*IF(AN195=0,0,AP195/AN195)))*-AN195</f>
        <v>-16019561.225888642</v>
      </c>
      <c r="AY195" s="343">
        <f t="shared" si="82"/>
        <v>-17954095.643042322</v>
      </c>
      <c r="AZ195" s="338">
        <f>(-AP195/((HLOOKUP(AX$5,port_specs,2,0)/(365.25))*(AT196-AT195)))*(INDEX(fixed_capacity_charge,MATCH(AT195,PORTS!$H$11:$H$317,0),MATCH(AX$5,PORTS!$H$11:$N$11,0))+INDEX(variable_om_charge,MATCH(AT195,PORTS!$H$318:$H$625,0),MATCH(AX$5,PORTS!$H$318:$N$318,0)))</f>
        <v>-1033013.8902907122</v>
      </c>
      <c r="BA195" s="232">
        <f t="shared" si="83"/>
        <v>-18987109.533333033</v>
      </c>
      <c r="BB195" s="241">
        <f t="shared" si="84"/>
        <v>100754.09675422311</v>
      </c>
      <c r="BC195" s="408"/>
      <c r="BD195" s="338">
        <f>+PORTS!I189+PORTS!I497</f>
        <v>1033013.8902907122</v>
      </c>
    </row>
    <row r="196" spans="1:56" x14ac:dyDescent="0.2">
      <c r="A196" s="186">
        <f t="shared" si="85"/>
        <v>42125</v>
      </c>
      <c r="B196" s="215">
        <f>+IF(AND($A196&gt;=$C$8,$A196&lt;=$C$9),1,0)*PORTS!$I$5/(365.25)*(A197-A196)</f>
        <v>5339105.9818476336</v>
      </c>
      <c r="C196" s="351">
        <f t="shared" si="64"/>
        <v>0</v>
      </c>
      <c r="D196">
        <f t="shared" si="65"/>
        <v>2015</v>
      </c>
      <c r="E196" s="186">
        <f t="shared" si="86"/>
        <v>42125</v>
      </c>
      <c r="F196" s="215">
        <f t="shared" si="66"/>
        <v>0</v>
      </c>
      <c r="G196" s="191">
        <f t="shared" si="67"/>
        <v>0</v>
      </c>
      <c r="H196" s="218">
        <f t="shared" si="68"/>
        <v>0</v>
      </c>
      <c r="I196" s="118">
        <f t="shared" si="69"/>
        <v>0</v>
      </c>
      <c r="J196" s="215">
        <f t="shared" si="70"/>
        <v>0</v>
      </c>
      <c r="K196" s="202"/>
      <c r="L196" s="186">
        <f t="shared" si="87"/>
        <v>42125</v>
      </c>
      <c r="M196" s="400">
        <f>+J196*(VLOOKUP(L196,CURVECALC!$C$6:$J$312,4,0)+N$5)</f>
        <v>0</v>
      </c>
      <c r="N196" s="208">
        <f>-F196*INDEX(ship_curves,MATCH(L196,'SHIP CURVES'!$A$9:$A$316,0),MATCH(CONCATENATE(P$4,P$5,P$6,P$7),'SHIP CURVES'!$A$9:$AZ$9,0))</f>
        <v>0</v>
      </c>
      <c r="O196" s="209">
        <f>-H196*INDEX(port_processing_fee,MATCH(L196,PORTS!$H$626:$H$933,0),MATCH(P$5,PORTS!$H$626:$Z$626,0))</f>
        <v>0</v>
      </c>
      <c r="P196" s="405">
        <f>(((VLOOKUP(L196,curvecalc,4,0))*IF(F196=0,0,J196/F196)-INDEX(ship_curves,MATCH(L196,'SHIP CURVES'!$A$9:$A$316,0),MATCH(CONCATENATE(P$4,P$5,P$6,P$7),'SHIP CURVES'!$A$9:$Z$9,0))-INDEX(terminal_curves,MATCH(L196,'TERMINAL CURVES'!$A$4:$A$313,0),MATCH(P$5,'TERMINAL CURVES'!$A$4:$N$4,0))*IF(F196=0,0,H196/F196))-(N$8)*((N$7-$N$5)-(INDEX(ship_curves,MATCH(L196,'SHIP CURVES'!$A$9:$A$316,0),MATCH(CONCATENATE(P$4,P$5,P$6,P$7),'SHIP CURVES'!$A$9:$Z$9,0))-INDEX(ship_curves,MATCH(L196,'SHIP CURVES'!$A$9:$A$316,0),MATCH(CONCATENATE(P$4,N$6,P$6,P$7),'SHIP CURVES'!$A$9:$Z$9,0)))-(INDEX(terminal_curves,MATCH(L196,'TERMINAL CURVES'!$A$4:$A$313,0),MATCH(P$5,'TERMINAL CURVES'!$A$4:$N$4,0))-INDEX(terminal_curves,MATCH(L196,'TERMINAL CURVES'!$A$4:$A$313,0),MATCH(N$6,'TERMINAL CURVES'!$A$4:$N$4,0)))*IF(F196=0,0,H196/F196)))*-F196</f>
        <v>0</v>
      </c>
      <c r="Q196" s="403">
        <f t="shared" si="71"/>
        <v>0</v>
      </c>
      <c r="R196" s="338">
        <f>(-H196/((HLOOKUP(P$5,port_specs,2,0)/(365.25))*(L197-L196)))*(INDEX(fixed_capacity_charge,MATCH(L196,PORTS!$H$11:$H$317,0),MATCH(P$5,PORTS!$H$11:$N$11,0))+INDEX(variable_om_charge,MATCH(L196,PORTS!$H$318:$H$625,0),MATCH(P$5,PORTS!$H$318:$N$318,0)))</f>
        <v>0</v>
      </c>
      <c r="S196" s="232">
        <f t="shared" si="72"/>
        <v>0</v>
      </c>
      <c r="T196" s="241">
        <f t="shared" si="73"/>
        <v>0</v>
      </c>
      <c r="V196" s="186">
        <f t="shared" si="88"/>
        <v>42125</v>
      </c>
      <c r="W196" s="215">
        <f t="shared" si="74"/>
        <v>0</v>
      </c>
      <c r="X196" s="191">
        <f t="shared" si="75"/>
        <v>0</v>
      </c>
      <c r="Y196" s="218">
        <f>+IF(AND(X$8&lt;=V196,X$9&gt;=V196),+MIN($B196-SUMIF($H$17:X$17,Y$17,$H196:X196),((INDEX(ROUTE_PER_DAY_BY_SHIP,MATCH(CONCATENATE(X$4,X$5,X$7),ROUTE_PER_DAY_ROUTES,0),MATCH(X$6,ROUTE_PER_DAY_SHIPS,0))*(V197-V196))-(INDEX(ROUTE_PER_DAY_BY_SHIP,MATCH(CONCATENATE(X$4,X$5,X$7),ROUTE_PER_DAY_ROUTES,0),MATCH(X$6,ROUTE_PER_DAY_SHIPS,0))*(V197-V196))*HLOOKUP(X$6,SHIPS,7,0)*INDEX(LADEN_VOYAGE_DAYS,MATCH(CONCATENATE(X$4,X$5,X$7),LADEN_VOYAGE_ROUTES,0),MATCH(X$6,LADEN_VOYAGE_SHIPS,0)))),0)</f>
        <v>0</v>
      </c>
      <c r="Z196" s="118">
        <f t="shared" si="76"/>
        <v>0</v>
      </c>
      <c r="AA196" s="215">
        <f t="shared" si="62"/>
        <v>0</v>
      </c>
      <c r="AB196" s="202"/>
      <c r="AC196" s="186">
        <f t="shared" si="89"/>
        <v>42125</v>
      </c>
      <c r="AD196" s="232">
        <f>+AA196*(VLOOKUP(AC196,CURVECALC!$C$6:$J$312,4,0)+AE$5)</f>
        <v>0</v>
      </c>
      <c r="AE196" s="208">
        <f>-W196*INDEX(ship_curves,MATCH(AC196,'SHIP CURVES'!$A$9:$A$316,0),MATCH(CONCATENATE(AG$4,AG$5,AG$6,AG$7),'SHIP CURVES'!$A$9:$AZ$9,0))</f>
        <v>0</v>
      </c>
      <c r="AF196" s="209">
        <f>-Y196*INDEX(port_processing_fee,MATCH(AC196,PORTS!$H$626:$H$933,0),MATCH(AG$5,PORTS!$H$626:$Z$626,0))</f>
        <v>0</v>
      </c>
      <c r="AG196" s="405">
        <f>(((VLOOKUP(AC196,curvecalc,4,0))*IF(W196=0,0,AA196/W196)-INDEX(ship_curves,MATCH(AC196,'SHIP CURVES'!$A$9:$A$316,0),MATCH(CONCATENATE(AG$4,AG$5,AG$6,AG$7),'SHIP CURVES'!$A$9:$Z$9,0))-INDEX(terminal_curves,MATCH(AC196,'TERMINAL CURVES'!$A$4:$A$313,0),MATCH(AG$5,'TERMINAL CURVES'!$A$4:$N$4,0))*IF(W196=0,0,Y196/W196))-(AE$8)*((AE$7-$N$5)-(INDEX(ship_curves,MATCH(AC196,'SHIP CURVES'!$A$9:$A$316,0),MATCH(CONCATENATE(AG$4,AG$5,AG$6,AG$7),'SHIP CURVES'!$A$9:$Z$9,0))-INDEX(ship_curves,MATCH(AC196,'SHIP CURVES'!$A$9:$A$316,0),MATCH(CONCATENATE(AG$4,AE$6,AG$6,AG$7),'SHIP CURVES'!$A$9:$Z$9,0)))-(INDEX(terminal_curves,MATCH(AC196,'TERMINAL CURVES'!$A$4:$A$313,0),MATCH(AG$5,'TERMINAL CURVES'!$A$4:$N$4,0))-INDEX(terminal_curves,MATCH(AC196,'TERMINAL CURVES'!$A$4:$A$313,0),MATCH(AE$6,'TERMINAL CURVES'!$A$4:$N$4,0)))*IF(W196=0,0,Y196/W196)))*-W196</f>
        <v>0</v>
      </c>
      <c r="AH196" s="343">
        <f t="shared" si="77"/>
        <v>0</v>
      </c>
      <c r="AI196" s="338">
        <f>(-Y196/((HLOOKUP(AG$5,port_specs,2,0)/(365.25))*(AC197-AC196)))*(INDEX(fixed_capacity_charge,MATCH(AC196,PORTS!$H$11:$H$317,0),MATCH(AG$5,PORTS!$H$11:$N$11,0))+INDEX(variable_om_charge,MATCH(AC196,PORTS!$H$318:$H$625,0),MATCH(AG$5,PORTS!$H$318:$N$318,0)))</f>
        <v>0</v>
      </c>
      <c r="AJ196" s="232">
        <f t="shared" si="78"/>
        <v>0</v>
      </c>
      <c r="AK196" s="241">
        <f t="shared" si="79"/>
        <v>0</v>
      </c>
      <c r="AM196" s="186">
        <f t="shared" si="90"/>
        <v>42125</v>
      </c>
      <c r="AN196" s="215">
        <f t="shared" si="80"/>
        <v>5395761.4773599124</v>
      </c>
      <c r="AO196" s="191">
        <f t="shared" si="81"/>
        <v>-56655.495512278751</v>
      </c>
      <c r="AP196" s="218">
        <f>+IF(AND(AO$8&lt;=AM196,AO$9&gt;=AM196),+MIN($B196-SUMIF($H$17:AO$17,AP$17,$H196:AO196),((INDEX(ROUTE_PER_DAY_BY_SHIP,MATCH(CONCATENATE(AO$4,AO$5,AO$7),ROUTE_PER_DAY_ROUTES,0),MATCH(AO$6,ROUTE_PER_DAY_SHIPS,0))*(AM197-AM196))-(INDEX(ROUTE_PER_DAY_BY_SHIP,MATCH(CONCATENATE(AO$4,AO$5,AO$7),ROUTE_PER_DAY_ROUTES,0),MATCH(AO$6,ROUTE_PER_DAY_SHIPS,0))*(AM197-AM196))*HLOOKUP(AO$6,SHIPS,7,0)*INDEX(LADEN_VOYAGE_DAYS,MATCH(CONCATENATE(AO$4,AO$5,AO$7),LADEN_VOYAGE_ROUTES,0),MATCH(AO$6,LADEN_VOYAGE_SHIPS,0)))),0)</f>
        <v>5339105.9818476336</v>
      </c>
      <c r="AQ196" s="118">
        <f>-(AP196)*PORTS!$I$6</f>
        <v>-133477.64954619083</v>
      </c>
      <c r="AR196" s="215">
        <f t="shared" si="63"/>
        <v>5205628.3323014425</v>
      </c>
      <c r="AS196" s="202"/>
      <c r="AT196" s="186">
        <f t="shared" si="91"/>
        <v>42125</v>
      </c>
      <c r="AU196" s="232">
        <f>+AR196*(VLOOKUP(AT196,CURVECALC!$C$6:$J$312,4,0)+AV$5)</f>
        <v>19708508.866093263</v>
      </c>
      <c r="AV196" s="208">
        <f>-AN196*INDEX(ship_curves,MATCH(AT196,'SHIP CURVES'!$A$9:$A$316,0),MATCH(CONCATENATE(AX$4,AX$5,AX$6,AX$7),'SHIP CURVES'!$A$9:$AZ$9,0))</f>
        <v>-1829585.0213760354</v>
      </c>
      <c r="AW196" s="209">
        <f>-AP196*INDEX(port_processing_fee,MATCH(AT196,PORTS!$H$626:$H$933,0),MATCH(AX$5,PORTS!$H$626:$Z$626,0))</f>
        <v>-170225.68238374696</v>
      </c>
      <c r="AX196" s="405">
        <f>(((VLOOKUP(AT196,curvecalc,4,0))*IF(AN196=0,0,AR196/AN196)-INDEX(ship_curves,MATCH(AT196,'SHIP CURVES'!$A$9:$A$316,0),MATCH(CONCATENATE(AX$4,AX$5,AX$6,AX$7),'SHIP CURVES'!$A$9:$Z$9,0))-INDEX(terminal_curves,MATCH(AT196,'TERMINAL CURVES'!$A$4:$A$313,0),MATCH(AX$5,'TERMINAL CURVES'!$A$4:$N$4,0))*IF(AN196=0,0,AP196/AN196))-(AV$8)*((AV$7-$N$5)-(INDEX(ship_curves,MATCH(AT196,'SHIP CURVES'!$A$9:$A$316,0),MATCH(CONCATENATE(AX$4,AX$5,AX$6,AX$7),'SHIP CURVES'!$A$9:$Z$9,0))-INDEX(ship_curves,MATCH(AT196,'SHIP CURVES'!$A$9:$A$316,0),MATCH(CONCATENATE(AX$4,AV$6,AX$6,AX$7),'SHIP CURVES'!$A$9:$Z$9,0)))-(INDEX(terminal_curves,MATCH(AT196,'TERMINAL CURVES'!$A$4:$A$313,0),MATCH(AX$5,'TERMINAL CURVES'!$A$4:$N$4,0))-INDEX(terminal_curves,MATCH(AT196,'TERMINAL CURVES'!$A$4:$A$313,0),MATCH(AV$6,'TERMINAL CURVES'!$A$4:$N$4,0)))*IF(AN196=0,0,AP196/AN196)))*-AN196</f>
        <v>-16571001.051939046</v>
      </c>
      <c r="AY196" s="343">
        <f t="shared" si="82"/>
        <v>-18570811.75569883</v>
      </c>
      <c r="AZ196" s="338">
        <f>(-AP196/((HLOOKUP(AX$5,port_specs,2,0)/(365.25))*(AT197-AT196)))*(INDEX(fixed_capacity_charge,MATCH(AT196,PORTS!$H$11:$H$317,0),MATCH(AX$5,PORTS!$H$11:$N$11,0))+INDEX(variable_om_charge,MATCH(AT196,PORTS!$H$318:$H$625,0),MATCH(AX$5,PORTS!$H$318:$N$318,0)))</f>
        <v>-1033584.5437484023</v>
      </c>
      <c r="BA196" s="232">
        <f t="shared" si="83"/>
        <v>-19604396.299447231</v>
      </c>
      <c r="BB196" s="241">
        <f t="shared" si="84"/>
        <v>104112.56664603204</v>
      </c>
      <c r="BC196" s="408"/>
      <c r="BD196" s="338">
        <f>+PORTS!I190+PORTS!I498</f>
        <v>1033584.5437484023</v>
      </c>
    </row>
    <row r="197" spans="1:56" x14ac:dyDescent="0.2">
      <c r="A197" s="186">
        <f t="shared" si="85"/>
        <v>42156</v>
      </c>
      <c r="B197" s="215">
        <f>+IF(AND($A197&gt;=$C$8,$A197&lt;=$C$9),1,0)*PORTS!$I$5/(365.25)*(A198-A197)</f>
        <v>5166876.756626742</v>
      </c>
      <c r="C197" s="351">
        <f t="shared" si="64"/>
        <v>0</v>
      </c>
      <c r="D197">
        <f t="shared" si="65"/>
        <v>2015</v>
      </c>
      <c r="E197" s="186">
        <f t="shared" si="86"/>
        <v>42156</v>
      </c>
      <c r="F197" s="215">
        <f t="shared" si="66"/>
        <v>0</v>
      </c>
      <c r="G197" s="191">
        <f t="shared" si="67"/>
        <v>0</v>
      </c>
      <c r="H197" s="218">
        <f t="shared" si="68"/>
        <v>0</v>
      </c>
      <c r="I197" s="118">
        <f t="shared" si="69"/>
        <v>0</v>
      </c>
      <c r="J197" s="215">
        <f t="shared" si="70"/>
        <v>0</v>
      </c>
      <c r="K197" s="202"/>
      <c r="L197" s="186">
        <f t="shared" si="87"/>
        <v>42156</v>
      </c>
      <c r="M197" s="400">
        <f>+J197*(VLOOKUP(L197,CURVECALC!$C$6:$J$312,4,0)+N$5)</f>
        <v>0</v>
      </c>
      <c r="N197" s="208">
        <f>-F197*INDEX(ship_curves,MATCH(L197,'SHIP CURVES'!$A$9:$A$316,0),MATCH(CONCATENATE(P$4,P$5,P$6,P$7),'SHIP CURVES'!$A$9:$AZ$9,0))</f>
        <v>0</v>
      </c>
      <c r="O197" s="209">
        <f>-H197*INDEX(port_processing_fee,MATCH(L197,PORTS!$H$626:$H$933,0),MATCH(P$5,PORTS!$H$626:$Z$626,0))</f>
        <v>0</v>
      </c>
      <c r="P197" s="405">
        <f>(((VLOOKUP(L197,curvecalc,4,0))*IF(F197=0,0,J197/F197)-INDEX(ship_curves,MATCH(L197,'SHIP CURVES'!$A$9:$A$316,0),MATCH(CONCATENATE(P$4,P$5,P$6,P$7),'SHIP CURVES'!$A$9:$Z$9,0))-INDEX(terminal_curves,MATCH(L197,'TERMINAL CURVES'!$A$4:$A$313,0),MATCH(P$5,'TERMINAL CURVES'!$A$4:$N$4,0))*IF(F197=0,0,H197/F197))-(N$8)*((N$7-$N$5)-(INDEX(ship_curves,MATCH(L197,'SHIP CURVES'!$A$9:$A$316,0),MATCH(CONCATENATE(P$4,P$5,P$6,P$7),'SHIP CURVES'!$A$9:$Z$9,0))-INDEX(ship_curves,MATCH(L197,'SHIP CURVES'!$A$9:$A$316,0),MATCH(CONCATENATE(P$4,N$6,P$6,P$7),'SHIP CURVES'!$A$9:$Z$9,0)))-(INDEX(terminal_curves,MATCH(L197,'TERMINAL CURVES'!$A$4:$A$313,0),MATCH(P$5,'TERMINAL CURVES'!$A$4:$N$4,0))-INDEX(terminal_curves,MATCH(L197,'TERMINAL CURVES'!$A$4:$A$313,0),MATCH(N$6,'TERMINAL CURVES'!$A$4:$N$4,0)))*IF(F197=0,0,H197/F197)))*-F197</f>
        <v>0</v>
      </c>
      <c r="Q197" s="403">
        <f t="shared" si="71"/>
        <v>0</v>
      </c>
      <c r="R197" s="338">
        <f>(-H197/((HLOOKUP(P$5,port_specs,2,0)/(365.25))*(L198-L197)))*(INDEX(fixed_capacity_charge,MATCH(L197,PORTS!$H$11:$H$317,0),MATCH(P$5,PORTS!$H$11:$N$11,0))+INDEX(variable_om_charge,MATCH(L197,PORTS!$H$318:$H$625,0),MATCH(P$5,PORTS!$H$318:$N$318,0)))</f>
        <v>0</v>
      </c>
      <c r="S197" s="232">
        <f t="shared" si="72"/>
        <v>0</v>
      </c>
      <c r="T197" s="241">
        <f t="shared" si="73"/>
        <v>0</v>
      </c>
      <c r="V197" s="186">
        <f t="shared" si="88"/>
        <v>42156</v>
      </c>
      <c r="W197" s="215">
        <f t="shared" si="74"/>
        <v>0</v>
      </c>
      <c r="X197" s="191">
        <f t="shared" si="75"/>
        <v>0</v>
      </c>
      <c r="Y197" s="218">
        <f>+IF(AND(X$8&lt;=V197,X$9&gt;=V197),+MIN($B197-SUMIF($H$17:X$17,Y$17,$H197:X197),((INDEX(ROUTE_PER_DAY_BY_SHIP,MATCH(CONCATENATE(X$4,X$5,X$7),ROUTE_PER_DAY_ROUTES,0),MATCH(X$6,ROUTE_PER_DAY_SHIPS,0))*(V198-V197))-(INDEX(ROUTE_PER_DAY_BY_SHIP,MATCH(CONCATENATE(X$4,X$5,X$7),ROUTE_PER_DAY_ROUTES,0),MATCH(X$6,ROUTE_PER_DAY_SHIPS,0))*(V198-V197))*HLOOKUP(X$6,SHIPS,7,0)*INDEX(LADEN_VOYAGE_DAYS,MATCH(CONCATENATE(X$4,X$5,X$7),LADEN_VOYAGE_ROUTES,0),MATCH(X$6,LADEN_VOYAGE_SHIPS,0)))),0)</f>
        <v>0</v>
      </c>
      <c r="Z197" s="118">
        <f t="shared" si="76"/>
        <v>0</v>
      </c>
      <c r="AA197" s="215">
        <f t="shared" si="62"/>
        <v>0</v>
      </c>
      <c r="AB197" s="202"/>
      <c r="AC197" s="186">
        <f t="shared" si="89"/>
        <v>42156</v>
      </c>
      <c r="AD197" s="232">
        <f>+AA197*(VLOOKUP(AC197,CURVECALC!$C$6:$J$312,4,0)+AE$5)</f>
        <v>0</v>
      </c>
      <c r="AE197" s="208">
        <f>-W197*INDEX(ship_curves,MATCH(AC197,'SHIP CURVES'!$A$9:$A$316,0),MATCH(CONCATENATE(AG$4,AG$5,AG$6,AG$7),'SHIP CURVES'!$A$9:$AZ$9,0))</f>
        <v>0</v>
      </c>
      <c r="AF197" s="209">
        <f>-Y197*INDEX(port_processing_fee,MATCH(AC197,PORTS!$H$626:$H$933,0),MATCH(AG$5,PORTS!$H$626:$Z$626,0))</f>
        <v>0</v>
      </c>
      <c r="AG197" s="405">
        <f>(((VLOOKUP(AC197,curvecalc,4,0))*IF(W197=0,0,AA197/W197)-INDEX(ship_curves,MATCH(AC197,'SHIP CURVES'!$A$9:$A$316,0),MATCH(CONCATENATE(AG$4,AG$5,AG$6,AG$7),'SHIP CURVES'!$A$9:$Z$9,0))-INDEX(terminal_curves,MATCH(AC197,'TERMINAL CURVES'!$A$4:$A$313,0),MATCH(AG$5,'TERMINAL CURVES'!$A$4:$N$4,0))*IF(W197=0,0,Y197/W197))-(AE$8)*((AE$7-$N$5)-(INDEX(ship_curves,MATCH(AC197,'SHIP CURVES'!$A$9:$A$316,0),MATCH(CONCATENATE(AG$4,AG$5,AG$6,AG$7),'SHIP CURVES'!$A$9:$Z$9,0))-INDEX(ship_curves,MATCH(AC197,'SHIP CURVES'!$A$9:$A$316,0),MATCH(CONCATENATE(AG$4,AE$6,AG$6,AG$7),'SHIP CURVES'!$A$9:$Z$9,0)))-(INDEX(terminal_curves,MATCH(AC197,'TERMINAL CURVES'!$A$4:$A$313,0),MATCH(AG$5,'TERMINAL CURVES'!$A$4:$N$4,0))-INDEX(terminal_curves,MATCH(AC197,'TERMINAL CURVES'!$A$4:$A$313,0),MATCH(AE$6,'TERMINAL CURVES'!$A$4:$N$4,0)))*IF(W197=0,0,Y197/W197)))*-W197</f>
        <v>0</v>
      </c>
      <c r="AH197" s="343">
        <f t="shared" si="77"/>
        <v>0</v>
      </c>
      <c r="AI197" s="338">
        <f>(-Y197/((HLOOKUP(AG$5,port_specs,2,0)/(365.25))*(AC198-AC197)))*(INDEX(fixed_capacity_charge,MATCH(AC197,PORTS!$H$11:$H$317,0),MATCH(AG$5,PORTS!$H$11:$N$11,0))+INDEX(variable_om_charge,MATCH(AC197,PORTS!$H$318:$H$625,0),MATCH(AG$5,PORTS!$H$318:$N$318,0)))</f>
        <v>0</v>
      </c>
      <c r="AJ197" s="232">
        <f t="shared" si="78"/>
        <v>0</v>
      </c>
      <c r="AK197" s="241">
        <f t="shared" si="79"/>
        <v>0</v>
      </c>
      <c r="AM197" s="186">
        <f t="shared" si="90"/>
        <v>42156</v>
      </c>
      <c r="AN197" s="215">
        <f t="shared" si="80"/>
        <v>5221704.655509592</v>
      </c>
      <c r="AO197" s="191">
        <f t="shared" si="81"/>
        <v>-54827.898882850073</v>
      </c>
      <c r="AP197" s="218">
        <f>+IF(AND(AO$8&lt;=AM197,AO$9&gt;=AM197),+MIN($B197-SUMIF($H$17:AO$17,AP$17,$H197:AO197),((INDEX(ROUTE_PER_DAY_BY_SHIP,MATCH(CONCATENATE(AO$4,AO$5,AO$7),ROUTE_PER_DAY_ROUTES,0),MATCH(AO$6,ROUTE_PER_DAY_SHIPS,0))*(AM198-AM197))-(INDEX(ROUTE_PER_DAY_BY_SHIP,MATCH(CONCATENATE(AO$4,AO$5,AO$7),ROUTE_PER_DAY_ROUTES,0),MATCH(AO$6,ROUTE_PER_DAY_SHIPS,0))*(AM198-AM197))*HLOOKUP(AO$6,SHIPS,7,0)*INDEX(LADEN_VOYAGE_DAYS,MATCH(CONCATENATE(AO$4,AO$5,AO$7),LADEN_VOYAGE_ROUTES,0),MATCH(AO$6,LADEN_VOYAGE_SHIPS,0)))),0)</f>
        <v>5166876.756626742</v>
      </c>
      <c r="AQ197" s="118">
        <f>-(AP197)*PORTS!$I$6</f>
        <v>-129171.91891566856</v>
      </c>
      <c r="AR197" s="215">
        <f t="shared" si="63"/>
        <v>5037704.8377110735</v>
      </c>
      <c r="AS197" s="202"/>
      <c r="AT197" s="186">
        <f t="shared" si="91"/>
        <v>42156</v>
      </c>
      <c r="AU197" s="232">
        <f>+AR197*(VLOOKUP(AT197,CURVECALC!$C$6:$J$312,4,0)+AV$5)</f>
        <v>19284334.118757989</v>
      </c>
      <c r="AV197" s="208">
        <f>-AN197*INDEX(ship_curves,MATCH(AT197,'SHIP CURVES'!$A$9:$A$316,0),MATCH(CONCATENATE(AX$4,AX$5,AX$6,AX$7),'SHIP CURVES'!$A$9:$AZ$9,0))</f>
        <v>-1771162.2329735016</v>
      </c>
      <c r="AW197" s="209">
        <f>-AP197*INDEX(port_processing_fee,MATCH(AT197,PORTS!$H$626:$H$933,0),MATCH(AX$5,PORTS!$H$626:$Z$626,0))</f>
        <v>-164906.12980925484</v>
      </c>
      <c r="AX197" s="405">
        <f>(((VLOOKUP(AT197,curvecalc,4,0))*IF(AN197=0,0,AR197/AN197)-INDEX(ship_curves,MATCH(AT197,'SHIP CURVES'!$A$9:$A$316,0),MATCH(CONCATENATE(AX$4,AX$5,AX$6,AX$7),'SHIP CURVES'!$A$9:$Z$9,0))-INDEX(terminal_curves,MATCH(AT197,'TERMINAL CURVES'!$A$4:$A$313,0),MATCH(AX$5,'TERMINAL CURVES'!$A$4:$N$4,0))*IF(AN197=0,0,AP197/AN197))-(AV$8)*((AV$7-$N$5)-(INDEX(ship_curves,MATCH(AT197,'SHIP CURVES'!$A$9:$A$316,0),MATCH(CONCATENATE(AX$4,AX$5,AX$6,AX$7),'SHIP CURVES'!$A$9:$Z$9,0))-INDEX(ship_curves,MATCH(AT197,'SHIP CURVES'!$A$9:$A$316,0),MATCH(CONCATENATE(AX$4,AV$6,AX$6,AX$7),'SHIP CURVES'!$A$9:$Z$9,0)))-(INDEX(terminal_curves,MATCH(AT197,'TERMINAL CURVES'!$A$4:$A$313,0),MATCH(AX$5,'TERMINAL CURVES'!$A$4:$N$4,0))-INDEX(terminal_curves,MATCH(AT197,'TERMINAL CURVES'!$A$4:$A$313,0),MATCH(AV$6,'TERMINAL CURVES'!$A$4:$N$4,0)))*IF(AN197=0,0,AP197/AN197)))*-AN197</f>
        <v>-16213355.86758423</v>
      </c>
      <c r="AY197" s="343">
        <f t="shared" si="82"/>
        <v>-18149424.230366986</v>
      </c>
      <c r="AZ197" s="338">
        <f>(-AP197/((HLOOKUP(AX$5,port_specs,2,0)/(365.25))*(AT198-AT197)))*(INDEX(fixed_capacity_charge,MATCH(AT197,PORTS!$H$11:$H$317,0),MATCH(AX$5,PORTS!$H$11:$N$11,0))+INDEX(variable_om_charge,MATCH(AT197,PORTS!$H$318:$H$625,0),MATCH(AX$5,PORTS!$H$318:$N$318,0)))</f>
        <v>-1034155.7916367773</v>
      </c>
      <c r="BA197" s="232">
        <f t="shared" si="83"/>
        <v>-19183580.022003762</v>
      </c>
      <c r="BB197" s="241">
        <f t="shared" si="84"/>
        <v>100754.09675422683</v>
      </c>
      <c r="BC197" s="408"/>
      <c r="BD197" s="338">
        <f>+PORTS!I191+PORTS!I499</f>
        <v>1034155.7916367773</v>
      </c>
    </row>
    <row r="198" spans="1:56" x14ac:dyDescent="0.2">
      <c r="A198" s="186">
        <f t="shared" si="85"/>
        <v>42186</v>
      </c>
      <c r="B198" s="215">
        <f>+IF(AND($A198&gt;=$C$8,$A198&lt;=$C$9),1,0)*PORTS!$I$5/(365.25)*(A199-A198)</f>
        <v>5339105.9818476336</v>
      </c>
      <c r="C198" s="351">
        <f t="shared" si="64"/>
        <v>0</v>
      </c>
      <c r="D198">
        <f t="shared" si="65"/>
        <v>2015</v>
      </c>
      <c r="E198" s="186">
        <f t="shared" si="86"/>
        <v>42186</v>
      </c>
      <c r="F198" s="215">
        <f t="shared" si="66"/>
        <v>0</v>
      </c>
      <c r="G198" s="191">
        <f t="shared" si="67"/>
        <v>0</v>
      </c>
      <c r="H198" s="218">
        <f t="shared" si="68"/>
        <v>0</v>
      </c>
      <c r="I198" s="118">
        <f t="shared" si="69"/>
        <v>0</v>
      </c>
      <c r="J198" s="215">
        <f t="shared" si="70"/>
        <v>0</v>
      </c>
      <c r="K198" s="202"/>
      <c r="L198" s="186">
        <f t="shared" si="87"/>
        <v>42186</v>
      </c>
      <c r="M198" s="400">
        <f>+J198*(VLOOKUP(L198,CURVECALC!$C$6:$J$312,4,0)+N$5)</f>
        <v>0</v>
      </c>
      <c r="N198" s="208">
        <f>-F198*INDEX(ship_curves,MATCH(L198,'SHIP CURVES'!$A$9:$A$316,0),MATCH(CONCATENATE(P$4,P$5,P$6,P$7),'SHIP CURVES'!$A$9:$AZ$9,0))</f>
        <v>0</v>
      </c>
      <c r="O198" s="209">
        <f>-H198*INDEX(port_processing_fee,MATCH(L198,PORTS!$H$626:$H$933,0),MATCH(P$5,PORTS!$H$626:$Z$626,0))</f>
        <v>0</v>
      </c>
      <c r="P198" s="405">
        <f>(((VLOOKUP(L198,curvecalc,4,0))*IF(F198=0,0,J198/F198)-INDEX(ship_curves,MATCH(L198,'SHIP CURVES'!$A$9:$A$316,0),MATCH(CONCATENATE(P$4,P$5,P$6,P$7),'SHIP CURVES'!$A$9:$Z$9,0))-INDEX(terminal_curves,MATCH(L198,'TERMINAL CURVES'!$A$4:$A$313,0),MATCH(P$5,'TERMINAL CURVES'!$A$4:$N$4,0))*IF(F198=0,0,H198/F198))-(N$8)*((N$7-$N$5)-(INDEX(ship_curves,MATCH(L198,'SHIP CURVES'!$A$9:$A$316,0),MATCH(CONCATENATE(P$4,P$5,P$6,P$7),'SHIP CURVES'!$A$9:$Z$9,0))-INDEX(ship_curves,MATCH(L198,'SHIP CURVES'!$A$9:$A$316,0),MATCH(CONCATENATE(P$4,N$6,P$6,P$7),'SHIP CURVES'!$A$9:$Z$9,0)))-(INDEX(terminal_curves,MATCH(L198,'TERMINAL CURVES'!$A$4:$A$313,0),MATCH(P$5,'TERMINAL CURVES'!$A$4:$N$4,0))-INDEX(terminal_curves,MATCH(L198,'TERMINAL CURVES'!$A$4:$A$313,0),MATCH(N$6,'TERMINAL CURVES'!$A$4:$N$4,0)))*IF(F198=0,0,H198/F198)))*-F198</f>
        <v>0</v>
      </c>
      <c r="Q198" s="403">
        <f t="shared" si="71"/>
        <v>0</v>
      </c>
      <c r="R198" s="338">
        <f>(-H198/((HLOOKUP(P$5,port_specs,2,0)/(365.25))*(L199-L198)))*(INDEX(fixed_capacity_charge,MATCH(L198,PORTS!$H$11:$H$317,0),MATCH(P$5,PORTS!$H$11:$N$11,0))+INDEX(variable_om_charge,MATCH(L198,PORTS!$H$318:$H$625,0),MATCH(P$5,PORTS!$H$318:$N$318,0)))</f>
        <v>0</v>
      </c>
      <c r="S198" s="232">
        <f t="shared" si="72"/>
        <v>0</v>
      </c>
      <c r="T198" s="241">
        <f t="shared" si="73"/>
        <v>0</v>
      </c>
      <c r="V198" s="186">
        <f t="shared" si="88"/>
        <v>42186</v>
      </c>
      <c r="W198" s="215">
        <f t="shared" si="74"/>
        <v>0</v>
      </c>
      <c r="X198" s="191">
        <f t="shared" si="75"/>
        <v>0</v>
      </c>
      <c r="Y198" s="218">
        <f>+IF(AND(X$8&lt;=V198,X$9&gt;=V198),+MIN($B198-SUMIF($H$17:X$17,Y$17,$H198:X198),((INDEX(ROUTE_PER_DAY_BY_SHIP,MATCH(CONCATENATE(X$4,X$5,X$7),ROUTE_PER_DAY_ROUTES,0),MATCH(X$6,ROUTE_PER_DAY_SHIPS,0))*(V199-V198))-(INDEX(ROUTE_PER_DAY_BY_SHIP,MATCH(CONCATENATE(X$4,X$5,X$7),ROUTE_PER_DAY_ROUTES,0),MATCH(X$6,ROUTE_PER_DAY_SHIPS,0))*(V199-V198))*HLOOKUP(X$6,SHIPS,7,0)*INDEX(LADEN_VOYAGE_DAYS,MATCH(CONCATENATE(X$4,X$5,X$7),LADEN_VOYAGE_ROUTES,0),MATCH(X$6,LADEN_VOYAGE_SHIPS,0)))),0)</f>
        <v>0</v>
      </c>
      <c r="Z198" s="118">
        <f t="shared" si="76"/>
        <v>0</v>
      </c>
      <c r="AA198" s="215">
        <f t="shared" si="62"/>
        <v>0</v>
      </c>
      <c r="AB198" s="202"/>
      <c r="AC198" s="186">
        <f t="shared" si="89"/>
        <v>42186</v>
      </c>
      <c r="AD198" s="232">
        <f>+AA198*(VLOOKUP(AC198,CURVECALC!$C$6:$J$312,4,0)+AE$5)</f>
        <v>0</v>
      </c>
      <c r="AE198" s="208">
        <f>-W198*INDEX(ship_curves,MATCH(AC198,'SHIP CURVES'!$A$9:$A$316,0),MATCH(CONCATENATE(AG$4,AG$5,AG$6,AG$7),'SHIP CURVES'!$A$9:$AZ$9,0))</f>
        <v>0</v>
      </c>
      <c r="AF198" s="209">
        <f>-Y198*INDEX(port_processing_fee,MATCH(AC198,PORTS!$H$626:$H$933,0),MATCH(AG$5,PORTS!$H$626:$Z$626,0))</f>
        <v>0</v>
      </c>
      <c r="AG198" s="405">
        <f>(((VLOOKUP(AC198,curvecalc,4,0))*IF(W198=0,0,AA198/W198)-INDEX(ship_curves,MATCH(AC198,'SHIP CURVES'!$A$9:$A$316,0),MATCH(CONCATENATE(AG$4,AG$5,AG$6,AG$7),'SHIP CURVES'!$A$9:$Z$9,0))-INDEX(terminal_curves,MATCH(AC198,'TERMINAL CURVES'!$A$4:$A$313,0),MATCH(AG$5,'TERMINAL CURVES'!$A$4:$N$4,0))*IF(W198=0,0,Y198/W198))-(AE$8)*((AE$7-$N$5)-(INDEX(ship_curves,MATCH(AC198,'SHIP CURVES'!$A$9:$A$316,0),MATCH(CONCATENATE(AG$4,AG$5,AG$6,AG$7),'SHIP CURVES'!$A$9:$Z$9,0))-INDEX(ship_curves,MATCH(AC198,'SHIP CURVES'!$A$9:$A$316,0),MATCH(CONCATENATE(AG$4,AE$6,AG$6,AG$7),'SHIP CURVES'!$A$9:$Z$9,0)))-(INDEX(terminal_curves,MATCH(AC198,'TERMINAL CURVES'!$A$4:$A$313,0),MATCH(AG$5,'TERMINAL CURVES'!$A$4:$N$4,0))-INDEX(terminal_curves,MATCH(AC198,'TERMINAL CURVES'!$A$4:$A$313,0),MATCH(AE$6,'TERMINAL CURVES'!$A$4:$N$4,0)))*IF(W198=0,0,Y198/W198)))*-W198</f>
        <v>0</v>
      </c>
      <c r="AH198" s="343">
        <f t="shared" si="77"/>
        <v>0</v>
      </c>
      <c r="AI198" s="338">
        <f>(-Y198/((HLOOKUP(AG$5,port_specs,2,0)/(365.25))*(AC199-AC198)))*(INDEX(fixed_capacity_charge,MATCH(AC198,PORTS!$H$11:$H$317,0),MATCH(AG$5,PORTS!$H$11:$N$11,0))+INDEX(variable_om_charge,MATCH(AC198,PORTS!$H$318:$H$625,0),MATCH(AG$5,PORTS!$H$318:$N$318,0)))</f>
        <v>0</v>
      </c>
      <c r="AJ198" s="232">
        <f t="shared" si="78"/>
        <v>0</v>
      </c>
      <c r="AK198" s="241">
        <f t="shared" si="79"/>
        <v>0</v>
      </c>
      <c r="AM198" s="186">
        <f t="shared" si="90"/>
        <v>42186</v>
      </c>
      <c r="AN198" s="215">
        <f t="shared" si="80"/>
        <v>5395761.4773599124</v>
      </c>
      <c r="AO198" s="191">
        <f t="shared" si="81"/>
        <v>-56655.495512278751</v>
      </c>
      <c r="AP198" s="218">
        <f>+IF(AND(AO$8&lt;=AM198,AO$9&gt;=AM198),+MIN($B198-SUMIF($H$17:AO$17,AP$17,$H198:AO198),((INDEX(ROUTE_PER_DAY_BY_SHIP,MATCH(CONCATENATE(AO$4,AO$5,AO$7),ROUTE_PER_DAY_ROUTES,0),MATCH(AO$6,ROUTE_PER_DAY_SHIPS,0))*(AM199-AM198))-(INDEX(ROUTE_PER_DAY_BY_SHIP,MATCH(CONCATENATE(AO$4,AO$5,AO$7),ROUTE_PER_DAY_ROUTES,0),MATCH(AO$6,ROUTE_PER_DAY_SHIPS,0))*(AM199-AM198))*HLOOKUP(AO$6,SHIPS,7,0)*INDEX(LADEN_VOYAGE_DAYS,MATCH(CONCATENATE(AO$4,AO$5,AO$7),LADEN_VOYAGE_ROUTES,0),MATCH(AO$6,LADEN_VOYAGE_SHIPS,0)))),0)</f>
        <v>5339105.9818476336</v>
      </c>
      <c r="AQ198" s="118">
        <f>-(AP198)*PORTS!$I$6</f>
        <v>-133477.64954619083</v>
      </c>
      <c r="AR198" s="215">
        <f t="shared" si="63"/>
        <v>5205628.3323014425</v>
      </c>
      <c r="AS198" s="202"/>
      <c r="AT198" s="186">
        <f t="shared" si="91"/>
        <v>42186</v>
      </c>
      <c r="AU198" s="232">
        <f>+AR198*(VLOOKUP(AT198,CURVECALC!$C$6:$J$312,4,0)+AV$5)</f>
        <v>19927145.25604992</v>
      </c>
      <c r="AV198" s="208">
        <f>-AN198*INDEX(ship_curves,MATCH(AT198,'SHIP CURVES'!$A$9:$A$316,0),MATCH(CONCATENATE(AX$4,AX$5,AX$6,AX$7),'SHIP CURVES'!$A$9:$AZ$9,0))</f>
        <v>-1830818.2100039863</v>
      </c>
      <c r="AW198" s="209">
        <f>-AP198*INDEX(port_processing_fee,MATCH(AT198,PORTS!$H$626:$H$933,0),MATCH(AX$5,PORTS!$H$626:$Z$626,0))</f>
        <v>-170580.503928733</v>
      </c>
      <c r="AX198" s="405">
        <f>(((VLOOKUP(AT198,curvecalc,4,0))*IF(AN198=0,0,AR198/AN198)-INDEX(ship_curves,MATCH(AT198,'SHIP CURVES'!$A$9:$A$316,0),MATCH(CONCATENATE(AX$4,AX$5,AX$6,AX$7),'SHIP CURVES'!$A$9:$Z$9,0))-INDEX(terminal_curves,MATCH(AT198,'TERMINAL CURVES'!$A$4:$A$313,0),MATCH(AX$5,'TERMINAL CURVES'!$A$4:$N$4,0))*IF(AN198=0,0,AP198/AN198))-(AV$8)*((AV$7-$N$5)-(INDEX(ship_curves,MATCH(AT198,'SHIP CURVES'!$A$9:$A$316,0),MATCH(CONCATENATE(AX$4,AX$5,AX$6,AX$7),'SHIP CURVES'!$A$9:$Z$9,0))-INDEX(ship_curves,MATCH(AT198,'SHIP CURVES'!$A$9:$A$316,0),MATCH(CONCATENATE(AX$4,AV$6,AX$6,AX$7),'SHIP CURVES'!$A$9:$Z$9,0)))-(INDEX(terminal_curves,MATCH(AT198,'TERMINAL CURVES'!$A$4:$A$313,0),MATCH(AX$5,'TERMINAL CURVES'!$A$4:$N$4,0))-INDEX(terminal_curves,MATCH(AT198,'TERMINAL CURVES'!$A$4:$A$313,0),MATCH(AV$6,'TERMINAL CURVES'!$A$4:$N$4,0)))*IF(AN198=0,0,AP198/AN198)))*-AN198</f>
        <v>-16786906.340896133</v>
      </c>
      <c r="AY198" s="343">
        <f t="shared" si="82"/>
        <v>-18788305.054828852</v>
      </c>
      <c r="AZ198" s="338">
        <f>(-AP198/((HLOOKUP(AX$5,port_specs,2,0)/(365.25))*(AT199-AT198)))*(INDEX(fixed_capacity_charge,MATCH(AT198,PORTS!$H$11:$H$317,0),MATCH(AX$5,PORTS!$H$11:$N$11,0))+INDEX(variable_om_charge,MATCH(AT198,PORTS!$H$318:$H$625,0),MATCH(AX$5,PORTS!$H$318:$N$318,0)))</f>
        <v>-1034727.6345750361</v>
      </c>
      <c r="BA198" s="232">
        <f t="shared" si="83"/>
        <v>-19823032.689403888</v>
      </c>
      <c r="BB198" s="241">
        <f t="shared" si="84"/>
        <v>104112.56664603204</v>
      </c>
      <c r="BC198" s="408"/>
      <c r="BD198" s="338">
        <f>+PORTS!I192+PORTS!I500</f>
        <v>1034727.6345750361</v>
      </c>
    </row>
    <row r="199" spans="1:56" x14ac:dyDescent="0.2">
      <c r="A199" s="186">
        <f t="shared" si="85"/>
        <v>42217</v>
      </c>
      <c r="B199" s="215">
        <f>+IF(AND($A199&gt;=$C$8,$A199&lt;=$C$9),1,0)*PORTS!$I$5/(365.25)*(A200-A199)</f>
        <v>5339105.9818476336</v>
      </c>
      <c r="C199" s="351">
        <f t="shared" si="64"/>
        <v>0</v>
      </c>
      <c r="D199">
        <f t="shared" si="65"/>
        <v>2015</v>
      </c>
      <c r="E199" s="186">
        <f t="shared" si="86"/>
        <v>42217</v>
      </c>
      <c r="F199" s="215">
        <f t="shared" si="66"/>
        <v>0</v>
      </c>
      <c r="G199" s="191">
        <f t="shared" si="67"/>
        <v>0</v>
      </c>
      <c r="H199" s="218">
        <f t="shared" si="68"/>
        <v>0</v>
      </c>
      <c r="I199" s="118">
        <f t="shared" si="69"/>
        <v>0</v>
      </c>
      <c r="J199" s="215">
        <f t="shared" si="70"/>
        <v>0</v>
      </c>
      <c r="K199" s="202"/>
      <c r="L199" s="186">
        <f t="shared" si="87"/>
        <v>42217</v>
      </c>
      <c r="M199" s="400">
        <f>+J199*(VLOOKUP(L199,CURVECALC!$C$6:$J$312,4,0)+N$5)</f>
        <v>0</v>
      </c>
      <c r="N199" s="208">
        <f>-F199*INDEX(ship_curves,MATCH(L199,'SHIP CURVES'!$A$9:$A$316,0),MATCH(CONCATENATE(P$4,P$5,P$6,P$7),'SHIP CURVES'!$A$9:$AZ$9,0))</f>
        <v>0</v>
      </c>
      <c r="O199" s="209">
        <f>-H199*INDEX(port_processing_fee,MATCH(L199,PORTS!$H$626:$H$933,0),MATCH(P$5,PORTS!$H$626:$Z$626,0))</f>
        <v>0</v>
      </c>
      <c r="P199" s="405">
        <f>(((VLOOKUP(L199,curvecalc,4,0))*IF(F199=0,0,J199/F199)-INDEX(ship_curves,MATCH(L199,'SHIP CURVES'!$A$9:$A$316,0),MATCH(CONCATENATE(P$4,P$5,P$6,P$7),'SHIP CURVES'!$A$9:$Z$9,0))-INDEX(terminal_curves,MATCH(L199,'TERMINAL CURVES'!$A$4:$A$313,0),MATCH(P$5,'TERMINAL CURVES'!$A$4:$N$4,0))*IF(F199=0,0,H199/F199))-(N$8)*((N$7-$N$5)-(INDEX(ship_curves,MATCH(L199,'SHIP CURVES'!$A$9:$A$316,0),MATCH(CONCATENATE(P$4,P$5,P$6,P$7),'SHIP CURVES'!$A$9:$Z$9,0))-INDEX(ship_curves,MATCH(L199,'SHIP CURVES'!$A$9:$A$316,0),MATCH(CONCATENATE(P$4,N$6,P$6,P$7),'SHIP CURVES'!$A$9:$Z$9,0)))-(INDEX(terminal_curves,MATCH(L199,'TERMINAL CURVES'!$A$4:$A$313,0),MATCH(P$5,'TERMINAL CURVES'!$A$4:$N$4,0))-INDEX(terminal_curves,MATCH(L199,'TERMINAL CURVES'!$A$4:$A$313,0),MATCH(N$6,'TERMINAL CURVES'!$A$4:$N$4,0)))*IF(F199=0,0,H199/F199)))*-F199</f>
        <v>0</v>
      </c>
      <c r="Q199" s="403">
        <f t="shared" si="71"/>
        <v>0</v>
      </c>
      <c r="R199" s="338">
        <f>(-H199/((HLOOKUP(P$5,port_specs,2,0)/(365.25))*(L200-L199)))*(INDEX(fixed_capacity_charge,MATCH(L199,PORTS!$H$11:$H$317,0),MATCH(P$5,PORTS!$H$11:$N$11,0))+INDEX(variable_om_charge,MATCH(L199,PORTS!$H$318:$H$625,0),MATCH(P$5,PORTS!$H$318:$N$318,0)))</f>
        <v>0</v>
      </c>
      <c r="S199" s="232">
        <f t="shared" si="72"/>
        <v>0</v>
      </c>
      <c r="T199" s="241">
        <f t="shared" si="73"/>
        <v>0</v>
      </c>
      <c r="V199" s="186">
        <f t="shared" si="88"/>
        <v>42217</v>
      </c>
      <c r="W199" s="215">
        <f t="shared" si="74"/>
        <v>0</v>
      </c>
      <c r="X199" s="191">
        <f t="shared" si="75"/>
        <v>0</v>
      </c>
      <c r="Y199" s="218">
        <f>+IF(AND(X$8&lt;=V199,X$9&gt;=V199),+MIN($B199-SUMIF($H$17:X$17,Y$17,$H199:X199),((INDEX(ROUTE_PER_DAY_BY_SHIP,MATCH(CONCATENATE(X$4,X$5,X$7),ROUTE_PER_DAY_ROUTES,0),MATCH(X$6,ROUTE_PER_DAY_SHIPS,0))*(V200-V199))-(INDEX(ROUTE_PER_DAY_BY_SHIP,MATCH(CONCATENATE(X$4,X$5,X$7),ROUTE_PER_DAY_ROUTES,0),MATCH(X$6,ROUTE_PER_DAY_SHIPS,0))*(V200-V199))*HLOOKUP(X$6,SHIPS,7,0)*INDEX(LADEN_VOYAGE_DAYS,MATCH(CONCATENATE(X$4,X$5,X$7),LADEN_VOYAGE_ROUTES,0),MATCH(X$6,LADEN_VOYAGE_SHIPS,0)))),0)</f>
        <v>0</v>
      </c>
      <c r="Z199" s="118">
        <f t="shared" si="76"/>
        <v>0</v>
      </c>
      <c r="AA199" s="215">
        <f t="shared" si="62"/>
        <v>0</v>
      </c>
      <c r="AB199" s="202"/>
      <c r="AC199" s="186">
        <f t="shared" si="89"/>
        <v>42217</v>
      </c>
      <c r="AD199" s="232">
        <f>+AA199*(VLOOKUP(AC199,CURVECALC!$C$6:$J$312,4,0)+AE$5)</f>
        <v>0</v>
      </c>
      <c r="AE199" s="208">
        <f>-W199*INDEX(ship_curves,MATCH(AC199,'SHIP CURVES'!$A$9:$A$316,0),MATCH(CONCATENATE(AG$4,AG$5,AG$6,AG$7),'SHIP CURVES'!$A$9:$AZ$9,0))</f>
        <v>0</v>
      </c>
      <c r="AF199" s="209">
        <f>-Y199*INDEX(port_processing_fee,MATCH(AC199,PORTS!$H$626:$H$933,0),MATCH(AG$5,PORTS!$H$626:$Z$626,0))</f>
        <v>0</v>
      </c>
      <c r="AG199" s="405">
        <f>(((VLOOKUP(AC199,curvecalc,4,0))*IF(W199=0,0,AA199/W199)-INDEX(ship_curves,MATCH(AC199,'SHIP CURVES'!$A$9:$A$316,0),MATCH(CONCATENATE(AG$4,AG$5,AG$6,AG$7),'SHIP CURVES'!$A$9:$Z$9,0))-INDEX(terminal_curves,MATCH(AC199,'TERMINAL CURVES'!$A$4:$A$313,0),MATCH(AG$5,'TERMINAL CURVES'!$A$4:$N$4,0))*IF(W199=0,0,Y199/W199))-(AE$8)*((AE$7-$N$5)-(INDEX(ship_curves,MATCH(AC199,'SHIP CURVES'!$A$9:$A$316,0),MATCH(CONCATENATE(AG$4,AG$5,AG$6,AG$7),'SHIP CURVES'!$A$9:$Z$9,0))-INDEX(ship_curves,MATCH(AC199,'SHIP CURVES'!$A$9:$A$316,0),MATCH(CONCATENATE(AG$4,AE$6,AG$6,AG$7),'SHIP CURVES'!$A$9:$Z$9,0)))-(INDEX(terminal_curves,MATCH(AC199,'TERMINAL CURVES'!$A$4:$A$313,0),MATCH(AG$5,'TERMINAL CURVES'!$A$4:$N$4,0))-INDEX(terminal_curves,MATCH(AC199,'TERMINAL CURVES'!$A$4:$A$313,0),MATCH(AE$6,'TERMINAL CURVES'!$A$4:$N$4,0)))*IF(W199=0,0,Y199/W199)))*-W199</f>
        <v>0</v>
      </c>
      <c r="AH199" s="343">
        <f t="shared" si="77"/>
        <v>0</v>
      </c>
      <c r="AI199" s="338">
        <f>(-Y199/((HLOOKUP(AG$5,port_specs,2,0)/(365.25))*(AC200-AC199)))*(INDEX(fixed_capacity_charge,MATCH(AC199,PORTS!$H$11:$H$317,0),MATCH(AG$5,PORTS!$H$11:$N$11,0))+INDEX(variable_om_charge,MATCH(AC199,PORTS!$H$318:$H$625,0),MATCH(AG$5,PORTS!$H$318:$N$318,0)))</f>
        <v>0</v>
      </c>
      <c r="AJ199" s="232">
        <f t="shared" si="78"/>
        <v>0</v>
      </c>
      <c r="AK199" s="241">
        <f t="shared" si="79"/>
        <v>0</v>
      </c>
      <c r="AM199" s="186">
        <f t="shared" si="90"/>
        <v>42217</v>
      </c>
      <c r="AN199" s="215">
        <f t="shared" si="80"/>
        <v>5395761.4773599124</v>
      </c>
      <c r="AO199" s="191">
        <f t="shared" si="81"/>
        <v>-56655.495512278751</v>
      </c>
      <c r="AP199" s="218">
        <f>+IF(AND(AO$8&lt;=AM199,AO$9&gt;=AM199),+MIN($B199-SUMIF($H$17:AO$17,AP$17,$H199:AO199),((INDEX(ROUTE_PER_DAY_BY_SHIP,MATCH(CONCATENATE(AO$4,AO$5,AO$7),ROUTE_PER_DAY_ROUTES,0),MATCH(AO$6,ROUTE_PER_DAY_SHIPS,0))*(AM200-AM199))-(INDEX(ROUTE_PER_DAY_BY_SHIP,MATCH(CONCATENATE(AO$4,AO$5,AO$7),ROUTE_PER_DAY_ROUTES,0),MATCH(AO$6,ROUTE_PER_DAY_SHIPS,0))*(AM200-AM199))*HLOOKUP(AO$6,SHIPS,7,0)*INDEX(LADEN_VOYAGE_DAYS,MATCH(CONCATENATE(AO$4,AO$5,AO$7),LADEN_VOYAGE_ROUTES,0),MATCH(AO$6,LADEN_VOYAGE_SHIPS,0)))),0)</f>
        <v>5339105.9818476336</v>
      </c>
      <c r="AQ199" s="118">
        <f>-(AP199)*PORTS!$I$6</f>
        <v>-133477.64954619083</v>
      </c>
      <c r="AR199" s="215">
        <f t="shared" si="63"/>
        <v>5205628.3323014425</v>
      </c>
      <c r="AS199" s="202"/>
      <c r="AT199" s="186">
        <f t="shared" si="91"/>
        <v>42217</v>
      </c>
      <c r="AU199" s="232">
        <f>+AR199*(VLOOKUP(AT199,CURVECALC!$C$6:$J$312,4,0)+AV$5)</f>
        <v>20239482.955988009</v>
      </c>
      <c r="AV199" s="208">
        <f>-AN199*INDEX(ship_curves,MATCH(AT199,'SHIP CURVES'!$A$9:$A$316,0),MATCH(CONCATENATE(AX$4,AX$5,AX$6,AX$7),'SHIP CURVES'!$A$9:$AZ$9,0))</f>
        <v>-1831436.7318435439</v>
      </c>
      <c r="AW199" s="209">
        <f>-AP199*INDEX(port_processing_fee,MATCH(AT199,PORTS!$H$626:$H$933,0),MATCH(AX$5,PORTS!$H$626:$Z$626,0))</f>
        <v>-170758.19195365877</v>
      </c>
      <c r="AX199" s="405">
        <f>(((VLOOKUP(AT199,curvecalc,4,0))*IF(AN199=0,0,AR199/AN199)-INDEX(ship_curves,MATCH(AT199,'SHIP CURVES'!$A$9:$A$316,0),MATCH(CONCATENATE(AX$4,AX$5,AX$6,AX$7),'SHIP CURVES'!$A$9:$Z$9,0))-INDEX(terminal_curves,MATCH(AT199,'TERMINAL CURVES'!$A$4:$A$313,0),MATCH(AX$5,'TERMINAL CURVES'!$A$4:$N$4,0))*IF(AN199=0,0,AP199/AN199))-(AV$8)*((AV$7-$N$5)-(INDEX(ship_curves,MATCH(AT199,'SHIP CURVES'!$A$9:$A$316,0),MATCH(CONCATENATE(AX$4,AX$5,AX$6,AX$7),'SHIP CURVES'!$A$9:$Z$9,0))-INDEX(ship_curves,MATCH(AT199,'SHIP CURVES'!$A$9:$A$316,0),MATCH(CONCATENATE(AX$4,AV$6,AX$6,AX$7),'SHIP CURVES'!$A$9:$Z$9,0)))-(INDEX(terminal_curves,MATCH(AT199,'TERMINAL CURVES'!$A$4:$A$313,0),MATCH(AX$5,'TERMINAL CURVES'!$A$4:$N$4,0))-INDEX(terminal_curves,MATCH(AT199,'TERMINAL CURVES'!$A$4:$A$313,0),MATCH(AV$6,'TERMINAL CURVES'!$A$4:$N$4,0)))*IF(AN199=0,0,AP199/AN199)))*-AN199</f>
        <v>-17097875.392361753</v>
      </c>
      <c r="AY199" s="343">
        <f t="shared" si="82"/>
        <v>-19100070.316158954</v>
      </c>
      <c r="AZ199" s="338">
        <f>(-AP199/((HLOOKUP(AX$5,port_specs,2,0)/(365.25))*(AT200-AT199)))*(INDEX(fixed_capacity_charge,MATCH(AT199,PORTS!$H$11:$H$317,0),MATCH(AX$5,PORTS!$H$11:$N$11,0))+INDEX(variable_om_charge,MATCH(AT199,PORTS!$H$318:$H$625,0),MATCH(AX$5,PORTS!$H$318:$N$318,0)))</f>
        <v>-1035300.0731830222</v>
      </c>
      <c r="BA199" s="232">
        <f t="shared" si="83"/>
        <v>-20135370.389341976</v>
      </c>
      <c r="BB199" s="241">
        <f t="shared" si="84"/>
        <v>104112.56664603204</v>
      </c>
      <c r="BC199" s="408"/>
      <c r="BD199" s="338">
        <f>+PORTS!I193+PORTS!I501</f>
        <v>1035300.0731830222</v>
      </c>
    </row>
    <row r="200" spans="1:56" x14ac:dyDescent="0.2">
      <c r="A200" s="186">
        <f t="shared" si="85"/>
        <v>42248</v>
      </c>
      <c r="B200" s="215">
        <f>+IF(AND($A200&gt;=$C$8,$A200&lt;=$C$9),1,0)*PORTS!$I$5/(365.25)*(A201-A200)</f>
        <v>5166876.756626742</v>
      </c>
      <c r="C200" s="351">
        <f t="shared" si="64"/>
        <v>0</v>
      </c>
      <c r="D200">
        <f t="shared" si="65"/>
        <v>2015</v>
      </c>
      <c r="E200" s="186">
        <f t="shared" si="86"/>
        <v>42248</v>
      </c>
      <c r="F200" s="215">
        <f t="shared" si="66"/>
        <v>0</v>
      </c>
      <c r="G200" s="191">
        <f t="shared" si="67"/>
        <v>0</v>
      </c>
      <c r="H200" s="218">
        <f t="shared" si="68"/>
        <v>0</v>
      </c>
      <c r="I200" s="118">
        <f t="shared" si="69"/>
        <v>0</v>
      </c>
      <c r="J200" s="215">
        <f t="shared" si="70"/>
        <v>0</v>
      </c>
      <c r="K200" s="202"/>
      <c r="L200" s="186">
        <f t="shared" si="87"/>
        <v>42248</v>
      </c>
      <c r="M200" s="400">
        <f>+J200*(VLOOKUP(L200,CURVECALC!$C$6:$J$312,4,0)+N$5)</f>
        <v>0</v>
      </c>
      <c r="N200" s="208">
        <f>-F200*INDEX(ship_curves,MATCH(L200,'SHIP CURVES'!$A$9:$A$316,0),MATCH(CONCATENATE(P$4,P$5,P$6,P$7),'SHIP CURVES'!$A$9:$AZ$9,0))</f>
        <v>0</v>
      </c>
      <c r="O200" s="209">
        <f>-H200*INDEX(port_processing_fee,MATCH(L200,PORTS!$H$626:$H$933,0),MATCH(P$5,PORTS!$H$626:$Z$626,0))</f>
        <v>0</v>
      </c>
      <c r="P200" s="405">
        <f>(((VLOOKUP(L200,curvecalc,4,0))*IF(F200=0,0,J200/F200)-INDEX(ship_curves,MATCH(L200,'SHIP CURVES'!$A$9:$A$316,0),MATCH(CONCATENATE(P$4,P$5,P$6,P$7),'SHIP CURVES'!$A$9:$Z$9,0))-INDEX(terminal_curves,MATCH(L200,'TERMINAL CURVES'!$A$4:$A$313,0),MATCH(P$5,'TERMINAL CURVES'!$A$4:$N$4,0))*IF(F200=0,0,H200/F200))-(N$8)*((N$7-$N$5)-(INDEX(ship_curves,MATCH(L200,'SHIP CURVES'!$A$9:$A$316,0),MATCH(CONCATENATE(P$4,P$5,P$6,P$7),'SHIP CURVES'!$A$9:$Z$9,0))-INDEX(ship_curves,MATCH(L200,'SHIP CURVES'!$A$9:$A$316,0),MATCH(CONCATENATE(P$4,N$6,P$6,P$7),'SHIP CURVES'!$A$9:$Z$9,0)))-(INDEX(terminal_curves,MATCH(L200,'TERMINAL CURVES'!$A$4:$A$313,0),MATCH(P$5,'TERMINAL CURVES'!$A$4:$N$4,0))-INDEX(terminal_curves,MATCH(L200,'TERMINAL CURVES'!$A$4:$A$313,0),MATCH(N$6,'TERMINAL CURVES'!$A$4:$N$4,0)))*IF(F200=0,0,H200/F200)))*-F200</f>
        <v>0</v>
      </c>
      <c r="Q200" s="403">
        <f t="shared" si="71"/>
        <v>0</v>
      </c>
      <c r="R200" s="338">
        <f>(-H200/((HLOOKUP(P$5,port_specs,2,0)/(365.25))*(L201-L200)))*(INDEX(fixed_capacity_charge,MATCH(L200,PORTS!$H$11:$H$317,0),MATCH(P$5,PORTS!$H$11:$N$11,0))+INDEX(variable_om_charge,MATCH(L200,PORTS!$H$318:$H$625,0),MATCH(P$5,PORTS!$H$318:$N$318,0)))</f>
        <v>0</v>
      </c>
      <c r="S200" s="232">
        <f t="shared" si="72"/>
        <v>0</v>
      </c>
      <c r="T200" s="241">
        <f t="shared" si="73"/>
        <v>0</v>
      </c>
      <c r="V200" s="186">
        <f t="shared" si="88"/>
        <v>42248</v>
      </c>
      <c r="W200" s="215">
        <f t="shared" si="74"/>
        <v>0</v>
      </c>
      <c r="X200" s="191">
        <f t="shared" si="75"/>
        <v>0</v>
      </c>
      <c r="Y200" s="218">
        <f>+IF(AND(X$8&lt;=V200,X$9&gt;=V200),+MIN($B200-SUMIF($H$17:X$17,Y$17,$H200:X200),((INDEX(ROUTE_PER_DAY_BY_SHIP,MATCH(CONCATENATE(X$4,X$5,X$7),ROUTE_PER_DAY_ROUTES,0),MATCH(X$6,ROUTE_PER_DAY_SHIPS,0))*(V201-V200))-(INDEX(ROUTE_PER_DAY_BY_SHIP,MATCH(CONCATENATE(X$4,X$5,X$7),ROUTE_PER_DAY_ROUTES,0),MATCH(X$6,ROUTE_PER_DAY_SHIPS,0))*(V201-V200))*HLOOKUP(X$6,SHIPS,7,0)*INDEX(LADEN_VOYAGE_DAYS,MATCH(CONCATENATE(X$4,X$5,X$7),LADEN_VOYAGE_ROUTES,0),MATCH(X$6,LADEN_VOYAGE_SHIPS,0)))),0)</f>
        <v>0</v>
      </c>
      <c r="Z200" s="118">
        <f t="shared" si="76"/>
        <v>0</v>
      </c>
      <c r="AA200" s="215">
        <f t="shared" si="62"/>
        <v>0</v>
      </c>
      <c r="AB200" s="202"/>
      <c r="AC200" s="186">
        <f t="shared" si="89"/>
        <v>42248</v>
      </c>
      <c r="AD200" s="232">
        <f>+AA200*(VLOOKUP(AC200,CURVECALC!$C$6:$J$312,4,0)+AE$5)</f>
        <v>0</v>
      </c>
      <c r="AE200" s="208">
        <f>-W200*INDEX(ship_curves,MATCH(AC200,'SHIP CURVES'!$A$9:$A$316,0),MATCH(CONCATENATE(AG$4,AG$5,AG$6,AG$7),'SHIP CURVES'!$A$9:$AZ$9,0))</f>
        <v>0</v>
      </c>
      <c r="AF200" s="209">
        <f>-Y200*INDEX(port_processing_fee,MATCH(AC200,PORTS!$H$626:$H$933,0),MATCH(AG$5,PORTS!$H$626:$Z$626,0))</f>
        <v>0</v>
      </c>
      <c r="AG200" s="405">
        <f>(((VLOOKUP(AC200,curvecalc,4,0))*IF(W200=0,0,AA200/W200)-INDEX(ship_curves,MATCH(AC200,'SHIP CURVES'!$A$9:$A$316,0),MATCH(CONCATENATE(AG$4,AG$5,AG$6,AG$7),'SHIP CURVES'!$A$9:$Z$9,0))-INDEX(terminal_curves,MATCH(AC200,'TERMINAL CURVES'!$A$4:$A$313,0),MATCH(AG$5,'TERMINAL CURVES'!$A$4:$N$4,0))*IF(W200=0,0,Y200/W200))-(AE$8)*((AE$7-$N$5)-(INDEX(ship_curves,MATCH(AC200,'SHIP CURVES'!$A$9:$A$316,0),MATCH(CONCATENATE(AG$4,AG$5,AG$6,AG$7),'SHIP CURVES'!$A$9:$Z$9,0))-INDEX(ship_curves,MATCH(AC200,'SHIP CURVES'!$A$9:$A$316,0),MATCH(CONCATENATE(AG$4,AE$6,AG$6,AG$7),'SHIP CURVES'!$A$9:$Z$9,0)))-(INDEX(terminal_curves,MATCH(AC200,'TERMINAL CURVES'!$A$4:$A$313,0),MATCH(AG$5,'TERMINAL CURVES'!$A$4:$N$4,0))-INDEX(terminal_curves,MATCH(AC200,'TERMINAL CURVES'!$A$4:$A$313,0),MATCH(AE$6,'TERMINAL CURVES'!$A$4:$N$4,0)))*IF(W200=0,0,Y200/W200)))*-W200</f>
        <v>0</v>
      </c>
      <c r="AH200" s="343">
        <f t="shared" si="77"/>
        <v>0</v>
      </c>
      <c r="AI200" s="338">
        <f>(-Y200/((HLOOKUP(AG$5,port_specs,2,0)/(365.25))*(AC201-AC200)))*(INDEX(fixed_capacity_charge,MATCH(AC200,PORTS!$H$11:$H$317,0),MATCH(AG$5,PORTS!$H$11:$N$11,0))+INDEX(variable_om_charge,MATCH(AC200,PORTS!$H$318:$H$625,0),MATCH(AG$5,PORTS!$H$318:$N$318,0)))</f>
        <v>0</v>
      </c>
      <c r="AJ200" s="232">
        <f t="shared" si="78"/>
        <v>0</v>
      </c>
      <c r="AK200" s="241">
        <f t="shared" si="79"/>
        <v>0</v>
      </c>
      <c r="AM200" s="186">
        <f t="shared" si="90"/>
        <v>42248</v>
      </c>
      <c r="AN200" s="215">
        <f t="shared" si="80"/>
        <v>5221704.655509592</v>
      </c>
      <c r="AO200" s="191">
        <f t="shared" si="81"/>
        <v>-54827.898882850073</v>
      </c>
      <c r="AP200" s="218">
        <f>+IF(AND(AO$8&lt;=AM200,AO$9&gt;=AM200),+MIN($B200-SUMIF($H$17:AO$17,AP$17,$H200:AO200),((INDEX(ROUTE_PER_DAY_BY_SHIP,MATCH(CONCATENATE(AO$4,AO$5,AO$7),ROUTE_PER_DAY_ROUTES,0),MATCH(AO$6,ROUTE_PER_DAY_SHIPS,0))*(AM201-AM200))-(INDEX(ROUTE_PER_DAY_BY_SHIP,MATCH(CONCATENATE(AO$4,AO$5,AO$7),ROUTE_PER_DAY_ROUTES,0),MATCH(AO$6,ROUTE_PER_DAY_SHIPS,0))*(AM201-AM200))*HLOOKUP(AO$6,SHIPS,7,0)*INDEX(LADEN_VOYAGE_DAYS,MATCH(CONCATENATE(AO$4,AO$5,AO$7),LADEN_VOYAGE_ROUTES,0),MATCH(AO$6,LADEN_VOYAGE_SHIPS,0)))),0)</f>
        <v>5166876.756626742</v>
      </c>
      <c r="AQ200" s="118">
        <f>-(AP200)*PORTS!$I$6</f>
        <v>-129171.91891566856</v>
      </c>
      <c r="AR200" s="215">
        <f t="shared" si="63"/>
        <v>5037704.8377110735</v>
      </c>
      <c r="AS200" s="202"/>
      <c r="AT200" s="186">
        <f t="shared" si="91"/>
        <v>42248</v>
      </c>
      <c r="AU200" s="232">
        <f>+AR200*(VLOOKUP(AT200,CURVECALC!$C$6:$J$312,4,0)+AV$5)</f>
        <v>19475766.902591009</v>
      </c>
      <c r="AV200" s="208">
        <f>-AN200*INDEX(ship_curves,MATCH(AT200,'SHIP CURVES'!$A$9:$A$316,0),MATCH(CONCATENATE(AX$4,AX$5,AX$6,AX$7),'SHIP CURVES'!$A$9:$AZ$9,0))</f>
        <v>-1772957.9441325166</v>
      </c>
      <c r="AW200" s="209">
        <f>-AP200*INDEX(port_processing_fee,MATCH(AT200,PORTS!$H$626:$H$933,0),MATCH(AX$5,PORTS!$H$626:$Z$626,0))</f>
        <v>-165421.99845510692</v>
      </c>
      <c r="AX200" s="405">
        <f>(((VLOOKUP(AT200,curvecalc,4,0))*IF(AN200=0,0,AR200/AN200)-INDEX(ship_curves,MATCH(AT200,'SHIP CURVES'!$A$9:$A$316,0),MATCH(CONCATENATE(AX$4,AX$5,AX$6,AX$7),'SHIP CURVES'!$A$9:$Z$9,0))-INDEX(terminal_curves,MATCH(AT200,'TERMINAL CURVES'!$A$4:$A$313,0),MATCH(AX$5,'TERMINAL CURVES'!$A$4:$N$4,0))*IF(AN200=0,0,AP200/AN200))-(AV$8)*((AV$7-$N$5)-(INDEX(ship_curves,MATCH(AT200,'SHIP CURVES'!$A$9:$A$316,0),MATCH(CONCATENATE(AX$4,AX$5,AX$6,AX$7),'SHIP CURVES'!$A$9:$Z$9,0))-INDEX(ship_curves,MATCH(AT200,'SHIP CURVES'!$A$9:$A$316,0),MATCH(CONCATENATE(AX$4,AV$6,AX$6,AX$7),'SHIP CURVES'!$A$9:$Z$9,0)))-(INDEX(terminal_curves,MATCH(AT200,'TERMINAL CURVES'!$A$4:$A$313,0),MATCH(AX$5,'TERMINAL CURVES'!$A$4:$N$4,0))-INDEX(terminal_curves,MATCH(AT200,'TERMINAL CURVES'!$A$4:$A$313,0),MATCH(AV$6,'TERMINAL CURVES'!$A$4:$N$4,0)))*IF(AN200=0,0,AP200/AN200)))*-AN200</f>
        <v>-16400759.755167939</v>
      </c>
      <c r="AY200" s="343">
        <f t="shared" si="82"/>
        <v>-18339139.697755564</v>
      </c>
      <c r="AZ200" s="338">
        <f>(-AP200/((HLOOKUP(AX$5,port_specs,2,0)/(365.25))*(AT201-AT200)))*(INDEX(fixed_capacity_charge,MATCH(AT200,PORTS!$H$11:$H$317,0),MATCH(AX$5,PORTS!$H$11:$N$11,0))+INDEX(variable_om_charge,MATCH(AT200,PORTS!$H$318:$H$625,0),MATCH(AX$5,PORTS!$H$318:$N$318,0)))</f>
        <v>-1035873.1080812248</v>
      </c>
      <c r="BA200" s="232">
        <f t="shared" si="83"/>
        <v>-19375012.805836789</v>
      </c>
      <c r="BB200" s="241">
        <f t="shared" si="84"/>
        <v>100754.09675421938</v>
      </c>
      <c r="BC200" s="408"/>
      <c r="BD200" s="338">
        <f>+PORTS!I194+PORTS!I502</f>
        <v>1035873.1080812248</v>
      </c>
    </row>
    <row r="201" spans="1:56" x14ac:dyDescent="0.2">
      <c r="A201" s="186">
        <f t="shared" si="85"/>
        <v>42278</v>
      </c>
      <c r="B201" s="215">
        <f>+IF(AND($A201&gt;=$C$8,$A201&lt;=$C$9),1,0)*PORTS!$I$5/(365.25)*(A202-A201)</f>
        <v>5339105.9818476336</v>
      </c>
      <c r="C201" s="351">
        <f t="shared" si="64"/>
        <v>0</v>
      </c>
      <c r="D201">
        <f t="shared" si="65"/>
        <v>2015</v>
      </c>
      <c r="E201" s="186">
        <f t="shared" si="86"/>
        <v>42278</v>
      </c>
      <c r="F201" s="215">
        <f t="shared" si="66"/>
        <v>0</v>
      </c>
      <c r="G201" s="191">
        <f t="shared" si="67"/>
        <v>0</v>
      </c>
      <c r="H201" s="218">
        <f t="shared" si="68"/>
        <v>0</v>
      </c>
      <c r="I201" s="118">
        <f t="shared" si="69"/>
        <v>0</v>
      </c>
      <c r="J201" s="215">
        <f t="shared" si="70"/>
        <v>0</v>
      </c>
      <c r="K201" s="202"/>
      <c r="L201" s="186">
        <f t="shared" si="87"/>
        <v>42278</v>
      </c>
      <c r="M201" s="400">
        <f>+J201*(VLOOKUP(L201,CURVECALC!$C$6:$J$312,4,0)+N$5)</f>
        <v>0</v>
      </c>
      <c r="N201" s="208">
        <f>-F201*INDEX(ship_curves,MATCH(L201,'SHIP CURVES'!$A$9:$A$316,0),MATCH(CONCATENATE(P$4,P$5,P$6,P$7),'SHIP CURVES'!$A$9:$AZ$9,0))</f>
        <v>0</v>
      </c>
      <c r="O201" s="209">
        <f>-H201*INDEX(port_processing_fee,MATCH(L201,PORTS!$H$626:$H$933,0),MATCH(P$5,PORTS!$H$626:$Z$626,0))</f>
        <v>0</v>
      </c>
      <c r="P201" s="405">
        <f>(((VLOOKUP(L201,curvecalc,4,0))*IF(F201=0,0,J201/F201)-INDEX(ship_curves,MATCH(L201,'SHIP CURVES'!$A$9:$A$316,0),MATCH(CONCATENATE(P$4,P$5,P$6,P$7),'SHIP CURVES'!$A$9:$Z$9,0))-INDEX(terminal_curves,MATCH(L201,'TERMINAL CURVES'!$A$4:$A$313,0),MATCH(P$5,'TERMINAL CURVES'!$A$4:$N$4,0))*IF(F201=0,0,H201/F201))-(N$8)*((N$7-$N$5)-(INDEX(ship_curves,MATCH(L201,'SHIP CURVES'!$A$9:$A$316,0),MATCH(CONCATENATE(P$4,P$5,P$6,P$7),'SHIP CURVES'!$A$9:$Z$9,0))-INDEX(ship_curves,MATCH(L201,'SHIP CURVES'!$A$9:$A$316,0),MATCH(CONCATENATE(P$4,N$6,P$6,P$7),'SHIP CURVES'!$A$9:$Z$9,0)))-(INDEX(terminal_curves,MATCH(L201,'TERMINAL CURVES'!$A$4:$A$313,0),MATCH(P$5,'TERMINAL CURVES'!$A$4:$N$4,0))-INDEX(terminal_curves,MATCH(L201,'TERMINAL CURVES'!$A$4:$A$313,0),MATCH(N$6,'TERMINAL CURVES'!$A$4:$N$4,0)))*IF(F201=0,0,H201/F201)))*-F201</f>
        <v>0</v>
      </c>
      <c r="Q201" s="403">
        <f t="shared" si="71"/>
        <v>0</v>
      </c>
      <c r="R201" s="338">
        <f>(-H201/((HLOOKUP(P$5,port_specs,2,0)/(365.25))*(L202-L201)))*(INDEX(fixed_capacity_charge,MATCH(L201,PORTS!$H$11:$H$317,0),MATCH(P$5,PORTS!$H$11:$N$11,0))+INDEX(variable_om_charge,MATCH(L201,PORTS!$H$318:$H$625,0),MATCH(P$5,PORTS!$H$318:$N$318,0)))</f>
        <v>0</v>
      </c>
      <c r="S201" s="232">
        <f t="shared" si="72"/>
        <v>0</v>
      </c>
      <c r="T201" s="241">
        <f t="shared" si="73"/>
        <v>0</v>
      </c>
      <c r="V201" s="186">
        <f t="shared" si="88"/>
        <v>42278</v>
      </c>
      <c r="W201" s="215">
        <f t="shared" si="74"/>
        <v>0</v>
      </c>
      <c r="X201" s="191">
        <f t="shared" si="75"/>
        <v>0</v>
      </c>
      <c r="Y201" s="218">
        <f>+IF(AND(X$8&lt;=V201,X$9&gt;=V201),+MIN($B201-SUMIF($H$17:X$17,Y$17,$H201:X201),((INDEX(ROUTE_PER_DAY_BY_SHIP,MATCH(CONCATENATE(X$4,X$5,X$7),ROUTE_PER_DAY_ROUTES,0),MATCH(X$6,ROUTE_PER_DAY_SHIPS,0))*(V202-V201))-(INDEX(ROUTE_PER_DAY_BY_SHIP,MATCH(CONCATENATE(X$4,X$5,X$7),ROUTE_PER_DAY_ROUTES,0),MATCH(X$6,ROUTE_PER_DAY_SHIPS,0))*(V202-V201))*HLOOKUP(X$6,SHIPS,7,0)*INDEX(LADEN_VOYAGE_DAYS,MATCH(CONCATENATE(X$4,X$5,X$7),LADEN_VOYAGE_ROUTES,0),MATCH(X$6,LADEN_VOYAGE_SHIPS,0)))),0)</f>
        <v>0</v>
      </c>
      <c r="Z201" s="118">
        <f t="shared" si="76"/>
        <v>0</v>
      </c>
      <c r="AA201" s="215">
        <f t="shared" si="62"/>
        <v>0</v>
      </c>
      <c r="AB201" s="202"/>
      <c r="AC201" s="186">
        <f t="shared" si="89"/>
        <v>42278</v>
      </c>
      <c r="AD201" s="232">
        <f>+AA201*(VLOOKUP(AC201,CURVECALC!$C$6:$J$312,4,0)+AE$5)</f>
        <v>0</v>
      </c>
      <c r="AE201" s="208">
        <f>-W201*INDEX(ship_curves,MATCH(AC201,'SHIP CURVES'!$A$9:$A$316,0),MATCH(CONCATENATE(AG$4,AG$5,AG$6,AG$7),'SHIP CURVES'!$A$9:$AZ$9,0))</f>
        <v>0</v>
      </c>
      <c r="AF201" s="209">
        <f>-Y201*INDEX(port_processing_fee,MATCH(AC201,PORTS!$H$626:$H$933,0),MATCH(AG$5,PORTS!$H$626:$Z$626,0))</f>
        <v>0</v>
      </c>
      <c r="AG201" s="405">
        <f>(((VLOOKUP(AC201,curvecalc,4,0))*IF(W201=0,0,AA201/W201)-INDEX(ship_curves,MATCH(AC201,'SHIP CURVES'!$A$9:$A$316,0),MATCH(CONCATENATE(AG$4,AG$5,AG$6,AG$7),'SHIP CURVES'!$A$9:$Z$9,0))-INDEX(terminal_curves,MATCH(AC201,'TERMINAL CURVES'!$A$4:$A$313,0),MATCH(AG$5,'TERMINAL CURVES'!$A$4:$N$4,0))*IF(W201=0,0,Y201/W201))-(AE$8)*((AE$7-$N$5)-(INDEX(ship_curves,MATCH(AC201,'SHIP CURVES'!$A$9:$A$316,0),MATCH(CONCATENATE(AG$4,AG$5,AG$6,AG$7),'SHIP CURVES'!$A$9:$Z$9,0))-INDEX(ship_curves,MATCH(AC201,'SHIP CURVES'!$A$9:$A$316,0),MATCH(CONCATENATE(AG$4,AE$6,AG$6,AG$7),'SHIP CURVES'!$A$9:$Z$9,0)))-(INDEX(terminal_curves,MATCH(AC201,'TERMINAL CURVES'!$A$4:$A$313,0),MATCH(AG$5,'TERMINAL CURVES'!$A$4:$N$4,0))-INDEX(terminal_curves,MATCH(AC201,'TERMINAL CURVES'!$A$4:$A$313,0),MATCH(AE$6,'TERMINAL CURVES'!$A$4:$N$4,0)))*IF(W201=0,0,Y201/W201)))*-W201</f>
        <v>0</v>
      </c>
      <c r="AH201" s="343">
        <f t="shared" si="77"/>
        <v>0</v>
      </c>
      <c r="AI201" s="338">
        <f>(-Y201/((HLOOKUP(AG$5,port_specs,2,0)/(365.25))*(AC202-AC201)))*(INDEX(fixed_capacity_charge,MATCH(AC201,PORTS!$H$11:$H$317,0),MATCH(AG$5,PORTS!$H$11:$N$11,0))+INDEX(variable_om_charge,MATCH(AC201,PORTS!$H$318:$H$625,0),MATCH(AG$5,PORTS!$H$318:$N$318,0)))</f>
        <v>0</v>
      </c>
      <c r="AJ201" s="232">
        <f t="shared" si="78"/>
        <v>0</v>
      </c>
      <c r="AK201" s="241">
        <f t="shared" si="79"/>
        <v>0</v>
      </c>
      <c r="AM201" s="186">
        <f t="shared" si="90"/>
        <v>42278</v>
      </c>
      <c r="AN201" s="215">
        <f t="shared" si="80"/>
        <v>5395761.4773599124</v>
      </c>
      <c r="AO201" s="191">
        <f t="shared" si="81"/>
        <v>-56655.495512278751</v>
      </c>
      <c r="AP201" s="218">
        <f>+IF(AND(AO$8&lt;=AM201,AO$9&gt;=AM201),+MIN($B201-SUMIF($H$17:AO$17,AP$17,$H201:AO201),((INDEX(ROUTE_PER_DAY_BY_SHIP,MATCH(CONCATENATE(AO$4,AO$5,AO$7),ROUTE_PER_DAY_ROUTES,0),MATCH(AO$6,ROUTE_PER_DAY_SHIPS,0))*(AM202-AM201))-(INDEX(ROUTE_PER_DAY_BY_SHIP,MATCH(CONCATENATE(AO$4,AO$5,AO$7),ROUTE_PER_DAY_ROUTES,0),MATCH(AO$6,ROUTE_PER_DAY_SHIPS,0))*(AM202-AM201))*HLOOKUP(AO$6,SHIPS,7,0)*INDEX(LADEN_VOYAGE_DAYS,MATCH(CONCATENATE(AO$4,AO$5,AO$7),LADEN_VOYAGE_ROUTES,0),MATCH(AO$6,LADEN_VOYAGE_SHIPS,0)))),0)</f>
        <v>5339105.9818476336</v>
      </c>
      <c r="AQ201" s="118">
        <f>-(AP201)*PORTS!$I$6</f>
        <v>-133477.64954619083</v>
      </c>
      <c r="AR201" s="215">
        <f t="shared" si="63"/>
        <v>5205628.3323014425</v>
      </c>
      <c r="AS201" s="202"/>
      <c r="AT201" s="186">
        <f t="shared" si="91"/>
        <v>42278</v>
      </c>
      <c r="AU201" s="232">
        <f>+AR201*(VLOOKUP(AT201,CURVECALC!$C$6:$J$312,4,0)+AV$5)</f>
        <v>20166604.159335788</v>
      </c>
      <c r="AV201" s="208">
        <f>-AN201*INDEX(ship_curves,MATCH(AT201,'SHIP CURVES'!$A$9:$A$316,0),MATCH(CONCATENATE(AX$4,AX$5,AX$6,AX$7),'SHIP CURVES'!$A$9:$AZ$9,0))</f>
        <v>-1832677.6439687132</v>
      </c>
      <c r="AW201" s="209">
        <f>-AP201*INDEX(port_processing_fee,MATCH(AT201,PORTS!$H$626:$H$933,0),MATCH(AX$5,PORTS!$H$626:$Z$626,0))</f>
        <v>-171114.123471392</v>
      </c>
      <c r="AX201" s="405">
        <f>(((VLOOKUP(AT201,curvecalc,4,0))*IF(AN201=0,0,AR201/AN201)-INDEX(ship_curves,MATCH(AT201,'SHIP CURVES'!$A$9:$A$316,0),MATCH(CONCATENATE(AX$4,AX$5,AX$6,AX$7),'SHIP CURVES'!$A$9:$Z$9,0))-INDEX(terminal_curves,MATCH(AT201,'TERMINAL CURVES'!$A$4:$A$313,0),MATCH(AX$5,'TERMINAL CURVES'!$A$4:$N$4,0))*IF(AN201=0,0,AP201/AN201))-(AV$8)*((AV$7-$N$5)-(INDEX(ship_curves,MATCH(AT201,'SHIP CURVES'!$A$9:$A$316,0),MATCH(CONCATENATE(AX$4,AX$5,AX$6,AX$7),'SHIP CURVES'!$A$9:$Z$9,0))-INDEX(ship_curves,MATCH(AT201,'SHIP CURVES'!$A$9:$A$316,0),MATCH(CONCATENATE(AX$4,AV$6,AX$6,AX$7),'SHIP CURVES'!$A$9:$Z$9,0)))-(INDEX(terminal_curves,MATCH(AT201,'TERMINAL CURVES'!$A$4:$A$313,0),MATCH(AX$5,'TERMINAL CURVES'!$A$4:$N$4,0))-INDEX(terminal_curves,MATCH(AT201,'TERMINAL CURVES'!$A$4:$A$313,0),MATCH(AV$6,'TERMINAL CURVES'!$A$4:$N$4,0)))*IF(AN201=0,0,AP201/AN201)))*-AN201</f>
        <v>-17022253.085358873</v>
      </c>
      <c r="AY201" s="343">
        <f t="shared" si="82"/>
        <v>-19026044.85279898</v>
      </c>
      <c r="AZ201" s="338">
        <f>(-AP201/((HLOOKUP(AX$5,port_specs,2,0)/(365.25))*(AT202-AT201)))*(INDEX(fixed_capacity_charge,MATCH(AT201,PORTS!$H$11:$H$317,0),MATCH(AX$5,PORTS!$H$11:$N$11,0))+INDEX(variable_om_charge,MATCH(AT201,PORTS!$H$318:$H$625,0),MATCH(AX$5,PORTS!$H$318:$N$318,0)))</f>
        <v>-1036446.7398907801</v>
      </c>
      <c r="BA201" s="232">
        <f t="shared" si="83"/>
        <v>-20062491.59268976</v>
      </c>
      <c r="BB201" s="241">
        <f t="shared" si="84"/>
        <v>104112.56664602831</v>
      </c>
      <c r="BC201" s="408"/>
      <c r="BD201" s="338">
        <f>+PORTS!I195+PORTS!I503</f>
        <v>1036446.7398907801</v>
      </c>
    </row>
    <row r="202" spans="1:56" x14ac:dyDescent="0.2">
      <c r="A202" s="186">
        <f t="shared" si="85"/>
        <v>42309</v>
      </c>
      <c r="B202" s="215">
        <f>+IF(AND($A202&gt;=$C$8,$A202&lt;=$C$9),1,0)*PORTS!$I$5/(365.25)*(A203-A202)</f>
        <v>5166876.756626742</v>
      </c>
      <c r="C202" s="351">
        <f t="shared" si="64"/>
        <v>0</v>
      </c>
      <c r="D202">
        <f t="shared" si="65"/>
        <v>2015</v>
      </c>
      <c r="E202" s="186">
        <f t="shared" si="86"/>
        <v>42309</v>
      </c>
      <c r="F202" s="215">
        <f t="shared" si="66"/>
        <v>0</v>
      </c>
      <c r="G202" s="191">
        <f t="shared" si="67"/>
        <v>0</v>
      </c>
      <c r="H202" s="218">
        <f t="shared" si="68"/>
        <v>0</v>
      </c>
      <c r="I202" s="118">
        <f t="shared" si="69"/>
        <v>0</v>
      </c>
      <c r="J202" s="215">
        <f t="shared" si="70"/>
        <v>0</v>
      </c>
      <c r="K202" s="202"/>
      <c r="L202" s="186">
        <f t="shared" si="87"/>
        <v>42309</v>
      </c>
      <c r="M202" s="400">
        <f>+J202*(VLOOKUP(L202,CURVECALC!$C$6:$J$312,4,0)+N$5)</f>
        <v>0</v>
      </c>
      <c r="N202" s="208">
        <f>-F202*INDEX(ship_curves,MATCH(L202,'SHIP CURVES'!$A$9:$A$316,0),MATCH(CONCATENATE(P$4,P$5,P$6,P$7),'SHIP CURVES'!$A$9:$AZ$9,0))</f>
        <v>0</v>
      </c>
      <c r="O202" s="209">
        <f>-H202*INDEX(port_processing_fee,MATCH(L202,PORTS!$H$626:$H$933,0),MATCH(P$5,PORTS!$H$626:$Z$626,0))</f>
        <v>0</v>
      </c>
      <c r="P202" s="405">
        <f>(((VLOOKUP(L202,curvecalc,4,0))*IF(F202=0,0,J202/F202)-INDEX(ship_curves,MATCH(L202,'SHIP CURVES'!$A$9:$A$316,0),MATCH(CONCATENATE(P$4,P$5,P$6,P$7),'SHIP CURVES'!$A$9:$Z$9,0))-INDEX(terminal_curves,MATCH(L202,'TERMINAL CURVES'!$A$4:$A$313,0),MATCH(P$5,'TERMINAL CURVES'!$A$4:$N$4,0))*IF(F202=0,0,H202/F202))-(N$8)*((N$7-$N$5)-(INDEX(ship_curves,MATCH(L202,'SHIP CURVES'!$A$9:$A$316,0),MATCH(CONCATENATE(P$4,P$5,P$6,P$7),'SHIP CURVES'!$A$9:$Z$9,0))-INDEX(ship_curves,MATCH(L202,'SHIP CURVES'!$A$9:$A$316,0),MATCH(CONCATENATE(P$4,N$6,P$6,P$7),'SHIP CURVES'!$A$9:$Z$9,0)))-(INDEX(terminal_curves,MATCH(L202,'TERMINAL CURVES'!$A$4:$A$313,0),MATCH(P$5,'TERMINAL CURVES'!$A$4:$N$4,0))-INDEX(terminal_curves,MATCH(L202,'TERMINAL CURVES'!$A$4:$A$313,0),MATCH(N$6,'TERMINAL CURVES'!$A$4:$N$4,0)))*IF(F202=0,0,H202/F202)))*-F202</f>
        <v>0</v>
      </c>
      <c r="Q202" s="403">
        <f t="shared" si="71"/>
        <v>0</v>
      </c>
      <c r="R202" s="338">
        <f>(-H202/((HLOOKUP(P$5,port_specs,2,0)/(365.25))*(L203-L202)))*(INDEX(fixed_capacity_charge,MATCH(L202,PORTS!$H$11:$H$317,0),MATCH(P$5,PORTS!$H$11:$N$11,0))+INDEX(variable_om_charge,MATCH(L202,PORTS!$H$318:$H$625,0),MATCH(P$5,PORTS!$H$318:$N$318,0)))</f>
        <v>0</v>
      </c>
      <c r="S202" s="232">
        <f t="shared" si="72"/>
        <v>0</v>
      </c>
      <c r="T202" s="241">
        <f t="shared" si="73"/>
        <v>0</v>
      </c>
      <c r="V202" s="186">
        <f t="shared" si="88"/>
        <v>42309</v>
      </c>
      <c r="W202" s="215">
        <f t="shared" si="74"/>
        <v>0</v>
      </c>
      <c r="X202" s="191">
        <f t="shared" si="75"/>
        <v>0</v>
      </c>
      <c r="Y202" s="218">
        <f>+IF(AND(X$8&lt;=V202,X$9&gt;=V202),+MIN($B202-SUMIF($H$17:X$17,Y$17,$H202:X202),((INDEX(ROUTE_PER_DAY_BY_SHIP,MATCH(CONCATENATE(X$4,X$5,X$7),ROUTE_PER_DAY_ROUTES,0),MATCH(X$6,ROUTE_PER_DAY_SHIPS,0))*(V203-V202))-(INDEX(ROUTE_PER_DAY_BY_SHIP,MATCH(CONCATENATE(X$4,X$5,X$7),ROUTE_PER_DAY_ROUTES,0),MATCH(X$6,ROUTE_PER_DAY_SHIPS,0))*(V203-V202))*HLOOKUP(X$6,SHIPS,7,0)*INDEX(LADEN_VOYAGE_DAYS,MATCH(CONCATENATE(X$4,X$5,X$7),LADEN_VOYAGE_ROUTES,0),MATCH(X$6,LADEN_VOYAGE_SHIPS,0)))),0)</f>
        <v>0</v>
      </c>
      <c r="Z202" s="118">
        <f t="shared" si="76"/>
        <v>0</v>
      </c>
      <c r="AA202" s="215">
        <f t="shared" si="62"/>
        <v>0</v>
      </c>
      <c r="AB202" s="202"/>
      <c r="AC202" s="186">
        <f t="shared" si="89"/>
        <v>42309</v>
      </c>
      <c r="AD202" s="232">
        <f>+AA202*(VLOOKUP(AC202,CURVECALC!$C$6:$J$312,4,0)+AE$5)</f>
        <v>0</v>
      </c>
      <c r="AE202" s="208">
        <f>-W202*INDEX(ship_curves,MATCH(AC202,'SHIP CURVES'!$A$9:$A$316,0),MATCH(CONCATENATE(AG$4,AG$5,AG$6,AG$7),'SHIP CURVES'!$A$9:$AZ$9,0))</f>
        <v>0</v>
      </c>
      <c r="AF202" s="209">
        <f>-Y202*INDEX(port_processing_fee,MATCH(AC202,PORTS!$H$626:$H$933,0),MATCH(AG$5,PORTS!$H$626:$Z$626,0))</f>
        <v>0</v>
      </c>
      <c r="AG202" s="405">
        <f>(((VLOOKUP(AC202,curvecalc,4,0))*IF(W202=0,0,AA202/W202)-INDEX(ship_curves,MATCH(AC202,'SHIP CURVES'!$A$9:$A$316,0),MATCH(CONCATENATE(AG$4,AG$5,AG$6,AG$7),'SHIP CURVES'!$A$9:$Z$9,0))-INDEX(terminal_curves,MATCH(AC202,'TERMINAL CURVES'!$A$4:$A$313,0),MATCH(AG$5,'TERMINAL CURVES'!$A$4:$N$4,0))*IF(W202=0,0,Y202/W202))-(AE$8)*((AE$7-$N$5)-(INDEX(ship_curves,MATCH(AC202,'SHIP CURVES'!$A$9:$A$316,0),MATCH(CONCATENATE(AG$4,AG$5,AG$6,AG$7),'SHIP CURVES'!$A$9:$Z$9,0))-INDEX(ship_curves,MATCH(AC202,'SHIP CURVES'!$A$9:$A$316,0),MATCH(CONCATENATE(AG$4,AE$6,AG$6,AG$7),'SHIP CURVES'!$A$9:$Z$9,0)))-(INDEX(terminal_curves,MATCH(AC202,'TERMINAL CURVES'!$A$4:$A$313,0),MATCH(AG$5,'TERMINAL CURVES'!$A$4:$N$4,0))-INDEX(terminal_curves,MATCH(AC202,'TERMINAL CURVES'!$A$4:$A$313,0),MATCH(AE$6,'TERMINAL CURVES'!$A$4:$N$4,0)))*IF(W202=0,0,Y202/W202)))*-W202</f>
        <v>0</v>
      </c>
      <c r="AH202" s="343">
        <f t="shared" si="77"/>
        <v>0</v>
      </c>
      <c r="AI202" s="338">
        <f>(-Y202/((HLOOKUP(AG$5,port_specs,2,0)/(365.25))*(AC203-AC202)))*(INDEX(fixed_capacity_charge,MATCH(AC202,PORTS!$H$11:$H$317,0),MATCH(AG$5,PORTS!$H$11:$N$11,0))+INDEX(variable_om_charge,MATCH(AC202,PORTS!$H$318:$H$625,0),MATCH(AG$5,PORTS!$H$318:$N$318,0)))</f>
        <v>0</v>
      </c>
      <c r="AJ202" s="232">
        <f t="shared" si="78"/>
        <v>0</v>
      </c>
      <c r="AK202" s="241">
        <f t="shared" si="79"/>
        <v>0</v>
      </c>
      <c r="AM202" s="186">
        <f t="shared" si="90"/>
        <v>42309</v>
      </c>
      <c r="AN202" s="215">
        <f t="shared" si="80"/>
        <v>5221704.655509592</v>
      </c>
      <c r="AO202" s="191">
        <f t="shared" si="81"/>
        <v>-54827.898882850073</v>
      </c>
      <c r="AP202" s="218">
        <f>+IF(AND(AO$8&lt;=AM202,AO$9&gt;=AM202),+MIN($B202-SUMIF($H$17:AO$17,AP$17,$H202:AO202),((INDEX(ROUTE_PER_DAY_BY_SHIP,MATCH(CONCATENATE(AO$4,AO$5,AO$7),ROUTE_PER_DAY_ROUTES,0),MATCH(AO$6,ROUTE_PER_DAY_SHIPS,0))*(AM203-AM202))-(INDEX(ROUTE_PER_DAY_BY_SHIP,MATCH(CONCATENATE(AO$4,AO$5,AO$7),ROUTE_PER_DAY_ROUTES,0),MATCH(AO$6,ROUTE_PER_DAY_SHIPS,0))*(AM203-AM202))*HLOOKUP(AO$6,SHIPS,7,0)*INDEX(LADEN_VOYAGE_DAYS,MATCH(CONCATENATE(AO$4,AO$5,AO$7),LADEN_VOYAGE_ROUTES,0),MATCH(AO$6,LADEN_VOYAGE_SHIPS,0)))),0)</f>
        <v>5166876.756626742</v>
      </c>
      <c r="AQ202" s="118">
        <f>-(AP202)*PORTS!$I$6</f>
        <v>-129171.91891566856</v>
      </c>
      <c r="AR202" s="215">
        <f t="shared" si="63"/>
        <v>5037704.8377110735</v>
      </c>
      <c r="AS202" s="202"/>
      <c r="AT202" s="186">
        <f t="shared" si="91"/>
        <v>42309</v>
      </c>
      <c r="AU202" s="232">
        <f>+AR202*(VLOOKUP(AT202,CURVECALC!$C$6:$J$312,4,0)+AV$5)</f>
        <v>19762916.078340542</v>
      </c>
      <c r="AV202" s="208">
        <f>-AN202*INDEX(ship_curves,MATCH(AT202,'SHIP CURVES'!$A$9:$A$316,0),MATCH(CONCATENATE(AX$4,AX$5,AX$6,AX$7),'SHIP CURVES'!$A$9:$AZ$9,0))</f>
        <v>-1774161.3286732556</v>
      </c>
      <c r="AW202" s="209">
        <f>-AP202*INDEX(port_processing_fee,MATCH(AT202,PORTS!$H$626:$H$933,0),MATCH(AX$5,PORTS!$H$626:$Z$626,0))</f>
        <v>-165766.80711291099</v>
      </c>
      <c r="AX202" s="405">
        <f>(((VLOOKUP(AT202,curvecalc,4,0))*IF(AN202=0,0,AR202/AN202)-INDEX(ship_curves,MATCH(AT202,'SHIP CURVES'!$A$9:$A$316,0),MATCH(CONCATENATE(AX$4,AX$5,AX$6,AX$7),'SHIP CURVES'!$A$9:$Z$9,0))-INDEX(terminal_curves,MATCH(AT202,'TERMINAL CURVES'!$A$4:$A$313,0),MATCH(AX$5,'TERMINAL CURVES'!$A$4:$N$4,0))*IF(AN202=0,0,AP202/AN202))-(AV$8)*((AV$7-$N$5)-(INDEX(ship_curves,MATCH(AT202,'SHIP CURVES'!$A$9:$A$316,0),MATCH(CONCATENATE(AX$4,AX$5,AX$6,AX$7),'SHIP CURVES'!$A$9:$Z$9,0))-INDEX(ship_curves,MATCH(AT202,'SHIP CURVES'!$A$9:$A$316,0),MATCH(CONCATENATE(AX$4,AV$6,AX$6,AX$7),'SHIP CURVES'!$A$9:$Z$9,0)))-(INDEX(terminal_curves,MATCH(AT202,'TERMINAL CURVES'!$A$4:$A$313,0),MATCH(AX$5,'TERMINAL CURVES'!$A$4:$N$4,0))-INDEX(terminal_curves,MATCH(AT202,'TERMINAL CURVES'!$A$4:$A$313,0),MATCH(AV$6,'TERMINAL CURVES'!$A$4:$N$4,0)))*IF(AN202=0,0,AP202/AN202)))*-AN202</f>
        <v>-16685212.876566682</v>
      </c>
      <c r="AY202" s="343">
        <f t="shared" si="82"/>
        <v>-18625141.01235285</v>
      </c>
      <c r="AZ202" s="338">
        <f>(-AP202/((HLOOKUP(AX$5,port_specs,2,0)/(365.25))*(AT203-AT202)))*(INDEX(fixed_capacity_charge,MATCH(AT202,PORTS!$H$11:$H$317,0),MATCH(AX$5,PORTS!$H$11:$N$11,0))+INDEX(variable_om_charge,MATCH(AT202,PORTS!$H$318:$H$625,0),MATCH(AX$5,PORTS!$H$318:$N$318,0)))</f>
        <v>-1037020.96923347</v>
      </c>
      <c r="BA202" s="232">
        <f t="shared" si="83"/>
        <v>-19662161.981586322</v>
      </c>
      <c r="BB202" s="241">
        <f t="shared" si="84"/>
        <v>100754.09675421938</v>
      </c>
      <c r="BC202" s="408"/>
      <c r="BD202" s="338">
        <f>+PORTS!I196+PORTS!I504</f>
        <v>1037020.96923347</v>
      </c>
    </row>
    <row r="203" spans="1:56" x14ac:dyDescent="0.2">
      <c r="A203" s="186">
        <f t="shared" si="85"/>
        <v>42339</v>
      </c>
      <c r="B203" s="215">
        <f>+IF(AND($A203&gt;=$C$8,$A203&lt;=$C$9),1,0)*PORTS!$I$5/(365.25)*(A204-A203)</f>
        <v>5339105.9818476336</v>
      </c>
      <c r="C203" s="351">
        <f t="shared" si="64"/>
        <v>0</v>
      </c>
      <c r="D203">
        <f t="shared" si="65"/>
        <v>2015</v>
      </c>
      <c r="E203" s="186">
        <f t="shared" si="86"/>
        <v>42339</v>
      </c>
      <c r="F203" s="215">
        <f t="shared" si="66"/>
        <v>0</v>
      </c>
      <c r="G203" s="191">
        <f t="shared" si="67"/>
        <v>0</v>
      </c>
      <c r="H203" s="218">
        <f t="shared" si="68"/>
        <v>0</v>
      </c>
      <c r="I203" s="118">
        <f t="shared" si="69"/>
        <v>0</v>
      </c>
      <c r="J203" s="215">
        <f t="shared" si="70"/>
        <v>0</v>
      </c>
      <c r="K203" s="202"/>
      <c r="L203" s="186">
        <f t="shared" si="87"/>
        <v>42339</v>
      </c>
      <c r="M203" s="400">
        <f>+J203*(VLOOKUP(L203,CURVECALC!$C$6:$J$312,4,0)+N$5)</f>
        <v>0</v>
      </c>
      <c r="N203" s="208">
        <f>-F203*INDEX(ship_curves,MATCH(L203,'SHIP CURVES'!$A$9:$A$316,0),MATCH(CONCATENATE(P$4,P$5,P$6,P$7),'SHIP CURVES'!$A$9:$AZ$9,0))</f>
        <v>0</v>
      </c>
      <c r="O203" s="209">
        <f>-H203*INDEX(port_processing_fee,MATCH(L203,PORTS!$H$626:$H$933,0),MATCH(P$5,PORTS!$H$626:$Z$626,0))</f>
        <v>0</v>
      </c>
      <c r="P203" s="405">
        <f>(((VLOOKUP(L203,curvecalc,4,0))*IF(F203=0,0,J203/F203)-INDEX(ship_curves,MATCH(L203,'SHIP CURVES'!$A$9:$A$316,0),MATCH(CONCATENATE(P$4,P$5,P$6,P$7),'SHIP CURVES'!$A$9:$Z$9,0))-INDEX(terminal_curves,MATCH(L203,'TERMINAL CURVES'!$A$4:$A$313,0),MATCH(P$5,'TERMINAL CURVES'!$A$4:$N$4,0))*IF(F203=0,0,H203/F203))-(N$8)*((N$7-$N$5)-(INDEX(ship_curves,MATCH(L203,'SHIP CURVES'!$A$9:$A$316,0),MATCH(CONCATENATE(P$4,P$5,P$6,P$7),'SHIP CURVES'!$A$9:$Z$9,0))-INDEX(ship_curves,MATCH(L203,'SHIP CURVES'!$A$9:$A$316,0),MATCH(CONCATENATE(P$4,N$6,P$6,P$7),'SHIP CURVES'!$A$9:$Z$9,0)))-(INDEX(terminal_curves,MATCH(L203,'TERMINAL CURVES'!$A$4:$A$313,0),MATCH(P$5,'TERMINAL CURVES'!$A$4:$N$4,0))-INDEX(terminal_curves,MATCH(L203,'TERMINAL CURVES'!$A$4:$A$313,0),MATCH(N$6,'TERMINAL CURVES'!$A$4:$N$4,0)))*IF(F203=0,0,H203/F203)))*-F203</f>
        <v>0</v>
      </c>
      <c r="Q203" s="403">
        <f t="shared" si="71"/>
        <v>0</v>
      </c>
      <c r="R203" s="338">
        <f>(-H203/((HLOOKUP(P$5,port_specs,2,0)/(365.25))*(L204-L203)))*(INDEX(fixed_capacity_charge,MATCH(L203,PORTS!$H$11:$H$317,0),MATCH(P$5,PORTS!$H$11:$N$11,0))+INDEX(variable_om_charge,MATCH(L203,PORTS!$H$318:$H$625,0),MATCH(P$5,PORTS!$H$318:$N$318,0)))</f>
        <v>0</v>
      </c>
      <c r="S203" s="232">
        <f t="shared" si="72"/>
        <v>0</v>
      </c>
      <c r="T203" s="241">
        <f t="shared" si="73"/>
        <v>0</v>
      </c>
      <c r="V203" s="186">
        <f t="shared" si="88"/>
        <v>42339</v>
      </c>
      <c r="W203" s="215">
        <f t="shared" si="74"/>
        <v>0</v>
      </c>
      <c r="X203" s="191">
        <f t="shared" si="75"/>
        <v>0</v>
      </c>
      <c r="Y203" s="218">
        <f>+IF(AND(X$8&lt;=V203,X$9&gt;=V203),+MIN($B203-SUMIF($H$17:X$17,Y$17,$H203:X203),((INDEX(ROUTE_PER_DAY_BY_SHIP,MATCH(CONCATENATE(X$4,X$5,X$7),ROUTE_PER_DAY_ROUTES,0),MATCH(X$6,ROUTE_PER_DAY_SHIPS,0))*(V204-V203))-(INDEX(ROUTE_PER_DAY_BY_SHIP,MATCH(CONCATENATE(X$4,X$5,X$7),ROUTE_PER_DAY_ROUTES,0),MATCH(X$6,ROUTE_PER_DAY_SHIPS,0))*(V204-V203))*HLOOKUP(X$6,SHIPS,7,0)*INDEX(LADEN_VOYAGE_DAYS,MATCH(CONCATENATE(X$4,X$5,X$7),LADEN_VOYAGE_ROUTES,0),MATCH(X$6,LADEN_VOYAGE_SHIPS,0)))),0)</f>
        <v>0</v>
      </c>
      <c r="Z203" s="118">
        <f t="shared" si="76"/>
        <v>0</v>
      </c>
      <c r="AA203" s="215">
        <f t="shared" si="62"/>
        <v>0</v>
      </c>
      <c r="AB203" s="202"/>
      <c r="AC203" s="186">
        <f t="shared" si="89"/>
        <v>42339</v>
      </c>
      <c r="AD203" s="232">
        <f>+AA203*(VLOOKUP(AC203,CURVECALC!$C$6:$J$312,4,0)+AE$5)</f>
        <v>0</v>
      </c>
      <c r="AE203" s="208">
        <f>-W203*INDEX(ship_curves,MATCH(AC203,'SHIP CURVES'!$A$9:$A$316,0),MATCH(CONCATENATE(AG$4,AG$5,AG$6,AG$7),'SHIP CURVES'!$A$9:$AZ$9,0))</f>
        <v>0</v>
      </c>
      <c r="AF203" s="209">
        <f>-Y203*INDEX(port_processing_fee,MATCH(AC203,PORTS!$H$626:$H$933,0),MATCH(AG$5,PORTS!$H$626:$Z$626,0))</f>
        <v>0</v>
      </c>
      <c r="AG203" s="405">
        <f>(((VLOOKUP(AC203,curvecalc,4,0))*IF(W203=0,0,AA203/W203)-INDEX(ship_curves,MATCH(AC203,'SHIP CURVES'!$A$9:$A$316,0),MATCH(CONCATENATE(AG$4,AG$5,AG$6,AG$7),'SHIP CURVES'!$A$9:$Z$9,0))-INDEX(terminal_curves,MATCH(AC203,'TERMINAL CURVES'!$A$4:$A$313,0),MATCH(AG$5,'TERMINAL CURVES'!$A$4:$N$4,0))*IF(W203=0,0,Y203/W203))-(AE$8)*((AE$7-$N$5)-(INDEX(ship_curves,MATCH(AC203,'SHIP CURVES'!$A$9:$A$316,0),MATCH(CONCATENATE(AG$4,AG$5,AG$6,AG$7),'SHIP CURVES'!$A$9:$Z$9,0))-INDEX(ship_curves,MATCH(AC203,'SHIP CURVES'!$A$9:$A$316,0),MATCH(CONCATENATE(AG$4,AE$6,AG$6,AG$7),'SHIP CURVES'!$A$9:$Z$9,0)))-(INDEX(terminal_curves,MATCH(AC203,'TERMINAL CURVES'!$A$4:$A$313,0),MATCH(AG$5,'TERMINAL CURVES'!$A$4:$N$4,0))-INDEX(terminal_curves,MATCH(AC203,'TERMINAL CURVES'!$A$4:$A$313,0),MATCH(AE$6,'TERMINAL CURVES'!$A$4:$N$4,0)))*IF(W203=0,0,Y203/W203)))*-W203</f>
        <v>0</v>
      </c>
      <c r="AH203" s="343">
        <f t="shared" si="77"/>
        <v>0</v>
      </c>
      <c r="AI203" s="338">
        <f>(-Y203/((HLOOKUP(AG$5,port_specs,2,0)/(365.25))*(AC204-AC203)))*(INDEX(fixed_capacity_charge,MATCH(AC203,PORTS!$H$11:$H$317,0),MATCH(AG$5,PORTS!$H$11:$N$11,0))+INDEX(variable_om_charge,MATCH(AC203,PORTS!$H$318:$H$625,0),MATCH(AG$5,PORTS!$H$318:$N$318,0)))</f>
        <v>0</v>
      </c>
      <c r="AJ203" s="232">
        <f t="shared" si="78"/>
        <v>0</v>
      </c>
      <c r="AK203" s="241">
        <f t="shared" si="79"/>
        <v>0</v>
      </c>
      <c r="AM203" s="186">
        <f t="shared" si="90"/>
        <v>42339</v>
      </c>
      <c r="AN203" s="215">
        <f t="shared" si="80"/>
        <v>5395761.4773599124</v>
      </c>
      <c r="AO203" s="191">
        <f t="shared" si="81"/>
        <v>-56655.495512278751</v>
      </c>
      <c r="AP203" s="218">
        <f>+IF(AND(AO$8&lt;=AM203,AO$9&gt;=AM203),+MIN($B203-SUMIF($H$17:AO$17,AP$17,$H203:AO203),((INDEX(ROUTE_PER_DAY_BY_SHIP,MATCH(CONCATENATE(AO$4,AO$5,AO$7),ROUTE_PER_DAY_ROUTES,0),MATCH(AO$6,ROUTE_PER_DAY_SHIPS,0))*(AM204-AM203))-(INDEX(ROUTE_PER_DAY_BY_SHIP,MATCH(CONCATENATE(AO$4,AO$5,AO$7),ROUTE_PER_DAY_ROUTES,0),MATCH(AO$6,ROUTE_PER_DAY_SHIPS,0))*(AM204-AM203))*HLOOKUP(AO$6,SHIPS,7,0)*INDEX(LADEN_VOYAGE_DAYS,MATCH(CONCATENATE(AO$4,AO$5,AO$7),LADEN_VOYAGE_ROUTES,0),MATCH(AO$6,LADEN_VOYAGE_SHIPS,0)))),0)</f>
        <v>5339105.9818476336</v>
      </c>
      <c r="AQ203" s="118">
        <f>-(AP203)*PORTS!$I$6</f>
        <v>-133477.64954619083</v>
      </c>
      <c r="AR203" s="215">
        <f t="shared" si="63"/>
        <v>5205628.3323014425</v>
      </c>
      <c r="AS203" s="202"/>
      <c r="AT203" s="186">
        <f t="shared" si="91"/>
        <v>42339</v>
      </c>
      <c r="AU203" s="232">
        <f>+AR203*(VLOOKUP(AT203,CURVECALC!$C$6:$J$312,4,0)+AV$5)</f>
        <v>20780868.302547358</v>
      </c>
      <c r="AV203" s="208">
        <f>-AN203*INDEX(ship_curves,MATCH(AT203,'SHIP CURVES'!$A$9:$A$316,0),MATCH(CONCATENATE(AX$4,AX$5,AX$6,AX$7),'SHIP CURVES'!$A$9:$AZ$9,0))</f>
        <v>-1833923.7319469743</v>
      </c>
      <c r="AW203" s="209">
        <f>-AP203*INDEX(port_processing_fee,MATCH(AT203,PORTS!$H$626:$H$933,0),MATCH(AX$5,PORTS!$H$626:$Z$626,0))</f>
        <v>-171470.79689933098</v>
      </c>
      <c r="AX203" s="405">
        <f>(((VLOOKUP(AT203,curvecalc,4,0))*IF(AN203=0,0,AR203/AN203)-INDEX(ship_curves,MATCH(AT203,'SHIP CURVES'!$A$9:$A$316,0),MATCH(CONCATENATE(AX$4,AX$5,AX$6,AX$7),'SHIP CURVES'!$A$9:$Z$9,0))-INDEX(terminal_curves,MATCH(AT203,'TERMINAL CURVES'!$A$4:$A$313,0),MATCH(AX$5,'TERMINAL CURVES'!$A$4:$N$4,0))*IF(AN203=0,0,AP203/AN203))-(AV$8)*((AV$7-$N$5)-(INDEX(ship_curves,MATCH(AT203,'SHIP CURVES'!$A$9:$A$316,0),MATCH(CONCATENATE(AX$4,AX$5,AX$6,AX$7),'SHIP CURVES'!$A$9:$Z$9,0))-INDEX(ship_curves,MATCH(AT203,'SHIP CURVES'!$A$9:$A$316,0),MATCH(CONCATENATE(AX$4,AV$6,AX$6,AX$7),'SHIP CURVES'!$A$9:$Z$9,0)))-(INDEX(terminal_curves,MATCH(AT203,'TERMINAL CURVES'!$A$4:$A$313,0),MATCH(AX$5,'TERMINAL CURVES'!$A$4:$N$4,0))-INDEX(terminal_curves,MATCH(AT203,'TERMINAL CURVES'!$A$4:$A$313,0),MATCH(AV$6,'TERMINAL CURVES'!$A$4:$N$4,0)))*IF(AN203=0,0,AP203/AN203)))*-AN203</f>
        <v>-17633765.410323299</v>
      </c>
      <c r="AY203" s="343">
        <f t="shared" si="82"/>
        <v>-19639159.939169604</v>
      </c>
      <c r="AZ203" s="338">
        <f>(-AP203/((HLOOKUP(AX$5,port_specs,2,0)/(365.25))*(AT204-AT203)))*(INDEX(fixed_capacity_charge,MATCH(AT203,PORTS!$H$11:$H$317,0),MATCH(AX$5,PORTS!$H$11:$N$11,0))+INDEX(variable_om_charge,MATCH(AT203,PORTS!$H$318:$H$625,0),MATCH(AX$5,PORTS!$H$318:$N$318,0)))</f>
        <v>-1037595.7967317253</v>
      </c>
      <c r="BA203" s="232">
        <f t="shared" si="83"/>
        <v>-20676755.73590133</v>
      </c>
      <c r="BB203" s="241">
        <f t="shared" si="84"/>
        <v>104112.56664602831</v>
      </c>
      <c r="BC203" s="408"/>
      <c r="BD203" s="338">
        <f>+PORTS!I197+PORTS!I505</f>
        <v>1037595.7967317253</v>
      </c>
    </row>
    <row r="204" spans="1:56" x14ac:dyDescent="0.2">
      <c r="A204" s="186">
        <f t="shared" si="85"/>
        <v>42370</v>
      </c>
      <c r="B204" s="215">
        <f>+IF(AND($A204&gt;=$C$8,$A204&lt;=$C$9),1,0)*PORTS!$I$5/(365.25)*(A205-A204)</f>
        <v>5339105.9818476336</v>
      </c>
      <c r="C204" s="351">
        <f t="shared" si="64"/>
        <v>0</v>
      </c>
      <c r="D204">
        <f t="shared" si="65"/>
        <v>2016</v>
      </c>
      <c r="E204" s="186">
        <f t="shared" si="86"/>
        <v>42370</v>
      </c>
      <c r="F204" s="215">
        <f t="shared" si="66"/>
        <v>0</v>
      </c>
      <c r="G204" s="191">
        <f t="shared" si="67"/>
        <v>0</v>
      </c>
      <c r="H204" s="218">
        <f t="shared" si="68"/>
        <v>0</v>
      </c>
      <c r="I204" s="118">
        <f t="shared" si="69"/>
        <v>0</v>
      </c>
      <c r="J204" s="215">
        <f t="shared" si="70"/>
        <v>0</v>
      </c>
      <c r="K204" s="202"/>
      <c r="L204" s="186">
        <f t="shared" si="87"/>
        <v>42370</v>
      </c>
      <c r="M204" s="400">
        <f>+J204*(VLOOKUP(L204,CURVECALC!$C$6:$J$312,4,0)+N$5)</f>
        <v>0</v>
      </c>
      <c r="N204" s="208">
        <f>-F204*INDEX(ship_curves,MATCH(L204,'SHIP CURVES'!$A$9:$A$316,0),MATCH(CONCATENATE(P$4,P$5,P$6,P$7),'SHIP CURVES'!$A$9:$AZ$9,0))</f>
        <v>0</v>
      </c>
      <c r="O204" s="209">
        <f>-H204*INDEX(port_processing_fee,MATCH(L204,PORTS!$H$626:$H$933,0),MATCH(P$5,PORTS!$H$626:$Z$626,0))</f>
        <v>0</v>
      </c>
      <c r="P204" s="405">
        <f>(((VLOOKUP(L204,curvecalc,4,0))*IF(F204=0,0,J204/F204)-INDEX(ship_curves,MATCH(L204,'SHIP CURVES'!$A$9:$A$316,0),MATCH(CONCATENATE(P$4,P$5,P$6,P$7),'SHIP CURVES'!$A$9:$Z$9,0))-INDEX(terminal_curves,MATCH(L204,'TERMINAL CURVES'!$A$4:$A$313,0),MATCH(P$5,'TERMINAL CURVES'!$A$4:$N$4,0))*IF(F204=0,0,H204/F204))-(N$8)*((N$7-$N$5)-(INDEX(ship_curves,MATCH(L204,'SHIP CURVES'!$A$9:$A$316,0),MATCH(CONCATENATE(P$4,P$5,P$6,P$7),'SHIP CURVES'!$A$9:$Z$9,0))-INDEX(ship_curves,MATCH(L204,'SHIP CURVES'!$A$9:$A$316,0),MATCH(CONCATENATE(P$4,N$6,P$6,P$7),'SHIP CURVES'!$A$9:$Z$9,0)))-(INDEX(terminal_curves,MATCH(L204,'TERMINAL CURVES'!$A$4:$A$313,0),MATCH(P$5,'TERMINAL CURVES'!$A$4:$N$4,0))-INDEX(terminal_curves,MATCH(L204,'TERMINAL CURVES'!$A$4:$A$313,0),MATCH(N$6,'TERMINAL CURVES'!$A$4:$N$4,0)))*IF(F204=0,0,H204/F204)))*-F204</f>
        <v>0</v>
      </c>
      <c r="Q204" s="403">
        <f t="shared" si="71"/>
        <v>0</v>
      </c>
      <c r="R204" s="338">
        <f>(-H204/((HLOOKUP(P$5,port_specs,2,0)/(365.25))*(L205-L204)))*(INDEX(fixed_capacity_charge,MATCH(L204,PORTS!$H$11:$H$317,0),MATCH(P$5,PORTS!$H$11:$N$11,0))+INDEX(variable_om_charge,MATCH(L204,PORTS!$H$318:$H$625,0),MATCH(P$5,PORTS!$H$318:$N$318,0)))</f>
        <v>0</v>
      </c>
      <c r="S204" s="232">
        <f t="shared" si="72"/>
        <v>0</v>
      </c>
      <c r="T204" s="241">
        <f t="shared" si="73"/>
        <v>0</v>
      </c>
      <c r="V204" s="186">
        <f t="shared" si="88"/>
        <v>42370</v>
      </c>
      <c r="W204" s="215">
        <f t="shared" si="74"/>
        <v>0</v>
      </c>
      <c r="X204" s="191">
        <f t="shared" si="75"/>
        <v>0</v>
      </c>
      <c r="Y204" s="218">
        <f>+IF(AND(X$8&lt;=V204,X$9&gt;=V204),+MIN($B204-SUMIF($H$17:X$17,Y$17,$H204:X204),((INDEX(ROUTE_PER_DAY_BY_SHIP,MATCH(CONCATENATE(X$4,X$5,X$7),ROUTE_PER_DAY_ROUTES,0),MATCH(X$6,ROUTE_PER_DAY_SHIPS,0))*(V205-V204))-(INDEX(ROUTE_PER_DAY_BY_SHIP,MATCH(CONCATENATE(X$4,X$5,X$7),ROUTE_PER_DAY_ROUTES,0),MATCH(X$6,ROUTE_PER_DAY_SHIPS,0))*(V205-V204))*HLOOKUP(X$6,SHIPS,7,0)*INDEX(LADEN_VOYAGE_DAYS,MATCH(CONCATENATE(X$4,X$5,X$7),LADEN_VOYAGE_ROUTES,0),MATCH(X$6,LADEN_VOYAGE_SHIPS,0)))),0)</f>
        <v>0</v>
      </c>
      <c r="Z204" s="118">
        <f t="shared" si="76"/>
        <v>0</v>
      </c>
      <c r="AA204" s="215">
        <f t="shared" si="62"/>
        <v>0</v>
      </c>
      <c r="AB204" s="202"/>
      <c r="AC204" s="186">
        <f t="shared" si="89"/>
        <v>42370</v>
      </c>
      <c r="AD204" s="232">
        <f>+AA204*(VLOOKUP(AC204,CURVECALC!$C$6:$J$312,4,0)+AE$5)</f>
        <v>0</v>
      </c>
      <c r="AE204" s="208">
        <f>-W204*INDEX(ship_curves,MATCH(AC204,'SHIP CURVES'!$A$9:$A$316,0),MATCH(CONCATENATE(AG$4,AG$5,AG$6,AG$7),'SHIP CURVES'!$A$9:$AZ$9,0))</f>
        <v>0</v>
      </c>
      <c r="AF204" s="209">
        <f>-Y204*INDEX(port_processing_fee,MATCH(AC204,PORTS!$H$626:$H$933,0),MATCH(AG$5,PORTS!$H$626:$Z$626,0))</f>
        <v>0</v>
      </c>
      <c r="AG204" s="405">
        <f>(((VLOOKUP(AC204,curvecalc,4,0))*IF(W204=0,0,AA204/W204)-INDEX(ship_curves,MATCH(AC204,'SHIP CURVES'!$A$9:$A$316,0),MATCH(CONCATENATE(AG$4,AG$5,AG$6,AG$7),'SHIP CURVES'!$A$9:$Z$9,0))-INDEX(terminal_curves,MATCH(AC204,'TERMINAL CURVES'!$A$4:$A$313,0),MATCH(AG$5,'TERMINAL CURVES'!$A$4:$N$4,0))*IF(W204=0,0,Y204/W204))-(AE$8)*((AE$7-$N$5)-(INDEX(ship_curves,MATCH(AC204,'SHIP CURVES'!$A$9:$A$316,0),MATCH(CONCATENATE(AG$4,AG$5,AG$6,AG$7),'SHIP CURVES'!$A$9:$Z$9,0))-INDEX(ship_curves,MATCH(AC204,'SHIP CURVES'!$A$9:$A$316,0),MATCH(CONCATENATE(AG$4,AE$6,AG$6,AG$7),'SHIP CURVES'!$A$9:$Z$9,0)))-(INDEX(terminal_curves,MATCH(AC204,'TERMINAL CURVES'!$A$4:$A$313,0),MATCH(AG$5,'TERMINAL CURVES'!$A$4:$N$4,0))-INDEX(terminal_curves,MATCH(AC204,'TERMINAL CURVES'!$A$4:$A$313,0),MATCH(AE$6,'TERMINAL CURVES'!$A$4:$N$4,0)))*IF(W204=0,0,Y204/W204)))*-W204</f>
        <v>0</v>
      </c>
      <c r="AH204" s="343">
        <f t="shared" si="77"/>
        <v>0</v>
      </c>
      <c r="AI204" s="338">
        <f>(-Y204/((HLOOKUP(AG$5,port_specs,2,0)/(365.25))*(AC205-AC204)))*(INDEX(fixed_capacity_charge,MATCH(AC204,PORTS!$H$11:$H$317,0),MATCH(AG$5,PORTS!$H$11:$N$11,0))+INDEX(variable_om_charge,MATCH(AC204,PORTS!$H$318:$H$625,0),MATCH(AG$5,PORTS!$H$318:$N$318,0)))</f>
        <v>0</v>
      </c>
      <c r="AJ204" s="232">
        <f t="shared" si="78"/>
        <v>0</v>
      </c>
      <c r="AK204" s="241">
        <f t="shared" si="79"/>
        <v>0</v>
      </c>
      <c r="AM204" s="186">
        <f t="shared" si="90"/>
        <v>42370</v>
      </c>
      <c r="AN204" s="215">
        <f t="shared" si="80"/>
        <v>5395761.4773599124</v>
      </c>
      <c r="AO204" s="191">
        <f t="shared" si="81"/>
        <v>-56655.495512278751</v>
      </c>
      <c r="AP204" s="218">
        <f>+IF(AND(AO$8&lt;=AM204,AO$9&gt;=AM204),+MIN($B204-SUMIF($H$17:AO$17,AP$17,$H204:AO204),((INDEX(ROUTE_PER_DAY_BY_SHIP,MATCH(CONCATENATE(AO$4,AO$5,AO$7),ROUTE_PER_DAY_ROUTES,0),MATCH(AO$6,ROUTE_PER_DAY_SHIPS,0))*(AM205-AM204))-(INDEX(ROUTE_PER_DAY_BY_SHIP,MATCH(CONCATENATE(AO$4,AO$5,AO$7),ROUTE_PER_DAY_ROUTES,0),MATCH(AO$6,ROUTE_PER_DAY_SHIPS,0))*(AM205-AM204))*HLOOKUP(AO$6,SHIPS,7,0)*INDEX(LADEN_VOYAGE_DAYS,MATCH(CONCATENATE(AO$4,AO$5,AO$7),LADEN_VOYAGE_ROUTES,0),MATCH(AO$6,LADEN_VOYAGE_SHIPS,0)))),0)</f>
        <v>5339105.9818476336</v>
      </c>
      <c r="AQ204" s="118">
        <f>-(AP204)*PORTS!$I$6</f>
        <v>-133477.64954619083</v>
      </c>
      <c r="AR204" s="215">
        <f t="shared" si="63"/>
        <v>5205628.3323014425</v>
      </c>
      <c r="AS204" s="202"/>
      <c r="AT204" s="186">
        <f t="shared" si="91"/>
        <v>42370</v>
      </c>
      <c r="AU204" s="232">
        <f>+AR204*(VLOOKUP(AT204,CURVECALC!$C$6:$J$312,4,0)+AV$5)</f>
        <v>21790760.199013837</v>
      </c>
      <c r="AV204" s="208">
        <f>-AN204*INDEX(ship_curves,MATCH(AT204,'SHIP CURVES'!$A$9:$A$316,0),MATCH(CONCATENATE(AX$4,AX$5,AX$6,AX$7),'SHIP CURVES'!$A$9:$AZ$9,0))</f>
        <v>-1834548.7236239135</v>
      </c>
      <c r="AW204" s="209">
        <f>-AP204*INDEX(port_processing_fee,MATCH(AT204,PORTS!$H$626:$H$933,0),MATCH(AX$5,PORTS!$H$626:$Z$626,0))</f>
        <v>-171649.41231276773</v>
      </c>
      <c r="AX204" s="405">
        <f>(((VLOOKUP(AT204,curvecalc,4,0))*IF(AN204=0,0,AR204/AN204)-INDEX(ship_curves,MATCH(AT204,'SHIP CURVES'!$A$9:$A$316,0),MATCH(CONCATENATE(AX$4,AX$5,AX$6,AX$7),'SHIP CURVES'!$A$9:$Z$9,0))-INDEX(terminal_curves,MATCH(AT204,'TERMINAL CURVES'!$A$4:$A$313,0),MATCH(AX$5,'TERMINAL CURVES'!$A$4:$N$4,0))*IF(AN204=0,0,AP204/AN204))-(AV$8)*((AV$7-$N$5)-(INDEX(ship_curves,MATCH(AT204,'SHIP CURVES'!$A$9:$A$316,0),MATCH(CONCATENATE(AX$4,AX$5,AX$6,AX$7),'SHIP CURVES'!$A$9:$Z$9,0))-INDEX(ship_curves,MATCH(AT204,'SHIP CURVES'!$A$9:$A$316,0),MATCH(CONCATENATE(AX$4,AV$6,AX$6,AX$7),'SHIP CURVES'!$A$9:$Z$9,0)))-(INDEX(terminal_curves,MATCH(AT204,'TERMINAL CURVES'!$A$4:$A$313,0),MATCH(AX$5,'TERMINAL CURVES'!$A$4:$N$4,0))-INDEX(terminal_curves,MATCH(AT204,'TERMINAL CURVES'!$A$4:$A$313,0),MATCH(AV$6,'TERMINAL CURVES'!$A$4:$N$4,0)))*IF(AN204=0,0,AP204/AN204)))*-AN204</f>
        <v>-18642278.273422506</v>
      </c>
      <c r="AY204" s="343">
        <f t="shared" si="82"/>
        <v>-20648476.409359187</v>
      </c>
      <c r="AZ204" s="338">
        <f>(-AP204/((HLOOKUP(AX$5,port_specs,2,0)/(365.25))*(AT205-AT204)))*(INDEX(fixed_capacity_charge,MATCH(AT204,PORTS!$H$11:$H$317,0),MATCH(AX$5,PORTS!$H$11:$N$11,0))+INDEX(variable_om_charge,MATCH(AT204,PORTS!$H$318:$H$625,0),MATCH(AX$5,PORTS!$H$318:$N$318,0)))</f>
        <v>-1038171.2230086245</v>
      </c>
      <c r="BA204" s="232">
        <f t="shared" si="83"/>
        <v>-21686647.632367812</v>
      </c>
      <c r="BB204" s="241">
        <f t="shared" si="84"/>
        <v>104112.56664602458</v>
      </c>
      <c r="BC204" s="408"/>
      <c r="BD204" s="338">
        <f>+PORTS!I198+PORTS!I506</f>
        <v>1038171.2230086245</v>
      </c>
    </row>
    <row r="205" spans="1:56" x14ac:dyDescent="0.2">
      <c r="A205" s="186">
        <f t="shared" si="85"/>
        <v>42401</v>
      </c>
      <c r="B205" s="215">
        <f>+IF(AND($A205&gt;=$C$8,$A205&lt;=$C$9),1,0)*PORTS!$I$5/(365.25)*(A206-A205)</f>
        <v>4994647.5314058512</v>
      </c>
      <c r="C205" s="351">
        <f t="shared" si="64"/>
        <v>0</v>
      </c>
      <c r="D205">
        <f t="shared" si="65"/>
        <v>2016</v>
      </c>
      <c r="E205" s="186">
        <f t="shared" si="86"/>
        <v>42401</v>
      </c>
      <c r="F205" s="215">
        <f t="shared" si="66"/>
        <v>0</v>
      </c>
      <c r="G205" s="191">
        <f t="shared" si="67"/>
        <v>0</v>
      </c>
      <c r="H205" s="218">
        <f t="shared" si="68"/>
        <v>0</v>
      </c>
      <c r="I205" s="118">
        <f t="shared" si="69"/>
        <v>0</v>
      </c>
      <c r="J205" s="215">
        <f t="shared" si="70"/>
        <v>0</v>
      </c>
      <c r="K205" s="202"/>
      <c r="L205" s="186">
        <f t="shared" si="87"/>
        <v>42401</v>
      </c>
      <c r="M205" s="400">
        <f>+J205*(VLOOKUP(L205,CURVECALC!$C$6:$J$312,4,0)+N$5)</f>
        <v>0</v>
      </c>
      <c r="N205" s="208">
        <f>-F205*INDEX(ship_curves,MATCH(L205,'SHIP CURVES'!$A$9:$A$316,0),MATCH(CONCATENATE(P$4,P$5,P$6,P$7),'SHIP CURVES'!$A$9:$AZ$9,0))</f>
        <v>0</v>
      </c>
      <c r="O205" s="209">
        <f>-H205*INDEX(port_processing_fee,MATCH(L205,PORTS!$H$626:$H$933,0),MATCH(P$5,PORTS!$H$626:$Z$626,0))</f>
        <v>0</v>
      </c>
      <c r="P205" s="405">
        <f>(((VLOOKUP(L205,curvecalc,4,0))*IF(F205=0,0,J205/F205)-INDEX(ship_curves,MATCH(L205,'SHIP CURVES'!$A$9:$A$316,0),MATCH(CONCATENATE(P$4,P$5,P$6,P$7),'SHIP CURVES'!$A$9:$Z$9,0))-INDEX(terminal_curves,MATCH(L205,'TERMINAL CURVES'!$A$4:$A$313,0),MATCH(P$5,'TERMINAL CURVES'!$A$4:$N$4,0))*IF(F205=0,0,H205/F205))-(N$8)*((N$7-$N$5)-(INDEX(ship_curves,MATCH(L205,'SHIP CURVES'!$A$9:$A$316,0),MATCH(CONCATENATE(P$4,P$5,P$6,P$7),'SHIP CURVES'!$A$9:$Z$9,0))-INDEX(ship_curves,MATCH(L205,'SHIP CURVES'!$A$9:$A$316,0),MATCH(CONCATENATE(P$4,N$6,P$6,P$7),'SHIP CURVES'!$A$9:$Z$9,0)))-(INDEX(terminal_curves,MATCH(L205,'TERMINAL CURVES'!$A$4:$A$313,0),MATCH(P$5,'TERMINAL CURVES'!$A$4:$N$4,0))-INDEX(terminal_curves,MATCH(L205,'TERMINAL CURVES'!$A$4:$A$313,0),MATCH(N$6,'TERMINAL CURVES'!$A$4:$N$4,0)))*IF(F205=0,0,H205/F205)))*-F205</f>
        <v>0</v>
      </c>
      <c r="Q205" s="403">
        <f t="shared" si="71"/>
        <v>0</v>
      </c>
      <c r="R205" s="338">
        <f>(-H205/((HLOOKUP(P$5,port_specs,2,0)/(365.25))*(L206-L205)))*(INDEX(fixed_capacity_charge,MATCH(L205,PORTS!$H$11:$H$317,0),MATCH(P$5,PORTS!$H$11:$N$11,0))+INDEX(variable_om_charge,MATCH(L205,PORTS!$H$318:$H$625,0),MATCH(P$5,PORTS!$H$318:$N$318,0)))</f>
        <v>0</v>
      </c>
      <c r="S205" s="232">
        <f t="shared" si="72"/>
        <v>0</v>
      </c>
      <c r="T205" s="241">
        <f t="shared" si="73"/>
        <v>0</v>
      </c>
      <c r="V205" s="186">
        <f t="shared" si="88"/>
        <v>42401</v>
      </c>
      <c r="W205" s="215">
        <f t="shared" si="74"/>
        <v>0</v>
      </c>
      <c r="X205" s="191">
        <f t="shared" si="75"/>
        <v>0</v>
      </c>
      <c r="Y205" s="218">
        <f>+IF(AND(X$8&lt;=V205,X$9&gt;=V205),+MIN($B205-SUMIF($H$17:X$17,Y$17,$H205:X205),((INDEX(ROUTE_PER_DAY_BY_SHIP,MATCH(CONCATENATE(X$4,X$5,X$7),ROUTE_PER_DAY_ROUTES,0),MATCH(X$6,ROUTE_PER_DAY_SHIPS,0))*(V206-V205))-(INDEX(ROUTE_PER_DAY_BY_SHIP,MATCH(CONCATENATE(X$4,X$5,X$7),ROUTE_PER_DAY_ROUTES,0),MATCH(X$6,ROUTE_PER_DAY_SHIPS,0))*(V206-V205))*HLOOKUP(X$6,SHIPS,7,0)*INDEX(LADEN_VOYAGE_DAYS,MATCH(CONCATENATE(X$4,X$5,X$7),LADEN_VOYAGE_ROUTES,0),MATCH(X$6,LADEN_VOYAGE_SHIPS,0)))),0)</f>
        <v>0</v>
      </c>
      <c r="Z205" s="118">
        <f t="shared" si="76"/>
        <v>0</v>
      </c>
      <c r="AA205" s="215">
        <f t="shared" si="62"/>
        <v>0</v>
      </c>
      <c r="AB205" s="202"/>
      <c r="AC205" s="186">
        <f t="shared" si="89"/>
        <v>42401</v>
      </c>
      <c r="AD205" s="232">
        <f>+AA205*(VLOOKUP(AC205,CURVECALC!$C$6:$J$312,4,0)+AE$5)</f>
        <v>0</v>
      </c>
      <c r="AE205" s="208">
        <f>-W205*INDEX(ship_curves,MATCH(AC205,'SHIP CURVES'!$A$9:$A$316,0),MATCH(CONCATENATE(AG$4,AG$5,AG$6,AG$7),'SHIP CURVES'!$A$9:$AZ$9,0))</f>
        <v>0</v>
      </c>
      <c r="AF205" s="209">
        <f>-Y205*INDEX(port_processing_fee,MATCH(AC205,PORTS!$H$626:$H$933,0),MATCH(AG$5,PORTS!$H$626:$Z$626,0))</f>
        <v>0</v>
      </c>
      <c r="AG205" s="405">
        <f>(((VLOOKUP(AC205,curvecalc,4,0))*IF(W205=0,0,AA205/W205)-INDEX(ship_curves,MATCH(AC205,'SHIP CURVES'!$A$9:$A$316,0),MATCH(CONCATENATE(AG$4,AG$5,AG$6,AG$7),'SHIP CURVES'!$A$9:$Z$9,0))-INDEX(terminal_curves,MATCH(AC205,'TERMINAL CURVES'!$A$4:$A$313,0),MATCH(AG$5,'TERMINAL CURVES'!$A$4:$N$4,0))*IF(W205=0,0,Y205/W205))-(AE$8)*((AE$7-$N$5)-(INDEX(ship_curves,MATCH(AC205,'SHIP CURVES'!$A$9:$A$316,0),MATCH(CONCATENATE(AG$4,AG$5,AG$6,AG$7),'SHIP CURVES'!$A$9:$Z$9,0))-INDEX(ship_curves,MATCH(AC205,'SHIP CURVES'!$A$9:$A$316,0),MATCH(CONCATENATE(AG$4,AE$6,AG$6,AG$7),'SHIP CURVES'!$A$9:$Z$9,0)))-(INDEX(terminal_curves,MATCH(AC205,'TERMINAL CURVES'!$A$4:$A$313,0),MATCH(AG$5,'TERMINAL CURVES'!$A$4:$N$4,0))-INDEX(terminal_curves,MATCH(AC205,'TERMINAL CURVES'!$A$4:$A$313,0),MATCH(AE$6,'TERMINAL CURVES'!$A$4:$N$4,0)))*IF(W205=0,0,Y205/W205)))*-W205</f>
        <v>0</v>
      </c>
      <c r="AH205" s="343">
        <f t="shared" si="77"/>
        <v>0</v>
      </c>
      <c r="AI205" s="338">
        <f>(-Y205/((HLOOKUP(AG$5,port_specs,2,0)/(365.25))*(AC206-AC205)))*(INDEX(fixed_capacity_charge,MATCH(AC205,PORTS!$H$11:$H$317,0),MATCH(AG$5,PORTS!$H$11:$N$11,0))+INDEX(variable_om_charge,MATCH(AC205,PORTS!$H$318:$H$625,0),MATCH(AG$5,PORTS!$H$318:$N$318,0)))</f>
        <v>0</v>
      </c>
      <c r="AJ205" s="232">
        <f t="shared" si="78"/>
        <v>0</v>
      </c>
      <c r="AK205" s="241">
        <f t="shared" si="79"/>
        <v>0</v>
      </c>
      <c r="AM205" s="186">
        <f t="shared" si="90"/>
        <v>42401</v>
      </c>
      <c r="AN205" s="215">
        <f t="shared" si="80"/>
        <v>5047647.8336592736</v>
      </c>
      <c r="AO205" s="191">
        <f t="shared" si="81"/>
        <v>-53000.302253422327</v>
      </c>
      <c r="AP205" s="218">
        <f>+IF(AND(AO$8&lt;=AM205,AO$9&gt;=AM205),+MIN($B205-SUMIF($H$17:AO$17,AP$17,$H205:AO205),((INDEX(ROUTE_PER_DAY_BY_SHIP,MATCH(CONCATENATE(AO$4,AO$5,AO$7),ROUTE_PER_DAY_ROUTES,0),MATCH(AO$6,ROUTE_PER_DAY_SHIPS,0))*(AM206-AM205))-(INDEX(ROUTE_PER_DAY_BY_SHIP,MATCH(CONCATENATE(AO$4,AO$5,AO$7),ROUTE_PER_DAY_ROUTES,0),MATCH(AO$6,ROUTE_PER_DAY_SHIPS,0))*(AM206-AM205))*HLOOKUP(AO$6,SHIPS,7,0)*INDEX(LADEN_VOYAGE_DAYS,MATCH(CONCATENATE(AO$4,AO$5,AO$7),LADEN_VOYAGE_ROUTES,0),MATCH(AO$6,LADEN_VOYAGE_SHIPS,0)))),0)</f>
        <v>4994647.5314058512</v>
      </c>
      <c r="AQ205" s="118">
        <f>-(AP205)*PORTS!$I$6</f>
        <v>-124866.18828514629</v>
      </c>
      <c r="AR205" s="215">
        <f t="shared" si="63"/>
        <v>4869781.3431207053</v>
      </c>
      <c r="AS205" s="202"/>
      <c r="AT205" s="186">
        <f t="shared" si="91"/>
        <v>42401</v>
      </c>
      <c r="AU205" s="232">
        <f>+AR205*(VLOOKUP(AT205,CURVECALC!$C$6:$J$312,4,0)+AV$5)</f>
        <v>20005061.757539857</v>
      </c>
      <c r="AV205" s="208">
        <f>-AN205*INDEX(ship_curves,MATCH(AT205,'SHIP CURVES'!$A$9:$A$316,0),MATCH(CONCATENATE(AX$4,AX$5,AX$6,AX$7),'SHIP CURVES'!$A$9:$AZ$9,0))</f>
        <v>-1716776.6291496304</v>
      </c>
      <c r="AW205" s="209">
        <f>-AP205*INDEX(port_processing_fee,MATCH(AT205,PORTS!$H$626:$H$933,0),MATCH(AX$5,PORTS!$H$626:$Z$626,0))</f>
        <v>-160742.52257206061</v>
      </c>
      <c r="AX205" s="405">
        <f>(((VLOOKUP(AT205,curvecalc,4,0))*IF(AN205=0,0,AR205/AN205)-INDEX(ship_curves,MATCH(AT205,'SHIP CURVES'!$A$9:$A$316,0),MATCH(CONCATENATE(AX$4,AX$5,AX$6,AX$7),'SHIP CURVES'!$A$9:$Z$9,0))-INDEX(terminal_curves,MATCH(AT205,'TERMINAL CURVES'!$A$4:$A$313,0),MATCH(AX$5,'TERMINAL CURVES'!$A$4:$N$4,0))*IF(AN205=0,0,AP205/AN205))-(AV$8)*((AV$7-$N$5)-(INDEX(ship_curves,MATCH(AT205,'SHIP CURVES'!$A$9:$A$316,0),MATCH(CONCATENATE(AX$4,AX$5,AX$6,AX$7),'SHIP CURVES'!$A$9:$Z$9,0))-INDEX(ship_curves,MATCH(AT205,'SHIP CURVES'!$A$9:$A$316,0),MATCH(CONCATENATE(AX$4,AV$6,AX$6,AX$7),'SHIP CURVES'!$A$9:$Z$9,0)))-(INDEX(terminal_curves,MATCH(AT205,'TERMINAL CURVES'!$A$4:$A$313,0),MATCH(AX$5,'TERMINAL CURVES'!$A$4:$N$4,0))-INDEX(terminal_curves,MATCH(AT205,'TERMINAL CURVES'!$A$4:$A$313,0),MATCH(AV$6,'TERMINAL CURVES'!$A$4:$N$4,0)))*IF(AN205=0,0,AP205/AN205)))*-AN205</f>
        <v>-16991399.730267856</v>
      </c>
      <c r="AY205" s="343">
        <f t="shared" si="82"/>
        <v>-18868918.881989546</v>
      </c>
      <c r="AZ205" s="338">
        <f>(-AP205/((HLOOKUP(AX$5,port_specs,2,0)/(365.25))*(AT206-AT205)))*(INDEX(fixed_capacity_charge,MATCH(AT205,PORTS!$H$11:$H$317,0),MATCH(AX$5,PORTS!$H$11:$N$11,0))+INDEX(variable_om_charge,MATCH(AT205,PORTS!$H$318:$H$625,0),MATCH(AX$5,PORTS!$H$318:$N$318,0)))</f>
        <v>-1038747.2486878957</v>
      </c>
      <c r="BA205" s="232">
        <f t="shared" si="83"/>
        <v>-19907666.130677443</v>
      </c>
      <c r="BB205" s="241">
        <f t="shared" si="84"/>
        <v>97395.626862414181</v>
      </c>
      <c r="BC205" s="408"/>
      <c r="BD205" s="338">
        <f>+PORTS!I199+PORTS!I507</f>
        <v>1038747.2486878957</v>
      </c>
    </row>
    <row r="206" spans="1:56" x14ac:dyDescent="0.2">
      <c r="A206" s="186">
        <f t="shared" si="85"/>
        <v>42430</v>
      </c>
      <c r="B206" s="215">
        <f>+IF(AND($A206&gt;=$C$8,$A206&lt;=$C$9),1,0)*PORTS!$I$5/(365.25)*(A207-A206)</f>
        <v>5339105.9818476336</v>
      </c>
      <c r="C206" s="351">
        <f t="shared" si="64"/>
        <v>0</v>
      </c>
      <c r="D206">
        <f t="shared" si="65"/>
        <v>2016</v>
      </c>
      <c r="E206" s="186">
        <f t="shared" si="86"/>
        <v>42430</v>
      </c>
      <c r="F206" s="215">
        <f t="shared" si="66"/>
        <v>0</v>
      </c>
      <c r="G206" s="191">
        <f t="shared" si="67"/>
        <v>0</v>
      </c>
      <c r="H206" s="218">
        <f t="shared" si="68"/>
        <v>0</v>
      </c>
      <c r="I206" s="118">
        <f t="shared" si="69"/>
        <v>0</v>
      </c>
      <c r="J206" s="215">
        <f t="shared" si="70"/>
        <v>0</v>
      </c>
      <c r="K206" s="202"/>
      <c r="L206" s="186">
        <f t="shared" si="87"/>
        <v>42430</v>
      </c>
      <c r="M206" s="400">
        <f>+J206*(VLOOKUP(L206,CURVECALC!$C$6:$J$312,4,0)+N$5)</f>
        <v>0</v>
      </c>
      <c r="N206" s="208">
        <f>-F206*INDEX(ship_curves,MATCH(L206,'SHIP CURVES'!$A$9:$A$316,0),MATCH(CONCATENATE(P$4,P$5,P$6,P$7),'SHIP CURVES'!$A$9:$AZ$9,0))</f>
        <v>0</v>
      </c>
      <c r="O206" s="209">
        <f>-H206*INDEX(port_processing_fee,MATCH(L206,PORTS!$H$626:$H$933,0),MATCH(P$5,PORTS!$H$626:$Z$626,0))</f>
        <v>0</v>
      </c>
      <c r="P206" s="405">
        <f>(((VLOOKUP(L206,curvecalc,4,0))*IF(F206=0,0,J206/F206)-INDEX(ship_curves,MATCH(L206,'SHIP CURVES'!$A$9:$A$316,0),MATCH(CONCATENATE(P$4,P$5,P$6,P$7),'SHIP CURVES'!$A$9:$Z$9,0))-INDEX(terminal_curves,MATCH(L206,'TERMINAL CURVES'!$A$4:$A$313,0),MATCH(P$5,'TERMINAL CURVES'!$A$4:$N$4,0))*IF(F206=0,0,H206/F206))-(N$8)*((N$7-$N$5)-(INDEX(ship_curves,MATCH(L206,'SHIP CURVES'!$A$9:$A$316,0),MATCH(CONCATENATE(P$4,P$5,P$6,P$7),'SHIP CURVES'!$A$9:$Z$9,0))-INDEX(ship_curves,MATCH(L206,'SHIP CURVES'!$A$9:$A$316,0),MATCH(CONCATENATE(P$4,N$6,P$6,P$7),'SHIP CURVES'!$A$9:$Z$9,0)))-(INDEX(terminal_curves,MATCH(L206,'TERMINAL CURVES'!$A$4:$A$313,0),MATCH(P$5,'TERMINAL CURVES'!$A$4:$N$4,0))-INDEX(terminal_curves,MATCH(L206,'TERMINAL CURVES'!$A$4:$A$313,0),MATCH(N$6,'TERMINAL CURVES'!$A$4:$N$4,0)))*IF(F206=0,0,H206/F206)))*-F206</f>
        <v>0</v>
      </c>
      <c r="Q206" s="403">
        <f t="shared" si="71"/>
        <v>0</v>
      </c>
      <c r="R206" s="338">
        <f>(-H206/((HLOOKUP(P$5,port_specs,2,0)/(365.25))*(L207-L206)))*(INDEX(fixed_capacity_charge,MATCH(L206,PORTS!$H$11:$H$317,0),MATCH(P$5,PORTS!$H$11:$N$11,0))+INDEX(variable_om_charge,MATCH(L206,PORTS!$H$318:$H$625,0),MATCH(P$5,PORTS!$H$318:$N$318,0)))</f>
        <v>0</v>
      </c>
      <c r="S206" s="232">
        <f t="shared" si="72"/>
        <v>0</v>
      </c>
      <c r="T206" s="241">
        <f t="shared" si="73"/>
        <v>0</v>
      </c>
      <c r="V206" s="186">
        <f t="shared" si="88"/>
        <v>42430</v>
      </c>
      <c r="W206" s="215">
        <f t="shared" si="74"/>
        <v>0</v>
      </c>
      <c r="X206" s="191">
        <f t="shared" si="75"/>
        <v>0</v>
      </c>
      <c r="Y206" s="218">
        <f>+IF(AND(X$8&lt;=V206,X$9&gt;=V206),+MIN($B206-SUMIF($H$17:X$17,Y$17,$H206:X206),((INDEX(ROUTE_PER_DAY_BY_SHIP,MATCH(CONCATENATE(X$4,X$5,X$7),ROUTE_PER_DAY_ROUTES,0),MATCH(X$6,ROUTE_PER_DAY_SHIPS,0))*(V207-V206))-(INDEX(ROUTE_PER_DAY_BY_SHIP,MATCH(CONCATENATE(X$4,X$5,X$7),ROUTE_PER_DAY_ROUTES,0),MATCH(X$6,ROUTE_PER_DAY_SHIPS,0))*(V207-V206))*HLOOKUP(X$6,SHIPS,7,0)*INDEX(LADEN_VOYAGE_DAYS,MATCH(CONCATENATE(X$4,X$5,X$7),LADEN_VOYAGE_ROUTES,0),MATCH(X$6,LADEN_VOYAGE_SHIPS,0)))),0)</f>
        <v>0</v>
      </c>
      <c r="Z206" s="118">
        <f t="shared" si="76"/>
        <v>0</v>
      </c>
      <c r="AA206" s="215">
        <f t="shared" si="62"/>
        <v>0</v>
      </c>
      <c r="AB206" s="202"/>
      <c r="AC206" s="186">
        <f t="shared" si="89"/>
        <v>42430</v>
      </c>
      <c r="AD206" s="232">
        <f>+AA206*(VLOOKUP(AC206,CURVECALC!$C$6:$J$312,4,0)+AE$5)</f>
        <v>0</v>
      </c>
      <c r="AE206" s="208">
        <f>-W206*INDEX(ship_curves,MATCH(AC206,'SHIP CURVES'!$A$9:$A$316,0),MATCH(CONCATENATE(AG$4,AG$5,AG$6,AG$7),'SHIP CURVES'!$A$9:$AZ$9,0))</f>
        <v>0</v>
      </c>
      <c r="AF206" s="209">
        <f>-Y206*INDEX(port_processing_fee,MATCH(AC206,PORTS!$H$626:$H$933,0),MATCH(AG$5,PORTS!$H$626:$Z$626,0))</f>
        <v>0</v>
      </c>
      <c r="AG206" s="405">
        <f>(((VLOOKUP(AC206,curvecalc,4,0))*IF(W206=0,0,AA206/W206)-INDEX(ship_curves,MATCH(AC206,'SHIP CURVES'!$A$9:$A$316,0),MATCH(CONCATENATE(AG$4,AG$5,AG$6,AG$7),'SHIP CURVES'!$A$9:$Z$9,0))-INDEX(terminal_curves,MATCH(AC206,'TERMINAL CURVES'!$A$4:$A$313,0),MATCH(AG$5,'TERMINAL CURVES'!$A$4:$N$4,0))*IF(W206=0,0,Y206/W206))-(AE$8)*((AE$7-$N$5)-(INDEX(ship_curves,MATCH(AC206,'SHIP CURVES'!$A$9:$A$316,0),MATCH(CONCATENATE(AG$4,AG$5,AG$6,AG$7),'SHIP CURVES'!$A$9:$Z$9,0))-INDEX(ship_curves,MATCH(AC206,'SHIP CURVES'!$A$9:$A$316,0),MATCH(CONCATENATE(AG$4,AE$6,AG$6,AG$7),'SHIP CURVES'!$A$9:$Z$9,0)))-(INDEX(terminal_curves,MATCH(AC206,'TERMINAL CURVES'!$A$4:$A$313,0),MATCH(AG$5,'TERMINAL CURVES'!$A$4:$N$4,0))-INDEX(terminal_curves,MATCH(AC206,'TERMINAL CURVES'!$A$4:$A$313,0),MATCH(AE$6,'TERMINAL CURVES'!$A$4:$N$4,0)))*IF(W206=0,0,Y206/W206)))*-W206</f>
        <v>0</v>
      </c>
      <c r="AH206" s="343">
        <f t="shared" si="77"/>
        <v>0</v>
      </c>
      <c r="AI206" s="338">
        <f>(-Y206/((HLOOKUP(AG$5,port_specs,2,0)/(365.25))*(AC207-AC206)))*(INDEX(fixed_capacity_charge,MATCH(AC206,PORTS!$H$11:$H$317,0),MATCH(AG$5,PORTS!$H$11:$N$11,0))+INDEX(variable_om_charge,MATCH(AC206,PORTS!$H$318:$H$625,0),MATCH(AG$5,PORTS!$H$318:$N$318,0)))</f>
        <v>0</v>
      </c>
      <c r="AJ206" s="232">
        <f t="shared" si="78"/>
        <v>0</v>
      </c>
      <c r="AK206" s="241">
        <f t="shared" si="79"/>
        <v>0</v>
      </c>
      <c r="AM206" s="186">
        <f t="shared" si="90"/>
        <v>42430</v>
      </c>
      <c r="AN206" s="215">
        <f t="shared" si="80"/>
        <v>5395761.4773599124</v>
      </c>
      <c r="AO206" s="191">
        <f t="shared" si="81"/>
        <v>-56655.495512278751</v>
      </c>
      <c r="AP206" s="218">
        <f>+IF(AND(AO$8&lt;=AM206,AO$9&gt;=AM206),+MIN($B206-SUMIF($H$17:AO$17,AP$17,$H206:AO206),((INDEX(ROUTE_PER_DAY_BY_SHIP,MATCH(CONCATENATE(AO$4,AO$5,AO$7),ROUTE_PER_DAY_ROUTES,0),MATCH(AO$6,ROUTE_PER_DAY_SHIPS,0))*(AM207-AM206))-(INDEX(ROUTE_PER_DAY_BY_SHIP,MATCH(CONCATENATE(AO$4,AO$5,AO$7),ROUTE_PER_DAY_ROUTES,0),MATCH(AO$6,ROUTE_PER_DAY_SHIPS,0))*(AM207-AM206))*HLOOKUP(AO$6,SHIPS,7,0)*INDEX(LADEN_VOYAGE_DAYS,MATCH(CONCATENATE(AO$4,AO$5,AO$7),LADEN_VOYAGE_ROUTES,0),MATCH(AO$6,LADEN_VOYAGE_SHIPS,0)))),0)</f>
        <v>5339105.9818476336</v>
      </c>
      <c r="AQ206" s="118">
        <f>-(AP206)*PORTS!$I$6</f>
        <v>-133477.64954619083</v>
      </c>
      <c r="AR206" s="215">
        <f t="shared" si="63"/>
        <v>5205628.3323014425</v>
      </c>
      <c r="AS206" s="202"/>
      <c r="AT206" s="186">
        <f t="shared" si="91"/>
        <v>42430</v>
      </c>
      <c r="AU206" s="232">
        <f>+AR206*(VLOOKUP(AT206,CURVECALC!$C$6:$J$312,4,0)+AV$5)</f>
        <v>20832924.58587037</v>
      </c>
      <c r="AV206" s="208">
        <f>-AN206*INDEX(ship_curves,MATCH(AT206,'SHIP CURVES'!$A$9:$A$316,0),MATCH(CONCATENATE(AX$4,AX$5,AX$6,AX$7),'SHIP CURVES'!$A$9:$AZ$9,0))</f>
        <v>-1835802.61588841</v>
      </c>
      <c r="AW206" s="209">
        <f>-AP206*INDEX(port_processing_fee,MATCH(AT206,PORTS!$H$626:$H$933,0),MATCH(AX$5,PORTS!$H$626:$Z$626,0))</f>
        <v>-172007.20150661844</v>
      </c>
      <c r="AX206" s="405">
        <f>(((VLOOKUP(AT206,curvecalc,4,0))*IF(AN206=0,0,AR206/AN206)-INDEX(ship_curves,MATCH(AT206,'SHIP CURVES'!$A$9:$A$316,0),MATCH(CONCATENATE(AX$4,AX$5,AX$6,AX$7),'SHIP CURVES'!$A$9:$Z$9,0))-INDEX(terminal_curves,MATCH(AT206,'TERMINAL CURVES'!$A$4:$A$313,0),MATCH(AX$5,'TERMINAL CURVES'!$A$4:$N$4,0))*IF(AN206=0,0,AP206/AN206))-(AV$8)*((AV$7-$N$5)-(INDEX(ship_curves,MATCH(AT206,'SHIP CURVES'!$A$9:$A$316,0),MATCH(CONCATENATE(AX$4,AX$5,AX$6,AX$7),'SHIP CURVES'!$A$9:$Z$9,0))-INDEX(ship_curves,MATCH(AT206,'SHIP CURVES'!$A$9:$A$316,0),MATCH(CONCATENATE(AX$4,AV$6,AX$6,AX$7),'SHIP CURVES'!$A$9:$Z$9,0)))-(INDEX(terminal_curves,MATCH(AT206,'TERMINAL CURVES'!$A$4:$A$313,0),MATCH(AX$5,'TERMINAL CURVES'!$A$4:$N$4,0))-INDEX(terminal_curves,MATCH(AT206,'TERMINAL CURVES'!$A$4:$A$313,0),MATCH(AV$6,'TERMINAL CURVES'!$A$4:$N$4,0)))*IF(AN206=0,0,AP206/AN206)))*-AN206</f>
        <v>-17681678.327435397</v>
      </c>
      <c r="AY206" s="343">
        <f t="shared" si="82"/>
        <v>-19689488.144830424</v>
      </c>
      <c r="AZ206" s="338">
        <f>(-AP206/((HLOOKUP(AX$5,port_specs,2,0)/(365.25))*(AT207-AT206)))*(INDEX(fixed_capacity_charge,MATCH(AT206,PORTS!$H$11:$H$317,0),MATCH(AX$5,PORTS!$H$11:$N$11,0))+INDEX(variable_om_charge,MATCH(AT206,PORTS!$H$318:$H$625,0),MATCH(AX$5,PORTS!$H$318:$N$318,0)))</f>
        <v>-1039323.874393916</v>
      </c>
      <c r="BA206" s="232">
        <f t="shared" si="83"/>
        <v>-20728812.019224342</v>
      </c>
      <c r="BB206" s="241">
        <f t="shared" si="84"/>
        <v>104112.56664602831</v>
      </c>
      <c r="BC206" s="408"/>
      <c r="BD206" s="338">
        <f>+PORTS!I200+PORTS!I508</f>
        <v>1039323.874393916</v>
      </c>
    </row>
    <row r="207" spans="1:56" x14ac:dyDescent="0.2">
      <c r="A207" s="186">
        <f t="shared" si="85"/>
        <v>42461</v>
      </c>
      <c r="B207" s="215">
        <f>+IF(AND($A207&gt;=$C$8,$A207&lt;=$C$9),1,0)*PORTS!$I$5/(365.25)*(A208-A207)</f>
        <v>5166876.756626742</v>
      </c>
      <c r="C207" s="351">
        <f t="shared" si="64"/>
        <v>0</v>
      </c>
      <c r="D207">
        <f t="shared" si="65"/>
        <v>2016</v>
      </c>
      <c r="E207" s="186">
        <f t="shared" si="86"/>
        <v>42461</v>
      </c>
      <c r="F207" s="215">
        <f t="shared" si="66"/>
        <v>0</v>
      </c>
      <c r="G207" s="191">
        <f t="shared" si="67"/>
        <v>0</v>
      </c>
      <c r="H207" s="218">
        <f t="shared" si="68"/>
        <v>0</v>
      </c>
      <c r="I207" s="118">
        <f t="shared" si="69"/>
        <v>0</v>
      </c>
      <c r="J207" s="215">
        <f t="shared" si="70"/>
        <v>0</v>
      </c>
      <c r="K207" s="202"/>
      <c r="L207" s="186">
        <f t="shared" si="87"/>
        <v>42461</v>
      </c>
      <c r="M207" s="400">
        <f>+J207*(VLOOKUP(L207,CURVECALC!$C$6:$J$312,4,0)+N$5)</f>
        <v>0</v>
      </c>
      <c r="N207" s="208">
        <f>-F207*INDEX(ship_curves,MATCH(L207,'SHIP CURVES'!$A$9:$A$316,0),MATCH(CONCATENATE(P$4,P$5,P$6,P$7),'SHIP CURVES'!$A$9:$AZ$9,0))</f>
        <v>0</v>
      </c>
      <c r="O207" s="209">
        <f>-H207*INDEX(port_processing_fee,MATCH(L207,PORTS!$H$626:$H$933,0),MATCH(P$5,PORTS!$H$626:$Z$626,0))</f>
        <v>0</v>
      </c>
      <c r="P207" s="405">
        <f>(((VLOOKUP(L207,curvecalc,4,0))*IF(F207=0,0,J207/F207)-INDEX(ship_curves,MATCH(L207,'SHIP CURVES'!$A$9:$A$316,0),MATCH(CONCATENATE(P$4,P$5,P$6,P$7),'SHIP CURVES'!$A$9:$Z$9,0))-INDEX(terminal_curves,MATCH(L207,'TERMINAL CURVES'!$A$4:$A$313,0),MATCH(P$5,'TERMINAL CURVES'!$A$4:$N$4,0))*IF(F207=0,0,H207/F207))-(N$8)*((N$7-$N$5)-(INDEX(ship_curves,MATCH(L207,'SHIP CURVES'!$A$9:$A$316,0),MATCH(CONCATENATE(P$4,P$5,P$6,P$7),'SHIP CURVES'!$A$9:$Z$9,0))-INDEX(ship_curves,MATCH(L207,'SHIP CURVES'!$A$9:$A$316,0),MATCH(CONCATENATE(P$4,N$6,P$6,P$7),'SHIP CURVES'!$A$9:$Z$9,0)))-(INDEX(terminal_curves,MATCH(L207,'TERMINAL CURVES'!$A$4:$A$313,0),MATCH(P$5,'TERMINAL CURVES'!$A$4:$N$4,0))-INDEX(terminal_curves,MATCH(L207,'TERMINAL CURVES'!$A$4:$A$313,0),MATCH(N$6,'TERMINAL CURVES'!$A$4:$N$4,0)))*IF(F207=0,0,H207/F207)))*-F207</f>
        <v>0</v>
      </c>
      <c r="Q207" s="403">
        <f t="shared" si="71"/>
        <v>0</v>
      </c>
      <c r="R207" s="338">
        <f>(-H207/((HLOOKUP(P$5,port_specs,2,0)/(365.25))*(L208-L207)))*(INDEX(fixed_capacity_charge,MATCH(L207,PORTS!$H$11:$H$317,0),MATCH(P$5,PORTS!$H$11:$N$11,0))+INDEX(variable_om_charge,MATCH(L207,PORTS!$H$318:$H$625,0),MATCH(P$5,PORTS!$H$318:$N$318,0)))</f>
        <v>0</v>
      </c>
      <c r="S207" s="232">
        <f t="shared" si="72"/>
        <v>0</v>
      </c>
      <c r="T207" s="241">
        <f t="shared" si="73"/>
        <v>0</v>
      </c>
      <c r="V207" s="186">
        <f t="shared" si="88"/>
        <v>42461</v>
      </c>
      <c r="W207" s="215">
        <f t="shared" si="74"/>
        <v>0</v>
      </c>
      <c r="X207" s="191">
        <f t="shared" si="75"/>
        <v>0</v>
      </c>
      <c r="Y207" s="218">
        <f>+IF(AND(X$8&lt;=V207,X$9&gt;=V207),+MIN($B207-SUMIF($H$17:X$17,Y$17,$H207:X207),((INDEX(ROUTE_PER_DAY_BY_SHIP,MATCH(CONCATENATE(X$4,X$5,X$7),ROUTE_PER_DAY_ROUTES,0),MATCH(X$6,ROUTE_PER_DAY_SHIPS,0))*(V208-V207))-(INDEX(ROUTE_PER_DAY_BY_SHIP,MATCH(CONCATENATE(X$4,X$5,X$7),ROUTE_PER_DAY_ROUTES,0),MATCH(X$6,ROUTE_PER_DAY_SHIPS,0))*(V208-V207))*HLOOKUP(X$6,SHIPS,7,0)*INDEX(LADEN_VOYAGE_DAYS,MATCH(CONCATENATE(X$4,X$5,X$7),LADEN_VOYAGE_ROUTES,0),MATCH(X$6,LADEN_VOYAGE_SHIPS,0)))),0)</f>
        <v>0</v>
      </c>
      <c r="Z207" s="118">
        <f t="shared" si="76"/>
        <v>0</v>
      </c>
      <c r="AA207" s="215">
        <f t="shared" si="62"/>
        <v>0</v>
      </c>
      <c r="AB207" s="202"/>
      <c r="AC207" s="186">
        <f t="shared" si="89"/>
        <v>42461</v>
      </c>
      <c r="AD207" s="232">
        <f>+AA207*(VLOOKUP(AC207,CURVECALC!$C$6:$J$312,4,0)+AE$5)</f>
        <v>0</v>
      </c>
      <c r="AE207" s="208">
        <f>-W207*INDEX(ship_curves,MATCH(AC207,'SHIP CURVES'!$A$9:$A$316,0),MATCH(CONCATENATE(AG$4,AG$5,AG$6,AG$7),'SHIP CURVES'!$A$9:$AZ$9,0))</f>
        <v>0</v>
      </c>
      <c r="AF207" s="209">
        <f>-Y207*INDEX(port_processing_fee,MATCH(AC207,PORTS!$H$626:$H$933,0),MATCH(AG$5,PORTS!$H$626:$Z$626,0))</f>
        <v>0</v>
      </c>
      <c r="AG207" s="405">
        <f>(((VLOOKUP(AC207,curvecalc,4,0))*IF(W207=0,0,AA207/W207)-INDEX(ship_curves,MATCH(AC207,'SHIP CURVES'!$A$9:$A$316,0),MATCH(CONCATENATE(AG$4,AG$5,AG$6,AG$7),'SHIP CURVES'!$A$9:$Z$9,0))-INDEX(terminal_curves,MATCH(AC207,'TERMINAL CURVES'!$A$4:$A$313,0),MATCH(AG$5,'TERMINAL CURVES'!$A$4:$N$4,0))*IF(W207=0,0,Y207/W207))-(AE$8)*((AE$7-$N$5)-(INDEX(ship_curves,MATCH(AC207,'SHIP CURVES'!$A$9:$A$316,0),MATCH(CONCATENATE(AG$4,AG$5,AG$6,AG$7),'SHIP CURVES'!$A$9:$Z$9,0))-INDEX(ship_curves,MATCH(AC207,'SHIP CURVES'!$A$9:$A$316,0),MATCH(CONCATENATE(AG$4,AE$6,AG$6,AG$7),'SHIP CURVES'!$A$9:$Z$9,0)))-(INDEX(terminal_curves,MATCH(AC207,'TERMINAL CURVES'!$A$4:$A$313,0),MATCH(AG$5,'TERMINAL CURVES'!$A$4:$N$4,0))-INDEX(terminal_curves,MATCH(AC207,'TERMINAL CURVES'!$A$4:$A$313,0),MATCH(AE$6,'TERMINAL CURVES'!$A$4:$N$4,0)))*IF(W207=0,0,Y207/W207)))*-W207</f>
        <v>0</v>
      </c>
      <c r="AH207" s="343">
        <f t="shared" si="77"/>
        <v>0</v>
      </c>
      <c r="AI207" s="338">
        <f>(-Y207/((HLOOKUP(AG$5,port_specs,2,0)/(365.25))*(AC208-AC207)))*(INDEX(fixed_capacity_charge,MATCH(AC207,PORTS!$H$11:$H$317,0),MATCH(AG$5,PORTS!$H$11:$N$11,0))+INDEX(variable_om_charge,MATCH(AC207,PORTS!$H$318:$H$625,0),MATCH(AG$5,PORTS!$H$318:$N$318,0)))</f>
        <v>0</v>
      </c>
      <c r="AJ207" s="232">
        <f t="shared" si="78"/>
        <v>0</v>
      </c>
      <c r="AK207" s="241">
        <f t="shared" si="79"/>
        <v>0</v>
      </c>
      <c r="AM207" s="186">
        <f t="shared" si="90"/>
        <v>42461</v>
      </c>
      <c r="AN207" s="215">
        <f t="shared" si="80"/>
        <v>5221704.655509592</v>
      </c>
      <c r="AO207" s="191">
        <f t="shared" si="81"/>
        <v>-54827.898882850073</v>
      </c>
      <c r="AP207" s="218">
        <f>+IF(AND(AO$8&lt;=AM207,AO$9&gt;=AM207),+MIN($B207-SUMIF($H$17:AO$17,AP$17,$H207:AO207),((INDEX(ROUTE_PER_DAY_BY_SHIP,MATCH(CONCATENATE(AO$4,AO$5,AO$7),ROUTE_PER_DAY_ROUTES,0),MATCH(AO$6,ROUTE_PER_DAY_SHIPS,0))*(AM208-AM207))-(INDEX(ROUTE_PER_DAY_BY_SHIP,MATCH(CONCATENATE(AO$4,AO$5,AO$7),ROUTE_PER_DAY_ROUTES,0),MATCH(AO$6,ROUTE_PER_DAY_SHIPS,0))*(AM208-AM207))*HLOOKUP(AO$6,SHIPS,7,0)*INDEX(LADEN_VOYAGE_DAYS,MATCH(CONCATENATE(AO$4,AO$5,AO$7),LADEN_VOYAGE_ROUTES,0),MATCH(AO$6,LADEN_VOYAGE_SHIPS,0)))),0)</f>
        <v>5166876.756626742</v>
      </c>
      <c r="AQ207" s="118">
        <f>-(AP207)*PORTS!$I$6</f>
        <v>-129171.91891566856</v>
      </c>
      <c r="AR207" s="215">
        <f t="shared" si="63"/>
        <v>5037704.8377110735</v>
      </c>
      <c r="AS207" s="202"/>
      <c r="AT207" s="186">
        <f t="shared" si="91"/>
        <v>42461</v>
      </c>
      <c r="AU207" s="232">
        <f>+AR207*(VLOOKUP(AT207,CURVECALC!$C$6:$J$312,4,0)+AV$5)</f>
        <v>19652086.571910899</v>
      </c>
      <c r="AV207" s="208">
        <f>-AN207*INDEX(ship_curves,MATCH(AT207,'SHIP CURVES'!$A$9:$A$316,0),MATCH(CONCATENATE(AX$4,AX$5,AX$6,AX$7),'SHIP CURVES'!$A$9:$AZ$9,0))</f>
        <v>-1777191.7953937678</v>
      </c>
      <c r="AW207" s="209">
        <f>-AP207*INDEX(port_processing_fee,MATCH(AT207,PORTS!$H$626:$H$933,0),MATCH(AX$5,PORTS!$H$626:$Z$626,0))</f>
        <v>-166631.97645953659</v>
      </c>
      <c r="AX207" s="405">
        <f>(((VLOOKUP(AT207,curvecalc,4,0))*IF(AN207=0,0,AR207/AN207)-INDEX(ship_curves,MATCH(AT207,'SHIP CURVES'!$A$9:$A$316,0),MATCH(CONCATENATE(AX$4,AX$5,AX$6,AX$7),'SHIP CURVES'!$A$9:$Z$9,0))-INDEX(terminal_curves,MATCH(AT207,'TERMINAL CURVES'!$A$4:$A$313,0),MATCH(AX$5,'TERMINAL CURVES'!$A$4:$N$4,0))*IF(AN207=0,0,AP207/AN207))-(AV$8)*((AV$7-$N$5)-(INDEX(ship_curves,MATCH(AT207,'SHIP CURVES'!$A$9:$A$316,0),MATCH(CONCATENATE(AX$4,AX$5,AX$6,AX$7),'SHIP CURVES'!$A$9:$Z$9,0))-INDEX(ship_curves,MATCH(AT207,'SHIP CURVES'!$A$9:$A$316,0),MATCH(CONCATENATE(AX$4,AV$6,AX$6,AX$7),'SHIP CURVES'!$A$9:$Z$9,0)))-(INDEX(terminal_curves,MATCH(AT207,'TERMINAL CURVES'!$A$4:$A$313,0),MATCH(AX$5,'TERMINAL CURVES'!$A$4:$N$4,0))-INDEX(terminal_curves,MATCH(AT207,'TERMINAL CURVES'!$A$4:$A$313,0),MATCH(AV$6,'TERMINAL CURVES'!$A$4:$N$4,0)))*IF(AN207=0,0,AP207/AN207)))*-AN207</f>
        <v>-16567607.602551658</v>
      </c>
      <c r="AY207" s="343">
        <f t="shared" si="82"/>
        <v>-18511431.374404963</v>
      </c>
      <c r="AZ207" s="338">
        <f>(-AP207/((HLOOKUP(AX$5,port_specs,2,0)/(365.25))*(AT208-AT207)))*(INDEX(fixed_capacity_charge,MATCH(AT207,PORTS!$H$11:$H$317,0),MATCH(AX$5,PORTS!$H$11:$N$11,0))+INDEX(variable_om_charge,MATCH(AT207,PORTS!$H$318:$H$625,0),MATCH(AX$5,PORTS!$H$318:$N$318,0)))</f>
        <v>-1039901.1007517134</v>
      </c>
      <c r="BA207" s="232">
        <f t="shared" si="83"/>
        <v>-19551332.475156676</v>
      </c>
      <c r="BB207" s="241">
        <f t="shared" si="84"/>
        <v>100754.09675422311</v>
      </c>
      <c r="BC207" s="408"/>
      <c r="BD207" s="338">
        <f>+PORTS!I201+PORTS!I509</f>
        <v>1039901.1007517134</v>
      </c>
    </row>
    <row r="208" spans="1:56" x14ac:dyDescent="0.2">
      <c r="A208" s="186">
        <f t="shared" si="85"/>
        <v>42491</v>
      </c>
      <c r="B208" s="215">
        <f>+IF(AND($A208&gt;=$C$8,$A208&lt;=$C$9),1,0)*PORTS!$I$5/(365.25)*(A209-A208)</f>
        <v>5339105.9818476336</v>
      </c>
      <c r="C208" s="351">
        <f t="shared" si="64"/>
        <v>0</v>
      </c>
      <c r="D208">
        <f t="shared" si="65"/>
        <v>2016</v>
      </c>
      <c r="E208" s="186">
        <f t="shared" si="86"/>
        <v>42491</v>
      </c>
      <c r="F208" s="215">
        <f t="shared" si="66"/>
        <v>0</v>
      </c>
      <c r="G208" s="191">
        <f t="shared" si="67"/>
        <v>0</v>
      </c>
      <c r="H208" s="218">
        <f t="shared" si="68"/>
        <v>0</v>
      </c>
      <c r="I208" s="118">
        <f t="shared" si="69"/>
        <v>0</v>
      </c>
      <c r="J208" s="215">
        <f t="shared" si="70"/>
        <v>0</v>
      </c>
      <c r="K208" s="202"/>
      <c r="L208" s="186">
        <f t="shared" si="87"/>
        <v>42491</v>
      </c>
      <c r="M208" s="400">
        <f>+J208*(VLOOKUP(L208,CURVECALC!$C$6:$J$312,4,0)+N$5)</f>
        <v>0</v>
      </c>
      <c r="N208" s="208">
        <f>-F208*INDEX(ship_curves,MATCH(L208,'SHIP CURVES'!$A$9:$A$316,0),MATCH(CONCATENATE(P$4,P$5,P$6,P$7),'SHIP CURVES'!$A$9:$AZ$9,0))</f>
        <v>0</v>
      </c>
      <c r="O208" s="209">
        <f>-H208*INDEX(port_processing_fee,MATCH(L208,PORTS!$H$626:$H$933,0),MATCH(P$5,PORTS!$H$626:$Z$626,0))</f>
        <v>0</v>
      </c>
      <c r="P208" s="405">
        <f>(((VLOOKUP(L208,curvecalc,4,0))*IF(F208=0,0,J208/F208)-INDEX(ship_curves,MATCH(L208,'SHIP CURVES'!$A$9:$A$316,0),MATCH(CONCATENATE(P$4,P$5,P$6,P$7),'SHIP CURVES'!$A$9:$Z$9,0))-INDEX(terminal_curves,MATCH(L208,'TERMINAL CURVES'!$A$4:$A$313,0),MATCH(P$5,'TERMINAL CURVES'!$A$4:$N$4,0))*IF(F208=0,0,H208/F208))-(N$8)*((N$7-$N$5)-(INDEX(ship_curves,MATCH(L208,'SHIP CURVES'!$A$9:$A$316,0),MATCH(CONCATENATE(P$4,P$5,P$6,P$7),'SHIP CURVES'!$A$9:$Z$9,0))-INDEX(ship_curves,MATCH(L208,'SHIP CURVES'!$A$9:$A$316,0),MATCH(CONCATENATE(P$4,N$6,P$6,P$7),'SHIP CURVES'!$A$9:$Z$9,0)))-(INDEX(terminal_curves,MATCH(L208,'TERMINAL CURVES'!$A$4:$A$313,0),MATCH(P$5,'TERMINAL CURVES'!$A$4:$N$4,0))-INDEX(terminal_curves,MATCH(L208,'TERMINAL CURVES'!$A$4:$A$313,0),MATCH(N$6,'TERMINAL CURVES'!$A$4:$N$4,0)))*IF(F208=0,0,H208/F208)))*-F208</f>
        <v>0</v>
      </c>
      <c r="Q208" s="403">
        <f t="shared" si="71"/>
        <v>0</v>
      </c>
      <c r="R208" s="338">
        <f>(-H208/((HLOOKUP(P$5,port_specs,2,0)/(365.25))*(L209-L208)))*(INDEX(fixed_capacity_charge,MATCH(L208,PORTS!$H$11:$H$317,0),MATCH(P$5,PORTS!$H$11:$N$11,0))+INDEX(variable_om_charge,MATCH(L208,PORTS!$H$318:$H$625,0),MATCH(P$5,PORTS!$H$318:$N$318,0)))</f>
        <v>0</v>
      </c>
      <c r="S208" s="232">
        <f t="shared" si="72"/>
        <v>0</v>
      </c>
      <c r="T208" s="241">
        <f t="shared" si="73"/>
        <v>0</v>
      </c>
      <c r="V208" s="186">
        <f t="shared" si="88"/>
        <v>42491</v>
      </c>
      <c r="W208" s="215">
        <f t="shared" si="74"/>
        <v>0</v>
      </c>
      <c r="X208" s="191">
        <f t="shared" si="75"/>
        <v>0</v>
      </c>
      <c r="Y208" s="218">
        <f>+IF(AND(X$8&lt;=V208,X$9&gt;=V208),+MIN($B208-SUMIF($H$17:X$17,Y$17,$H208:X208),((INDEX(ROUTE_PER_DAY_BY_SHIP,MATCH(CONCATENATE(X$4,X$5,X$7),ROUTE_PER_DAY_ROUTES,0),MATCH(X$6,ROUTE_PER_DAY_SHIPS,0))*(V209-V208))-(INDEX(ROUTE_PER_DAY_BY_SHIP,MATCH(CONCATENATE(X$4,X$5,X$7),ROUTE_PER_DAY_ROUTES,0),MATCH(X$6,ROUTE_PER_DAY_SHIPS,0))*(V209-V208))*HLOOKUP(X$6,SHIPS,7,0)*INDEX(LADEN_VOYAGE_DAYS,MATCH(CONCATENATE(X$4,X$5,X$7),LADEN_VOYAGE_ROUTES,0),MATCH(X$6,LADEN_VOYAGE_SHIPS,0)))),0)</f>
        <v>0</v>
      </c>
      <c r="Z208" s="118">
        <f t="shared" si="76"/>
        <v>0</v>
      </c>
      <c r="AA208" s="215">
        <f t="shared" si="62"/>
        <v>0</v>
      </c>
      <c r="AB208" s="202"/>
      <c r="AC208" s="186">
        <f t="shared" si="89"/>
        <v>42491</v>
      </c>
      <c r="AD208" s="232">
        <f>+AA208*(VLOOKUP(AC208,CURVECALC!$C$6:$J$312,4,0)+AE$5)</f>
        <v>0</v>
      </c>
      <c r="AE208" s="208">
        <f>-W208*INDEX(ship_curves,MATCH(AC208,'SHIP CURVES'!$A$9:$A$316,0),MATCH(CONCATENATE(AG$4,AG$5,AG$6,AG$7),'SHIP CURVES'!$A$9:$AZ$9,0))</f>
        <v>0</v>
      </c>
      <c r="AF208" s="209">
        <f>-Y208*INDEX(port_processing_fee,MATCH(AC208,PORTS!$H$626:$H$933,0),MATCH(AG$5,PORTS!$H$626:$Z$626,0))</f>
        <v>0</v>
      </c>
      <c r="AG208" s="405">
        <f>(((VLOOKUP(AC208,curvecalc,4,0))*IF(W208=0,0,AA208/W208)-INDEX(ship_curves,MATCH(AC208,'SHIP CURVES'!$A$9:$A$316,0),MATCH(CONCATENATE(AG$4,AG$5,AG$6,AG$7),'SHIP CURVES'!$A$9:$Z$9,0))-INDEX(terminal_curves,MATCH(AC208,'TERMINAL CURVES'!$A$4:$A$313,0),MATCH(AG$5,'TERMINAL CURVES'!$A$4:$N$4,0))*IF(W208=0,0,Y208/W208))-(AE$8)*((AE$7-$N$5)-(INDEX(ship_curves,MATCH(AC208,'SHIP CURVES'!$A$9:$A$316,0),MATCH(CONCATENATE(AG$4,AG$5,AG$6,AG$7),'SHIP CURVES'!$A$9:$Z$9,0))-INDEX(ship_curves,MATCH(AC208,'SHIP CURVES'!$A$9:$A$316,0),MATCH(CONCATENATE(AG$4,AE$6,AG$6,AG$7),'SHIP CURVES'!$A$9:$Z$9,0)))-(INDEX(terminal_curves,MATCH(AC208,'TERMINAL CURVES'!$A$4:$A$313,0),MATCH(AG$5,'TERMINAL CURVES'!$A$4:$N$4,0))-INDEX(terminal_curves,MATCH(AC208,'TERMINAL CURVES'!$A$4:$A$313,0),MATCH(AE$6,'TERMINAL CURVES'!$A$4:$N$4,0)))*IF(W208=0,0,Y208/W208)))*-W208</f>
        <v>0</v>
      </c>
      <c r="AH208" s="343">
        <f t="shared" si="77"/>
        <v>0</v>
      </c>
      <c r="AI208" s="338">
        <f>(-Y208/((HLOOKUP(AG$5,port_specs,2,0)/(365.25))*(AC209-AC208)))*(INDEX(fixed_capacity_charge,MATCH(AC208,PORTS!$H$11:$H$317,0),MATCH(AG$5,PORTS!$H$11:$N$11,0))+INDEX(variable_om_charge,MATCH(AC208,PORTS!$H$318:$H$625,0),MATCH(AG$5,PORTS!$H$318:$N$318,0)))</f>
        <v>0</v>
      </c>
      <c r="AJ208" s="232">
        <f t="shared" si="78"/>
        <v>0</v>
      </c>
      <c r="AK208" s="241">
        <f t="shared" si="79"/>
        <v>0</v>
      </c>
      <c r="AM208" s="186">
        <f t="shared" si="90"/>
        <v>42491</v>
      </c>
      <c r="AN208" s="215">
        <f t="shared" si="80"/>
        <v>5395761.4773599124</v>
      </c>
      <c r="AO208" s="191">
        <f t="shared" si="81"/>
        <v>-56655.495512278751</v>
      </c>
      <c r="AP208" s="218">
        <f>+IF(AND(AO$8&lt;=AM208,AO$9&gt;=AM208),+MIN($B208-SUMIF($H$17:AO$17,AP$17,$H208:AO208),((INDEX(ROUTE_PER_DAY_BY_SHIP,MATCH(CONCATENATE(AO$4,AO$5,AO$7),ROUTE_PER_DAY_ROUTES,0),MATCH(AO$6,ROUTE_PER_DAY_SHIPS,0))*(AM209-AM208))-(INDEX(ROUTE_PER_DAY_BY_SHIP,MATCH(CONCATENATE(AO$4,AO$5,AO$7),ROUTE_PER_DAY_ROUTES,0),MATCH(AO$6,ROUTE_PER_DAY_SHIPS,0))*(AM209-AM208))*HLOOKUP(AO$6,SHIPS,7,0)*INDEX(LADEN_VOYAGE_DAYS,MATCH(CONCATENATE(AO$4,AO$5,AO$7),LADEN_VOYAGE_ROUTES,0),MATCH(AO$6,LADEN_VOYAGE_SHIPS,0)))),0)</f>
        <v>5339105.9818476336</v>
      </c>
      <c r="AQ208" s="118">
        <f>-(AP208)*PORTS!$I$6</f>
        <v>-133477.64954619083</v>
      </c>
      <c r="AR208" s="215">
        <f t="shared" si="63"/>
        <v>5205628.3323014425</v>
      </c>
      <c r="AS208" s="202"/>
      <c r="AT208" s="186">
        <f t="shared" si="91"/>
        <v>42491</v>
      </c>
      <c r="AU208" s="232">
        <f>+AR208*(VLOOKUP(AT208,CURVECALC!$C$6:$J$312,4,0)+AV$5)</f>
        <v>20296744.867643327</v>
      </c>
      <c r="AV208" s="208">
        <f>-AN208*INDEX(ship_curves,MATCH(AT208,'SHIP CURVES'!$A$9:$A$316,0),MATCH(CONCATENATE(AX$4,AX$5,AX$6,AX$7),'SHIP CURVES'!$A$9:$AZ$9,0))</f>
        <v>-1837061.738146249</v>
      </c>
      <c r="AW208" s="209">
        <f>-AP208*INDEX(port_processing_fee,MATCH(AT208,PORTS!$H$626:$H$933,0),MATCH(AX$5,PORTS!$H$626:$Z$626,0))</f>
        <v>-172365.73648284911</v>
      </c>
      <c r="AX208" s="405">
        <f>(((VLOOKUP(AT208,curvecalc,4,0))*IF(AN208=0,0,AR208/AN208)-INDEX(ship_curves,MATCH(AT208,'SHIP CURVES'!$A$9:$A$316,0),MATCH(CONCATENATE(AX$4,AX$5,AX$6,AX$7),'SHIP CURVES'!$A$9:$Z$9,0))-INDEX(terminal_curves,MATCH(AT208,'TERMINAL CURVES'!$A$4:$A$313,0),MATCH(AX$5,'TERMINAL CURVES'!$A$4:$N$4,0))*IF(AN208=0,0,AP208/AN208))-(AV$8)*((AV$7-$N$5)-(INDEX(ship_curves,MATCH(AT208,'SHIP CURVES'!$A$9:$A$316,0),MATCH(CONCATENATE(AX$4,AX$5,AX$6,AX$7),'SHIP CURVES'!$A$9:$Z$9,0))-INDEX(ship_curves,MATCH(AT208,'SHIP CURVES'!$A$9:$A$316,0),MATCH(CONCATENATE(AX$4,AV$6,AX$6,AX$7),'SHIP CURVES'!$A$9:$Z$9,0)))-(INDEX(terminal_curves,MATCH(AT208,'TERMINAL CURVES'!$A$4:$A$313,0),MATCH(AX$5,'TERMINAL CURVES'!$A$4:$N$4,0))-INDEX(terminal_curves,MATCH(AT208,'TERMINAL CURVES'!$A$4:$A$313,0),MATCH(AV$6,'TERMINAL CURVES'!$A$4:$N$4,0)))*IF(AN208=0,0,AP208/AN208)))*-AN208</f>
        <v>-17142725.897981234</v>
      </c>
      <c r="AY208" s="343">
        <f t="shared" si="82"/>
        <v>-19152153.372610331</v>
      </c>
      <c r="AZ208" s="338">
        <f>(-AP208/((HLOOKUP(AX$5,port_specs,2,0)/(365.25))*(AT209-AT208)))*(INDEX(fixed_capacity_charge,MATCH(AT208,PORTS!$H$11:$H$317,0),MATCH(AX$5,PORTS!$H$11:$N$11,0))+INDEX(variable_om_charge,MATCH(AT208,PORTS!$H$318:$H$625,0),MATCH(AX$5,PORTS!$H$318:$N$318,0)))</f>
        <v>-1040478.9283869669</v>
      </c>
      <c r="BA208" s="232">
        <f t="shared" si="83"/>
        <v>-20192632.300997298</v>
      </c>
      <c r="BB208" s="241">
        <f t="shared" si="84"/>
        <v>104112.56664602831</v>
      </c>
      <c r="BC208" s="408"/>
      <c r="BD208" s="338">
        <f>+PORTS!I202+PORTS!I510</f>
        <v>1040478.9283869669</v>
      </c>
    </row>
    <row r="209" spans="1:56" x14ac:dyDescent="0.2">
      <c r="A209" s="186">
        <f t="shared" si="85"/>
        <v>42522</v>
      </c>
      <c r="B209" s="215">
        <f>+IF(AND($A209&gt;=$C$8,$A209&lt;=$C$9),1,0)*PORTS!$I$5/(365.25)*(A210-A209)</f>
        <v>5166876.756626742</v>
      </c>
      <c r="C209" s="351">
        <f t="shared" si="64"/>
        <v>0</v>
      </c>
      <c r="D209">
        <f t="shared" si="65"/>
        <v>2016</v>
      </c>
      <c r="E209" s="186">
        <f t="shared" si="86"/>
        <v>42522</v>
      </c>
      <c r="F209" s="215">
        <f t="shared" si="66"/>
        <v>0</v>
      </c>
      <c r="G209" s="191">
        <f t="shared" si="67"/>
        <v>0</v>
      </c>
      <c r="H209" s="218">
        <f t="shared" si="68"/>
        <v>0</v>
      </c>
      <c r="I209" s="118">
        <f t="shared" si="69"/>
        <v>0</v>
      </c>
      <c r="J209" s="215">
        <f t="shared" si="70"/>
        <v>0</v>
      </c>
      <c r="K209" s="202"/>
      <c r="L209" s="186">
        <f t="shared" si="87"/>
        <v>42522</v>
      </c>
      <c r="M209" s="400">
        <f>+J209*(VLOOKUP(L209,CURVECALC!$C$6:$J$312,4,0)+N$5)</f>
        <v>0</v>
      </c>
      <c r="N209" s="208">
        <f>-F209*INDEX(ship_curves,MATCH(L209,'SHIP CURVES'!$A$9:$A$316,0),MATCH(CONCATENATE(P$4,P$5,P$6,P$7),'SHIP CURVES'!$A$9:$AZ$9,0))</f>
        <v>0</v>
      </c>
      <c r="O209" s="209">
        <f>-H209*INDEX(port_processing_fee,MATCH(L209,PORTS!$H$626:$H$933,0),MATCH(P$5,PORTS!$H$626:$Z$626,0))</f>
        <v>0</v>
      </c>
      <c r="P209" s="405">
        <f>(((VLOOKUP(L209,curvecalc,4,0))*IF(F209=0,0,J209/F209)-INDEX(ship_curves,MATCH(L209,'SHIP CURVES'!$A$9:$A$316,0),MATCH(CONCATENATE(P$4,P$5,P$6,P$7),'SHIP CURVES'!$A$9:$Z$9,0))-INDEX(terminal_curves,MATCH(L209,'TERMINAL CURVES'!$A$4:$A$313,0),MATCH(P$5,'TERMINAL CURVES'!$A$4:$N$4,0))*IF(F209=0,0,H209/F209))-(N$8)*((N$7-$N$5)-(INDEX(ship_curves,MATCH(L209,'SHIP CURVES'!$A$9:$A$316,0),MATCH(CONCATENATE(P$4,P$5,P$6,P$7),'SHIP CURVES'!$A$9:$Z$9,0))-INDEX(ship_curves,MATCH(L209,'SHIP CURVES'!$A$9:$A$316,0),MATCH(CONCATENATE(P$4,N$6,P$6,P$7),'SHIP CURVES'!$A$9:$Z$9,0)))-(INDEX(terminal_curves,MATCH(L209,'TERMINAL CURVES'!$A$4:$A$313,0),MATCH(P$5,'TERMINAL CURVES'!$A$4:$N$4,0))-INDEX(terminal_curves,MATCH(L209,'TERMINAL CURVES'!$A$4:$A$313,0),MATCH(N$6,'TERMINAL CURVES'!$A$4:$N$4,0)))*IF(F209=0,0,H209/F209)))*-F209</f>
        <v>0</v>
      </c>
      <c r="Q209" s="403">
        <f t="shared" si="71"/>
        <v>0</v>
      </c>
      <c r="R209" s="338">
        <f>(-H209/((HLOOKUP(P$5,port_specs,2,0)/(365.25))*(L210-L209)))*(INDEX(fixed_capacity_charge,MATCH(L209,PORTS!$H$11:$H$317,0),MATCH(P$5,PORTS!$H$11:$N$11,0))+INDEX(variable_om_charge,MATCH(L209,PORTS!$H$318:$H$625,0),MATCH(P$5,PORTS!$H$318:$N$318,0)))</f>
        <v>0</v>
      </c>
      <c r="S209" s="232">
        <f t="shared" si="72"/>
        <v>0</v>
      </c>
      <c r="T209" s="241">
        <f t="shared" si="73"/>
        <v>0</v>
      </c>
      <c r="V209" s="186">
        <f t="shared" si="88"/>
        <v>42522</v>
      </c>
      <c r="W209" s="215">
        <f t="shared" si="74"/>
        <v>0</v>
      </c>
      <c r="X209" s="191">
        <f t="shared" si="75"/>
        <v>0</v>
      </c>
      <c r="Y209" s="218">
        <f>+IF(AND(X$8&lt;=V209,X$9&gt;=V209),+MIN($B209-SUMIF($H$17:X$17,Y$17,$H209:X209),((INDEX(ROUTE_PER_DAY_BY_SHIP,MATCH(CONCATENATE(X$4,X$5,X$7),ROUTE_PER_DAY_ROUTES,0),MATCH(X$6,ROUTE_PER_DAY_SHIPS,0))*(V210-V209))-(INDEX(ROUTE_PER_DAY_BY_SHIP,MATCH(CONCATENATE(X$4,X$5,X$7),ROUTE_PER_DAY_ROUTES,0),MATCH(X$6,ROUTE_PER_DAY_SHIPS,0))*(V210-V209))*HLOOKUP(X$6,SHIPS,7,0)*INDEX(LADEN_VOYAGE_DAYS,MATCH(CONCATENATE(X$4,X$5,X$7),LADEN_VOYAGE_ROUTES,0),MATCH(X$6,LADEN_VOYAGE_SHIPS,0)))),0)</f>
        <v>0</v>
      </c>
      <c r="Z209" s="118">
        <f t="shared" si="76"/>
        <v>0</v>
      </c>
      <c r="AA209" s="215">
        <f t="shared" si="62"/>
        <v>0</v>
      </c>
      <c r="AB209" s="202"/>
      <c r="AC209" s="186">
        <f t="shared" si="89"/>
        <v>42522</v>
      </c>
      <c r="AD209" s="232">
        <f>+AA209*(VLOOKUP(AC209,CURVECALC!$C$6:$J$312,4,0)+AE$5)</f>
        <v>0</v>
      </c>
      <c r="AE209" s="208">
        <f>-W209*INDEX(ship_curves,MATCH(AC209,'SHIP CURVES'!$A$9:$A$316,0),MATCH(CONCATENATE(AG$4,AG$5,AG$6,AG$7),'SHIP CURVES'!$A$9:$AZ$9,0))</f>
        <v>0</v>
      </c>
      <c r="AF209" s="209">
        <f>-Y209*INDEX(port_processing_fee,MATCH(AC209,PORTS!$H$626:$H$933,0),MATCH(AG$5,PORTS!$H$626:$Z$626,0))</f>
        <v>0</v>
      </c>
      <c r="AG209" s="405">
        <f>(((VLOOKUP(AC209,curvecalc,4,0))*IF(W209=0,0,AA209/W209)-INDEX(ship_curves,MATCH(AC209,'SHIP CURVES'!$A$9:$A$316,0),MATCH(CONCATENATE(AG$4,AG$5,AG$6,AG$7),'SHIP CURVES'!$A$9:$Z$9,0))-INDEX(terminal_curves,MATCH(AC209,'TERMINAL CURVES'!$A$4:$A$313,0),MATCH(AG$5,'TERMINAL CURVES'!$A$4:$N$4,0))*IF(W209=0,0,Y209/W209))-(AE$8)*((AE$7-$N$5)-(INDEX(ship_curves,MATCH(AC209,'SHIP CURVES'!$A$9:$A$316,0),MATCH(CONCATENATE(AG$4,AG$5,AG$6,AG$7),'SHIP CURVES'!$A$9:$Z$9,0))-INDEX(ship_curves,MATCH(AC209,'SHIP CURVES'!$A$9:$A$316,0),MATCH(CONCATENATE(AG$4,AE$6,AG$6,AG$7),'SHIP CURVES'!$A$9:$Z$9,0)))-(INDEX(terminal_curves,MATCH(AC209,'TERMINAL CURVES'!$A$4:$A$313,0),MATCH(AG$5,'TERMINAL CURVES'!$A$4:$N$4,0))-INDEX(terminal_curves,MATCH(AC209,'TERMINAL CURVES'!$A$4:$A$313,0),MATCH(AE$6,'TERMINAL CURVES'!$A$4:$N$4,0)))*IF(W209=0,0,Y209/W209)))*-W209</f>
        <v>0</v>
      </c>
      <c r="AH209" s="343">
        <f t="shared" si="77"/>
        <v>0</v>
      </c>
      <c r="AI209" s="338">
        <f>(-Y209/((HLOOKUP(AG$5,port_specs,2,0)/(365.25))*(AC210-AC209)))*(INDEX(fixed_capacity_charge,MATCH(AC209,PORTS!$H$11:$H$317,0),MATCH(AG$5,PORTS!$H$11:$N$11,0))+INDEX(variable_om_charge,MATCH(AC209,PORTS!$H$318:$H$625,0),MATCH(AG$5,PORTS!$H$318:$N$318,0)))</f>
        <v>0</v>
      </c>
      <c r="AJ209" s="232">
        <f t="shared" si="78"/>
        <v>0</v>
      </c>
      <c r="AK209" s="241">
        <f t="shared" si="79"/>
        <v>0</v>
      </c>
      <c r="AM209" s="186">
        <f t="shared" si="90"/>
        <v>42522</v>
      </c>
      <c r="AN209" s="215">
        <f t="shared" si="80"/>
        <v>5221704.655509592</v>
      </c>
      <c r="AO209" s="191">
        <f t="shared" si="81"/>
        <v>-54827.898882850073</v>
      </c>
      <c r="AP209" s="218">
        <f>+IF(AND(AO$8&lt;=AM209,AO$9&gt;=AM209),+MIN($B209-SUMIF($H$17:AO$17,AP$17,$H209:AO209),((INDEX(ROUTE_PER_DAY_BY_SHIP,MATCH(CONCATENATE(AO$4,AO$5,AO$7),ROUTE_PER_DAY_ROUTES,0),MATCH(AO$6,ROUTE_PER_DAY_SHIPS,0))*(AM210-AM209))-(INDEX(ROUTE_PER_DAY_BY_SHIP,MATCH(CONCATENATE(AO$4,AO$5,AO$7),ROUTE_PER_DAY_ROUTES,0),MATCH(AO$6,ROUTE_PER_DAY_SHIPS,0))*(AM210-AM209))*HLOOKUP(AO$6,SHIPS,7,0)*INDEX(LADEN_VOYAGE_DAYS,MATCH(CONCATENATE(AO$4,AO$5,AO$7),LADEN_VOYAGE_ROUTES,0),MATCH(AO$6,LADEN_VOYAGE_SHIPS,0)))),0)</f>
        <v>5166876.756626742</v>
      </c>
      <c r="AQ209" s="118">
        <f>-(AP209)*PORTS!$I$6</f>
        <v>-129171.91891566856</v>
      </c>
      <c r="AR209" s="215">
        <f t="shared" si="63"/>
        <v>5037704.8377110735</v>
      </c>
      <c r="AS209" s="202"/>
      <c r="AT209" s="186">
        <f t="shared" si="91"/>
        <v>42522</v>
      </c>
      <c r="AU209" s="232">
        <f>+AR209*(VLOOKUP(AT209,CURVECALC!$C$6:$J$312,4,0)+AV$5)</f>
        <v>19858632.470257051</v>
      </c>
      <c r="AV209" s="208">
        <f>-AN209*INDEX(ship_curves,MATCH(AT209,'SHIP CURVES'!$A$9:$A$316,0),MATCH(CONCATENATE(AX$4,AX$5,AX$6,AX$7),'SHIP CURVES'!$A$9:$AZ$9,0))</f>
        <v>-1778412.8393575191</v>
      </c>
      <c r="AW209" s="209">
        <f>-AP209*INDEX(port_processing_fee,MATCH(AT209,PORTS!$H$626:$H$933,0),MATCH(AX$5,PORTS!$H$626:$Z$626,0))</f>
        <v>-166979.30721776007</v>
      </c>
      <c r="AX209" s="405">
        <f>(((VLOOKUP(AT209,curvecalc,4,0))*IF(AN209=0,0,AR209/AN209)-INDEX(ship_curves,MATCH(AT209,'SHIP CURVES'!$A$9:$A$316,0),MATCH(CONCATENATE(AX$4,AX$5,AX$6,AX$7),'SHIP CURVES'!$A$9:$Z$9,0))-INDEX(terminal_curves,MATCH(AT209,'TERMINAL CURVES'!$A$4:$A$313,0),MATCH(AX$5,'TERMINAL CURVES'!$A$4:$N$4,0))*IF(AN209=0,0,AP209/AN209))-(AV$8)*((AV$7-$N$5)-(INDEX(ship_curves,MATCH(AT209,'SHIP CURVES'!$A$9:$A$316,0),MATCH(CONCATENATE(AX$4,AX$5,AX$6,AX$7),'SHIP CURVES'!$A$9:$Z$9,0))-INDEX(ship_curves,MATCH(AT209,'SHIP CURVES'!$A$9:$A$316,0),MATCH(CONCATENATE(AX$4,AV$6,AX$6,AX$7),'SHIP CURVES'!$A$9:$Z$9,0)))-(INDEX(terminal_curves,MATCH(AT209,'TERMINAL CURVES'!$A$4:$A$313,0),MATCH(AX$5,'TERMINAL CURVES'!$A$4:$N$4,0))-INDEX(terminal_curves,MATCH(AT209,'TERMINAL CURVES'!$A$4:$A$313,0),MATCH(AV$6,'TERMINAL CURVES'!$A$4:$N$4,0)))*IF(AN209=0,0,AP209/AN209)))*-AN209</f>
        <v>-16771428.869001541</v>
      </c>
      <c r="AY209" s="343">
        <f t="shared" si="82"/>
        <v>-18716821.015576821</v>
      </c>
      <c r="AZ209" s="338">
        <f>(-AP209/((HLOOKUP(AX$5,port_specs,2,0)/(365.25))*(AT210-AT209)))*(INDEX(fixed_capacity_charge,MATCH(AT209,PORTS!$H$11:$H$317,0),MATCH(AX$5,PORTS!$H$11:$N$11,0))+INDEX(variable_om_charge,MATCH(AT209,PORTS!$H$318:$H$625,0),MATCH(AX$5,PORTS!$H$318:$N$318,0)))</f>
        <v>-1041057.3579260071</v>
      </c>
      <c r="BA209" s="232">
        <f t="shared" si="83"/>
        <v>-19757878.373502828</v>
      </c>
      <c r="BB209" s="241">
        <f t="shared" si="84"/>
        <v>100754.09675422311</v>
      </c>
      <c r="BC209" s="408"/>
      <c r="BD209" s="338">
        <f>+PORTS!I203+PORTS!I511</f>
        <v>1041057.3579260071</v>
      </c>
    </row>
    <row r="210" spans="1:56" x14ac:dyDescent="0.2">
      <c r="A210" s="186">
        <f t="shared" si="85"/>
        <v>42552</v>
      </c>
      <c r="B210" s="215">
        <f>+IF(AND($A210&gt;=$C$8,$A210&lt;=$C$9),1,0)*PORTS!$I$5/(365.25)*(A211-A210)</f>
        <v>5339105.9818476336</v>
      </c>
      <c r="C210" s="351">
        <f t="shared" si="64"/>
        <v>0</v>
      </c>
      <c r="D210">
        <f t="shared" si="65"/>
        <v>2016</v>
      </c>
      <c r="E210" s="186">
        <f t="shared" si="86"/>
        <v>42552</v>
      </c>
      <c r="F210" s="215">
        <f t="shared" si="66"/>
        <v>0</v>
      </c>
      <c r="G210" s="191">
        <f t="shared" si="67"/>
        <v>0</v>
      </c>
      <c r="H210" s="218">
        <f t="shared" si="68"/>
        <v>0</v>
      </c>
      <c r="I210" s="118">
        <f t="shared" si="69"/>
        <v>0</v>
      </c>
      <c r="J210" s="215">
        <f t="shared" si="70"/>
        <v>0</v>
      </c>
      <c r="K210" s="202"/>
      <c r="L210" s="186">
        <f t="shared" si="87"/>
        <v>42552</v>
      </c>
      <c r="M210" s="400">
        <f>+J210*(VLOOKUP(L210,CURVECALC!$C$6:$J$312,4,0)+N$5)</f>
        <v>0</v>
      </c>
      <c r="N210" s="208">
        <f>-F210*INDEX(ship_curves,MATCH(L210,'SHIP CURVES'!$A$9:$A$316,0),MATCH(CONCATENATE(P$4,P$5,P$6,P$7),'SHIP CURVES'!$A$9:$AZ$9,0))</f>
        <v>0</v>
      </c>
      <c r="O210" s="209">
        <f>-H210*INDEX(port_processing_fee,MATCH(L210,PORTS!$H$626:$H$933,0),MATCH(P$5,PORTS!$H$626:$Z$626,0))</f>
        <v>0</v>
      </c>
      <c r="P210" s="405">
        <f>(((VLOOKUP(L210,curvecalc,4,0))*IF(F210=0,0,J210/F210)-INDEX(ship_curves,MATCH(L210,'SHIP CURVES'!$A$9:$A$316,0),MATCH(CONCATENATE(P$4,P$5,P$6,P$7),'SHIP CURVES'!$A$9:$Z$9,0))-INDEX(terminal_curves,MATCH(L210,'TERMINAL CURVES'!$A$4:$A$313,0),MATCH(P$5,'TERMINAL CURVES'!$A$4:$N$4,0))*IF(F210=0,0,H210/F210))-(N$8)*((N$7-$N$5)-(INDEX(ship_curves,MATCH(L210,'SHIP CURVES'!$A$9:$A$316,0),MATCH(CONCATENATE(P$4,P$5,P$6,P$7),'SHIP CURVES'!$A$9:$Z$9,0))-INDEX(ship_curves,MATCH(L210,'SHIP CURVES'!$A$9:$A$316,0),MATCH(CONCATENATE(P$4,N$6,P$6,P$7),'SHIP CURVES'!$A$9:$Z$9,0)))-(INDEX(terminal_curves,MATCH(L210,'TERMINAL CURVES'!$A$4:$A$313,0),MATCH(P$5,'TERMINAL CURVES'!$A$4:$N$4,0))-INDEX(terminal_curves,MATCH(L210,'TERMINAL CURVES'!$A$4:$A$313,0),MATCH(N$6,'TERMINAL CURVES'!$A$4:$N$4,0)))*IF(F210=0,0,H210/F210)))*-F210</f>
        <v>0</v>
      </c>
      <c r="Q210" s="403">
        <f t="shared" si="71"/>
        <v>0</v>
      </c>
      <c r="R210" s="338">
        <f>(-H210/((HLOOKUP(P$5,port_specs,2,0)/(365.25))*(L211-L210)))*(INDEX(fixed_capacity_charge,MATCH(L210,PORTS!$H$11:$H$317,0),MATCH(P$5,PORTS!$H$11:$N$11,0))+INDEX(variable_om_charge,MATCH(L210,PORTS!$H$318:$H$625,0),MATCH(P$5,PORTS!$H$318:$N$318,0)))</f>
        <v>0</v>
      </c>
      <c r="S210" s="232">
        <f t="shared" si="72"/>
        <v>0</v>
      </c>
      <c r="T210" s="241">
        <f t="shared" si="73"/>
        <v>0</v>
      </c>
      <c r="V210" s="186">
        <f t="shared" si="88"/>
        <v>42552</v>
      </c>
      <c r="W210" s="215">
        <f t="shared" si="74"/>
        <v>0</v>
      </c>
      <c r="X210" s="191">
        <f t="shared" si="75"/>
        <v>0</v>
      </c>
      <c r="Y210" s="218">
        <f>+IF(AND(X$8&lt;=V210,X$9&gt;=V210),+MIN($B210-SUMIF($H$17:X$17,Y$17,$H210:X210),((INDEX(ROUTE_PER_DAY_BY_SHIP,MATCH(CONCATENATE(X$4,X$5,X$7),ROUTE_PER_DAY_ROUTES,0),MATCH(X$6,ROUTE_PER_DAY_SHIPS,0))*(V211-V210))-(INDEX(ROUTE_PER_DAY_BY_SHIP,MATCH(CONCATENATE(X$4,X$5,X$7),ROUTE_PER_DAY_ROUTES,0),MATCH(X$6,ROUTE_PER_DAY_SHIPS,0))*(V211-V210))*HLOOKUP(X$6,SHIPS,7,0)*INDEX(LADEN_VOYAGE_DAYS,MATCH(CONCATENATE(X$4,X$5,X$7),LADEN_VOYAGE_ROUTES,0),MATCH(X$6,LADEN_VOYAGE_SHIPS,0)))),0)</f>
        <v>0</v>
      </c>
      <c r="Z210" s="118">
        <f t="shared" si="76"/>
        <v>0</v>
      </c>
      <c r="AA210" s="215">
        <f t="shared" ref="AA210:AA273" si="92">+Y210+Z210</f>
        <v>0</v>
      </c>
      <c r="AB210" s="202"/>
      <c r="AC210" s="186">
        <f t="shared" si="89"/>
        <v>42552</v>
      </c>
      <c r="AD210" s="232">
        <f>+AA210*(VLOOKUP(AC210,CURVECALC!$C$6:$J$312,4,0)+AE$5)</f>
        <v>0</v>
      </c>
      <c r="AE210" s="208">
        <f>-W210*INDEX(ship_curves,MATCH(AC210,'SHIP CURVES'!$A$9:$A$316,0),MATCH(CONCATENATE(AG$4,AG$5,AG$6,AG$7),'SHIP CURVES'!$A$9:$AZ$9,0))</f>
        <v>0</v>
      </c>
      <c r="AF210" s="209">
        <f>-Y210*INDEX(port_processing_fee,MATCH(AC210,PORTS!$H$626:$H$933,0),MATCH(AG$5,PORTS!$H$626:$Z$626,0))</f>
        <v>0</v>
      </c>
      <c r="AG210" s="405">
        <f>(((VLOOKUP(AC210,curvecalc,4,0))*IF(W210=0,0,AA210/W210)-INDEX(ship_curves,MATCH(AC210,'SHIP CURVES'!$A$9:$A$316,0),MATCH(CONCATENATE(AG$4,AG$5,AG$6,AG$7),'SHIP CURVES'!$A$9:$Z$9,0))-INDEX(terminal_curves,MATCH(AC210,'TERMINAL CURVES'!$A$4:$A$313,0),MATCH(AG$5,'TERMINAL CURVES'!$A$4:$N$4,0))*IF(W210=0,0,Y210/W210))-(AE$8)*((AE$7-$N$5)-(INDEX(ship_curves,MATCH(AC210,'SHIP CURVES'!$A$9:$A$316,0),MATCH(CONCATENATE(AG$4,AG$5,AG$6,AG$7),'SHIP CURVES'!$A$9:$Z$9,0))-INDEX(ship_curves,MATCH(AC210,'SHIP CURVES'!$A$9:$A$316,0),MATCH(CONCATENATE(AG$4,AE$6,AG$6,AG$7),'SHIP CURVES'!$A$9:$Z$9,0)))-(INDEX(terminal_curves,MATCH(AC210,'TERMINAL CURVES'!$A$4:$A$313,0),MATCH(AG$5,'TERMINAL CURVES'!$A$4:$N$4,0))-INDEX(terminal_curves,MATCH(AC210,'TERMINAL CURVES'!$A$4:$A$313,0),MATCH(AE$6,'TERMINAL CURVES'!$A$4:$N$4,0)))*IF(W210=0,0,Y210/W210)))*-W210</f>
        <v>0</v>
      </c>
      <c r="AH210" s="343">
        <f t="shared" si="77"/>
        <v>0</v>
      </c>
      <c r="AI210" s="338">
        <f>(-Y210/((HLOOKUP(AG$5,port_specs,2,0)/(365.25))*(AC211-AC210)))*(INDEX(fixed_capacity_charge,MATCH(AC210,PORTS!$H$11:$H$317,0),MATCH(AG$5,PORTS!$H$11:$N$11,0))+INDEX(variable_om_charge,MATCH(AC210,PORTS!$H$318:$H$625,0),MATCH(AG$5,PORTS!$H$318:$N$318,0)))</f>
        <v>0</v>
      </c>
      <c r="AJ210" s="232">
        <f t="shared" si="78"/>
        <v>0</v>
      </c>
      <c r="AK210" s="241">
        <f t="shared" si="79"/>
        <v>0</v>
      </c>
      <c r="AM210" s="186">
        <f t="shared" si="90"/>
        <v>42552</v>
      </c>
      <c r="AN210" s="215">
        <f t="shared" si="80"/>
        <v>5395761.4773599124</v>
      </c>
      <c r="AO210" s="191">
        <f t="shared" si="81"/>
        <v>-56655.495512278751</v>
      </c>
      <c r="AP210" s="218">
        <f>+IF(AND(AO$8&lt;=AM210,AO$9&gt;=AM210),+MIN($B210-SUMIF($H$17:AO$17,AP$17,$H210:AO210),((INDEX(ROUTE_PER_DAY_BY_SHIP,MATCH(CONCATENATE(AO$4,AO$5,AO$7),ROUTE_PER_DAY_ROUTES,0),MATCH(AO$6,ROUTE_PER_DAY_SHIPS,0))*(AM211-AM210))-(INDEX(ROUTE_PER_DAY_BY_SHIP,MATCH(CONCATENATE(AO$4,AO$5,AO$7),ROUTE_PER_DAY_ROUTES,0),MATCH(AO$6,ROUTE_PER_DAY_SHIPS,0))*(AM211-AM210))*HLOOKUP(AO$6,SHIPS,7,0)*INDEX(LADEN_VOYAGE_DAYS,MATCH(CONCATENATE(AO$4,AO$5,AO$7),LADEN_VOYAGE_ROUTES,0),MATCH(AO$6,LADEN_VOYAGE_SHIPS,0)))),0)</f>
        <v>5339105.9818476336</v>
      </c>
      <c r="AQ210" s="118">
        <f>-(AP210)*PORTS!$I$6</f>
        <v>-133477.64954619083</v>
      </c>
      <c r="AR210" s="215">
        <f t="shared" ref="AR210:AR273" si="93">+AP210+AQ210</f>
        <v>5205628.3323014425</v>
      </c>
      <c r="AS210" s="202"/>
      <c r="AT210" s="186">
        <f t="shared" si="91"/>
        <v>42552</v>
      </c>
      <c r="AU210" s="232">
        <f>+AR210*(VLOOKUP(AT210,CURVECALC!$C$6:$J$312,4,0)+AV$5)</f>
        <v>20520586.885932285</v>
      </c>
      <c r="AV210" s="208">
        <f>-AN210*INDEX(ship_curves,MATCH(AT210,'SHIP CURVES'!$A$9:$A$316,0),MATCH(CONCATENATE(AX$4,AX$5,AX$6,AX$7),'SHIP CURVES'!$A$9:$AZ$9,0))</f>
        <v>-1838326.1122117697</v>
      </c>
      <c r="AW210" s="209">
        <f>-AP210*INDEX(port_processing_fee,MATCH(AT210,PORTS!$H$626:$H$933,0),MATCH(AX$5,PORTS!$H$626:$Z$626,0))</f>
        <v>-172725.01879598229</v>
      </c>
      <c r="AX210" s="405">
        <f>(((VLOOKUP(AT210,curvecalc,4,0))*IF(AN210=0,0,AR210/AN210)-INDEX(ship_curves,MATCH(AT210,'SHIP CURVES'!$A$9:$A$316,0),MATCH(CONCATENATE(AX$4,AX$5,AX$6,AX$7),'SHIP CURVES'!$A$9:$Z$9,0))-INDEX(terminal_curves,MATCH(AT210,'TERMINAL CURVES'!$A$4:$A$313,0),MATCH(AX$5,'TERMINAL CURVES'!$A$4:$N$4,0))*IF(AN210=0,0,AP210/AN210))-(AV$8)*((AV$7-$N$5)-(INDEX(ship_curves,MATCH(AT210,'SHIP CURVES'!$A$9:$A$316,0),MATCH(CONCATENATE(AX$4,AX$5,AX$6,AX$7),'SHIP CURVES'!$A$9:$Z$9,0))-INDEX(ship_curves,MATCH(AT210,'SHIP CURVES'!$A$9:$A$316,0),MATCH(CONCATENATE(AX$4,AV$6,AX$6,AX$7),'SHIP CURVES'!$A$9:$Z$9,0)))-(INDEX(terminal_curves,MATCH(AT210,'TERMINAL CURVES'!$A$4:$A$313,0),MATCH(AX$5,'TERMINAL CURVES'!$A$4:$N$4,0))-INDEX(terminal_curves,MATCH(AT210,'TERMINAL CURVES'!$A$4:$A$313,0),MATCH(AV$6,'TERMINAL CURVES'!$A$4:$N$4,0)))*IF(AN210=0,0,AP210/AN210)))*-AN210</f>
        <v>-17363786.798282687</v>
      </c>
      <c r="AY210" s="343">
        <f t="shared" si="82"/>
        <v>-19374837.92929044</v>
      </c>
      <c r="AZ210" s="338">
        <f>(-AP210/((HLOOKUP(AX$5,port_specs,2,0)/(365.25))*(AT211-AT210)))*(INDEX(fixed_capacity_charge,MATCH(AT210,PORTS!$H$11:$H$317,0),MATCH(AX$5,PORTS!$H$11:$N$11,0))+INDEX(variable_om_charge,MATCH(AT210,PORTS!$H$318:$H$625,0),MATCH(AX$5,PORTS!$H$318:$N$318,0)))</f>
        <v>-1041636.3899958171</v>
      </c>
      <c r="BA210" s="232">
        <f t="shared" si="83"/>
        <v>-20416474.319286257</v>
      </c>
      <c r="BB210" s="241">
        <f t="shared" si="84"/>
        <v>104112.56664602831</v>
      </c>
      <c r="BC210" s="408"/>
      <c r="BD210" s="338">
        <f>+PORTS!I204+PORTS!I512</f>
        <v>1041636.3899958171</v>
      </c>
    </row>
    <row r="211" spans="1:56" x14ac:dyDescent="0.2">
      <c r="A211" s="186">
        <f t="shared" si="85"/>
        <v>42583</v>
      </c>
      <c r="B211" s="215">
        <f>+IF(AND($A211&gt;=$C$8,$A211&lt;=$C$9),1,0)*PORTS!$I$5/(365.25)*(A212-A211)</f>
        <v>5339105.9818476336</v>
      </c>
      <c r="C211" s="351">
        <f t="shared" ref="C211:C274" si="94">+B211-(SUMIF($F$17:$IV$17,$H$17,$F211:$IV211))</f>
        <v>0</v>
      </c>
      <c r="D211">
        <f t="shared" ref="D211:D274" si="95">+YEAR(E211)</f>
        <v>2016</v>
      </c>
      <c r="E211" s="186">
        <f t="shared" si="86"/>
        <v>42583</v>
      </c>
      <c r="F211" s="215">
        <f t="shared" ref="F211:F274" si="96">+IF(AND(G$8&lt;=E211,G$9&gt;=E211),INDEX(ROUTE_PER_DAY_BY_SHIP,MATCH(CONCATENATE(G$4,G$5,G$7),ROUTE_PER_DAY_ROUTES,0),MATCH(G$6,ROUTE_PER_DAY_SHIPS,0))*(E212-E211),0)</f>
        <v>0</v>
      </c>
      <c r="G211" s="191">
        <f t="shared" ref="G211:G274" si="97">-F211*HLOOKUP(G$6,SHIPS,7,0)*INDEX(LADEN_VOYAGE_DAYS,MATCH(CONCATENATE(G$4,G$5,G$7),LADEN_VOYAGE_ROUTES,0),MATCH(G$6,LADEN_VOYAGE_SHIPS,0))</f>
        <v>0</v>
      </c>
      <c r="H211" s="218">
        <f t="shared" ref="H211:H274" si="98">SUM(F211:G211)</f>
        <v>0</v>
      </c>
      <c r="I211" s="118">
        <f t="shared" ref="I211:I274" si="99">-(H211)*HLOOKUP(G$5,TERMINAL_CHARGES,3,0)</f>
        <v>0</v>
      </c>
      <c r="J211" s="215">
        <f t="shared" ref="J211:J274" si="100">+H211+I211</f>
        <v>0</v>
      </c>
      <c r="K211" s="202"/>
      <c r="L211" s="186">
        <f t="shared" si="87"/>
        <v>42583</v>
      </c>
      <c r="M211" s="400">
        <f>+J211*(VLOOKUP(L211,CURVECALC!$C$6:$J$312,4,0)+N$5)</f>
        <v>0</v>
      </c>
      <c r="N211" s="208">
        <f>-F211*INDEX(ship_curves,MATCH(L211,'SHIP CURVES'!$A$9:$A$316,0),MATCH(CONCATENATE(P$4,P$5,P$6,P$7),'SHIP CURVES'!$A$9:$AZ$9,0))</f>
        <v>0</v>
      </c>
      <c r="O211" s="209">
        <f>-H211*INDEX(port_processing_fee,MATCH(L211,PORTS!$H$626:$H$933,0),MATCH(P$5,PORTS!$H$626:$Z$626,0))</f>
        <v>0</v>
      </c>
      <c r="P211" s="405">
        <f>(((VLOOKUP(L211,curvecalc,4,0))*IF(F211=0,0,J211/F211)-INDEX(ship_curves,MATCH(L211,'SHIP CURVES'!$A$9:$A$316,0),MATCH(CONCATENATE(P$4,P$5,P$6,P$7),'SHIP CURVES'!$A$9:$Z$9,0))-INDEX(terminal_curves,MATCH(L211,'TERMINAL CURVES'!$A$4:$A$313,0),MATCH(P$5,'TERMINAL CURVES'!$A$4:$N$4,0))*IF(F211=0,0,H211/F211))-(N$8)*((N$7-$N$5)-(INDEX(ship_curves,MATCH(L211,'SHIP CURVES'!$A$9:$A$316,0),MATCH(CONCATENATE(P$4,P$5,P$6,P$7),'SHIP CURVES'!$A$9:$Z$9,0))-INDEX(ship_curves,MATCH(L211,'SHIP CURVES'!$A$9:$A$316,0),MATCH(CONCATENATE(P$4,N$6,P$6,P$7),'SHIP CURVES'!$A$9:$Z$9,0)))-(INDEX(terminal_curves,MATCH(L211,'TERMINAL CURVES'!$A$4:$A$313,0),MATCH(P$5,'TERMINAL CURVES'!$A$4:$N$4,0))-INDEX(terminal_curves,MATCH(L211,'TERMINAL CURVES'!$A$4:$A$313,0),MATCH(N$6,'TERMINAL CURVES'!$A$4:$N$4,0)))*IF(F211=0,0,H211/F211)))*-F211</f>
        <v>0</v>
      </c>
      <c r="Q211" s="403">
        <f t="shared" ref="Q211:Q274" si="101">SUM(N211:P211)</f>
        <v>0</v>
      </c>
      <c r="R211" s="338">
        <f>(-H211/((HLOOKUP(P$5,port_specs,2,0)/(365.25))*(L212-L211)))*(INDEX(fixed_capacity_charge,MATCH(L211,PORTS!$H$11:$H$317,0),MATCH(P$5,PORTS!$H$11:$N$11,0))+INDEX(variable_om_charge,MATCH(L211,PORTS!$H$318:$H$625,0),MATCH(P$5,PORTS!$H$318:$N$318,0)))</f>
        <v>0</v>
      </c>
      <c r="S211" s="232">
        <f t="shared" ref="S211:S274" si="102">+R211+Q211</f>
        <v>0</v>
      </c>
      <c r="T211" s="241">
        <f t="shared" ref="T211:T274" si="103">+S211+M211</f>
        <v>0</v>
      </c>
      <c r="V211" s="186">
        <f t="shared" si="88"/>
        <v>42583</v>
      </c>
      <c r="W211" s="215">
        <f t="shared" ref="W211:W274" si="104">+Y211/(1-HLOOKUP(X$6,SHIPS,7,0)*INDEX(LADEN_VOYAGE_DAYS,MATCH(CONCATENATE(X$4,X$5),LADEN_VOYAGE_ROUTES,0),MATCH(X$6,LADEN_VOYAGE_SHIPS,0)))</f>
        <v>0</v>
      </c>
      <c r="X211" s="191">
        <f t="shared" ref="X211:X274" si="105">+Y211-W211</f>
        <v>0</v>
      </c>
      <c r="Y211" s="218">
        <f>+IF(AND(X$8&lt;=V211,X$9&gt;=V211),+MIN($B211-SUMIF($H$17:X$17,Y$17,$H211:X211),((INDEX(ROUTE_PER_DAY_BY_SHIP,MATCH(CONCATENATE(X$4,X$5,X$7),ROUTE_PER_DAY_ROUTES,0),MATCH(X$6,ROUTE_PER_DAY_SHIPS,0))*(V212-V211))-(INDEX(ROUTE_PER_DAY_BY_SHIP,MATCH(CONCATENATE(X$4,X$5,X$7),ROUTE_PER_DAY_ROUTES,0),MATCH(X$6,ROUTE_PER_DAY_SHIPS,0))*(V212-V211))*HLOOKUP(X$6,SHIPS,7,0)*INDEX(LADEN_VOYAGE_DAYS,MATCH(CONCATENATE(X$4,X$5,X$7),LADEN_VOYAGE_ROUTES,0),MATCH(X$6,LADEN_VOYAGE_SHIPS,0)))),0)</f>
        <v>0</v>
      </c>
      <c r="Z211" s="118">
        <f t="shared" ref="Z211:Z274" si="106">-(Y211)*HLOOKUP(X$5,TERMINAL_CHARGES,3,0)</f>
        <v>0</v>
      </c>
      <c r="AA211" s="215">
        <f t="shared" si="92"/>
        <v>0</v>
      </c>
      <c r="AB211" s="202"/>
      <c r="AC211" s="186">
        <f t="shared" si="89"/>
        <v>42583</v>
      </c>
      <c r="AD211" s="232">
        <f>+AA211*(VLOOKUP(AC211,CURVECALC!$C$6:$J$312,4,0)+AE$5)</f>
        <v>0</v>
      </c>
      <c r="AE211" s="208">
        <f>-W211*INDEX(ship_curves,MATCH(AC211,'SHIP CURVES'!$A$9:$A$316,0),MATCH(CONCATENATE(AG$4,AG$5,AG$6,AG$7),'SHIP CURVES'!$A$9:$AZ$9,0))</f>
        <v>0</v>
      </c>
      <c r="AF211" s="209">
        <f>-Y211*INDEX(port_processing_fee,MATCH(AC211,PORTS!$H$626:$H$933,0),MATCH(AG$5,PORTS!$H$626:$Z$626,0))</f>
        <v>0</v>
      </c>
      <c r="AG211" s="405">
        <f>(((VLOOKUP(AC211,curvecalc,4,0))*IF(W211=0,0,AA211/W211)-INDEX(ship_curves,MATCH(AC211,'SHIP CURVES'!$A$9:$A$316,0),MATCH(CONCATENATE(AG$4,AG$5,AG$6,AG$7),'SHIP CURVES'!$A$9:$Z$9,0))-INDEX(terminal_curves,MATCH(AC211,'TERMINAL CURVES'!$A$4:$A$313,0),MATCH(AG$5,'TERMINAL CURVES'!$A$4:$N$4,0))*IF(W211=0,0,Y211/W211))-(AE$8)*((AE$7-$N$5)-(INDEX(ship_curves,MATCH(AC211,'SHIP CURVES'!$A$9:$A$316,0),MATCH(CONCATENATE(AG$4,AG$5,AG$6,AG$7),'SHIP CURVES'!$A$9:$Z$9,0))-INDEX(ship_curves,MATCH(AC211,'SHIP CURVES'!$A$9:$A$316,0),MATCH(CONCATENATE(AG$4,AE$6,AG$6,AG$7),'SHIP CURVES'!$A$9:$Z$9,0)))-(INDEX(terminal_curves,MATCH(AC211,'TERMINAL CURVES'!$A$4:$A$313,0),MATCH(AG$5,'TERMINAL CURVES'!$A$4:$N$4,0))-INDEX(terminal_curves,MATCH(AC211,'TERMINAL CURVES'!$A$4:$A$313,0),MATCH(AE$6,'TERMINAL CURVES'!$A$4:$N$4,0)))*IF(W211=0,0,Y211/W211)))*-W211</f>
        <v>0</v>
      </c>
      <c r="AH211" s="343">
        <f t="shared" ref="AH211:AH274" si="107">SUM(AE211:AG211)</f>
        <v>0</v>
      </c>
      <c r="AI211" s="338">
        <f>(-Y211/((HLOOKUP(AG$5,port_specs,2,0)/(365.25))*(AC212-AC211)))*(INDEX(fixed_capacity_charge,MATCH(AC211,PORTS!$H$11:$H$317,0),MATCH(AG$5,PORTS!$H$11:$N$11,0))+INDEX(variable_om_charge,MATCH(AC211,PORTS!$H$318:$H$625,0),MATCH(AG$5,PORTS!$H$318:$N$318,0)))</f>
        <v>0</v>
      </c>
      <c r="AJ211" s="232">
        <f t="shared" ref="AJ211:AJ274" si="108">+AI211+AH211</f>
        <v>0</v>
      </c>
      <c r="AK211" s="241">
        <f t="shared" ref="AK211:AK274" si="109">+AJ211+AD211</f>
        <v>0</v>
      </c>
      <c r="AM211" s="186">
        <f t="shared" si="90"/>
        <v>42583</v>
      </c>
      <c r="AN211" s="215">
        <f t="shared" ref="AN211:AN274" si="110">+AP211/(1-HLOOKUP(AO$6,SHIPS,7,0)*INDEX(LADEN_VOYAGE_DAYS,MATCH(CONCATENATE(AO$4,AO$5),LADEN_VOYAGE_ROUTES,0),MATCH(AO$6,LADEN_VOYAGE_SHIPS,0)))</f>
        <v>5395761.4773599124</v>
      </c>
      <c r="AO211" s="191">
        <f t="shared" ref="AO211:AO274" si="111">+AP211-AN211</f>
        <v>-56655.495512278751</v>
      </c>
      <c r="AP211" s="218">
        <f>+IF(AND(AO$8&lt;=AM211,AO$9&gt;=AM211),+MIN($B211-SUMIF($H$17:AO$17,AP$17,$H211:AO211),((INDEX(ROUTE_PER_DAY_BY_SHIP,MATCH(CONCATENATE(AO$4,AO$5,AO$7),ROUTE_PER_DAY_ROUTES,0),MATCH(AO$6,ROUTE_PER_DAY_SHIPS,0))*(AM212-AM211))-(INDEX(ROUTE_PER_DAY_BY_SHIP,MATCH(CONCATENATE(AO$4,AO$5,AO$7),ROUTE_PER_DAY_ROUTES,0),MATCH(AO$6,ROUTE_PER_DAY_SHIPS,0))*(AM212-AM211))*HLOOKUP(AO$6,SHIPS,7,0)*INDEX(LADEN_VOYAGE_DAYS,MATCH(CONCATENATE(AO$4,AO$5,AO$7),LADEN_VOYAGE_ROUTES,0),MATCH(AO$6,LADEN_VOYAGE_SHIPS,0)))),0)</f>
        <v>5339105.9818476336</v>
      </c>
      <c r="AQ211" s="118">
        <f>-(AP211)*PORTS!$I$6</f>
        <v>-133477.64954619083</v>
      </c>
      <c r="AR211" s="215">
        <f t="shared" si="93"/>
        <v>5205628.3323014425</v>
      </c>
      <c r="AS211" s="202"/>
      <c r="AT211" s="186">
        <f t="shared" si="91"/>
        <v>42583</v>
      </c>
      <c r="AU211" s="232">
        <f>+AR211*(VLOOKUP(AT211,CURVECALC!$C$6:$J$312,4,0)+AV$5)</f>
        <v>20832924.58587037</v>
      </c>
      <c r="AV211" s="208">
        <f>-AN211*INDEX(ship_curves,MATCH(AT211,'SHIP CURVES'!$A$9:$A$316,0),MATCH(CONCATENATE(AX$4,AX$5,AX$6,AX$7),'SHIP CURVES'!$A$9:$AZ$9,0))</f>
        <v>-1838960.2755142604</v>
      </c>
      <c r="AW211" s="209">
        <f>-AP211*INDEX(port_processing_fee,MATCH(AT211,PORTS!$H$626:$H$933,0),MATCH(AX$5,PORTS!$H$626:$Z$626,0))</f>
        <v>-172904.94069056143</v>
      </c>
      <c r="AX211" s="405">
        <f>(((VLOOKUP(AT211,curvecalc,4,0))*IF(AN211=0,0,AR211/AN211)-INDEX(ship_curves,MATCH(AT211,'SHIP CURVES'!$A$9:$A$316,0),MATCH(CONCATENATE(AX$4,AX$5,AX$6,AX$7),'SHIP CURVES'!$A$9:$Z$9,0))-INDEX(terminal_curves,MATCH(AT211,'TERMINAL CURVES'!$A$4:$A$313,0),MATCH(AX$5,'TERMINAL CURVES'!$A$4:$N$4,0))*IF(AN211=0,0,AP211/AN211))-(AV$8)*((AV$7-$N$5)-(INDEX(ship_curves,MATCH(AT211,'SHIP CURVES'!$A$9:$A$316,0),MATCH(CONCATENATE(AX$4,AX$5,AX$6,AX$7),'SHIP CURVES'!$A$9:$Z$9,0))-INDEX(ship_curves,MATCH(AT211,'SHIP CURVES'!$A$9:$A$316,0),MATCH(CONCATENATE(AX$4,AV$6,AX$6,AX$7),'SHIP CURVES'!$A$9:$Z$9,0)))-(INDEX(terminal_curves,MATCH(AT211,'TERMINAL CURVES'!$A$4:$A$313,0),MATCH(AX$5,'TERMINAL CURVES'!$A$4:$N$4,0))-INDEX(terminal_curves,MATCH(AT211,'TERMINAL CURVES'!$A$4:$A$313,0),MATCH(AV$6,'TERMINAL CURVES'!$A$4:$N$4,0)))*IF(AN211=0,0,AP211/AN211)))*-AN211</f>
        <v>-17674730.777795486</v>
      </c>
      <c r="AY211" s="343">
        <f t="shared" ref="AY211:AY274" si="112">SUM(AV211:AX211)</f>
        <v>-19686595.994000308</v>
      </c>
      <c r="AZ211" s="338">
        <f>(-AP211/((HLOOKUP(AX$5,port_specs,2,0)/(365.25))*(AT212-AT211)))*(INDEX(fixed_capacity_charge,MATCH(AT211,PORTS!$H$11:$H$317,0),MATCH(AX$5,PORTS!$H$11:$N$11,0))+INDEX(variable_om_charge,MATCH(AT211,PORTS!$H$318:$H$625,0),MATCH(AX$5,PORTS!$H$318:$N$318,0)))</f>
        <v>-1042216.0252240333</v>
      </c>
      <c r="BA211" s="232">
        <f t="shared" ref="BA211:BA274" si="113">+AZ211+AY211</f>
        <v>-20728812.019224342</v>
      </c>
      <c r="BB211" s="241">
        <f t="shared" ref="BB211:BB274" si="114">+BA211+AU211</f>
        <v>104112.56664602831</v>
      </c>
      <c r="BC211" s="408"/>
      <c r="BD211" s="338">
        <f>+PORTS!I205+PORTS!I513</f>
        <v>1042216.0252240333</v>
      </c>
    </row>
    <row r="212" spans="1:56" x14ac:dyDescent="0.2">
      <c r="A212" s="186">
        <f t="shared" ref="A212:A275" si="115">+DATE(YEAR(A211),MONTH(A211)+1,1)</f>
        <v>42614</v>
      </c>
      <c r="B212" s="215">
        <f>+IF(AND($A212&gt;=$C$8,$A212&lt;=$C$9),1,0)*PORTS!$I$5/(365.25)*(A213-A212)</f>
        <v>5166876.756626742</v>
      </c>
      <c r="C212" s="351">
        <f t="shared" si="94"/>
        <v>0</v>
      </c>
      <c r="D212">
        <f t="shared" si="95"/>
        <v>2016</v>
      </c>
      <c r="E212" s="186">
        <f t="shared" ref="E212:E275" si="116">+DATE(YEAR(E211),MONTH(E211)+1,1)</f>
        <v>42614</v>
      </c>
      <c r="F212" s="215">
        <f t="shared" si="96"/>
        <v>0</v>
      </c>
      <c r="G212" s="191">
        <f t="shared" si="97"/>
        <v>0</v>
      </c>
      <c r="H212" s="218">
        <f t="shared" si="98"/>
        <v>0</v>
      </c>
      <c r="I212" s="118">
        <f t="shared" si="99"/>
        <v>0</v>
      </c>
      <c r="J212" s="215">
        <f t="shared" si="100"/>
        <v>0</v>
      </c>
      <c r="K212" s="202"/>
      <c r="L212" s="186">
        <f t="shared" ref="L212:L275" si="117">+DATE(YEAR(L211),MONTH(L211)+1,1)</f>
        <v>42614</v>
      </c>
      <c r="M212" s="400">
        <f>+J212*(VLOOKUP(L212,CURVECALC!$C$6:$J$312,4,0)+N$5)</f>
        <v>0</v>
      </c>
      <c r="N212" s="208">
        <f>-F212*INDEX(ship_curves,MATCH(L212,'SHIP CURVES'!$A$9:$A$316,0),MATCH(CONCATENATE(P$4,P$5,P$6,P$7),'SHIP CURVES'!$A$9:$AZ$9,0))</f>
        <v>0</v>
      </c>
      <c r="O212" s="209">
        <f>-H212*INDEX(port_processing_fee,MATCH(L212,PORTS!$H$626:$H$933,0),MATCH(P$5,PORTS!$H$626:$Z$626,0))</f>
        <v>0</v>
      </c>
      <c r="P212" s="405">
        <f>(((VLOOKUP(L212,curvecalc,4,0))*IF(F212=0,0,J212/F212)-INDEX(ship_curves,MATCH(L212,'SHIP CURVES'!$A$9:$A$316,0),MATCH(CONCATENATE(P$4,P$5,P$6,P$7),'SHIP CURVES'!$A$9:$Z$9,0))-INDEX(terminal_curves,MATCH(L212,'TERMINAL CURVES'!$A$4:$A$313,0),MATCH(P$5,'TERMINAL CURVES'!$A$4:$N$4,0))*IF(F212=0,0,H212/F212))-(N$8)*((N$7-$N$5)-(INDEX(ship_curves,MATCH(L212,'SHIP CURVES'!$A$9:$A$316,0),MATCH(CONCATENATE(P$4,P$5,P$6,P$7),'SHIP CURVES'!$A$9:$Z$9,0))-INDEX(ship_curves,MATCH(L212,'SHIP CURVES'!$A$9:$A$316,0),MATCH(CONCATENATE(P$4,N$6,P$6,P$7),'SHIP CURVES'!$A$9:$Z$9,0)))-(INDEX(terminal_curves,MATCH(L212,'TERMINAL CURVES'!$A$4:$A$313,0),MATCH(P$5,'TERMINAL CURVES'!$A$4:$N$4,0))-INDEX(terminal_curves,MATCH(L212,'TERMINAL CURVES'!$A$4:$A$313,0),MATCH(N$6,'TERMINAL CURVES'!$A$4:$N$4,0)))*IF(F212=0,0,H212/F212)))*-F212</f>
        <v>0</v>
      </c>
      <c r="Q212" s="403">
        <f t="shared" si="101"/>
        <v>0</v>
      </c>
      <c r="R212" s="338">
        <f>(-H212/((HLOOKUP(P$5,port_specs,2,0)/(365.25))*(L213-L212)))*(INDEX(fixed_capacity_charge,MATCH(L212,PORTS!$H$11:$H$317,0),MATCH(P$5,PORTS!$H$11:$N$11,0))+INDEX(variable_om_charge,MATCH(L212,PORTS!$H$318:$H$625,0),MATCH(P$5,PORTS!$H$318:$N$318,0)))</f>
        <v>0</v>
      </c>
      <c r="S212" s="232">
        <f t="shared" si="102"/>
        <v>0</v>
      </c>
      <c r="T212" s="241">
        <f t="shared" si="103"/>
        <v>0</v>
      </c>
      <c r="V212" s="186">
        <f t="shared" ref="V212:V275" si="118">+DATE(YEAR(V211),MONTH(V211)+1,1)</f>
        <v>42614</v>
      </c>
      <c r="W212" s="215">
        <f t="shared" si="104"/>
        <v>0</v>
      </c>
      <c r="X212" s="191">
        <f t="shared" si="105"/>
        <v>0</v>
      </c>
      <c r="Y212" s="218">
        <f>+IF(AND(X$8&lt;=V212,X$9&gt;=V212),+MIN($B212-SUMIF($H$17:X$17,Y$17,$H212:X212),((INDEX(ROUTE_PER_DAY_BY_SHIP,MATCH(CONCATENATE(X$4,X$5,X$7),ROUTE_PER_DAY_ROUTES,0),MATCH(X$6,ROUTE_PER_DAY_SHIPS,0))*(V213-V212))-(INDEX(ROUTE_PER_DAY_BY_SHIP,MATCH(CONCATENATE(X$4,X$5,X$7),ROUTE_PER_DAY_ROUTES,0),MATCH(X$6,ROUTE_PER_DAY_SHIPS,0))*(V213-V212))*HLOOKUP(X$6,SHIPS,7,0)*INDEX(LADEN_VOYAGE_DAYS,MATCH(CONCATENATE(X$4,X$5,X$7),LADEN_VOYAGE_ROUTES,0),MATCH(X$6,LADEN_VOYAGE_SHIPS,0)))),0)</f>
        <v>0</v>
      </c>
      <c r="Z212" s="118">
        <f t="shared" si="106"/>
        <v>0</v>
      </c>
      <c r="AA212" s="215">
        <f t="shared" si="92"/>
        <v>0</v>
      </c>
      <c r="AB212" s="202"/>
      <c r="AC212" s="186">
        <f t="shared" ref="AC212:AC275" si="119">+DATE(YEAR(AC211),MONTH(AC211)+1,1)</f>
        <v>42614</v>
      </c>
      <c r="AD212" s="232">
        <f>+AA212*(VLOOKUP(AC212,CURVECALC!$C$6:$J$312,4,0)+AE$5)</f>
        <v>0</v>
      </c>
      <c r="AE212" s="208">
        <f>-W212*INDEX(ship_curves,MATCH(AC212,'SHIP CURVES'!$A$9:$A$316,0),MATCH(CONCATENATE(AG$4,AG$5,AG$6,AG$7),'SHIP CURVES'!$A$9:$AZ$9,0))</f>
        <v>0</v>
      </c>
      <c r="AF212" s="209">
        <f>-Y212*INDEX(port_processing_fee,MATCH(AC212,PORTS!$H$626:$H$933,0),MATCH(AG$5,PORTS!$H$626:$Z$626,0))</f>
        <v>0</v>
      </c>
      <c r="AG212" s="405">
        <f>(((VLOOKUP(AC212,curvecalc,4,0))*IF(W212=0,0,AA212/W212)-INDEX(ship_curves,MATCH(AC212,'SHIP CURVES'!$A$9:$A$316,0),MATCH(CONCATENATE(AG$4,AG$5,AG$6,AG$7),'SHIP CURVES'!$A$9:$Z$9,0))-INDEX(terminal_curves,MATCH(AC212,'TERMINAL CURVES'!$A$4:$A$313,0),MATCH(AG$5,'TERMINAL CURVES'!$A$4:$N$4,0))*IF(W212=0,0,Y212/W212))-(AE$8)*((AE$7-$N$5)-(INDEX(ship_curves,MATCH(AC212,'SHIP CURVES'!$A$9:$A$316,0),MATCH(CONCATENATE(AG$4,AG$5,AG$6,AG$7),'SHIP CURVES'!$A$9:$Z$9,0))-INDEX(ship_curves,MATCH(AC212,'SHIP CURVES'!$A$9:$A$316,0),MATCH(CONCATENATE(AG$4,AE$6,AG$6,AG$7),'SHIP CURVES'!$A$9:$Z$9,0)))-(INDEX(terminal_curves,MATCH(AC212,'TERMINAL CURVES'!$A$4:$A$313,0),MATCH(AG$5,'TERMINAL CURVES'!$A$4:$N$4,0))-INDEX(terminal_curves,MATCH(AC212,'TERMINAL CURVES'!$A$4:$A$313,0),MATCH(AE$6,'TERMINAL CURVES'!$A$4:$N$4,0)))*IF(W212=0,0,Y212/W212)))*-W212</f>
        <v>0</v>
      </c>
      <c r="AH212" s="343">
        <f t="shared" si="107"/>
        <v>0</v>
      </c>
      <c r="AI212" s="338">
        <f>(-Y212/((HLOOKUP(AG$5,port_specs,2,0)/(365.25))*(AC213-AC212)))*(INDEX(fixed_capacity_charge,MATCH(AC212,PORTS!$H$11:$H$317,0),MATCH(AG$5,PORTS!$H$11:$N$11,0))+INDEX(variable_om_charge,MATCH(AC212,PORTS!$H$318:$H$625,0),MATCH(AG$5,PORTS!$H$318:$N$318,0)))</f>
        <v>0</v>
      </c>
      <c r="AJ212" s="232">
        <f t="shared" si="108"/>
        <v>0</v>
      </c>
      <c r="AK212" s="241">
        <f t="shared" si="109"/>
        <v>0</v>
      </c>
      <c r="AM212" s="186">
        <f t="shared" ref="AM212:AM275" si="120">+DATE(YEAR(AM211),MONTH(AM211)+1,1)</f>
        <v>42614</v>
      </c>
      <c r="AN212" s="215">
        <f t="shared" si="110"/>
        <v>5221704.655509592</v>
      </c>
      <c r="AO212" s="191">
        <f t="shared" si="111"/>
        <v>-54827.898882850073</v>
      </c>
      <c r="AP212" s="218">
        <f>+IF(AND(AO$8&lt;=AM212,AO$9&gt;=AM212),+MIN($B212-SUMIF($H$17:AO$17,AP$17,$H212:AO212),((INDEX(ROUTE_PER_DAY_BY_SHIP,MATCH(CONCATENATE(AO$4,AO$5,AO$7),ROUTE_PER_DAY_ROUTES,0),MATCH(AO$6,ROUTE_PER_DAY_SHIPS,0))*(AM213-AM212))-(INDEX(ROUTE_PER_DAY_BY_SHIP,MATCH(CONCATENATE(AO$4,AO$5,AO$7),ROUTE_PER_DAY_ROUTES,0),MATCH(AO$6,ROUTE_PER_DAY_SHIPS,0))*(AM213-AM212))*HLOOKUP(AO$6,SHIPS,7,0)*INDEX(LADEN_VOYAGE_DAYS,MATCH(CONCATENATE(AO$4,AO$5,AO$7),LADEN_VOYAGE_ROUTES,0),MATCH(AO$6,LADEN_VOYAGE_SHIPS,0)))),0)</f>
        <v>5166876.756626742</v>
      </c>
      <c r="AQ212" s="118">
        <f>-(AP212)*PORTS!$I$6</f>
        <v>-129171.91891566856</v>
      </c>
      <c r="AR212" s="215">
        <f t="shared" si="93"/>
        <v>5037704.8377110735</v>
      </c>
      <c r="AS212" s="202"/>
      <c r="AT212" s="186">
        <f t="shared" ref="AT212:AT275" si="121">+DATE(YEAR(AT211),MONTH(AT211)+1,1)</f>
        <v>42614</v>
      </c>
      <c r="AU212" s="232">
        <f>+AR212*(VLOOKUP(AT212,CURVECALC!$C$6:$J$312,4,0)+AV$5)</f>
        <v>20045027.549252365</v>
      </c>
      <c r="AV212" s="208">
        <f>-AN212*INDEX(ship_curves,MATCH(AT212,'SHIP CURVES'!$A$9:$A$316,0),MATCH(CONCATENATE(AX$4,AX$5,AX$6,AX$7),'SHIP CURVES'!$A$9:$AZ$9,0))</f>
        <v>-1780253.9612809333</v>
      </c>
      <c r="AW212" s="209">
        <f>-AP212*INDEX(port_processing_fee,MATCH(AT212,PORTS!$H$626:$H$933,0),MATCH(AX$5,PORTS!$H$626:$Z$626,0))</f>
        <v>-167501.66129398136</v>
      </c>
      <c r="AX212" s="405">
        <f>(((VLOOKUP(AT212,curvecalc,4,0))*IF(AN212=0,0,AR212/AN212)-INDEX(ship_curves,MATCH(AT212,'SHIP CURVES'!$A$9:$A$316,0),MATCH(CONCATENATE(AX$4,AX$5,AX$6,AX$7),'SHIP CURVES'!$A$9:$Z$9,0))-INDEX(terminal_curves,MATCH(AT212,'TERMINAL CURVES'!$A$4:$A$313,0),MATCH(AX$5,'TERMINAL CURVES'!$A$4:$N$4,0))*IF(AN212=0,0,AP212/AN212))-(AV$8)*((AV$7-$N$5)-(INDEX(ship_curves,MATCH(AT212,'SHIP CURVES'!$A$9:$A$316,0),MATCH(CONCATENATE(AX$4,AX$5,AX$6,AX$7),'SHIP CURVES'!$A$9:$Z$9,0))-INDEX(ship_curves,MATCH(AT212,'SHIP CURVES'!$A$9:$A$316,0),MATCH(CONCATENATE(AX$4,AV$6,AX$6,AX$7),'SHIP CURVES'!$A$9:$Z$9,0)))-(INDEX(terminal_curves,MATCH(AT212,'TERMINAL CURVES'!$A$4:$A$313,0),MATCH(AX$5,'TERMINAL CURVES'!$A$4:$N$4,0))-INDEX(terminal_curves,MATCH(AT212,'TERMINAL CURVES'!$A$4:$A$313,0),MATCH(AV$6,'TERMINAL CURVES'!$A$4:$N$4,0)))*IF(AN212=0,0,AP212/AN212)))*-AN212</f>
        <v>-16953721.565684281</v>
      </c>
      <c r="AY212" s="343">
        <f t="shared" si="112"/>
        <v>-18901477.188259196</v>
      </c>
      <c r="AZ212" s="338">
        <f>(-AP212/((HLOOKUP(AX$5,port_specs,2,0)/(365.25))*(AT213-AT212)))*(INDEX(fixed_capacity_charge,MATCH(AT212,PORTS!$H$11:$H$317,0),MATCH(AX$5,PORTS!$H$11:$N$11,0))+INDEX(variable_om_charge,MATCH(AT212,PORTS!$H$318:$H$625,0),MATCH(AX$5,PORTS!$H$318:$N$318,0)))</f>
        <v>-1042796.2642389454</v>
      </c>
      <c r="BA212" s="232">
        <f t="shared" si="113"/>
        <v>-19944273.452498142</v>
      </c>
      <c r="BB212" s="241">
        <f t="shared" si="114"/>
        <v>100754.09675422311</v>
      </c>
      <c r="BC212" s="408"/>
      <c r="BD212" s="338">
        <f>+PORTS!I206+PORTS!I514</f>
        <v>1042796.2642389454</v>
      </c>
    </row>
    <row r="213" spans="1:56" x14ac:dyDescent="0.2">
      <c r="A213" s="186">
        <f t="shared" si="115"/>
        <v>42644</v>
      </c>
      <c r="B213" s="215">
        <f>+IF(AND($A213&gt;=$C$8,$A213&lt;=$C$9),1,0)*PORTS!$I$5/(365.25)*(A214-A213)</f>
        <v>5339105.9818476336</v>
      </c>
      <c r="C213" s="351">
        <f t="shared" si="94"/>
        <v>0</v>
      </c>
      <c r="D213">
        <f t="shared" si="95"/>
        <v>2016</v>
      </c>
      <c r="E213" s="186">
        <f t="shared" si="116"/>
        <v>42644</v>
      </c>
      <c r="F213" s="215">
        <f t="shared" si="96"/>
        <v>0</v>
      </c>
      <c r="G213" s="191">
        <f t="shared" si="97"/>
        <v>0</v>
      </c>
      <c r="H213" s="218">
        <f t="shared" si="98"/>
        <v>0</v>
      </c>
      <c r="I213" s="118">
        <f t="shared" si="99"/>
        <v>0</v>
      </c>
      <c r="J213" s="215">
        <f t="shared" si="100"/>
        <v>0</v>
      </c>
      <c r="K213" s="202"/>
      <c r="L213" s="186">
        <f t="shared" si="117"/>
        <v>42644</v>
      </c>
      <c r="M213" s="400">
        <f>+J213*(VLOOKUP(L213,CURVECALC!$C$6:$J$312,4,0)+N$5)</f>
        <v>0</v>
      </c>
      <c r="N213" s="208">
        <f>-F213*INDEX(ship_curves,MATCH(L213,'SHIP CURVES'!$A$9:$A$316,0),MATCH(CONCATENATE(P$4,P$5,P$6,P$7),'SHIP CURVES'!$A$9:$AZ$9,0))</f>
        <v>0</v>
      </c>
      <c r="O213" s="209">
        <f>-H213*INDEX(port_processing_fee,MATCH(L213,PORTS!$H$626:$H$933,0),MATCH(P$5,PORTS!$H$626:$Z$626,0))</f>
        <v>0</v>
      </c>
      <c r="P213" s="405">
        <f>(((VLOOKUP(L213,curvecalc,4,0))*IF(F213=0,0,J213/F213)-INDEX(ship_curves,MATCH(L213,'SHIP CURVES'!$A$9:$A$316,0),MATCH(CONCATENATE(P$4,P$5,P$6,P$7),'SHIP CURVES'!$A$9:$Z$9,0))-INDEX(terminal_curves,MATCH(L213,'TERMINAL CURVES'!$A$4:$A$313,0),MATCH(P$5,'TERMINAL CURVES'!$A$4:$N$4,0))*IF(F213=0,0,H213/F213))-(N$8)*((N$7-$N$5)-(INDEX(ship_curves,MATCH(L213,'SHIP CURVES'!$A$9:$A$316,0),MATCH(CONCATENATE(P$4,P$5,P$6,P$7),'SHIP CURVES'!$A$9:$Z$9,0))-INDEX(ship_curves,MATCH(L213,'SHIP CURVES'!$A$9:$A$316,0),MATCH(CONCATENATE(P$4,N$6,P$6,P$7),'SHIP CURVES'!$A$9:$Z$9,0)))-(INDEX(terminal_curves,MATCH(L213,'TERMINAL CURVES'!$A$4:$A$313,0),MATCH(P$5,'TERMINAL CURVES'!$A$4:$N$4,0))-INDEX(terminal_curves,MATCH(L213,'TERMINAL CURVES'!$A$4:$A$313,0),MATCH(N$6,'TERMINAL CURVES'!$A$4:$N$4,0)))*IF(F213=0,0,H213/F213)))*-F213</f>
        <v>0</v>
      </c>
      <c r="Q213" s="403">
        <f t="shared" si="101"/>
        <v>0</v>
      </c>
      <c r="R213" s="338">
        <f>(-H213/((HLOOKUP(P$5,port_specs,2,0)/(365.25))*(L214-L213)))*(INDEX(fixed_capacity_charge,MATCH(L213,PORTS!$H$11:$H$317,0),MATCH(P$5,PORTS!$H$11:$N$11,0))+INDEX(variable_om_charge,MATCH(L213,PORTS!$H$318:$H$625,0),MATCH(P$5,PORTS!$H$318:$N$318,0)))</f>
        <v>0</v>
      </c>
      <c r="S213" s="232">
        <f t="shared" si="102"/>
        <v>0</v>
      </c>
      <c r="T213" s="241">
        <f t="shared" si="103"/>
        <v>0</v>
      </c>
      <c r="V213" s="186">
        <f t="shared" si="118"/>
        <v>42644</v>
      </c>
      <c r="W213" s="215">
        <f t="shared" si="104"/>
        <v>0</v>
      </c>
      <c r="X213" s="191">
        <f t="shared" si="105"/>
        <v>0</v>
      </c>
      <c r="Y213" s="218">
        <f>+IF(AND(X$8&lt;=V213,X$9&gt;=V213),+MIN($B213-SUMIF($H$17:X$17,Y$17,$H213:X213),((INDEX(ROUTE_PER_DAY_BY_SHIP,MATCH(CONCATENATE(X$4,X$5,X$7),ROUTE_PER_DAY_ROUTES,0),MATCH(X$6,ROUTE_PER_DAY_SHIPS,0))*(V214-V213))-(INDEX(ROUTE_PER_DAY_BY_SHIP,MATCH(CONCATENATE(X$4,X$5,X$7),ROUTE_PER_DAY_ROUTES,0),MATCH(X$6,ROUTE_PER_DAY_SHIPS,0))*(V214-V213))*HLOOKUP(X$6,SHIPS,7,0)*INDEX(LADEN_VOYAGE_DAYS,MATCH(CONCATENATE(X$4,X$5,X$7),LADEN_VOYAGE_ROUTES,0),MATCH(X$6,LADEN_VOYAGE_SHIPS,0)))),0)</f>
        <v>0</v>
      </c>
      <c r="Z213" s="118">
        <f t="shared" si="106"/>
        <v>0</v>
      </c>
      <c r="AA213" s="215">
        <f t="shared" si="92"/>
        <v>0</v>
      </c>
      <c r="AB213" s="202"/>
      <c r="AC213" s="186">
        <f t="shared" si="119"/>
        <v>42644</v>
      </c>
      <c r="AD213" s="232">
        <f>+AA213*(VLOOKUP(AC213,CURVECALC!$C$6:$J$312,4,0)+AE$5)</f>
        <v>0</v>
      </c>
      <c r="AE213" s="208">
        <f>-W213*INDEX(ship_curves,MATCH(AC213,'SHIP CURVES'!$A$9:$A$316,0),MATCH(CONCATENATE(AG$4,AG$5,AG$6,AG$7),'SHIP CURVES'!$A$9:$AZ$9,0))</f>
        <v>0</v>
      </c>
      <c r="AF213" s="209">
        <f>-Y213*INDEX(port_processing_fee,MATCH(AC213,PORTS!$H$626:$H$933,0),MATCH(AG$5,PORTS!$H$626:$Z$626,0))</f>
        <v>0</v>
      </c>
      <c r="AG213" s="405">
        <f>(((VLOOKUP(AC213,curvecalc,4,0))*IF(W213=0,0,AA213/W213)-INDEX(ship_curves,MATCH(AC213,'SHIP CURVES'!$A$9:$A$316,0),MATCH(CONCATENATE(AG$4,AG$5,AG$6,AG$7),'SHIP CURVES'!$A$9:$Z$9,0))-INDEX(terminal_curves,MATCH(AC213,'TERMINAL CURVES'!$A$4:$A$313,0),MATCH(AG$5,'TERMINAL CURVES'!$A$4:$N$4,0))*IF(W213=0,0,Y213/W213))-(AE$8)*((AE$7-$N$5)-(INDEX(ship_curves,MATCH(AC213,'SHIP CURVES'!$A$9:$A$316,0),MATCH(CONCATENATE(AG$4,AG$5,AG$6,AG$7),'SHIP CURVES'!$A$9:$Z$9,0))-INDEX(ship_curves,MATCH(AC213,'SHIP CURVES'!$A$9:$A$316,0),MATCH(CONCATENATE(AG$4,AE$6,AG$6,AG$7),'SHIP CURVES'!$A$9:$Z$9,0)))-(INDEX(terminal_curves,MATCH(AC213,'TERMINAL CURVES'!$A$4:$A$313,0),MATCH(AG$5,'TERMINAL CURVES'!$A$4:$N$4,0))-INDEX(terminal_curves,MATCH(AC213,'TERMINAL CURVES'!$A$4:$A$313,0),MATCH(AE$6,'TERMINAL CURVES'!$A$4:$N$4,0)))*IF(W213=0,0,Y213/W213)))*-W213</f>
        <v>0</v>
      </c>
      <c r="AH213" s="343">
        <f t="shared" si="107"/>
        <v>0</v>
      </c>
      <c r="AI213" s="338">
        <f>(-Y213/((HLOOKUP(AG$5,port_specs,2,0)/(365.25))*(AC214-AC213)))*(INDEX(fixed_capacity_charge,MATCH(AC213,PORTS!$H$11:$H$317,0),MATCH(AG$5,PORTS!$H$11:$N$11,0))+INDEX(variable_om_charge,MATCH(AC213,PORTS!$H$318:$H$625,0),MATCH(AG$5,PORTS!$H$318:$N$318,0)))</f>
        <v>0</v>
      </c>
      <c r="AJ213" s="232">
        <f t="shared" si="108"/>
        <v>0</v>
      </c>
      <c r="AK213" s="241">
        <f t="shared" si="109"/>
        <v>0</v>
      </c>
      <c r="AM213" s="186">
        <f t="shared" si="120"/>
        <v>42644</v>
      </c>
      <c r="AN213" s="215">
        <f t="shared" si="110"/>
        <v>5395761.4773599124</v>
      </c>
      <c r="AO213" s="191">
        <f t="shared" si="111"/>
        <v>-56655.495512278751</v>
      </c>
      <c r="AP213" s="218">
        <f>+IF(AND(AO$8&lt;=AM213,AO$9&gt;=AM213),+MIN($B213-SUMIF($H$17:AO$17,AP$17,$H213:AO213),((INDEX(ROUTE_PER_DAY_BY_SHIP,MATCH(CONCATENATE(AO$4,AO$5,AO$7),ROUTE_PER_DAY_ROUTES,0),MATCH(AO$6,ROUTE_PER_DAY_SHIPS,0))*(AM214-AM213))-(INDEX(ROUTE_PER_DAY_BY_SHIP,MATCH(CONCATENATE(AO$4,AO$5,AO$7),ROUTE_PER_DAY_ROUTES,0),MATCH(AO$6,ROUTE_PER_DAY_SHIPS,0))*(AM214-AM213))*HLOOKUP(AO$6,SHIPS,7,0)*INDEX(LADEN_VOYAGE_DAYS,MATCH(CONCATENATE(AO$4,AO$5,AO$7),LADEN_VOYAGE_ROUTES,0),MATCH(AO$6,LADEN_VOYAGE_SHIPS,0)))),0)</f>
        <v>5339105.9818476336</v>
      </c>
      <c r="AQ213" s="118">
        <f>-(AP213)*PORTS!$I$6</f>
        <v>-133477.64954619083</v>
      </c>
      <c r="AR213" s="215">
        <f t="shared" si="93"/>
        <v>5205628.3323014425</v>
      </c>
      <c r="AS213" s="202"/>
      <c r="AT213" s="186">
        <f t="shared" si="121"/>
        <v>42644</v>
      </c>
      <c r="AU213" s="232">
        <f>+AR213*(VLOOKUP(AT213,CURVECALC!$C$6:$J$312,4,0)+AV$5)</f>
        <v>20749634.53255355</v>
      </c>
      <c r="AV213" s="208">
        <f>-AN213*INDEX(ship_curves,MATCH(AT213,'SHIP CURVES'!$A$9:$A$316,0),MATCH(CONCATENATE(AX$4,AX$5,AX$6,AX$7),'SHIP CURVES'!$A$9:$AZ$9,0))</f>
        <v>-1840232.5683923273</v>
      </c>
      <c r="AW213" s="209">
        <f>-AP213*INDEX(port_processing_fee,MATCH(AT213,PORTS!$H$626:$H$933,0),MATCH(AX$5,PORTS!$H$626:$Z$626,0))</f>
        <v>-173265.34693086802</v>
      </c>
      <c r="AX213" s="405">
        <f>(((VLOOKUP(AT213,curvecalc,4,0))*IF(AN213=0,0,AR213/AN213)-INDEX(ship_curves,MATCH(AT213,'SHIP CURVES'!$A$9:$A$316,0),MATCH(CONCATENATE(AX$4,AX$5,AX$6,AX$7),'SHIP CURVES'!$A$9:$Z$9,0))-INDEX(terminal_curves,MATCH(AT213,'TERMINAL CURVES'!$A$4:$A$313,0),MATCH(AX$5,'TERMINAL CURVES'!$A$4:$N$4,0))*IF(AN213=0,0,AP213/AN213))-(AV$8)*((AV$7-$N$5)-(INDEX(ship_curves,MATCH(AT213,'SHIP CURVES'!$A$9:$A$316,0),MATCH(CONCATENATE(AX$4,AX$5,AX$6,AX$7),'SHIP CURVES'!$A$9:$Z$9,0))-INDEX(ship_curves,MATCH(AT213,'SHIP CURVES'!$A$9:$A$316,0),MATCH(CONCATENATE(AX$4,AV$6,AX$6,AX$7),'SHIP CURVES'!$A$9:$Z$9,0)))-(INDEX(terminal_curves,MATCH(AT213,'TERMINAL CURVES'!$A$4:$A$313,0),MATCH(AX$5,'TERMINAL CURVES'!$A$4:$N$4,0))-INDEX(terminal_curves,MATCH(AT213,'TERMINAL CURVES'!$A$4:$A$313,0),MATCH(AV$6,'TERMINAL CURVES'!$A$4:$N$4,0)))*IF(AN213=0,0,AP213/AN213)))*-AN213</f>
        <v>-17588646.942914825</v>
      </c>
      <c r="AY213" s="343">
        <f t="shared" si="112"/>
        <v>-19602144.858238019</v>
      </c>
      <c r="AZ213" s="338">
        <f>(-AP213/((HLOOKUP(AX$5,port_specs,2,0)/(365.25))*(AT214-AT213)))*(INDEX(fixed_capacity_charge,MATCH(AT213,PORTS!$H$11:$H$317,0),MATCH(AX$5,PORTS!$H$11:$N$11,0))+INDEX(variable_om_charge,MATCH(AT213,PORTS!$H$318:$H$625,0),MATCH(AX$5,PORTS!$H$318:$N$318,0)))</f>
        <v>-1043377.1076694981</v>
      </c>
      <c r="BA213" s="232">
        <f t="shared" si="113"/>
        <v>-20645521.965907518</v>
      </c>
      <c r="BB213" s="241">
        <f t="shared" si="114"/>
        <v>104112.56664603204</v>
      </c>
      <c r="BC213" s="408"/>
      <c r="BD213" s="338">
        <f>+PORTS!I207+PORTS!I515</f>
        <v>1043377.1076694981</v>
      </c>
    </row>
    <row r="214" spans="1:56" x14ac:dyDescent="0.2">
      <c r="A214" s="186">
        <f t="shared" si="115"/>
        <v>42675</v>
      </c>
      <c r="B214" s="215">
        <f>+IF(AND($A214&gt;=$C$8,$A214&lt;=$C$9),1,0)*PORTS!$I$5/(365.25)*(A215-A214)</f>
        <v>5166876.756626742</v>
      </c>
      <c r="C214" s="351">
        <f t="shared" si="94"/>
        <v>0</v>
      </c>
      <c r="D214">
        <f t="shared" si="95"/>
        <v>2016</v>
      </c>
      <c r="E214" s="186">
        <f t="shared" si="116"/>
        <v>42675</v>
      </c>
      <c r="F214" s="215">
        <f t="shared" si="96"/>
        <v>0</v>
      </c>
      <c r="G214" s="191">
        <f t="shared" si="97"/>
        <v>0</v>
      </c>
      <c r="H214" s="218">
        <f t="shared" si="98"/>
        <v>0</v>
      </c>
      <c r="I214" s="118">
        <f t="shared" si="99"/>
        <v>0</v>
      </c>
      <c r="J214" s="215">
        <f t="shared" si="100"/>
        <v>0</v>
      </c>
      <c r="K214" s="202"/>
      <c r="L214" s="186">
        <f t="shared" si="117"/>
        <v>42675</v>
      </c>
      <c r="M214" s="400">
        <f>+J214*(VLOOKUP(L214,CURVECALC!$C$6:$J$312,4,0)+N$5)</f>
        <v>0</v>
      </c>
      <c r="N214" s="208">
        <f>-F214*INDEX(ship_curves,MATCH(L214,'SHIP CURVES'!$A$9:$A$316,0),MATCH(CONCATENATE(P$4,P$5,P$6,P$7),'SHIP CURVES'!$A$9:$AZ$9,0))</f>
        <v>0</v>
      </c>
      <c r="O214" s="209">
        <f>-H214*INDEX(port_processing_fee,MATCH(L214,PORTS!$H$626:$H$933,0),MATCH(P$5,PORTS!$H$626:$Z$626,0))</f>
        <v>0</v>
      </c>
      <c r="P214" s="405">
        <f>(((VLOOKUP(L214,curvecalc,4,0))*IF(F214=0,0,J214/F214)-INDEX(ship_curves,MATCH(L214,'SHIP CURVES'!$A$9:$A$316,0),MATCH(CONCATENATE(P$4,P$5,P$6,P$7),'SHIP CURVES'!$A$9:$Z$9,0))-INDEX(terminal_curves,MATCH(L214,'TERMINAL CURVES'!$A$4:$A$313,0),MATCH(P$5,'TERMINAL CURVES'!$A$4:$N$4,0))*IF(F214=0,0,H214/F214))-(N$8)*((N$7-$N$5)-(INDEX(ship_curves,MATCH(L214,'SHIP CURVES'!$A$9:$A$316,0),MATCH(CONCATENATE(P$4,P$5,P$6,P$7),'SHIP CURVES'!$A$9:$Z$9,0))-INDEX(ship_curves,MATCH(L214,'SHIP CURVES'!$A$9:$A$316,0),MATCH(CONCATENATE(P$4,N$6,P$6,P$7),'SHIP CURVES'!$A$9:$Z$9,0)))-(INDEX(terminal_curves,MATCH(L214,'TERMINAL CURVES'!$A$4:$A$313,0),MATCH(P$5,'TERMINAL CURVES'!$A$4:$N$4,0))-INDEX(terminal_curves,MATCH(L214,'TERMINAL CURVES'!$A$4:$A$313,0),MATCH(N$6,'TERMINAL CURVES'!$A$4:$N$4,0)))*IF(F214=0,0,H214/F214)))*-F214</f>
        <v>0</v>
      </c>
      <c r="Q214" s="403">
        <f t="shared" si="101"/>
        <v>0</v>
      </c>
      <c r="R214" s="338">
        <f>(-H214/((HLOOKUP(P$5,port_specs,2,0)/(365.25))*(L215-L214)))*(INDEX(fixed_capacity_charge,MATCH(L214,PORTS!$H$11:$H$317,0),MATCH(P$5,PORTS!$H$11:$N$11,0))+INDEX(variable_om_charge,MATCH(L214,PORTS!$H$318:$H$625,0),MATCH(P$5,PORTS!$H$318:$N$318,0)))</f>
        <v>0</v>
      </c>
      <c r="S214" s="232">
        <f t="shared" si="102"/>
        <v>0</v>
      </c>
      <c r="T214" s="241">
        <f t="shared" si="103"/>
        <v>0</v>
      </c>
      <c r="V214" s="186">
        <f t="shared" si="118"/>
        <v>42675</v>
      </c>
      <c r="W214" s="215">
        <f t="shared" si="104"/>
        <v>0</v>
      </c>
      <c r="X214" s="191">
        <f t="shared" si="105"/>
        <v>0</v>
      </c>
      <c r="Y214" s="218">
        <f>+IF(AND(X$8&lt;=V214,X$9&gt;=V214),+MIN($B214-SUMIF($H$17:X$17,Y$17,$H214:X214),((INDEX(ROUTE_PER_DAY_BY_SHIP,MATCH(CONCATENATE(X$4,X$5,X$7),ROUTE_PER_DAY_ROUTES,0),MATCH(X$6,ROUTE_PER_DAY_SHIPS,0))*(V215-V214))-(INDEX(ROUTE_PER_DAY_BY_SHIP,MATCH(CONCATENATE(X$4,X$5,X$7),ROUTE_PER_DAY_ROUTES,0),MATCH(X$6,ROUTE_PER_DAY_SHIPS,0))*(V215-V214))*HLOOKUP(X$6,SHIPS,7,0)*INDEX(LADEN_VOYAGE_DAYS,MATCH(CONCATENATE(X$4,X$5,X$7),LADEN_VOYAGE_ROUTES,0),MATCH(X$6,LADEN_VOYAGE_SHIPS,0)))),0)</f>
        <v>0</v>
      </c>
      <c r="Z214" s="118">
        <f t="shared" si="106"/>
        <v>0</v>
      </c>
      <c r="AA214" s="215">
        <f t="shared" si="92"/>
        <v>0</v>
      </c>
      <c r="AB214" s="202"/>
      <c r="AC214" s="186">
        <f t="shared" si="119"/>
        <v>42675</v>
      </c>
      <c r="AD214" s="232">
        <f>+AA214*(VLOOKUP(AC214,CURVECALC!$C$6:$J$312,4,0)+AE$5)</f>
        <v>0</v>
      </c>
      <c r="AE214" s="208">
        <f>-W214*INDEX(ship_curves,MATCH(AC214,'SHIP CURVES'!$A$9:$A$316,0),MATCH(CONCATENATE(AG$4,AG$5,AG$6,AG$7),'SHIP CURVES'!$A$9:$AZ$9,0))</f>
        <v>0</v>
      </c>
      <c r="AF214" s="209">
        <f>-Y214*INDEX(port_processing_fee,MATCH(AC214,PORTS!$H$626:$H$933,0),MATCH(AG$5,PORTS!$H$626:$Z$626,0))</f>
        <v>0</v>
      </c>
      <c r="AG214" s="405">
        <f>(((VLOOKUP(AC214,curvecalc,4,0))*IF(W214=0,0,AA214/W214)-INDEX(ship_curves,MATCH(AC214,'SHIP CURVES'!$A$9:$A$316,0),MATCH(CONCATENATE(AG$4,AG$5,AG$6,AG$7),'SHIP CURVES'!$A$9:$Z$9,0))-INDEX(terminal_curves,MATCH(AC214,'TERMINAL CURVES'!$A$4:$A$313,0),MATCH(AG$5,'TERMINAL CURVES'!$A$4:$N$4,0))*IF(W214=0,0,Y214/W214))-(AE$8)*((AE$7-$N$5)-(INDEX(ship_curves,MATCH(AC214,'SHIP CURVES'!$A$9:$A$316,0),MATCH(CONCATENATE(AG$4,AG$5,AG$6,AG$7),'SHIP CURVES'!$A$9:$Z$9,0))-INDEX(ship_curves,MATCH(AC214,'SHIP CURVES'!$A$9:$A$316,0),MATCH(CONCATENATE(AG$4,AE$6,AG$6,AG$7),'SHIP CURVES'!$A$9:$Z$9,0)))-(INDEX(terminal_curves,MATCH(AC214,'TERMINAL CURVES'!$A$4:$A$313,0),MATCH(AG$5,'TERMINAL CURVES'!$A$4:$N$4,0))-INDEX(terminal_curves,MATCH(AC214,'TERMINAL CURVES'!$A$4:$A$313,0),MATCH(AE$6,'TERMINAL CURVES'!$A$4:$N$4,0)))*IF(W214=0,0,Y214/W214)))*-W214</f>
        <v>0</v>
      </c>
      <c r="AH214" s="343">
        <f t="shared" si="107"/>
        <v>0</v>
      </c>
      <c r="AI214" s="338">
        <f>(-Y214/((HLOOKUP(AG$5,port_specs,2,0)/(365.25))*(AC215-AC214)))*(INDEX(fixed_capacity_charge,MATCH(AC214,PORTS!$H$11:$H$317,0),MATCH(AG$5,PORTS!$H$11:$N$11,0))+INDEX(variable_om_charge,MATCH(AC214,PORTS!$H$318:$H$625,0),MATCH(AG$5,PORTS!$H$318:$N$318,0)))</f>
        <v>0</v>
      </c>
      <c r="AJ214" s="232">
        <f t="shared" si="108"/>
        <v>0</v>
      </c>
      <c r="AK214" s="241">
        <f t="shared" si="109"/>
        <v>0</v>
      </c>
      <c r="AM214" s="186">
        <f t="shared" si="120"/>
        <v>42675</v>
      </c>
      <c r="AN214" s="215">
        <f t="shared" si="110"/>
        <v>5221704.655509592</v>
      </c>
      <c r="AO214" s="191">
        <f t="shared" si="111"/>
        <v>-54827.898882850073</v>
      </c>
      <c r="AP214" s="218">
        <f>+IF(AND(AO$8&lt;=AM214,AO$9&gt;=AM214),+MIN($B214-SUMIF($H$17:AO$17,AP$17,$H214:AO214),((INDEX(ROUTE_PER_DAY_BY_SHIP,MATCH(CONCATENATE(AO$4,AO$5,AO$7),ROUTE_PER_DAY_ROUTES,0),MATCH(AO$6,ROUTE_PER_DAY_SHIPS,0))*(AM215-AM214))-(INDEX(ROUTE_PER_DAY_BY_SHIP,MATCH(CONCATENATE(AO$4,AO$5,AO$7),ROUTE_PER_DAY_ROUTES,0),MATCH(AO$6,ROUTE_PER_DAY_SHIPS,0))*(AM215-AM214))*HLOOKUP(AO$6,SHIPS,7,0)*INDEX(LADEN_VOYAGE_DAYS,MATCH(CONCATENATE(AO$4,AO$5,AO$7),LADEN_VOYAGE_ROUTES,0),MATCH(AO$6,LADEN_VOYAGE_SHIPS,0)))),0)</f>
        <v>5166876.756626742</v>
      </c>
      <c r="AQ214" s="118">
        <f>-(AP214)*PORTS!$I$6</f>
        <v>-129171.91891566856</v>
      </c>
      <c r="AR214" s="215">
        <f t="shared" si="93"/>
        <v>5037704.8377110735</v>
      </c>
      <c r="AS214" s="202"/>
      <c r="AT214" s="186">
        <f t="shared" si="121"/>
        <v>42675</v>
      </c>
      <c r="AU214" s="232">
        <f>+AR214*(VLOOKUP(AT214,CURVECALC!$C$6:$J$312,4,0)+AV$5)</f>
        <v>20301950.495975621</v>
      </c>
      <c r="AV214" s="208">
        <f>-AN214*INDEX(ship_curves,MATCH(AT214,'SHIP CURVES'!$A$9:$A$316,0),MATCH(CONCATENATE(AX$4,AX$5,AX$6,AX$7),'SHIP CURVES'!$A$9:$AZ$9,0))</f>
        <v>-1781487.777559865</v>
      </c>
      <c r="AW214" s="209">
        <f>-AP214*INDEX(port_processing_fee,MATCH(AT214,PORTS!$H$626:$H$933,0),MATCH(AX$5,PORTS!$H$626:$Z$626,0))</f>
        <v>-167850.8048392784</v>
      </c>
      <c r="AX214" s="405">
        <f>(((VLOOKUP(AT214,curvecalc,4,0))*IF(AN214=0,0,AR214/AN214)-INDEX(ship_curves,MATCH(AT214,'SHIP CURVES'!$A$9:$A$316,0),MATCH(CONCATENATE(AX$4,AX$5,AX$6,AX$7),'SHIP CURVES'!$A$9:$Z$9,0))-INDEX(terminal_curves,MATCH(AT214,'TERMINAL CURVES'!$A$4:$A$313,0),MATCH(AX$5,'TERMINAL CURVES'!$A$4:$N$4,0))*IF(AN214=0,0,AP214/AN214))-(AV$8)*((AV$7-$N$5)-(INDEX(ship_curves,MATCH(AT214,'SHIP CURVES'!$A$9:$A$316,0),MATCH(CONCATENATE(AX$4,AX$5,AX$6,AX$7),'SHIP CURVES'!$A$9:$Z$9,0))-INDEX(ship_curves,MATCH(AT214,'SHIP CURVES'!$A$9:$A$316,0),MATCH(CONCATENATE(AX$4,AV$6,AX$6,AX$7),'SHIP CURVES'!$A$9:$Z$9,0)))-(INDEX(terminal_curves,MATCH(AT214,'TERMINAL CURVES'!$A$4:$A$313,0),MATCH(AX$5,'TERMINAL CURVES'!$A$4:$N$4,0))-INDEX(terminal_curves,MATCH(AT214,'TERMINAL CURVES'!$A$4:$A$313,0),MATCH(AV$6,'TERMINAL CURVES'!$A$4:$N$4,0)))*IF(AN214=0,0,AP214/AN214)))*-AN214</f>
        <v>-17207899.260676969</v>
      </c>
      <c r="AY214" s="343">
        <f t="shared" si="112"/>
        <v>-19157237.843076114</v>
      </c>
      <c r="AZ214" s="338">
        <f>(-AP214/((HLOOKUP(AX$5,port_specs,2,0)/(365.25))*(AT215-AT214)))*(INDEX(fixed_capacity_charge,MATCH(AT214,PORTS!$H$11:$H$317,0),MATCH(AX$5,PORTS!$H$11:$N$11,0))+INDEX(variable_om_charge,MATCH(AT214,PORTS!$H$318:$H$625,0),MATCH(AX$5,PORTS!$H$318:$N$318,0)))</f>
        <v>-1043958.5561452908</v>
      </c>
      <c r="BA214" s="232">
        <f t="shared" si="113"/>
        <v>-20201196.399221405</v>
      </c>
      <c r="BB214" s="241">
        <f t="shared" si="114"/>
        <v>100754.09675421566</v>
      </c>
      <c r="BC214" s="408"/>
      <c r="BD214" s="338">
        <f>+PORTS!I208+PORTS!I516</f>
        <v>1043958.5561452908</v>
      </c>
    </row>
    <row r="215" spans="1:56" x14ac:dyDescent="0.2">
      <c r="A215" s="186">
        <f t="shared" si="115"/>
        <v>42705</v>
      </c>
      <c r="B215" s="215">
        <f>+IF(AND($A215&gt;=$C$8,$A215&lt;=$C$9),1,0)*PORTS!$I$5/(365.25)*(A216-A215)</f>
        <v>5339105.9818476336</v>
      </c>
      <c r="C215" s="351">
        <f t="shared" si="94"/>
        <v>0</v>
      </c>
      <c r="D215">
        <f t="shared" si="95"/>
        <v>2016</v>
      </c>
      <c r="E215" s="186">
        <f t="shared" si="116"/>
        <v>42705</v>
      </c>
      <c r="F215" s="215">
        <f t="shared" si="96"/>
        <v>0</v>
      </c>
      <c r="G215" s="191">
        <f t="shared" si="97"/>
        <v>0</v>
      </c>
      <c r="H215" s="218">
        <f t="shared" si="98"/>
        <v>0</v>
      </c>
      <c r="I215" s="118">
        <f t="shared" si="99"/>
        <v>0</v>
      </c>
      <c r="J215" s="215">
        <f t="shared" si="100"/>
        <v>0</v>
      </c>
      <c r="K215" s="202"/>
      <c r="L215" s="186">
        <f t="shared" si="117"/>
        <v>42705</v>
      </c>
      <c r="M215" s="400">
        <f>+J215*(VLOOKUP(L215,CURVECALC!$C$6:$J$312,4,0)+N$5)</f>
        <v>0</v>
      </c>
      <c r="N215" s="208">
        <f>-F215*INDEX(ship_curves,MATCH(L215,'SHIP CURVES'!$A$9:$A$316,0),MATCH(CONCATENATE(P$4,P$5,P$6,P$7),'SHIP CURVES'!$A$9:$AZ$9,0))</f>
        <v>0</v>
      </c>
      <c r="O215" s="209">
        <f>-H215*INDEX(port_processing_fee,MATCH(L215,PORTS!$H$626:$H$933,0),MATCH(P$5,PORTS!$H$626:$Z$626,0))</f>
        <v>0</v>
      </c>
      <c r="P215" s="405">
        <f>(((VLOOKUP(L215,curvecalc,4,0))*IF(F215=0,0,J215/F215)-INDEX(ship_curves,MATCH(L215,'SHIP CURVES'!$A$9:$A$316,0),MATCH(CONCATENATE(P$4,P$5,P$6,P$7),'SHIP CURVES'!$A$9:$Z$9,0))-INDEX(terminal_curves,MATCH(L215,'TERMINAL CURVES'!$A$4:$A$313,0),MATCH(P$5,'TERMINAL CURVES'!$A$4:$N$4,0))*IF(F215=0,0,H215/F215))-(N$8)*((N$7-$N$5)-(INDEX(ship_curves,MATCH(L215,'SHIP CURVES'!$A$9:$A$316,0),MATCH(CONCATENATE(P$4,P$5,P$6,P$7),'SHIP CURVES'!$A$9:$Z$9,0))-INDEX(ship_curves,MATCH(L215,'SHIP CURVES'!$A$9:$A$316,0),MATCH(CONCATENATE(P$4,N$6,P$6,P$7),'SHIP CURVES'!$A$9:$Z$9,0)))-(INDEX(terminal_curves,MATCH(L215,'TERMINAL CURVES'!$A$4:$A$313,0),MATCH(P$5,'TERMINAL CURVES'!$A$4:$N$4,0))-INDEX(terminal_curves,MATCH(L215,'TERMINAL CURVES'!$A$4:$A$313,0),MATCH(N$6,'TERMINAL CURVES'!$A$4:$N$4,0)))*IF(F215=0,0,H215/F215)))*-F215</f>
        <v>0</v>
      </c>
      <c r="Q215" s="403">
        <f t="shared" si="101"/>
        <v>0</v>
      </c>
      <c r="R215" s="338">
        <f>(-H215/((HLOOKUP(P$5,port_specs,2,0)/(365.25))*(L216-L215)))*(INDEX(fixed_capacity_charge,MATCH(L215,PORTS!$H$11:$H$317,0),MATCH(P$5,PORTS!$H$11:$N$11,0))+INDEX(variable_om_charge,MATCH(L215,PORTS!$H$318:$H$625,0),MATCH(P$5,PORTS!$H$318:$N$318,0)))</f>
        <v>0</v>
      </c>
      <c r="S215" s="232">
        <f t="shared" si="102"/>
        <v>0</v>
      </c>
      <c r="T215" s="241">
        <f t="shared" si="103"/>
        <v>0</v>
      </c>
      <c r="V215" s="186">
        <f t="shared" si="118"/>
        <v>42705</v>
      </c>
      <c r="W215" s="215">
        <f t="shared" si="104"/>
        <v>0</v>
      </c>
      <c r="X215" s="191">
        <f t="shared" si="105"/>
        <v>0</v>
      </c>
      <c r="Y215" s="218">
        <f>+IF(AND(X$8&lt;=V215,X$9&gt;=V215),+MIN($B215-SUMIF($H$17:X$17,Y$17,$H215:X215),((INDEX(ROUTE_PER_DAY_BY_SHIP,MATCH(CONCATENATE(X$4,X$5,X$7),ROUTE_PER_DAY_ROUTES,0),MATCH(X$6,ROUTE_PER_DAY_SHIPS,0))*(V216-V215))-(INDEX(ROUTE_PER_DAY_BY_SHIP,MATCH(CONCATENATE(X$4,X$5,X$7),ROUTE_PER_DAY_ROUTES,0),MATCH(X$6,ROUTE_PER_DAY_SHIPS,0))*(V216-V215))*HLOOKUP(X$6,SHIPS,7,0)*INDEX(LADEN_VOYAGE_DAYS,MATCH(CONCATENATE(X$4,X$5,X$7),LADEN_VOYAGE_ROUTES,0),MATCH(X$6,LADEN_VOYAGE_SHIPS,0)))),0)</f>
        <v>0</v>
      </c>
      <c r="Z215" s="118">
        <f t="shared" si="106"/>
        <v>0</v>
      </c>
      <c r="AA215" s="215">
        <f t="shared" si="92"/>
        <v>0</v>
      </c>
      <c r="AB215" s="202"/>
      <c r="AC215" s="186">
        <f t="shared" si="119"/>
        <v>42705</v>
      </c>
      <c r="AD215" s="232">
        <f>+AA215*(VLOOKUP(AC215,CURVECALC!$C$6:$J$312,4,0)+AE$5)</f>
        <v>0</v>
      </c>
      <c r="AE215" s="208">
        <f>-W215*INDEX(ship_curves,MATCH(AC215,'SHIP CURVES'!$A$9:$A$316,0),MATCH(CONCATENATE(AG$4,AG$5,AG$6,AG$7),'SHIP CURVES'!$A$9:$AZ$9,0))</f>
        <v>0</v>
      </c>
      <c r="AF215" s="209">
        <f>-Y215*INDEX(port_processing_fee,MATCH(AC215,PORTS!$H$626:$H$933,0),MATCH(AG$5,PORTS!$H$626:$Z$626,0))</f>
        <v>0</v>
      </c>
      <c r="AG215" s="405">
        <f>(((VLOOKUP(AC215,curvecalc,4,0))*IF(W215=0,0,AA215/W215)-INDEX(ship_curves,MATCH(AC215,'SHIP CURVES'!$A$9:$A$316,0),MATCH(CONCATENATE(AG$4,AG$5,AG$6,AG$7),'SHIP CURVES'!$A$9:$Z$9,0))-INDEX(terminal_curves,MATCH(AC215,'TERMINAL CURVES'!$A$4:$A$313,0),MATCH(AG$5,'TERMINAL CURVES'!$A$4:$N$4,0))*IF(W215=0,0,Y215/W215))-(AE$8)*((AE$7-$N$5)-(INDEX(ship_curves,MATCH(AC215,'SHIP CURVES'!$A$9:$A$316,0),MATCH(CONCATENATE(AG$4,AG$5,AG$6,AG$7),'SHIP CURVES'!$A$9:$Z$9,0))-INDEX(ship_curves,MATCH(AC215,'SHIP CURVES'!$A$9:$A$316,0),MATCH(CONCATENATE(AG$4,AE$6,AG$6,AG$7),'SHIP CURVES'!$A$9:$Z$9,0)))-(INDEX(terminal_curves,MATCH(AC215,'TERMINAL CURVES'!$A$4:$A$313,0),MATCH(AG$5,'TERMINAL CURVES'!$A$4:$N$4,0))-INDEX(terminal_curves,MATCH(AC215,'TERMINAL CURVES'!$A$4:$A$313,0),MATCH(AE$6,'TERMINAL CURVES'!$A$4:$N$4,0)))*IF(W215=0,0,Y215/W215)))*-W215</f>
        <v>0</v>
      </c>
      <c r="AH215" s="343">
        <f t="shared" si="107"/>
        <v>0</v>
      </c>
      <c r="AI215" s="338">
        <f>(-Y215/((HLOOKUP(AG$5,port_specs,2,0)/(365.25))*(AC216-AC215)))*(INDEX(fixed_capacity_charge,MATCH(AC215,PORTS!$H$11:$H$317,0),MATCH(AG$5,PORTS!$H$11:$N$11,0))+INDEX(variable_om_charge,MATCH(AC215,PORTS!$H$318:$H$625,0),MATCH(AG$5,PORTS!$H$318:$N$318,0)))</f>
        <v>0</v>
      </c>
      <c r="AJ215" s="232">
        <f t="shared" si="108"/>
        <v>0</v>
      </c>
      <c r="AK215" s="241">
        <f t="shared" si="109"/>
        <v>0</v>
      </c>
      <c r="AM215" s="186">
        <f t="shared" si="120"/>
        <v>42705</v>
      </c>
      <c r="AN215" s="215">
        <f t="shared" si="110"/>
        <v>5395761.4773599124</v>
      </c>
      <c r="AO215" s="191">
        <f t="shared" si="111"/>
        <v>-56655.495512278751</v>
      </c>
      <c r="AP215" s="218">
        <f>+IF(AND(AO$8&lt;=AM215,AO$9&gt;=AM215),+MIN($B215-SUMIF($H$17:AO$17,AP$17,$H215:AO215),((INDEX(ROUTE_PER_DAY_BY_SHIP,MATCH(CONCATENATE(AO$4,AO$5,AO$7),ROUTE_PER_DAY_ROUTES,0),MATCH(AO$6,ROUTE_PER_DAY_SHIPS,0))*(AM216-AM215))-(INDEX(ROUTE_PER_DAY_BY_SHIP,MATCH(CONCATENATE(AO$4,AO$5,AO$7),ROUTE_PER_DAY_ROUTES,0),MATCH(AO$6,ROUTE_PER_DAY_SHIPS,0))*(AM216-AM215))*HLOOKUP(AO$6,SHIPS,7,0)*INDEX(LADEN_VOYAGE_DAYS,MATCH(CONCATENATE(AO$4,AO$5,AO$7),LADEN_VOYAGE_ROUTES,0),MATCH(AO$6,LADEN_VOYAGE_SHIPS,0)))),0)</f>
        <v>5339105.9818476336</v>
      </c>
      <c r="AQ215" s="118">
        <f>-(AP215)*PORTS!$I$6</f>
        <v>-133477.64954619083</v>
      </c>
      <c r="AR215" s="215">
        <f t="shared" si="93"/>
        <v>5205628.3323014425</v>
      </c>
      <c r="AS215" s="202"/>
      <c r="AT215" s="186">
        <f t="shared" si="121"/>
        <v>42705</v>
      </c>
      <c r="AU215" s="232">
        <f>+AR215*(VLOOKUP(AT215,CURVECALC!$C$6:$J$312,4,0)+AV$5)</f>
        <v>21322253.649106707</v>
      </c>
      <c r="AV215" s="208">
        <f>-AN215*INDEX(ship_curves,MATCH(AT215,'SHIP CURVES'!$A$9:$A$316,0),MATCH(CONCATENATE(AX$4,AX$5,AX$6,AX$7),'SHIP CURVES'!$A$9:$AZ$9,0))</f>
        <v>-1841510.1680128239</v>
      </c>
      <c r="AW215" s="209">
        <f>-AP215*INDEX(port_processing_fee,MATCH(AT215,PORTS!$H$626:$H$933,0),MATCH(AX$5,PORTS!$H$626:$Z$626,0))</f>
        <v>-173626.50440857437</v>
      </c>
      <c r="AX215" s="405">
        <f>(((VLOOKUP(AT215,curvecalc,4,0))*IF(AN215=0,0,AR215/AN215)-INDEX(ship_curves,MATCH(AT215,'SHIP CURVES'!$A$9:$A$316,0),MATCH(CONCATENATE(AX$4,AX$5,AX$6,AX$7),'SHIP CURVES'!$A$9:$Z$9,0))-INDEX(terminal_curves,MATCH(AT215,'TERMINAL CURVES'!$A$4:$A$313,0),MATCH(AX$5,'TERMINAL CURVES'!$A$4:$N$4,0))*IF(AN215=0,0,AP215/AN215))-(AV$8)*((AV$7-$N$5)-(INDEX(ship_curves,MATCH(AT215,'SHIP CURVES'!$A$9:$A$316,0),MATCH(CONCATENATE(AX$4,AX$5,AX$6,AX$7),'SHIP CURVES'!$A$9:$Z$9,0))-INDEX(ship_curves,MATCH(AT215,'SHIP CURVES'!$A$9:$A$316,0),MATCH(CONCATENATE(AX$4,AV$6,AX$6,AX$7),'SHIP CURVES'!$A$9:$Z$9,0)))-(INDEX(terminal_curves,MATCH(AT215,'TERMINAL CURVES'!$A$4:$A$313,0),MATCH(AX$5,'TERMINAL CURVES'!$A$4:$N$4,0))-INDEX(terminal_curves,MATCH(AT215,'TERMINAL CURVES'!$A$4:$A$313,0),MATCH(AV$6,'TERMINAL CURVES'!$A$4:$N$4,0)))*IF(AN215=0,0,AP215/AN215)))*-AN215</f>
        <v>-18158463.799742702</v>
      </c>
      <c r="AY215" s="343">
        <f t="shared" si="112"/>
        <v>-20173600.472164102</v>
      </c>
      <c r="AZ215" s="338">
        <f>(-AP215/((HLOOKUP(AX$5,port_specs,2,0)/(365.25))*(AT216-AT215)))*(INDEX(fixed_capacity_charge,MATCH(AT215,PORTS!$H$11:$H$317,0),MATCH(AX$5,PORTS!$H$11:$N$11,0))+INDEX(variable_om_charge,MATCH(AT215,PORTS!$H$318:$H$625,0),MATCH(AX$5,PORTS!$H$318:$N$318,0)))</f>
        <v>-1044540.6102965793</v>
      </c>
      <c r="BA215" s="232">
        <f t="shared" si="113"/>
        <v>-21218141.082460683</v>
      </c>
      <c r="BB215" s="241">
        <f t="shared" si="114"/>
        <v>104112.56664602458</v>
      </c>
      <c r="BC215" s="408"/>
      <c r="BD215" s="338">
        <f>+PORTS!I209+PORTS!I517</f>
        <v>1044540.6102965793</v>
      </c>
    </row>
    <row r="216" spans="1:56" x14ac:dyDescent="0.2">
      <c r="A216" s="186">
        <f t="shared" si="115"/>
        <v>42736</v>
      </c>
      <c r="B216" s="215">
        <f>+IF(AND($A216&gt;=$C$8,$A216&lt;=$C$9),1,0)*PORTS!$I$5/(365.25)*(A217-A216)</f>
        <v>5339105.9818476336</v>
      </c>
      <c r="C216" s="351">
        <f t="shared" si="94"/>
        <v>0</v>
      </c>
      <c r="D216">
        <f t="shared" si="95"/>
        <v>2017</v>
      </c>
      <c r="E216" s="186">
        <f t="shared" si="116"/>
        <v>42736</v>
      </c>
      <c r="F216" s="215">
        <f t="shared" si="96"/>
        <v>0</v>
      </c>
      <c r="G216" s="191">
        <f t="shared" si="97"/>
        <v>0</v>
      </c>
      <c r="H216" s="218">
        <f t="shared" si="98"/>
        <v>0</v>
      </c>
      <c r="I216" s="118">
        <f t="shared" si="99"/>
        <v>0</v>
      </c>
      <c r="J216" s="215">
        <f t="shared" si="100"/>
        <v>0</v>
      </c>
      <c r="K216" s="202"/>
      <c r="L216" s="186">
        <f t="shared" si="117"/>
        <v>42736</v>
      </c>
      <c r="M216" s="400">
        <f>+J216*(VLOOKUP(L216,CURVECALC!$C$6:$J$312,4,0)+N$5)</f>
        <v>0</v>
      </c>
      <c r="N216" s="208">
        <f>-F216*INDEX(ship_curves,MATCH(L216,'SHIP CURVES'!$A$9:$A$316,0),MATCH(CONCATENATE(P$4,P$5,P$6,P$7),'SHIP CURVES'!$A$9:$AZ$9,0))</f>
        <v>0</v>
      </c>
      <c r="O216" s="209">
        <f>-H216*INDEX(port_processing_fee,MATCH(L216,PORTS!$H$626:$H$933,0),MATCH(P$5,PORTS!$H$626:$Z$626,0))</f>
        <v>0</v>
      </c>
      <c r="P216" s="405">
        <f>(((VLOOKUP(L216,curvecalc,4,0))*IF(F216=0,0,J216/F216)-INDEX(ship_curves,MATCH(L216,'SHIP CURVES'!$A$9:$A$316,0),MATCH(CONCATENATE(P$4,P$5,P$6,P$7),'SHIP CURVES'!$A$9:$Z$9,0))-INDEX(terminal_curves,MATCH(L216,'TERMINAL CURVES'!$A$4:$A$313,0),MATCH(P$5,'TERMINAL CURVES'!$A$4:$N$4,0))*IF(F216=0,0,H216/F216))-(N$8)*((N$7-$N$5)-(INDEX(ship_curves,MATCH(L216,'SHIP CURVES'!$A$9:$A$316,0),MATCH(CONCATENATE(P$4,P$5,P$6,P$7),'SHIP CURVES'!$A$9:$Z$9,0))-INDEX(ship_curves,MATCH(L216,'SHIP CURVES'!$A$9:$A$316,0),MATCH(CONCATENATE(P$4,N$6,P$6,P$7),'SHIP CURVES'!$A$9:$Z$9,0)))-(INDEX(terminal_curves,MATCH(L216,'TERMINAL CURVES'!$A$4:$A$313,0),MATCH(P$5,'TERMINAL CURVES'!$A$4:$N$4,0))-INDEX(terminal_curves,MATCH(L216,'TERMINAL CURVES'!$A$4:$A$313,0),MATCH(N$6,'TERMINAL CURVES'!$A$4:$N$4,0)))*IF(F216=0,0,H216/F216)))*-F216</f>
        <v>0</v>
      </c>
      <c r="Q216" s="403">
        <f t="shared" si="101"/>
        <v>0</v>
      </c>
      <c r="R216" s="338">
        <f>(-H216/((HLOOKUP(P$5,port_specs,2,0)/(365.25))*(L217-L216)))*(INDEX(fixed_capacity_charge,MATCH(L216,PORTS!$H$11:$H$317,0),MATCH(P$5,PORTS!$H$11:$N$11,0))+INDEX(variable_om_charge,MATCH(L216,PORTS!$H$318:$H$625,0),MATCH(P$5,PORTS!$H$318:$N$318,0)))</f>
        <v>0</v>
      </c>
      <c r="S216" s="232">
        <f t="shared" si="102"/>
        <v>0</v>
      </c>
      <c r="T216" s="241">
        <f t="shared" si="103"/>
        <v>0</v>
      </c>
      <c r="V216" s="186">
        <f t="shared" si="118"/>
        <v>42736</v>
      </c>
      <c r="W216" s="215">
        <f t="shared" si="104"/>
        <v>0</v>
      </c>
      <c r="X216" s="191">
        <f t="shared" si="105"/>
        <v>0</v>
      </c>
      <c r="Y216" s="218">
        <f>+IF(AND(X$8&lt;=V216,X$9&gt;=V216),+MIN($B216-SUMIF($H$17:X$17,Y$17,$H216:X216),((INDEX(ROUTE_PER_DAY_BY_SHIP,MATCH(CONCATENATE(X$4,X$5,X$7),ROUTE_PER_DAY_ROUTES,0),MATCH(X$6,ROUTE_PER_DAY_SHIPS,0))*(V217-V216))-(INDEX(ROUTE_PER_DAY_BY_SHIP,MATCH(CONCATENATE(X$4,X$5,X$7),ROUTE_PER_DAY_ROUTES,0),MATCH(X$6,ROUTE_PER_DAY_SHIPS,0))*(V217-V216))*HLOOKUP(X$6,SHIPS,7,0)*INDEX(LADEN_VOYAGE_DAYS,MATCH(CONCATENATE(X$4,X$5,X$7),LADEN_VOYAGE_ROUTES,0),MATCH(X$6,LADEN_VOYAGE_SHIPS,0)))),0)</f>
        <v>0</v>
      </c>
      <c r="Z216" s="118">
        <f t="shared" si="106"/>
        <v>0</v>
      </c>
      <c r="AA216" s="215">
        <f t="shared" si="92"/>
        <v>0</v>
      </c>
      <c r="AB216" s="202"/>
      <c r="AC216" s="186">
        <f t="shared" si="119"/>
        <v>42736</v>
      </c>
      <c r="AD216" s="232">
        <f>+AA216*(VLOOKUP(AC216,CURVECALC!$C$6:$J$312,4,0)+AE$5)</f>
        <v>0</v>
      </c>
      <c r="AE216" s="208">
        <f>-W216*INDEX(ship_curves,MATCH(AC216,'SHIP CURVES'!$A$9:$A$316,0),MATCH(CONCATENATE(AG$4,AG$5,AG$6,AG$7),'SHIP CURVES'!$A$9:$AZ$9,0))</f>
        <v>0</v>
      </c>
      <c r="AF216" s="209">
        <f>-Y216*INDEX(port_processing_fee,MATCH(AC216,PORTS!$H$626:$H$933,0),MATCH(AG$5,PORTS!$H$626:$Z$626,0))</f>
        <v>0</v>
      </c>
      <c r="AG216" s="405">
        <f>(((VLOOKUP(AC216,curvecalc,4,0))*IF(W216=0,0,AA216/W216)-INDEX(ship_curves,MATCH(AC216,'SHIP CURVES'!$A$9:$A$316,0),MATCH(CONCATENATE(AG$4,AG$5,AG$6,AG$7),'SHIP CURVES'!$A$9:$Z$9,0))-INDEX(terminal_curves,MATCH(AC216,'TERMINAL CURVES'!$A$4:$A$313,0),MATCH(AG$5,'TERMINAL CURVES'!$A$4:$N$4,0))*IF(W216=0,0,Y216/W216))-(AE$8)*((AE$7-$N$5)-(INDEX(ship_curves,MATCH(AC216,'SHIP CURVES'!$A$9:$A$316,0),MATCH(CONCATENATE(AG$4,AG$5,AG$6,AG$7),'SHIP CURVES'!$A$9:$Z$9,0))-INDEX(ship_curves,MATCH(AC216,'SHIP CURVES'!$A$9:$A$316,0),MATCH(CONCATENATE(AG$4,AE$6,AG$6,AG$7),'SHIP CURVES'!$A$9:$Z$9,0)))-(INDEX(terminal_curves,MATCH(AC216,'TERMINAL CURVES'!$A$4:$A$313,0),MATCH(AG$5,'TERMINAL CURVES'!$A$4:$N$4,0))-INDEX(terminal_curves,MATCH(AC216,'TERMINAL CURVES'!$A$4:$A$313,0),MATCH(AE$6,'TERMINAL CURVES'!$A$4:$N$4,0)))*IF(W216=0,0,Y216/W216)))*-W216</f>
        <v>0</v>
      </c>
      <c r="AH216" s="343">
        <f t="shared" si="107"/>
        <v>0</v>
      </c>
      <c r="AI216" s="338">
        <f>(-Y216/((HLOOKUP(AG$5,port_specs,2,0)/(365.25))*(AC217-AC216)))*(INDEX(fixed_capacity_charge,MATCH(AC216,PORTS!$H$11:$H$317,0),MATCH(AG$5,PORTS!$H$11:$N$11,0))+INDEX(variable_om_charge,MATCH(AC216,PORTS!$H$318:$H$625,0),MATCH(AG$5,PORTS!$H$318:$N$318,0)))</f>
        <v>0</v>
      </c>
      <c r="AJ216" s="232">
        <f t="shared" si="108"/>
        <v>0</v>
      </c>
      <c r="AK216" s="241">
        <f t="shared" si="109"/>
        <v>0</v>
      </c>
      <c r="AM216" s="186">
        <f t="shared" si="120"/>
        <v>42736</v>
      </c>
      <c r="AN216" s="215">
        <f t="shared" si="110"/>
        <v>5395761.4773599124</v>
      </c>
      <c r="AO216" s="191">
        <f t="shared" si="111"/>
        <v>-56655.495512278751</v>
      </c>
      <c r="AP216" s="218">
        <f>+IF(AND(AO$8&lt;=AM216,AO$9&gt;=AM216),+MIN($B216-SUMIF($H$17:AO$17,AP$17,$H216:AO216),((INDEX(ROUTE_PER_DAY_BY_SHIP,MATCH(CONCATENATE(AO$4,AO$5,AO$7),ROUTE_PER_DAY_ROUTES,0),MATCH(AO$6,ROUTE_PER_DAY_SHIPS,0))*(AM217-AM216))-(INDEX(ROUTE_PER_DAY_BY_SHIP,MATCH(CONCATENATE(AO$4,AO$5,AO$7),ROUTE_PER_DAY_ROUTES,0),MATCH(AO$6,ROUTE_PER_DAY_SHIPS,0))*(AM217-AM216))*HLOOKUP(AO$6,SHIPS,7,0)*INDEX(LADEN_VOYAGE_DAYS,MATCH(CONCATENATE(AO$4,AO$5,AO$7),LADEN_VOYAGE_ROUTES,0),MATCH(AO$6,LADEN_VOYAGE_SHIPS,0)))),0)</f>
        <v>5339105.9818476336</v>
      </c>
      <c r="AQ216" s="118">
        <f>-(AP216)*PORTS!$I$6</f>
        <v>-133477.64954619083</v>
      </c>
      <c r="AR216" s="215">
        <f t="shared" si="93"/>
        <v>5205628.3323014425</v>
      </c>
      <c r="AS216" s="202"/>
      <c r="AT216" s="186">
        <f t="shared" si="121"/>
        <v>42736</v>
      </c>
      <c r="AU216" s="232">
        <f>+AR216*(VLOOKUP(AT216,CURVECALC!$C$6:$J$312,4,0)+AV$5)</f>
        <v>22347762.430570088</v>
      </c>
      <c r="AV216" s="208">
        <f>-AN216*INDEX(ship_curves,MATCH(AT216,'SHIP CURVES'!$A$9:$A$316,0),MATCH(CONCATENATE(AX$4,AX$5,AX$6,AX$7),'SHIP CURVES'!$A$9:$AZ$9,0))</f>
        <v>-1842150.9647649003</v>
      </c>
      <c r="AW216" s="209">
        <f>-AP216*INDEX(port_processing_fee,MATCH(AT216,PORTS!$H$626:$H$933,0),MATCH(AX$5,PORTS!$H$626:$Z$626,0))</f>
        <v>-173807.36535066663</v>
      </c>
      <c r="AX216" s="405">
        <f>(((VLOOKUP(AT216,curvecalc,4,0))*IF(AN216=0,0,AR216/AN216)-INDEX(ship_curves,MATCH(AT216,'SHIP CURVES'!$A$9:$A$316,0),MATCH(CONCATENATE(AX$4,AX$5,AX$6,AX$7),'SHIP CURVES'!$A$9:$Z$9,0))-INDEX(terminal_curves,MATCH(AT216,'TERMINAL CURVES'!$A$4:$A$313,0),MATCH(AX$5,'TERMINAL CURVES'!$A$4:$N$4,0))*IF(AN216=0,0,AP216/AN216))-(AV$8)*((AV$7-$N$5)-(INDEX(ship_curves,MATCH(AT216,'SHIP CURVES'!$A$9:$A$316,0),MATCH(CONCATENATE(AX$4,AX$5,AX$6,AX$7),'SHIP CURVES'!$A$9:$Z$9,0))-INDEX(ship_curves,MATCH(AT216,'SHIP CURVES'!$A$9:$A$316,0),MATCH(CONCATENATE(AX$4,AV$6,AX$6,AX$7),'SHIP CURVES'!$A$9:$Z$9,0)))-(INDEX(terminal_curves,MATCH(AT216,'TERMINAL CURVES'!$A$4:$A$313,0),MATCH(AX$5,'TERMINAL CURVES'!$A$4:$N$4,0))-INDEX(terminal_curves,MATCH(AT216,'TERMINAL CURVES'!$A$4:$A$313,0),MATCH(AV$6,'TERMINAL CURVES'!$A$4:$N$4,0)))*IF(AN216=0,0,AP216/AN216)))*-AN216</f>
        <v>-19182568.263054222</v>
      </c>
      <c r="AY216" s="343">
        <f t="shared" si="112"/>
        <v>-21198526.59316979</v>
      </c>
      <c r="AZ216" s="338">
        <f>(-AP216/((HLOOKUP(AX$5,port_specs,2,0)/(365.25))*(AT217-AT216)))*(INDEX(fixed_capacity_charge,MATCH(AT216,PORTS!$H$11:$H$317,0),MATCH(AX$5,PORTS!$H$11:$N$11,0))+INDEX(variable_om_charge,MATCH(AT216,PORTS!$H$318:$H$625,0),MATCH(AX$5,PORTS!$H$318:$N$318,0)))</f>
        <v>-1045123.2707542754</v>
      </c>
      <c r="BA216" s="232">
        <f t="shared" si="113"/>
        <v>-22243649.863924064</v>
      </c>
      <c r="BB216" s="241">
        <f t="shared" si="114"/>
        <v>104112.56664602458</v>
      </c>
      <c r="BC216" s="408"/>
      <c r="BD216" s="338">
        <f>+PORTS!I210+PORTS!I518</f>
        <v>1045123.2707542754</v>
      </c>
    </row>
    <row r="217" spans="1:56" x14ac:dyDescent="0.2">
      <c r="A217" s="186">
        <f t="shared" si="115"/>
        <v>42767</v>
      </c>
      <c r="B217" s="215">
        <f>+IF(AND($A217&gt;=$C$8,$A217&lt;=$C$9),1,0)*PORTS!$I$5/(365.25)*(A218-A217)</f>
        <v>4822418.3061849596</v>
      </c>
      <c r="C217" s="351">
        <f t="shared" si="94"/>
        <v>0</v>
      </c>
      <c r="D217">
        <f t="shared" si="95"/>
        <v>2017</v>
      </c>
      <c r="E217" s="186">
        <f t="shared" si="116"/>
        <v>42767</v>
      </c>
      <c r="F217" s="215">
        <f t="shared" si="96"/>
        <v>0</v>
      </c>
      <c r="G217" s="191">
        <f t="shared" si="97"/>
        <v>0</v>
      </c>
      <c r="H217" s="218">
        <f t="shared" si="98"/>
        <v>0</v>
      </c>
      <c r="I217" s="118">
        <f t="shared" si="99"/>
        <v>0</v>
      </c>
      <c r="J217" s="215">
        <f t="shared" si="100"/>
        <v>0</v>
      </c>
      <c r="K217" s="202"/>
      <c r="L217" s="186">
        <f t="shared" si="117"/>
        <v>42767</v>
      </c>
      <c r="M217" s="400">
        <f>+J217*(VLOOKUP(L217,CURVECALC!$C$6:$J$312,4,0)+N$5)</f>
        <v>0</v>
      </c>
      <c r="N217" s="208">
        <f>-F217*INDEX(ship_curves,MATCH(L217,'SHIP CURVES'!$A$9:$A$316,0),MATCH(CONCATENATE(P$4,P$5,P$6,P$7),'SHIP CURVES'!$A$9:$AZ$9,0))</f>
        <v>0</v>
      </c>
      <c r="O217" s="209">
        <f>-H217*INDEX(port_processing_fee,MATCH(L217,PORTS!$H$626:$H$933,0),MATCH(P$5,PORTS!$H$626:$Z$626,0))</f>
        <v>0</v>
      </c>
      <c r="P217" s="405">
        <f>(((VLOOKUP(L217,curvecalc,4,0))*IF(F217=0,0,J217/F217)-INDEX(ship_curves,MATCH(L217,'SHIP CURVES'!$A$9:$A$316,0),MATCH(CONCATENATE(P$4,P$5,P$6,P$7),'SHIP CURVES'!$A$9:$Z$9,0))-INDEX(terminal_curves,MATCH(L217,'TERMINAL CURVES'!$A$4:$A$313,0),MATCH(P$5,'TERMINAL CURVES'!$A$4:$N$4,0))*IF(F217=0,0,H217/F217))-(N$8)*((N$7-$N$5)-(INDEX(ship_curves,MATCH(L217,'SHIP CURVES'!$A$9:$A$316,0),MATCH(CONCATENATE(P$4,P$5,P$6,P$7),'SHIP CURVES'!$A$9:$Z$9,0))-INDEX(ship_curves,MATCH(L217,'SHIP CURVES'!$A$9:$A$316,0),MATCH(CONCATENATE(P$4,N$6,P$6,P$7),'SHIP CURVES'!$A$9:$Z$9,0)))-(INDEX(terminal_curves,MATCH(L217,'TERMINAL CURVES'!$A$4:$A$313,0),MATCH(P$5,'TERMINAL CURVES'!$A$4:$N$4,0))-INDEX(terminal_curves,MATCH(L217,'TERMINAL CURVES'!$A$4:$A$313,0),MATCH(N$6,'TERMINAL CURVES'!$A$4:$N$4,0)))*IF(F217=0,0,H217/F217)))*-F217</f>
        <v>0</v>
      </c>
      <c r="Q217" s="403">
        <f t="shared" si="101"/>
        <v>0</v>
      </c>
      <c r="R217" s="338">
        <f>(-H217/((HLOOKUP(P$5,port_specs,2,0)/(365.25))*(L218-L217)))*(INDEX(fixed_capacity_charge,MATCH(L217,PORTS!$H$11:$H$317,0),MATCH(P$5,PORTS!$H$11:$N$11,0))+INDEX(variable_om_charge,MATCH(L217,PORTS!$H$318:$H$625,0),MATCH(P$5,PORTS!$H$318:$N$318,0)))</f>
        <v>0</v>
      </c>
      <c r="S217" s="232">
        <f t="shared" si="102"/>
        <v>0</v>
      </c>
      <c r="T217" s="241">
        <f t="shared" si="103"/>
        <v>0</v>
      </c>
      <c r="V217" s="186">
        <f t="shared" si="118"/>
        <v>42767</v>
      </c>
      <c r="W217" s="215">
        <f t="shared" si="104"/>
        <v>0</v>
      </c>
      <c r="X217" s="191">
        <f t="shared" si="105"/>
        <v>0</v>
      </c>
      <c r="Y217" s="218">
        <f>+IF(AND(X$8&lt;=V217,X$9&gt;=V217),+MIN($B217-SUMIF($H$17:X$17,Y$17,$H217:X217),((INDEX(ROUTE_PER_DAY_BY_SHIP,MATCH(CONCATENATE(X$4,X$5,X$7),ROUTE_PER_DAY_ROUTES,0),MATCH(X$6,ROUTE_PER_DAY_SHIPS,0))*(V218-V217))-(INDEX(ROUTE_PER_DAY_BY_SHIP,MATCH(CONCATENATE(X$4,X$5,X$7),ROUTE_PER_DAY_ROUTES,0),MATCH(X$6,ROUTE_PER_DAY_SHIPS,0))*(V218-V217))*HLOOKUP(X$6,SHIPS,7,0)*INDEX(LADEN_VOYAGE_DAYS,MATCH(CONCATENATE(X$4,X$5,X$7),LADEN_VOYAGE_ROUTES,0),MATCH(X$6,LADEN_VOYAGE_SHIPS,0)))),0)</f>
        <v>0</v>
      </c>
      <c r="Z217" s="118">
        <f t="shared" si="106"/>
        <v>0</v>
      </c>
      <c r="AA217" s="215">
        <f t="shared" si="92"/>
        <v>0</v>
      </c>
      <c r="AB217" s="202"/>
      <c r="AC217" s="186">
        <f t="shared" si="119"/>
        <v>42767</v>
      </c>
      <c r="AD217" s="232">
        <f>+AA217*(VLOOKUP(AC217,CURVECALC!$C$6:$J$312,4,0)+AE$5)</f>
        <v>0</v>
      </c>
      <c r="AE217" s="208">
        <f>-W217*INDEX(ship_curves,MATCH(AC217,'SHIP CURVES'!$A$9:$A$316,0),MATCH(CONCATENATE(AG$4,AG$5,AG$6,AG$7),'SHIP CURVES'!$A$9:$AZ$9,0))</f>
        <v>0</v>
      </c>
      <c r="AF217" s="209">
        <f>-Y217*INDEX(port_processing_fee,MATCH(AC217,PORTS!$H$626:$H$933,0),MATCH(AG$5,PORTS!$H$626:$Z$626,0))</f>
        <v>0</v>
      </c>
      <c r="AG217" s="405">
        <f>(((VLOOKUP(AC217,curvecalc,4,0))*IF(W217=0,0,AA217/W217)-INDEX(ship_curves,MATCH(AC217,'SHIP CURVES'!$A$9:$A$316,0),MATCH(CONCATENATE(AG$4,AG$5,AG$6,AG$7),'SHIP CURVES'!$A$9:$Z$9,0))-INDEX(terminal_curves,MATCH(AC217,'TERMINAL CURVES'!$A$4:$A$313,0),MATCH(AG$5,'TERMINAL CURVES'!$A$4:$N$4,0))*IF(W217=0,0,Y217/W217))-(AE$8)*((AE$7-$N$5)-(INDEX(ship_curves,MATCH(AC217,'SHIP CURVES'!$A$9:$A$316,0),MATCH(CONCATENATE(AG$4,AG$5,AG$6,AG$7),'SHIP CURVES'!$A$9:$Z$9,0))-INDEX(ship_curves,MATCH(AC217,'SHIP CURVES'!$A$9:$A$316,0),MATCH(CONCATENATE(AG$4,AE$6,AG$6,AG$7),'SHIP CURVES'!$A$9:$Z$9,0)))-(INDEX(terminal_curves,MATCH(AC217,'TERMINAL CURVES'!$A$4:$A$313,0),MATCH(AG$5,'TERMINAL CURVES'!$A$4:$N$4,0))-INDEX(terminal_curves,MATCH(AC217,'TERMINAL CURVES'!$A$4:$A$313,0),MATCH(AE$6,'TERMINAL CURVES'!$A$4:$N$4,0)))*IF(W217=0,0,Y217/W217)))*-W217</f>
        <v>0</v>
      </c>
      <c r="AH217" s="343">
        <f t="shared" si="107"/>
        <v>0</v>
      </c>
      <c r="AI217" s="338">
        <f>(-Y217/((HLOOKUP(AG$5,port_specs,2,0)/(365.25))*(AC218-AC217)))*(INDEX(fixed_capacity_charge,MATCH(AC217,PORTS!$H$11:$H$317,0),MATCH(AG$5,PORTS!$H$11:$N$11,0))+INDEX(variable_om_charge,MATCH(AC217,PORTS!$H$318:$H$625,0),MATCH(AG$5,PORTS!$H$318:$N$318,0)))</f>
        <v>0</v>
      </c>
      <c r="AJ217" s="232">
        <f t="shared" si="108"/>
        <v>0</v>
      </c>
      <c r="AK217" s="241">
        <f t="shared" si="109"/>
        <v>0</v>
      </c>
      <c r="AM217" s="186">
        <f t="shared" si="120"/>
        <v>42767</v>
      </c>
      <c r="AN217" s="215">
        <f t="shared" si="110"/>
        <v>4873591.0118089532</v>
      </c>
      <c r="AO217" s="191">
        <f t="shared" si="111"/>
        <v>-51172.70562399365</v>
      </c>
      <c r="AP217" s="218">
        <f>+IF(AND(AO$8&lt;=AM217,AO$9&gt;=AM217),+MIN($B217-SUMIF($H$17:AO$17,AP$17,$H217:AO217),((INDEX(ROUTE_PER_DAY_BY_SHIP,MATCH(CONCATENATE(AO$4,AO$5,AO$7),ROUTE_PER_DAY_ROUTES,0),MATCH(AO$6,ROUTE_PER_DAY_SHIPS,0))*(AM218-AM217))-(INDEX(ROUTE_PER_DAY_BY_SHIP,MATCH(CONCATENATE(AO$4,AO$5,AO$7),ROUTE_PER_DAY_ROUTES,0),MATCH(AO$6,ROUTE_PER_DAY_SHIPS,0))*(AM218-AM217))*HLOOKUP(AO$6,SHIPS,7,0)*INDEX(LADEN_VOYAGE_DAYS,MATCH(CONCATENATE(AO$4,AO$5,AO$7),LADEN_VOYAGE_ROUTES,0),MATCH(AO$6,LADEN_VOYAGE_SHIPS,0)))),0)</f>
        <v>4822418.3061849596</v>
      </c>
      <c r="AQ217" s="118">
        <f>-(AP217)*PORTS!$I$6</f>
        <v>-120560.457654624</v>
      </c>
      <c r="AR217" s="215">
        <f t="shared" si="93"/>
        <v>4701857.8485303354</v>
      </c>
      <c r="AS217" s="202"/>
      <c r="AT217" s="186">
        <f t="shared" si="121"/>
        <v>42767</v>
      </c>
      <c r="AU217" s="232">
        <f>+AR217*(VLOOKUP(AT217,CURVECALC!$C$6:$J$312,4,0)+AV$5)</f>
        <v>19837138.262949485</v>
      </c>
      <c r="AV217" s="208">
        <f>-AN217*INDEX(ship_curves,MATCH(AT217,'SHIP CURVES'!$A$9:$A$316,0),MATCH(CONCATENATE(AX$4,AX$5,AX$6,AX$7),'SHIP CURVES'!$A$9:$AZ$9,0))</f>
        <v>-1664458.2807188996</v>
      </c>
      <c r="AW217" s="209">
        <f>-AP217*INDEX(port_processing_fee,MATCH(AT217,PORTS!$H$626:$H$933,0),MATCH(AX$5,PORTS!$H$626:$Z$626,0))</f>
        <v>-157150.82617122773</v>
      </c>
      <c r="AX217" s="405">
        <f>(((VLOOKUP(AT217,curvecalc,4,0))*IF(AN217=0,0,AR217/AN217)-INDEX(ship_curves,MATCH(AT217,'SHIP CURVES'!$A$9:$A$316,0),MATCH(CONCATENATE(AX$4,AX$5,AX$6,AX$7),'SHIP CURVES'!$A$9:$Z$9,0))-INDEX(terminal_curves,MATCH(AT217,'TERMINAL CURVES'!$A$4:$A$313,0),MATCH(AX$5,'TERMINAL CURVES'!$A$4:$N$4,0))*IF(AN217=0,0,AP217/AN217))-(AV$8)*((AV$7-$N$5)-(INDEX(ship_curves,MATCH(AT217,'SHIP CURVES'!$A$9:$A$316,0),MATCH(CONCATENATE(AX$4,AX$5,AX$6,AX$7),'SHIP CURVES'!$A$9:$Z$9,0))-INDEX(ship_curves,MATCH(AT217,'SHIP CURVES'!$A$9:$A$316,0),MATCH(CONCATENATE(AX$4,AV$6,AX$6,AX$7),'SHIP CURVES'!$A$9:$Z$9,0)))-(INDEX(terminal_curves,MATCH(AT217,'TERMINAL CURVES'!$A$4:$A$313,0),MATCH(AX$5,'TERMINAL CURVES'!$A$4:$N$4,0))-INDEX(terminal_curves,MATCH(AT217,'TERMINAL CURVES'!$A$4:$A$313,0),MATCH(AV$6,'TERMINAL CURVES'!$A$4:$N$4,0)))*IF(AN217=0,0,AP217/AN217)))*-AN217</f>
        <v>-16875785.460938804</v>
      </c>
      <c r="AY217" s="343">
        <f t="shared" si="112"/>
        <v>-18697394.567828931</v>
      </c>
      <c r="AZ217" s="338">
        <f>(-AP217/((HLOOKUP(AX$5,port_specs,2,0)/(365.25))*(AT218-AT217)))*(INDEX(fixed_capacity_charge,MATCH(AT217,PORTS!$H$11:$H$317,0),MATCH(AX$5,PORTS!$H$11:$N$11,0))+INDEX(variable_om_charge,MATCH(AT217,PORTS!$H$318:$H$625,0),MATCH(AX$5,PORTS!$H$318:$N$318,0)))</f>
        <v>-1045706.5381499482</v>
      </c>
      <c r="BA217" s="232">
        <f t="shared" si="113"/>
        <v>-19743101.10597888</v>
      </c>
      <c r="BB217" s="241">
        <f t="shared" si="114"/>
        <v>94037.156970605254</v>
      </c>
      <c r="BC217" s="408"/>
      <c r="BD217" s="338">
        <f>+PORTS!I211+PORTS!I519</f>
        <v>1045706.5381499482</v>
      </c>
    </row>
    <row r="218" spans="1:56" x14ac:dyDescent="0.2">
      <c r="A218" s="186">
        <f t="shared" si="115"/>
        <v>42795</v>
      </c>
      <c r="B218" s="215">
        <f>+IF(AND($A218&gt;=$C$8,$A218&lt;=$C$9),1,0)*PORTS!$I$5/(365.25)*(A219-A218)</f>
        <v>5339105.9818476336</v>
      </c>
      <c r="C218" s="351">
        <f t="shared" si="94"/>
        <v>0</v>
      </c>
      <c r="D218">
        <f t="shared" si="95"/>
        <v>2017</v>
      </c>
      <c r="E218" s="186">
        <f t="shared" si="116"/>
        <v>42795</v>
      </c>
      <c r="F218" s="215">
        <f t="shared" si="96"/>
        <v>0</v>
      </c>
      <c r="G218" s="191">
        <f t="shared" si="97"/>
        <v>0</v>
      </c>
      <c r="H218" s="218">
        <f t="shared" si="98"/>
        <v>0</v>
      </c>
      <c r="I218" s="118">
        <f t="shared" si="99"/>
        <v>0</v>
      </c>
      <c r="J218" s="215">
        <f t="shared" si="100"/>
        <v>0</v>
      </c>
      <c r="K218" s="202"/>
      <c r="L218" s="186">
        <f t="shared" si="117"/>
        <v>42795</v>
      </c>
      <c r="M218" s="400">
        <f>+J218*(VLOOKUP(L218,CURVECALC!$C$6:$J$312,4,0)+N$5)</f>
        <v>0</v>
      </c>
      <c r="N218" s="208">
        <f>-F218*INDEX(ship_curves,MATCH(L218,'SHIP CURVES'!$A$9:$A$316,0),MATCH(CONCATENATE(P$4,P$5,P$6,P$7),'SHIP CURVES'!$A$9:$AZ$9,0))</f>
        <v>0</v>
      </c>
      <c r="O218" s="209">
        <f>-H218*INDEX(port_processing_fee,MATCH(L218,PORTS!$H$626:$H$933,0),MATCH(P$5,PORTS!$H$626:$Z$626,0))</f>
        <v>0</v>
      </c>
      <c r="P218" s="405">
        <f>(((VLOOKUP(L218,curvecalc,4,0))*IF(F218=0,0,J218/F218)-INDEX(ship_curves,MATCH(L218,'SHIP CURVES'!$A$9:$A$316,0),MATCH(CONCATENATE(P$4,P$5,P$6,P$7),'SHIP CURVES'!$A$9:$Z$9,0))-INDEX(terminal_curves,MATCH(L218,'TERMINAL CURVES'!$A$4:$A$313,0),MATCH(P$5,'TERMINAL CURVES'!$A$4:$N$4,0))*IF(F218=0,0,H218/F218))-(N$8)*((N$7-$N$5)-(INDEX(ship_curves,MATCH(L218,'SHIP CURVES'!$A$9:$A$316,0),MATCH(CONCATENATE(P$4,P$5,P$6,P$7),'SHIP CURVES'!$A$9:$Z$9,0))-INDEX(ship_curves,MATCH(L218,'SHIP CURVES'!$A$9:$A$316,0),MATCH(CONCATENATE(P$4,N$6,P$6,P$7),'SHIP CURVES'!$A$9:$Z$9,0)))-(INDEX(terminal_curves,MATCH(L218,'TERMINAL CURVES'!$A$4:$A$313,0),MATCH(P$5,'TERMINAL CURVES'!$A$4:$N$4,0))-INDEX(terminal_curves,MATCH(L218,'TERMINAL CURVES'!$A$4:$A$313,0),MATCH(N$6,'TERMINAL CURVES'!$A$4:$N$4,0)))*IF(F218=0,0,H218/F218)))*-F218</f>
        <v>0</v>
      </c>
      <c r="Q218" s="403">
        <f t="shared" si="101"/>
        <v>0</v>
      </c>
      <c r="R218" s="338">
        <f>(-H218/((HLOOKUP(P$5,port_specs,2,0)/(365.25))*(L219-L218)))*(INDEX(fixed_capacity_charge,MATCH(L218,PORTS!$H$11:$H$317,0),MATCH(P$5,PORTS!$H$11:$N$11,0))+INDEX(variable_om_charge,MATCH(L218,PORTS!$H$318:$H$625,0),MATCH(P$5,PORTS!$H$318:$N$318,0)))</f>
        <v>0</v>
      </c>
      <c r="S218" s="232">
        <f t="shared" si="102"/>
        <v>0</v>
      </c>
      <c r="T218" s="241">
        <f t="shared" si="103"/>
        <v>0</v>
      </c>
      <c r="V218" s="186">
        <f t="shared" si="118"/>
        <v>42795</v>
      </c>
      <c r="W218" s="215">
        <f t="shared" si="104"/>
        <v>0</v>
      </c>
      <c r="X218" s="191">
        <f t="shared" si="105"/>
        <v>0</v>
      </c>
      <c r="Y218" s="218">
        <f>+IF(AND(X$8&lt;=V218,X$9&gt;=V218),+MIN($B218-SUMIF($H$17:X$17,Y$17,$H218:X218),((INDEX(ROUTE_PER_DAY_BY_SHIP,MATCH(CONCATENATE(X$4,X$5,X$7),ROUTE_PER_DAY_ROUTES,0),MATCH(X$6,ROUTE_PER_DAY_SHIPS,0))*(V219-V218))-(INDEX(ROUTE_PER_DAY_BY_SHIP,MATCH(CONCATENATE(X$4,X$5,X$7),ROUTE_PER_DAY_ROUTES,0),MATCH(X$6,ROUTE_PER_DAY_SHIPS,0))*(V219-V218))*HLOOKUP(X$6,SHIPS,7,0)*INDEX(LADEN_VOYAGE_DAYS,MATCH(CONCATENATE(X$4,X$5,X$7),LADEN_VOYAGE_ROUTES,0),MATCH(X$6,LADEN_VOYAGE_SHIPS,0)))),0)</f>
        <v>0</v>
      </c>
      <c r="Z218" s="118">
        <f t="shared" si="106"/>
        <v>0</v>
      </c>
      <c r="AA218" s="215">
        <f t="shared" si="92"/>
        <v>0</v>
      </c>
      <c r="AB218" s="202"/>
      <c r="AC218" s="186">
        <f t="shared" si="119"/>
        <v>42795</v>
      </c>
      <c r="AD218" s="232">
        <f>+AA218*(VLOOKUP(AC218,CURVECALC!$C$6:$J$312,4,0)+AE$5)</f>
        <v>0</v>
      </c>
      <c r="AE218" s="208">
        <f>-W218*INDEX(ship_curves,MATCH(AC218,'SHIP CURVES'!$A$9:$A$316,0),MATCH(CONCATENATE(AG$4,AG$5,AG$6,AG$7),'SHIP CURVES'!$A$9:$AZ$9,0))</f>
        <v>0</v>
      </c>
      <c r="AF218" s="209">
        <f>-Y218*INDEX(port_processing_fee,MATCH(AC218,PORTS!$H$626:$H$933,0),MATCH(AG$5,PORTS!$H$626:$Z$626,0))</f>
        <v>0</v>
      </c>
      <c r="AG218" s="405">
        <f>(((VLOOKUP(AC218,curvecalc,4,0))*IF(W218=0,0,AA218/W218)-INDEX(ship_curves,MATCH(AC218,'SHIP CURVES'!$A$9:$A$316,0),MATCH(CONCATENATE(AG$4,AG$5,AG$6,AG$7),'SHIP CURVES'!$A$9:$Z$9,0))-INDEX(terminal_curves,MATCH(AC218,'TERMINAL CURVES'!$A$4:$A$313,0),MATCH(AG$5,'TERMINAL CURVES'!$A$4:$N$4,0))*IF(W218=0,0,Y218/W218))-(AE$8)*((AE$7-$N$5)-(INDEX(ship_curves,MATCH(AC218,'SHIP CURVES'!$A$9:$A$316,0),MATCH(CONCATENATE(AG$4,AG$5,AG$6,AG$7),'SHIP CURVES'!$A$9:$Z$9,0))-INDEX(ship_curves,MATCH(AC218,'SHIP CURVES'!$A$9:$A$316,0),MATCH(CONCATENATE(AG$4,AE$6,AG$6,AG$7),'SHIP CURVES'!$A$9:$Z$9,0)))-(INDEX(terminal_curves,MATCH(AC218,'TERMINAL CURVES'!$A$4:$A$313,0),MATCH(AG$5,'TERMINAL CURVES'!$A$4:$N$4,0))-INDEX(terminal_curves,MATCH(AC218,'TERMINAL CURVES'!$A$4:$A$313,0),MATCH(AE$6,'TERMINAL CURVES'!$A$4:$N$4,0)))*IF(W218=0,0,Y218/W218)))*-W218</f>
        <v>0</v>
      </c>
      <c r="AH218" s="343">
        <f t="shared" si="107"/>
        <v>0</v>
      </c>
      <c r="AI218" s="338">
        <f>(-Y218/((HLOOKUP(AG$5,port_specs,2,0)/(365.25))*(AC219-AC218)))*(INDEX(fixed_capacity_charge,MATCH(AC218,PORTS!$H$11:$H$317,0),MATCH(AG$5,PORTS!$H$11:$N$11,0))+INDEX(variable_om_charge,MATCH(AC218,PORTS!$H$318:$H$625,0),MATCH(AG$5,PORTS!$H$318:$N$318,0)))</f>
        <v>0</v>
      </c>
      <c r="AJ218" s="232">
        <f t="shared" si="108"/>
        <v>0</v>
      </c>
      <c r="AK218" s="241">
        <f t="shared" si="109"/>
        <v>0</v>
      </c>
      <c r="AM218" s="186">
        <f t="shared" si="120"/>
        <v>42795</v>
      </c>
      <c r="AN218" s="215">
        <f t="shared" si="110"/>
        <v>5395761.4773599124</v>
      </c>
      <c r="AO218" s="191">
        <f t="shared" si="111"/>
        <v>-56655.495512278751</v>
      </c>
      <c r="AP218" s="218">
        <f>+IF(AND(AO$8&lt;=AM218,AO$9&gt;=AM218),+MIN($B218-SUMIF($H$17:AO$17,AP$17,$H218:AO218),((INDEX(ROUTE_PER_DAY_BY_SHIP,MATCH(CONCATENATE(AO$4,AO$5,AO$7),ROUTE_PER_DAY_ROUTES,0),MATCH(AO$6,ROUTE_PER_DAY_SHIPS,0))*(AM219-AM218))-(INDEX(ROUTE_PER_DAY_BY_SHIP,MATCH(CONCATENATE(AO$4,AO$5,AO$7),ROUTE_PER_DAY_ROUTES,0),MATCH(AO$6,ROUTE_PER_DAY_SHIPS,0))*(AM219-AM218))*HLOOKUP(AO$6,SHIPS,7,0)*INDEX(LADEN_VOYAGE_DAYS,MATCH(CONCATENATE(AO$4,AO$5,AO$7),LADEN_VOYAGE_ROUTES,0),MATCH(AO$6,LADEN_VOYAGE_SHIPS,0)))),0)</f>
        <v>5339105.9818476336</v>
      </c>
      <c r="AQ218" s="118">
        <f>-(AP218)*PORTS!$I$6</f>
        <v>-133477.64954619083</v>
      </c>
      <c r="AR218" s="215">
        <f t="shared" si="93"/>
        <v>5205628.3323014425</v>
      </c>
      <c r="AS218" s="202"/>
      <c r="AT218" s="186">
        <f t="shared" si="121"/>
        <v>42795</v>
      </c>
      <c r="AU218" s="232">
        <f>+AR218*(VLOOKUP(AT218,CURVECALC!$C$6:$J$312,4,0)+AV$5)</f>
        <v>21426366.215752736</v>
      </c>
      <c r="AV218" s="208">
        <f>-AN218*INDEX(ship_curves,MATCH(AT218,'SHIP CURVES'!$A$9:$A$316,0),MATCH(CONCATENATE(AX$4,AX$5,AX$6,AX$7),'SHIP CURVES'!$A$9:$AZ$9,0))</f>
        <v>-1843436.5660299892</v>
      </c>
      <c r="AW218" s="209">
        <f>-AP218*INDEX(port_processing_fee,MATCH(AT218,PORTS!$H$626:$H$933,0),MATCH(AX$5,PORTS!$H$626:$Z$626,0))</f>
        <v>-174169.65262154187</v>
      </c>
      <c r="AX218" s="405">
        <f>(((VLOOKUP(AT218,curvecalc,4,0))*IF(AN218=0,0,AR218/AN218)-INDEX(ship_curves,MATCH(AT218,'SHIP CURVES'!$A$9:$A$316,0),MATCH(CONCATENATE(AX$4,AX$5,AX$6,AX$7),'SHIP CURVES'!$A$9:$Z$9,0))-INDEX(terminal_curves,MATCH(AT218,'TERMINAL CURVES'!$A$4:$A$313,0),MATCH(AX$5,'TERMINAL CURVES'!$A$4:$N$4,0))*IF(AN218=0,0,AP218/AN218))-(AV$8)*((AV$7-$N$5)-(INDEX(ship_curves,MATCH(AT218,'SHIP CURVES'!$A$9:$A$316,0),MATCH(CONCATENATE(AX$4,AX$5,AX$6,AX$7),'SHIP CURVES'!$A$9:$Z$9,0))-INDEX(ship_curves,MATCH(AT218,'SHIP CURVES'!$A$9:$A$316,0),MATCH(CONCATENATE(AX$4,AV$6,AX$6,AX$7),'SHIP CURVES'!$A$9:$Z$9,0)))-(INDEX(terminal_curves,MATCH(AT218,'TERMINAL CURVES'!$A$4:$A$313,0),MATCH(AX$5,'TERMINAL CURVES'!$A$4:$N$4,0))-INDEX(terminal_curves,MATCH(AT218,'TERMINAL CURVES'!$A$4:$A$313,0),MATCH(AV$6,'TERMINAL CURVES'!$A$4:$N$4,0)))*IF(AN218=0,0,AP218/AN218)))*-AN218</f>
        <v>-18258357.017339353</v>
      </c>
      <c r="AY218" s="343">
        <f t="shared" si="112"/>
        <v>-20275963.235990882</v>
      </c>
      <c r="AZ218" s="338">
        <f>(-AP218/((HLOOKUP(AX$5,port_specs,2,0)/(365.25))*(AT219-AT218)))*(INDEX(fixed_capacity_charge,MATCH(AT218,PORTS!$H$11:$H$317,0),MATCH(AX$5,PORTS!$H$11:$N$11,0))+INDEX(variable_om_charge,MATCH(AT218,PORTS!$H$318:$H$625,0),MATCH(AX$5,PORTS!$H$318:$N$318,0)))</f>
        <v>-1046290.413115825</v>
      </c>
      <c r="BA218" s="232">
        <f t="shared" si="113"/>
        <v>-21322253.649106707</v>
      </c>
      <c r="BB218" s="241">
        <f t="shared" si="114"/>
        <v>104112.56664602831</v>
      </c>
      <c r="BC218" s="408"/>
      <c r="BD218" s="338">
        <f>+PORTS!I212+PORTS!I520</f>
        <v>1046290.413115825</v>
      </c>
    </row>
    <row r="219" spans="1:56" x14ac:dyDescent="0.2">
      <c r="A219" s="186">
        <f t="shared" si="115"/>
        <v>42826</v>
      </c>
      <c r="B219" s="215">
        <f>+IF(AND($A219&gt;=$C$8,$A219&lt;=$C$9),1,0)*PORTS!$I$5/(365.25)*(A220-A219)</f>
        <v>5166876.756626742</v>
      </c>
      <c r="C219" s="351">
        <f t="shared" si="94"/>
        <v>0</v>
      </c>
      <c r="D219">
        <f t="shared" si="95"/>
        <v>2017</v>
      </c>
      <c r="E219" s="186">
        <f t="shared" si="116"/>
        <v>42826</v>
      </c>
      <c r="F219" s="215">
        <f t="shared" si="96"/>
        <v>0</v>
      </c>
      <c r="G219" s="191">
        <f t="shared" si="97"/>
        <v>0</v>
      </c>
      <c r="H219" s="218">
        <f t="shared" si="98"/>
        <v>0</v>
      </c>
      <c r="I219" s="118">
        <f t="shared" si="99"/>
        <v>0</v>
      </c>
      <c r="J219" s="215">
        <f t="shared" si="100"/>
        <v>0</v>
      </c>
      <c r="K219" s="202"/>
      <c r="L219" s="186">
        <f t="shared" si="117"/>
        <v>42826</v>
      </c>
      <c r="M219" s="400">
        <f>+J219*(VLOOKUP(L219,CURVECALC!$C$6:$J$312,4,0)+N$5)</f>
        <v>0</v>
      </c>
      <c r="N219" s="208">
        <f>-F219*INDEX(ship_curves,MATCH(L219,'SHIP CURVES'!$A$9:$A$316,0),MATCH(CONCATENATE(P$4,P$5,P$6,P$7),'SHIP CURVES'!$A$9:$AZ$9,0))</f>
        <v>0</v>
      </c>
      <c r="O219" s="209">
        <f>-H219*INDEX(port_processing_fee,MATCH(L219,PORTS!$H$626:$H$933,0),MATCH(P$5,PORTS!$H$626:$Z$626,0))</f>
        <v>0</v>
      </c>
      <c r="P219" s="405">
        <f>(((VLOOKUP(L219,curvecalc,4,0))*IF(F219=0,0,J219/F219)-INDEX(ship_curves,MATCH(L219,'SHIP CURVES'!$A$9:$A$316,0),MATCH(CONCATENATE(P$4,P$5,P$6,P$7),'SHIP CURVES'!$A$9:$Z$9,0))-INDEX(terminal_curves,MATCH(L219,'TERMINAL CURVES'!$A$4:$A$313,0),MATCH(P$5,'TERMINAL CURVES'!$A$4:$N$4,0))*IF(F219=0,0,H219/F219))-(N$8)*((N$7-$N$5)-(INDEX(ship_curves,MATCH(L219,'SHIP CURVES'!$A$9:$A$316,0),MATCH(CONCATENATE(P$4,P$5,P$6,P$7),'SHIP CURVES'!$A$9:$Z$9,0))-INDEX(ship_curves,MATCH(L219,'SHIP CURVES'!$A$9:$A$316,0),MATCH(CONCATENATE(P$4,N$6,P$6,P$7),'SHIP CURVES'!$A$9:$Z$9,0)))-(INDEX(terminal_curves,MATCH(L219,'TERMINAL CURVES'!$A$4:$A$313,0),MATCH(P$5,'TERMINAL CURVES'!$A$4:$N$4,0))-INDEX(terminal_curves,MATCH(L219,'TERMINAL CURVES'!$A$4:$A$313,0),MATCH(N$6,'TERMINAL CURVES'!$A$4:$N$4,0)))*IF(F219=0,0,H219/F219)))*-F219</f>
        <v>0</v>
      </c>
      <c r="Q219" s="403">
        <f t="shared" si="101"/>
        <v>0</v>
      </c>
      <c r="R219" s="338">
        <f>(-H219/((HLOOKUP(P$5,port_specs,2,0)/(365.25))*(L220-L219)))*(INDEX(fixed_capacity_charge,MATCH(L219,PORTS!$H$11:$H$317,0),MATCH(P$5,PORTS!$H$11:$N$11,0))+INDEX(variable_om_charge,MATCH(L219,PORTS!$H$318:$H$625,0),MATCH(P$5,PORTS!$H$318:$N$318,0)))</f>
        <v>0</v>
      </c>
      <c r="S219" s="232">
        <f t="shared" si="102"/>
        <v>0</v>
      </c>
      <c r="T219" s="241">
        <f t="shared" si="103"/>
        <v>0</v>
      </c>
      <c r="V219" s="186">
        <f t="shared" si="118"/>
        <v>42826</v>
      </c>
      <c r="W219" s="215">
        <f t="shared" si="104"/>
        <v>0</v>
      </c>
      <c r="X219" s="191">
        <f t="shared" si="105"/>
        <v>0</v>
      </c>
      <c r="Y219" s="218">
        <f>+IF(AND(X$8&lt;=V219,X$9&gt;=V219),+MIN($B219-SUMIF($H$17:X$17,Y$17,$H219:X219),((INDEX(ROUTE_PER_DAY_BY_SHIP,MATCH(CONCATENATE(X$4,X$5,X$7),ROUTE_PER_DAY_ROUTES,0),MATCH(X$6,ROUTE_PER_DAY_SHIPS,0))*(V220-V219))-(INDEX(ROUTE_PER_DAY_BY_SHIP,MATCH(CONCATENATE(X$4,X$5,X$7),ROUTE_PER_DAY_ROUTES,0),MATCH(X$6,ROUTE_PER_DAY_SHIPS,0))*(V220-V219))*HLOOKUP(X$6,SHIPS,7,0)*INDEX(LADEN_VOYAGE_DAYS,MATCH(CONCATENATE(X$4,X$5,X$7),LADEN_VOYAGE_ROUTES,0),MATCH(X$6,LADEN_VOYAGE_SHIPS,0)))),0)</f>
        <v>0</v>
      </c>
      <c r="Z219" s="118">
        <f t="shared" si="106"/>
        <v>0</v>
      </c>
      <c r="AA219" s="215">
        <f t="shared" si="92"/>
        <v>0</v>
      </c>
      <c r="AB219" s="202"/>
      <c r="AC219" s="186">
        <f t="shared" si="119"/>
        <v>42826</v>
      </c>
      <c r="AD219" s="232">
        <f>+AA219*(VLOOKUP(AC219,CURVECALC!$C$6:$J$312,4,0)+AE$5)</f>
        <v>0</v>
      </c>
      <c r="AE219" s="208">
        <f>-W219*INDEX(ship_curves,MATCH(AC219,'SHIP CURVES'!$A$9:$A$316,0),MATCH(CONCATENATE(AG$4,AG$5,AG$6,AG$7),'SHIP CURVES'!$A$9:$AZ$9,0))</f>
        <v>0</v>
      </c>
      <c r="AF219" s="209">
        <f>-Y219*INDEX(port_processing_fee,MATCH(AC219,PORTS!$H$626:$H$933,0),MATCH(AG$5,PORTS!$H$626:$Z$626,0))</f>
        <v>0</v>
      </c>
      <c r="AG219" s="405">
        <f>(((VLOOKUP(AC219,curvecalc,4,0))*IF(W219=0,0,AA219/W219)-INDEX(ship_curves,MATCH(AC219,'SHIP CURVES'!$A$9:$A$316,0),MATCH(CONCATENATE(AG$4,AG$5,AG$6,AG$7),'SHIP CURVES'!$A$9:$Z$9,0))-INDEX(terminal_curves,MATCH(AC219,'TERMINAL CURVES'!$A$4:$A$313,0),MATCH(AG$5,'TERMINAL CURVES'!$A$4:$N$4,0))*IF(W219=0,0,Y219/W219))-(AE$8)*((AE$7-$N$5)-(INDEX(ship_curves,MATCH(AC219,'SHIP CURVES'!$A$9:$A$316,0),MATCH(CONCATENATE(AG$4,AG$5,AG$6,AG$7),'SHIP CURVES'!$A$9:$Z$9,0))-INDEX(ship_curves,MATCH(AC219,'SHIP CURVES'!$A$9:$A$316,0),MATCH(CONCATENATE(AG$4,AE$6,AG$6,AG$7),'SHIP CURVES'!$A$9:$Z$9,0)))-(INDEX(terminal_curves,MATCH(AC219,'TERMINAL CURVES'!$A$4:$A$313,0),MATCH(AG$5,'TERMINAL CURVES'!$A$4:$N$4,0))-INDEX(terminal_curves,MATCH(AC219,'TERMINAL CURVES'!$A$4:$A$313,0),MATCH(AE$6,'TERMINAL CURVES'!$A$4:$N$4,0)))*IF(W219=0,0,Y219/W219)))*-W219</f>
        <v>0</v>
      </c>
      <c r="AH219" s="343">
        <f t="shared" si="107"/>
        <v>0</v>
      </c>
      <c r="AI219" s="338">
        <f>(-Y219/((HLOOKUP(AG$5,port_specs,2,0)/(365.25))*(AC220-AC219)))*(INDEX(fixed_capacity_charge,MATCH(AC219,PORTS!$H$11:$H$317,0),MATCH(AG$5,PORTS!$H$11:$N$11,0))+INDEX(variable_om_charge,MATCH(AC219,PORTS!$H$318:$H$625,0),MATCH(AG$5,PORTS!$H$318:$N$318,0)))</f>
        <v>0</v>
      </c>
      <c r="AJ219" s="232">
        <f t="shared" si="108"/>
        <v>0</v>
      </c>
      <c r="AK219" s="241">
        <f t="shared" si="109"/>
        <v>0</v>
      </c>
      <c r="AM219" s="186">
        <f t="shared" si="120"/>
        <v>42826</v>
      </c>
      <c r="AN219" s="215">
        <f t="shared" si="110"/>
        <v>5221704.655509592</v>
      </c>
      <c r="AO219" s="191">
        <f t="shared" si="111"/>
        <v>-54827.898882850073</v>
      </c>
      <c r="AP219" s="218">
        <f>+IF(AND(AO$8&lt;=AM219,AO$9&gt;=AM219),+MIN($B219-SUMIF($H$17:AO$17,AP$17,$H219:AO219),((INDEX(ROUTE_PER_DAY_BY_SHIP,MATCH(CONCATENATE(AO$4,AO$5,AO$7),ROUTE_PER_DAY_ROUTES,0),MATCH(AO$6,ROUTE_PER_DAY_SHIPS,0))*(AM220-AM219))-(INDEX(ROUTE_PER_DAY_BY_SHIP,MATCH(CONCATENATE(AO$4,AO$5,AO$7),ROUTE_PER_DAY_ROUTES,0),MATCH(AO$6,ROUTE_PER_DAY_SHIPS,0))*(AM220-AM219))*HLOOKUP(AO$6,SHIPS,7,0)*INDEX(LADEN_VOYAGE_DAYS,MATCH(CONCATENATE(AO$4,AO$5,AO$7),LADEN_VOYAGE_ROUTES,0),MATCH(AO$6,LADEN_VOYAGE_SHIPS,0)))),0)</f>
        <v>5166876.756626742</v>
      </c>
      <c r="AQ219" s="118">
        <f>-(AP219)*PORTS!$I$6</f>
        <v>-129171.91891566856</v>
      </c>
      <c r="AR219" s="215">
        <f t="shared" si="93"/>
        <v>5037704.8377110735</v>
      </c>
      <c r="AS219" s="202"/>
      <c r="AT219" s="186">
        <f t="shared" si="121"/>
        <v>42826</v>
      </c>
      <c r="AU219" s="232">
        <f>+AR219*(VLOOKUP(AT219,CURVECALC!$C$6:$J$312,4,0)+AV$5)</f>
        <v>20241498.037923094</v>
      </c>
      <c r="AV219" s="208">
        <f>-AN219*INDEX(ship_curves,MATCH(AT219,'SHIP CURVES'!$A$9:$A$316,0),MATCH(CONCATENATE(AX$4,AX$5,AX$6,AX$7),'SHIP CURVES'!$A$9:$AZ$9,0))</f>
        <v>-1784594.8801076782</v>
      </c>
      <c r="AW219" s="209">
        <f>-AP219*INDEX(port_processing_fee,MATCH(AT219,PORTS!$H$626:$H$933,0),MATCH(AX$5,PORTS!$H$626:$Z$626,0))</f>
        <v>-168726.85097711865</v>
      </c>
      <c r="AX219" s="405">
        <f>(((VLOOKUP(AT219,curvecalc,4,0))*IF(AN219=0,0,AR219/AN219)-INDEX(ship_curves,MATCH(AT219,'SHIP CURVES'!$A$9:$A$316,0),MATCH(CONCATENATE(AX$4,AX$5,AX$6,AX$7),'SHIP CURVES'!$A$9:$Z$9,0))-INDEX(terminal_curves,MATCH(AT219,'TERMINAL CURVES'!$A$4:$A$313,0),MATCH(AX$5,'TERMINAL CURVES'!$A$4:$N$4,0))*IF(AN219=0,0,AP219/AN219))-(AV$8)*((AV$7-$N$5)-(INDEX(ship_curves,MATCH(AT219,'SHIP CURVES'!$A$9:$A$316,0),MATCH(CONCATENATE(AX$4,AX$5,AX$6,AX$7),'SHIP CURVES'!$A$9:$Z$9,0))-INDEX(ship_curves,MATCH(AT219,'SHIP CURVES'!$A$9:$A$316,0),MATCH(CONCATENATE(AX$4,AV$6,AX$6,AX$7),'SHIP CURVES'!$A$9:$Z$9,0)))-(INDEX(terminal_curves,MATCH(AT219,'TERMINAL CURVES'!$A$4:$A$313,0),MATCH(AX$5,'TERMINAL CURVES'!$A$4:$N$4,0))-INDEX(terminal_curves,MATCH(AT219,'TERMINAL CURVES'!$A$4:$A$313,0),MATCH(AV$6,'TERMINAL CURVES'!$A$4:$N$4,0)))*IF(AN219=0,0,AP219/AN219)))*-AN219</f>
        <v>-17140547.313799281</v>
      </c>
      <c r="AY219" s="343">
        <f t="shared" si="112"/>
        <v>-19093869.044884078</v>
      </c>
      <c r="AZ219" s="338">
        <f>(-AP219/((HLOOKUP(AX$5,port_specs,2,0)/(365.25))*(AT220-AT219)))*(INDEX(fixed_capacity_charge,MATCH(AT219,PORTS!$H$11:$H$317,0),MATCH(AX$5,PORTS!$H$11:$N$11,0))+INDEX(variable_om_charge,MATCH(AT219,PORTS!$H$318:$H$625,0),MATCH(AX$5,PORTS!$H$318:$N$318,0)))</f>
        <v>-1046874.8962847912</v>
      </c>
      <c r="BA219" s="232">
        <f t="shared" si="113"/>
        <v>-20140743.941168871</v>
      </c>
      <c r="BB219" s="241">
        <f t="shared" si="114"/>
        <v>100754.09675422311</v>
      </c>
      <c r="BC219" s="408"/>
      <c r="BD219" s="338">
        <f>+PORTS!I213+PORTS!I521</f>
        <v>1046874.8962847912</v>
      </c>
    </row>
    <row r="220" spans="1:56" x14ac:dyDescent="0.2">
      <c r="A220" s="186">
        <f t="shared" si="115"/>
        <v>42856</v>
      </c>
      <c r="B220" s="215">
        <f>+IF(AND($A220&gt;=$C$8,$A220&lt;=$C$9),1,0)*PORTS!$I$5/(365.25)*(A221-A220)</f>
        <v>5339105.9818476336</v>
      </c>
      <c r="C220" s="351">
        <f t="shared" si="94"/>
        <v>0</v>
      </c>
      <c r="D220">
        <f t="shared" si="95"/>
        <v>2017</v>
      </c>
      <c r="E220" s="186">
        <f t="shared" si="116"/>
        <v>42856</v>
      </c>
      <c r="F220" s="215">
        <f t="shared" si="96"/>
        <v>0</v>
      </c>
      <c r="G220" s="191">
        <f t="shared" si="97"/>
        <v>0</v>
      </c>
      <c r="H220" s="218">
        <f t="shared" si="98"/>
        <v>0</v>
      </c>
      <c r="I220" s="118">
        <f t="shared" si="99"/>
        <v>0</v>
      </c>
      <c r="J220" s="215">
        <f t="shared" si="100"/>
        <v>0</v>
      </c>
      <c r="K220" s="202"/>
      <c r="L220" s="186">
        <f t="shared" si="117"/>
        <v>42856</v>
      </c>
      <c r="M220" s="400">
        <f>+J220*(VLOOKUP(L220,CURVECALC!$C$6:$J$312,4,0)+N$5)</f>
        <v>0</v>
      </c>
      <c r="N220" s="208">
        <f>-F220*INDEX(ship_curves,MATCH(L220,'SHIP CURVES'!$A$9:$A$316,0),MATCH(CONCATENATE(P$4,P$5,P$6,P$7),'SHIP CURVES'!$A$9:$AZ$9,0))</f>
        <v>0</v>
      </c>
      <c r="O220" s="209">
        <f>-H220*INDEX(port_processing_fee,MATCH(L220,PORTS!$H$626:$H$933,0),MATCH(P$5,PORTS!$H$626:$Z$626,0))</f>
        <v>0</v>
      </c>
      <c r="P220" s="405">
        <f>(((VLOOKUP(L220,curvecalc,4,0))*IF(F220=0,0,J220/F220)-INDEX(ship_curves,MATCH(L220,'SHIP CURVES'!$A$9:$A$316,0),MATCH(CONCATENATE(P$4,P$5,P$6,P$7),'SHIP CURVES'!$A$9:$Z$9,0))-INDEX(terminal_curves,MATCH(L220,'TERMINAL CURVES'!$A$4:$A$313,0),MATCH(P$5,'TERMINAL CURVES'!$A$4:$N$4,0))*IF(F220=0,0,H220/F220))-(N$8)*((N$7-$N$5)-(INDEX(ship_curves,MATCH(L220,'SHIP CURVES'!$A$9:$A$316,0),MATCH(CONCATENATE(P$4,P$5,P$6,P$7),'SHIP CURVES'!$A$9:$Z$9,0))-INDEX(ship_curves,MATCH(L220,'SHIP CURVES'!$A$9:$A$316,0),MATCH(CONCATENATE(P$4,N$6,P$6,P$7),'SHIP CURVES'!$A$9:$Z$9,0)))-(INDEX(terminal_curves,MATCH(L220,'TERMINAL CURVES'!$A$4:$A$313,0),MATCH(P$5,'TERMINAL CURVES'!$A$4:$N$4,0))-INDEX(terminal_curves,MATCH(L220,'TERMINAL CURVES'!$A$4:$A$313,0),MATCH(N$6,'TERMINAL CURVES'!$A$4:$N$4,0)))*IF(F220=0,0,H220/F220)))*-F220</f>
        <v>0</v>
      </c>
      <c r="Q220" s="403">
        <f t="shared" si="101"/>
        <v>0</v>
      </c>
      <c r="R220" s="338">
        <f>(-H220/((HLOOKUP(P$5,port_specs,2,0)/(365.25))*(L221-L220)))*(INDEX(fixed_capacity_charge,MATCH(L220,PORTS!$H$11:$H$317,0),MATCH(P$5,PORTS!$H$11:$N$11,0))+INDEX(variable_om_charge,MATCH(L220,PORTS!$H$318:$H$625,0),MATCH(P$5,PORTS!$H$318:$N$318,0)))</f>
        <v>0</v>
      </c>
      <c r="S220" s="232">
        <f t="shared" si="102"/>
        <v>0</v>
      </c>
      <c r="T220" s="241">
        <f t="shared" si="103"/>
        <v>0</v>
      </c>
      <c r="V220" s="186">
        <f t="shared" si="118"/>
        <v>42856</v>
      </c>
      <c r="W220" s="215">
        <f t="shared" si="104"/>
        <v>0</v>
      </c>
      <c r="X220" s="191">
        <f t="shared" si="105"/>
        <v>0</v>
      </c>
      <c r="Y220" s="218">
        <f>+IF(AND(X$8&lt;=V220,X$9&gt;=V220),+MIN($B220-SUMIF($H$17:X$17,Y$17,$H220:X220),((INDEX(ROUTE_PER_DAY_BY_SHIP,MATCH(CONCATENATE(X$4,X$5,X$7),ROUTE_PER_DAY_ROUTES,0),MATCH(X$6,ROUTE_PER_DAY_SHIPS,0))*(V221-V220))-(INDEX(ROUTE_PER_DAY_BY_SHIP,MATCH(CONCATENATE(X$4,X$5,X$7),ROUTE_PER_DAY_ROUTES,0),MATCH(X$6,ROUTE_PER_DAY_SHIPS,0))*(V221-V220))*HLOOKUP(X$6,SHIPS,7,0)*INDEX(LADEN_VOYAGE_DAYS,MATCH(CONCATENATE(X$4,X$5,X$7),LADEN_VOYAGE_ROUTES,0),MATCH(X$6,LADEN_VOYAGE_SHIPS,0)))),0)</f>
        <v>0</v>
      </c>
      <c r="Z220" s="118">
        <f t="shared" si="106"/>
        <v>0</v>
      </c>
      <c r="AA220" s="215">
        <f t="shared" si="92"/>
        <v>0</v>
      </c>
      <c r="AB220" s="202"/>
      <c r="AC220" s="186">
        <f t="shared" si="119"/>
        <v>42856</v>
      </c>
      <c r="AD220" s="232">
        <f>+AA220*(VLOOKUP(AC220,CURVECALC!$C$6:$J$312,4,0)+AE$5)</f>
        <v>0</v>
      </c>
      <c r="AE220" s="208">
        <f>-W220*INDEX(ship_curves,MATCH(AC220,'SHIP CURVES'!$A$9:$A$316,0),MATCH(CONCATENATE(AG$4,AG$5,AG$6,AG$7),'SHIP CURVES'!$A$9:$AZ$9,0))</f>
        <v>0</v>
      </c>
      <c r="AF220" s="209">
        <f>-Y220*INDEX(port_processing_fee,MATCH(AC220,PORTS!$H$626:$H$933,0),MATCH(AG$5,PORTS!$H$626:$Z$626,0))</f>
        <v>0</v>
      </c>
      <c r="AG220" s="405">
        <f>(((VLOOKUP(AC220,curvecalc,4,0))*IF(W220=0,0,AA220/W220)-INDEX(ship_curves,MATCH(AC220,'SHIP CURVES'!$A$9:$A$316,0),MATCH(CONCATENATE(AG$4,AG$5,AG$6,AG$7),'SHIP CURVES'!$A$9:$Z$9,0))-INDEX(terminal_curves,MATCH(AC220,'TERMINAL CURVES'!$A$4:$A$313,0),MATCH(AG$5,'TERMINAL CURVES'!$A$4:$N$4,0))*IF(W220=0,0,Y220/W220))-(AE$8)*((AE$7-$N$5)-(INDEX(ship_curves,MATCH(AC220,'SHIP CURVES'!$A$9:$A$316,0),MATCH(CONCATENATE(AG$4,AG$5,AG$6,AG$7),'SHIP CURVES'!$A$9:$Z$9,0))-INDEX(ship_curves,MATCH(AC220,'SHIP CURVES'!$A$9:$A$316,0),MATCH(CONCATENATE(AG$4,AE$6,AG$6,AG$7),'SHIP CURVES'!$A$9:$Z$9,0)))-(INDEX(terminal_curves,MATCH(AC220,'TERMINAL CURVES'!$A$4:$A$313,0),MATCH(AG$5,'TERMINAL CURVES'!$A$4:$N$4,0))-INDEX(terminal_curves,MATCH(AC220,'TERMINAL CURVES'!$A$4:$A$313,0),MATCH(AE$6,'TERMINAL CURVES'!$A$4:$N$4,0)))*IF(W220=0,0,Y220/W220)))*-W220</f>
        <v>0</v>
      </c>
      <c r="AH220" s="343">
        <f t="shared" si="107"/>
        <v>0</v>
      </c>
      <c r="AI220" s="338">
        <f>(-Y220/((HLOOKUP(AG$5,port_specs,2,0)/(365.25))*(AC221-AC220)))*(INDEX(fixed_capacity_charge,MATCH(AC220,PORTS!$H$11:$H$317,0),MATCH(AG$5,PORTS!$H$11:$N$11,0))+INDEX(variable_om_charge,MATCH(AC220,PORTS!$H$318:$H$625,0),MATCH(AG$5,PORTS!$H$318:$N$318,0)))</f>
        <v>0</v>
      </c>
      <c r="AJ220" s="232">
        <f t="shared" si="108"/>
        <v>0</v>
      </c>
      <c r="AK220" s="241">
        <f t="shared" si="109"/>
        <v>0</v>
      </c>
      <c r="AM220" s="186">
        <f t="shared" si="120"/>
        <v>42856</v>
      </c>
      <c r="AN220" s="215">
        <f t="shared" si="110"/>
        <v>5395761.4773599124</v>
      </c>
      <c r="AO220" s="191">
        <f t="shared" si="111"/>
        <v>-56655.495512278751</v>
      </c>
      <c r="AP220" s="218">
        <f>+IF(AND(AO$8&lt;=AM220,AO$9&gt;=AM220),+MIN($B220-SUMIF($H$17:AO$17,AP$17,$H220:AO220),((INDEX(ROUTE_PER_DAY_BY_SHIP,MATCH(CONCATENATE(AO$4,AO$5,AO$7),ROUTE_PER_DAY_ROUTES,0),MATCH(AO$6,ROUTE_PER_DAY_SHIPS,0))*(AM221-AM220))-(INDEX(ROUTE_PER_DAY_BY_SHIP,MATCH(CONCATENATE(AO$4,AO$5,AO$7),ROUTE_PER_DAY_ROUTES,0),MATCH(AO$6,ROUTE_PER_DAY_SHIPS,0))*(AM221-AM220))*HLOOKUP(AO$6,SHIPS,7,0)*INDEX(LADEN_VOYAGE_DAYS,MATCH(CONCATENATE(AO$4,AO$5,AO$7),LADEN_VOYAGE_ROUTES,0),MATCH(AO$6,LADEN_VOYAGE_SHIPS,0)))),0)</f>
        <v>5339105.9818476336</v>
      </c>
      <c r="AQ220" s="118">
        <f>-(AP220)*PORTS!$I$6</f>
        <v>-133477.64954619083</v>
      </c>
      <c r="AR220" s="215">
        <f t="shared" si="93"/>
        <v>5205628.3323014425</v>
      </c>
      <c r="AS220" s="202"/>
      <c r="AT220" s="186">
        <f t="shared" si="121"/>
        <v>42856</v>
      </c>
      <c r="AU220" s="232">
        <f>+AR220*(VLOOKUP(AT220,CURVECALC!$C$6:$J$312,4,0)+AV$5)</f>
        <v>20911009.010854892</v>
      </c>
      <c r="AV220" s="208">
        <f>-AN220*INDEX(ship_curves,MATCH(AT220,'SHIP CURVES'!$A$9:$A$316,0),MATCH(CONCATENATE(AX$4,AX$5,AX$6,AX$7),'SHIP CURVES'!$A$9:$AZ$9,0))</f>
        <v>-1844727.5295468823</v>
      </c>
      <c r="AW220" s="209">
        <f>-AP220*INDEX(port_processing_fee,MATCH(AT220,PORTS!$H$626:$H$933,0),MATCH(AX$5,PORTS!$H$626:$Z$626,0))</f>
        <v>-174532.69505067158</v>
      </c>
      <c r="AX220" s="405">
        <f>(((VLOOKUP(AT220,curvecalc,4,0))*IF(AN220=0,0,AR220/AN220)-INDEX(ship_curves,MATCH(AT220,'SHIP CURVES'!$A$9:$A$316,0),MATCH(CONCATENATE(AX$4,AX$5,AX$6,AX$7),'SHIP CURVES'!$A$9:$Z$9,0))-INDEX(terminal_curves,MATCH(AT220,'TERMINAL CURVES'!$A$4:$A$313,0),MATCH(AX$5,'TERMINAL CURVES'!$A$4:$N$4,0))*IF(AN220=0,0,AP220/AN220))-(AV$8)*((AV$7-$N$5)-(INDEX(ship_curves,MATCH(AT220,'SHIP CURVES'!$A$9:$A$316,0),MATCH(CONCATENATE(AX$4,AX$5,AX$6,AX$7),'SHIP CURVES'!$A$9:$Z$9,0))-INDEX(ship_curves,MATCH(AT220,'SHIP CURVES'!$A$9:$A$316,0),MATCH(CONCATENATE(AX$4,AV$6,AX$6,AX$7),'SHIP CURVES'!$A$9:$Z$9,0)))-(INDEX(terminal_curves,MATCH(AT220,'TERMINAL CURVES'!$A$4:$A$313,0),MATCH(AX$5,'TERMINAL CURVES'!$A$4:$N$4,0))-INDEX(terminal_curves,MATCH(AT220,'TERMINAL CURVES'!$A$4:$A$313,0),MATCH(AV$6,'TERMINAL CURVES'!$A$4:$N$4,0)))*IF(AN220=0,0,AP220/AN220)))*-AN220</f>
        <v>-17740176.231320918</v>
      </c>
      <c r="AY220" s="343">
        <f t="shared" si="112"/>
        <v>-19759436.455918472</v>
      </c>
      <c r="AZ220" s="338">
        <f>(-AP220/((HLOOKUP(AX$5,port_specs,2,0)/(365.25))*(AT221-AT220)))*(INDEX(fixed_capacity_charge,MATCH(AT220,PORTS!$H$11:$H$317,0),MATCH(AX$5,PORTS!$H$11:$N$11,0))+INDEX(variable_om_charge,MATCH(AT220,PORTS!$H$318:$H$625,0),MATCH(AX$5,PORTS!$H$318:$N$318,0)))</f>
        <v>-1047459.9882903916</v>
      </c>
      <c r="BA220" s="232">
        <f t="shared" si="113"/>
        <v>-20806896.444208864</v>
      </c>
      <c r="BB220" s="241">
        <f t="shared" si="114"/>
        <v>104112.56664602831</v>
      </c>
      <c r="BC220" s="408"/>
      <c r="BD220" s="338">
        <f>+PORTS!I214+PORTS!I522</f>
        <v>1047459.9882903916</v>
      </c>
    </row>
    <row r="221" spans="1:56" x14ac:dyDescent="0.2">
      <c r="A221" s="186">
        <f t="shared" si="115"/>
        <v>42887</v>
      </c>
      <c r="B221" s="215">
        <f>+IF(AND($A221&gt;=$C$8,$A221&lt;=$C$9),1,0)*PORTS!$I$5/(365.25)*(A222-A221)</f>
        <v>5166876.756626742</v>
      </c>
      <c r="C221" s="351">
        <f t="shared" si="94"/>
        <v>0</v>
      </c>
      <c r="D221">
        <f t="shared" si="95"/>
        <v>2017</v>
      </c>
      <c r="E221" s="186">
        <f t="shared" si="116"/>
        <v>42887</v>
      </c>
      <c r="F221" s="215">
        <f t="shared" si="96"/>
        <v>0</v>
      </c>
      <c r="G221" s="191">
        <f t="shared" si="97"/>
        <v>0</v>
      </c>
      <c r="H221" s="218">
        <f t="shared" si="98"/>
        <v>0</v>
      </c>
      <c r="I221" s="118">
        <f t="shared" si="99"/>
        <v>0</v>
      </c>
      <c r="J221" s="215">
        <f t="shared" si="100"/>
        <v>0</v>
      </c>
      <c r="K221" s="202"/>
      <c r="L221" s="186">
        <f t="shared" si="117"/>
        <v>42887</v>
      </c>
      <c r="M221" s="400">
        <f>+J221*(VLOOKUP(L221,CURVECALC!$C$6:$J$312,4,0)+N$5)</f>
        <v>0</v>
      </c>
      <c r="N221" s="208">
        <f>-F221*INDEX(ship_curves,MATCH(L221,'SHIP CURVES'!$A$9:$A$316,0),MATCH(CONCATENATE(P$4,P$5,P$6,P$7),'SHIP CURVES'!$A$9:$AZ$9,0))</f>
        <v>0</v>
      </c>
      <c r="O221" s="209">
        <f>-H221*INDEX(port_processing_fee,MATCH(L221,PORTS!$H$626:$H$933,0),MATCH(P$5,PORTS!$H$626:$Z$626,0))</f>
        <v>0</v>
      </c>
      <c r="P221" s="405">
        <f>(((VLOOKUP(L221,curvecalc,4,0))*IF(F221=0,0,J221/F221)-INDEX(ship_curves,MATCH(L221,'SHIP CURVES'!$A$9:$A$316,0),MATCH(CONCATENATE(P$4,P$5,P$6,P$7),'SHIP CURVES'!$A$9:$Z$9,0))-INDEX(terminal_curves,MATCH(L221,'TERMINAL CURVES'!$A$4:$A$313,0),MATCH(P$5,'TERMINAL CURVES'!$A$4:$N$4,0))*IF(F221=0,0,H221/F221))-(N$8)*((N$7-$N$5)-(INDEX(ship_curves,MATCH(L221,'SHIP CURVES'!$A$9:$A$316,0),MATCH(CONCATENATE(P$4,P$5,P$6,P$7),'SHIP CURVES'!$A$9:$Z$9,0))-INDEX(ship_curves,MATCH(L221,'SHIP CURVES'!$A$9:$A$316,0),MATCH(CONCATENATE(P$4,N$6,P$6,P$7),'SHIP CURVES'!$A$9:$Z$9,0)))-(INDEX(terminal_curves,MATCH(L221,'TERMINAL CURVES'!$A$4:$A$313,0),MATCH(P$5,'TERMINAL CURVES'!$A$4:$N$4,0))-INDEX(terminal_curves,MATCH(L221,'TERMINAL CURVES'!$A$4:$A$313,0),MATCH(N$6,'TERMINAL CURVES'!$A$4:$N$4,0)))*IF(F221=0,0,H221/F221)))*-F221</f>
        <v>0</v>
      </c>
      <c r="Q221" s="403">
        <f t="shared" si="101"/>
        <v>0</v>
      </c>
      <c r="R221" s="338">
        <f>(-H221/((HLOOKUP(P$5,port_specs,2,0)/(365.25))*(L222-L221)))*(INDEX(fixed_capacity_charge,MATCH(L221,PORTS!$H$11:$H$317,0),MATCH(P$5,PORTS!$H$11:$N$11,0))+INDEX(variable_om_charge,MATCH(L221,PORTS!$H$318:$H$625,0),MATCH(P$5,PORTS!$H$318:$N$318,0)))</f>
        <v>0</v>
      </c>
      <c r="S221" s="232">
        <f t="shared" si="102"/>
        <v>0</v>
      </c>
      <c r="T221" s="241">
        <f t="shared" si="103"/>
        <v>0</v>
      </c>
      <c r="V221" s="186">
        <f t="shared" si="118"/>
        <v>42887</v>
      </c>
      <c r="W221" s="215">
        <f t="shared" si="104"/>
        <v>0</v>
      </c>
      <c r="X221" s="191">
        <f t="shared" si="105"/>
        <v>0</v>
      </c>
      <c r="Y221" s="218">
        <f>+IF(AND(X$8&lt;=V221,X$9&gt;=V221),+MIN($B221-SUMIF($H$17:X$17,Y$17,$H221:X221),((INDEX(ROUTE_PER_DAY_BY_SHIP,MATCH(CONCATENATE(X$4,X$5,X$7),ROUTE_PER_DAY_ROUTES,0),MATCH(X$6,ROUTE_PER_DAY_SHIPS,0))*(V222-V221))-(INDEX(ROUTE_PER_DAY_BY_SHIP,MATCH(CONCATENATE(X$4,X$5,X$7),ROUTE_PER_DAY_ROUTES,0),MATCH(X$6,ROUTE_PER_DAY_SHIPS,0))*(V222-V221))*HLOOKUP(X$6,SHIPS,7,0)*INDEX(LADEN_VOYAGE_DAYS,MATCH(CONCATENATE(X$4,X$5,X$7),LADEN_VOYAGE_ROUTES,0),MATCH(X$6,LADEN_VOYAGE_SHIPS,0)))),0)</f>
        <v>0</v>
      </c>
      <c r="Z221" s="118">
        <f t="shared" si="106"/>
        <v>0</v>
      </c>
      <c r="AA221" s="215">
        <f t="shared" si="92"/>
        <v>0</v>
      </c>
      <c r="AB221" s="202"/>
      <c r="AC221" s="186">
        <f t="shared" si="119"/>
        <v>42887</v>
      </c>
      <c r="AD221" s="232">
        <f>+AA221*(VLOOKUP(AC221,CURVECALC!$C$6:$J$312,4,0)+AE$5)</f>
        <v>0</v>
      </c>
      <c r="AE221" s="208">
        <f>-W221*INDEX(ship_curves,MATCH(AC221,'SHIP CURVES'!$A$9:$A$316,0),MATCH(CONCATENATE(AG$4,AG$5,AG$6,AG$7),'SHIP CURVES'!$A$9:$AZ$9,0))</f>
        <v>0</v>
      </c>
      <c r="AF221" s="209">
        <f>-Y221*INDEX(port_processing_fee,MATCH(AC221,PORTS!$H$626:$H$933,0),MATCH(AG$5,PORTS!$H$626:$Z$626,0))</f>
        <v>0</v>
      </c>
      <c r="AG221" s="405">
        <f>(((VLOOKUP(AC221,curvecalc,4,0))*IF(W221=0,0,AA221/W221)-INDEX(ship_curves,MATCH(AC221,'SHIP CURVES'!$A$9:$A$316,0),MATCH(CONCATENATE(AG$4,AG$5,AG$6,AG$7),'SHIP CURVES'!$A$9:$Z$9,0))-INDEX(terminal_curves,MATCH(AC221,'TERMINAL CURVES'!$A$4:$A$313,0),MATCH(AG$5,'TERMINAL CURVES'!$A$4:$N$4,0))*IF(W221=0,0,Y221/W221))-(AE$8)*((AE$7-$N$5)-(INDEX(ship_curves,MATCH(AC221,'SHIP CURVES'!$A$9:$A$316,0),MATCH(CONCATENATE(AG$4,AG$5,AG$6,AG$7),'SHIP CURVES'!$A$9:$Z$9,0))-INDEX(ship_curves,MATCH(AC221,'SHIP CURVES'!$A$9:$A$316,0),MATCH(CONCATENATE(AG$4,AE$6,AG$6,AG$7),'SHIP CURVES'!$A$9:$Z$9,0)))-(INDEX(terminal_curves,MATCH(AC221,'TERMINAL CURVES'!$A$4:$A$313,0),MATCH(AG$5,'TERMINAL CURVES'!$A$4:$N$4,0))-INDEX(terminal_curves,MATCH(AC221,'TERMINAL CURVES'!$A$4:$A$313,0),MATCH(AE$6,'TERMINAL CURVES'!$A$4:$N$4,0)))*IF(W221=0,0,Y221/W221)))*-W221</f>
        <v>0</v>
      </c>
      <c r="AH221" s="343">
        <f t="shared" si="107"/>
        <v>0</v>
      </c>
      <c r="AI221" s="338">
        <f>(-Y221/((HLOOKUP(AG$5,port_specs,2,0)/(365.25))*(AC222-AC221)))*(INDEX(fixed_capacity_charge,MATCH(AC221,PORTS!$H$11:$H$317,0),MATCH(AG$5,PORTS!$H$11:$N$11,0))+INDEX(variable_om_charge,MATCH(AC221,PORTS!$H$318:$H$625,0),MATCH(AG$5,PORTS!$H$318:$N$318,0)))</f>
        <v>0</v>
      </c>
      <c r="AJ221" s="232">
        <f t="shared" si="108"/>
        <v>0</v>
      </c>
      <c r="AK221" s="241">
        <f t="shared" si="109"/>
        <v>0</v>
      </c>
      <c r="AM221" s="186">
        <f t="shared" si="120"/>
        <v>42887</v>
      </c>
      <c r="AN221" s="215">
        <f t="shared" si="110"/>
        <v>5221704.655509592</v>
      </c>
      <c r="AO221" s="191">
        <f t="shared" si="111"/>
        <v>-54827.898882850073</v>
      </c>
      <c r="AP221" s="218">
        <f>+IF(AND(AO$8&lt;=AM221,AO$9&gt;=AM221),+MIN($B221-SUMIF($H$17:AO$17,AP$17,$H221:AO221),((INDEX(ROUTE_PER_DAY_BY_SHIP,MATCH(CONCATENATE(AO$4,AO$5,AO$7),ROUTE_PER_DAY_ROUTES,0),MATCH(AO$6,ROUTE_PER_DAY_SHIPS,0))*(AM222-AM221))-(INDEX(ROUTE_PER_DAY_BY_SHIP,MATCH(CONCATENATE(AO$4,AO$5,AO$7),ROUTE_PER_DAY_ROUTES,0),MATCH(AO$6,ROUTE_PER_DAY_SHIPS,0))*(AM222-AM221))*HLOOKUP(AO$6,SHIPS,7,0)*INDEX(LADEN_VOYAGE_DAYS,MATCH(CONCATENATE(AO$4,AO$5,AO$7),LADEN_VOYAGE_ROUTES,0),MATCH(AO$6,LADEN_VOYAGE_SHIPS,0)))),0)</f>
        <v>5166876.756626742</v>
      </c>
      <c r="AQ221" s="118">
        <f>-(AP221)*PORTS!$I$6</f>
        <v>-129171.91891566856</v>
      </c>
      <c r="AR221" s="215">
        <f t="shared" si="93"/>
        <v>5037704.8377110735</v>
      </c>
      <c r="AS221" s="202"/>
      <c r="AT221" s="186">
        <f t="shared" si="121"/>
        <v>42887</v>
      </c>
      <c r="AU221" s="232">
        <f>+AR221*(VLOOKUP(AT221,CURVECALC!$C$6:$J$312,4,0)+AV$5)</f>
        <v>20458119.345944669</v>
      </c>
      <c r="AV221" s="208">
        <f>-AN221*INDEX(ship_curves,MATCH(AT221,'SHIP CURVES'!$A$9:$A$316,0),MATCH(CONCATENATE(AX$4,AX$5,AX$6,AX$7),'SHIP CURVES'!$A$9:$AZ$9,0))</f>
        <v>-1785846.8023891815</v>
      </c>
      <c r="AW221" s="209">
        <f>-AP221*INDEX(port_processing_fee,MATCH(AT221,PORTS!$H$626:$H$933,0),MATCH(AX$5,PORTS!$H$626:$Z$626,0))</f>
        <v>-169078.54833033809</v>
      </c>
      <c r="AX221" s="405">
        <f>(((VLOOKUP(AT221,curvecalc,4,0))*IF(AN221=0,0,AR221/AN221)-INDEX(ship_curves,MATCH(AT221,'SHIP CURVES'!$A$9:$A$316,0),MATCH(CONCATENATE(AX$4,AX$5,AX$6,AX$7),'SHIP CURVES'!$A$9:$Z$9,0))-INDEX(terminal_curves,MATCH(AT221,'TERMINAL CURVES'!$A$4:$A$313,0),MATCH(AX$5,'TERMINAL CURVES'!$A$4:$N$4,0))*IF(AN221=0,0,AP221/AN221))-(AV$8)*((AV$7-$N$5)-(INDEX(ship_curves,MATCH(AT221,'SHIP CURVES'!$A$9:$A$316,0),MATCH(CONCATENATE(AX$4,AX$5,AX$6,AX$7),'SHIP CURVES'!$A$9:$Z$9,0))-INDEX(ship_curves,MATCH(AT221,'SHIP CURVES'!$A$9:$A$316,0),MATCH(CONCATENATE(AX$4,AV$6,AX$6,AX$7),'SHIP CURVES'!$A$9:$Z$9,0)))-(INDEX(terminal_curves,MATCH(AT221,'TERMINAL CURVES'!$A$4:$A$313,0),MATCH(AX$5,'TERMINAL CURVES'!$A$4:$N$4,0))-INDEX(terminal_curves,MATCH(AT221,'TERMINAL CURVES'!$A$4:$A$313,0),MATCH(AV$6,'TERMINAL CURVES'!$A$4:$N$4,0)))*IF(AN221=0,0,AP221/AN221)))*-AN221</f>
        <v>-17354394.208704095</v>
      </c>
      <c r="AY221" s="343">
        <f t="shared" si="112"/>
        <v>-19309319.559423614</v>
      </c>
      <c r="AZ221" s="338">
        <f>(-AP221/((HLOOKUP(AX$5,port_specs,2,0)/(365.25))*(AT222-AT221)))*(INDEX(fixed_capacity_charge,MATCH(AT221,PORTS!$H$11:$H$317,0),MATCH(AX$5,PORTS!$H$11:$N$11,0))+INDEX(variable_om_charge,MATCH(AT221,PORTS!$H$318:$H$625,0),MATCH(AX$5,PORTS!$H$318:$N$318,0)))</f>
        <v>-1048045.6897668312</v>
      </c>
      <c r="BA221" s="232">
        <f t="shared" si="113"/>
        <v>-20357365.249190446</v>
      </c>
      <c r="BB221" s="241">
        <f t="shared" si="114"/>
        <v>100754.09675422311</v>
      </c>
      <c r="BC221" s="408"/>
      <c r="BD221" s="338">
        <f>+PORTS!I215+PORTS!I523</f>
        <v>1048045.6897668312</v>
      </c>
    </row>
    <row r="222" spans="1:56" x14ac:dyDescent="0.2">
      <c r="A222" s="186">
        <f t="shared" si="115"/>
        <v>42917</v>
      </c>
      <c r="B222" s="215">
        <f>+IF(AND($A222&gt;=$C$8,$A222&lt;=$C$9),1,0)*PORTS!$I$5/(365.25)*(A223-A222)</f>
        <v>5339105.9818476336</v>
      </c>
      <c r="C222" s="351">
        <f t="shared" si="94"/>
        <v>0</v>
      </c>
      <c r="D222">
        <f t="shared" si="95"/>
        <v>2017</v>
      </c>
      <c r="E222" s="186">
        <f t="shared" si="116"/>
        <v>42917</v>
      </c>
      <c r="F222" s="215">
        <f t="shared" si="96"/>
        <v>0</v>
      </c>
      <c r="G222" s="191">
        <f t="shared" si="97"/>
        <v>0</v>
      </c>
      <c r="H222" s="218">
        <f t="shared" si="98"/>
        <v>0</v>
      </c>
      <c r="I222" s="118">
        <f t="shared" si="99"/>
        <v>0</v>
      </c>
      <c r="J222" s="215">
        <f t="shared" si="100"/>
        <v>0</v>
      </c>
      <c r="K222" s="202"/>
      <c r="L222" s="186">
        <f t="shared" si="117"/>
        <v>42917</v>
      </c>
      <c r="M222" s="400">
        <f>+J222*(VLOOKUP(L222,CURVECALC!$C$6:$J$312,4,0)+N$5)</f>
        <v>0</v>
      </c>
      <c r="N222" s="208">
        <f>-F222*INDEX(ship_curves,MATCH(L222,'SHIP CURVES'!$A$9:$A$316,0),MATCH(CONCATENATE(P$4,P$5,P$6,P$7),'SHIP CURVES'!$A$9:$AZ$9,0))</f>
        <v>0</v>
      </c>
      <c r="O222" s="209">
        <f>-H222*INDEX(port_processing_fee,MATCH(L222,PORTS!$H$626:$H$933,0),MATCH(P$5,PORTS!$H$626:$Z$626,0))</f>
        <v>0</v>
      </c>
      <c r="P222" s="405">
        <f>(((VLOOKUP(L222,curvecalc,4,0))*IF(F222=0,0,J222/F222)-INDEX(ship_curves,MATCH(L222,'SHIP CURVES'!$A$9:$A$316,0),MATCH(CONCATENATE(P$4,P$5,P$6,P$7),'SHIP CURVES'!$A$9:$Z$9,0))-INDEX(terminal_curves,MATCH(L222,'TERMINAL CURVES'!$A$4:$A$313,0),MATCH(P$5,'TERMINAL CURVES'!$A$4:$N$4,0))*IF(F222=0,0,H222/F222))-(N$8)*((N$7-$N$5)-(INDEX(ship_curves,MATCH(L222,'SHIP CURVES'!$A$9:$A$316,0),MATCH(CONCATENATE(P$4,P$5,P$6,P$7),'SHIP CURVES'!$A$9:$Z$9,0))-INDEX(ship_curves,MATCH(L222,'SHIP CURVES'!$A$9:$A$316,0),MATCH(CONCATENATE(P$4,N$6,P$6,P$7),'SHIP CURVES'!$A$9:$Z$9,0)))-(INDEX(terminal_curves,MATCH(L222,'TERMINAL CURVES'!$A$4:$A$313,0),MATCH(P$5,'TERMINAL CURVES'!$A$4:$N$4,0))-INDEX(terminal_curves,MATCH(L222,'TERMINAL CURVES'!$A$4:$A$313,0),MATCH(N$6,'TERMINAL CURVES'!$A$4:$N$4,0)))*IF(F222=0,0,H222/F222)))*-F222</f>
        <v>0</v>
      </c>
      <c r="Q222" s="403">
        <f t="shared" si="101"/>
        <v>0</v>
      </c>
      <c r="R222" s="338">
        <f>(-H222/((HLOOKUP(P$5,port_specs,2,0)/(365.25))*(L223-L222)))*(INDEX(fixed_capacity_charge,MATCH(L222,PORTS!$H$11:$H$317,0),MATCH(P$5,PORTS!$H$11:$N$11,0))+INDEX(variable_om_charge,MATCH(L222,PORTS!$H$318:$H$625,0),MATCH(P$5,PORTS!$H$318:$N$318,0)))</f>
        <v>0</v>
      </c>
      <c r="S222" s="232">
        <f t="shared" si="102"/>
        <v>0</v>
      </c>
      <c r="T222" s="241">
        <f t="shared" si="103"/>
        <v>0</v>
      </c>
      <c r="V222" s="186">
        <f t="shared" si="118"/>
        <v>42917</v>
      </c>
      <c r="W222" s="215">
        <f t="shared" si="104"/>
        <v>0</v>
      </c>
      <c r="X222" s="191">
        <f t="shared" si="105"/>
        <v>0</v>
      </c>
      <c r="Y222" s="218">
        <f>+IF(AND(X$8&lt;=V222,X$9&gt;=V222),+MIN($B222-SUMIF($H$17:X$17,Y$17,$H222:X222),((INDEX(ROUTE_PER_DAY_BY_SHIP,MATCH(CONCATENATE(X$4,X$5,X$7),ROUTE_PER_DAY_ROUTES,0),MATCH(X$6,ROUTE_PER_DAY_SHIPS,0))*(V223-V222))-(INDEX(ROUTE_PER_DAY_BY_SHIP,MATCH(CONCATENATE(X$4,X$5,X$7),ROUTE_PER_DAY_ROUTES,0),MATCH(X$6,ROUTE_PER_DAY_SHIPS,0))*(V223-V222))*HLOOKUP(X$6,SHIPS,7,0)*INDEX(LADEN_VOYAGE_DAYS,MATCH(CONCATENATE(X$4,X$5,X$7),LADEN_VOYAGE_ROUTES,0),MATCH(X$6,LADEN_VOYAGE_SHIPS,0)))),0)</f>
        <v>0</v>
      </c>
      <c r="Z222" s="118">
        <f t="shared" si="106"/>
        <v>0</v>
      </c>
      <c r="AA222" s="215">
        <f t="shared" si="92"/>
        <v>0</v>
      </c>
      <c r="AB222" s="202"/>
      <c r="AC222" s="186">
        <f t="shared" si="119"/>
        <v>42917</v>
      </c>
      <c r="AD222" s="232">
        <f>+AA222*(VLOOKUP(AC222,CURVECALC!$C$6:$J$312,4,0)+AE$5)</f>
        <v>0</v>
      </c>
      <c r="AE222" s="208">
        <f>-W222*INDEX(ship_curves,MATCH(AC222,'SHIP CURVES'!$A$9:$A$316,0),MATCH(CONCATENATE(AG$4,AG$5,AG$6,AG$7),'SHIP CURVES'!$A$9:$AZ$9,0))</f>
        <v>0</v>
      </c>
      <c r="AF222" s="209">
        <f>-Y222*INDEX(port_processing_fee,MATCH(AC222,PORTS!$H$626:$H$933,0),MATCH(AG$5,PORTS!$H$626:$Z$626,0))</f>
        <v>0</v>
      </c>
      <c r="AG222" s="405">
        <f>(((VLOOKUP(AC222,curvecalc,4,0))*IF(W222=0,0,AA222/W222)-INDEX(ship_curves,MATCH(AC222,'SHIP CURVES'!$A$9:$A$316,0),MATCH(CONCATENATE(AG$4,AG$5,AG$6,AG$7),'SHIP CURVES'!$A$9:$Z$9,0))-INDEX(terminal_curves,MATCH(AC222,'TERMINAL CURVES'!$A$4:$A$313,0),MATCH(AG$5,'TERMINAL CURVES'!$A$4:$N$4,0))*IF(W222=0,0,Y222/W222))-(AE$8)*((AE$7-$N$5)-(INDEX(ship_curves,MATCH(AC222,'SHIP CURVES'!$A$9:$A$316,0),MATCH(CONCATENATE(AG$4,AG$5,AG$6,AG$7),'SHIP CURVES'!$A$9:$Z$9,0))-INDEX(ship_curves,MATCH(AC222,'SHIP CURVES'!$A$9:$A$316,0),MATCH(CONCATENATE(AG$4,AE$6,AG$6,AG$7),'SHIP CURVES'!$A$9:$Z$9,0)))-(INDEX(terminal_curves,MATCH(AC222,'TERMINAL CURVES'!$A$4:$A$313,0),MATCH(AG$5,'TERMINAL CURVES'!$A$4:$N$4,0))-INDEX(terminal_curves,MATCH(AC222,'TERMINAL CURVES'!$A$4:$A$313,0),MATCH(AE$6,'TERMINAL CURVES'!$A$4:$N$4,0)))*IF(W222=0,0,Y222/W222)))*-W222</f>
        <v>0</v>
      </c>
      <c r="AH222" s="343">
        <f t="shared" si="107"/>
        <v>0</v>
      </c>
      <c r="AI222" s="338">
        <f>(-Y222/((HLOOKUP(AG$5,port_specs,2,0)/(365.25))*(AC223-AC222)))*(INDEX(fixed_capacity_charge,MATCH(AC222,PORTS!$H$11:$H$317,0),MATCH(AG$5,PORTS!$H$11:$N$11,0))+INDEX(variable_om_charge,MATCH(AC222,PORTS!$H$318:$H$625,0),MATCH(AG$5,PORTS!$H$318:$N$318,0)))</f>
        <v>0</v>
      </c>
      <c r="AJ222" s="232">
        <f t="shared" si="108"/>
        <v>0</v>
      </c>
      <c r="AK222" s="241">
        <f t="shared" si="109"/>
        <v>0</v>
      </c>
      <c r="AM222" s="186">
        <f t="shared" si="120"/>
        <v>42917</v>
      </c>
      <c r="AN222" s="215">
        <f t="shared" si="110"/>
        <v>5395761.4773599124</v>
      </c>
      <c r="AO222" s="191">
        <f t="shared" si="111"/>
        <v>-56655.495512278751</v>
      </c>
      <c r="AP222" s="218">
        <f>+IF(AND(AO$8&lt;=AM222,AO$9&gt;=AM222),+MIN($B222-SUMIF($H$17:AO$17,AP$17,$H222:AO222),((INDEX(ROUTE_PER_DAY_BY_SHIP,MATCH(CONCATENATE(AO$4,AO$5,AO$7),ROUTE_PER_DAY_ROUTES,0),MATCH(AO$6,ROUTE_PER_DAY_SHIPS,0))*(AM223-AM222))-(INDEX(ROUTE_PER_DAY_BY_SHIP,MATCH(CONCATENATE(AO$4,AO$5,AO$7),ROUTE_PER_DAY_ROUTES,0),MATCH(AO$6,ROUTE_PER_DAY_SHIPS,0))*(AM223-AM222))*HLOOKUP(AO$6,SHIPS,7,0)*INDEX(LADEN_VOYAGE_DAYS,MATCH(CONCATENATE(AO$4,AO$5,AO$7),LADEN_VOYAGE_ROUTES,0),MATCH(AO$6,LADEN_VOYAGE_SHIPS,0)))),0)</f>
        <v>5339105.9818476336</v>
      </c>
      <c r="AQ222" s="118">
        <f>-(AP222)*PORTS!$I$6</f>
        <v>-133477.64954619083</v>
      </c>
      <c r="AR222" s="215">
        <f t="shared" si="93"/>
        <v>5205628.3323014425</v>
      </c>
      <c r="AS222" s="202"/>
      <c r="AT222" s="186">
        <f t="shared" si="121"/>
        <v>42917</v>
      </c>
      <c r="AU222" s="232">
        <f>+AR222*(VLOOKUP(AT222,CURVECALC!$C$6:$J$312,4,0)+AV$5)</f>
        <v>21140056.657476157</v>
      </c>
      <c r="AV222" s="208">
        <f>-AN222*INDEX(ship_curves,MATCH(AT222,'SHIP CURVES'!$A$9:$A$316,0),MATCH(CONCATENATE(AX$4,AX$5,AX$6,AX$7),'SHIP CURVES'!$A$9:$AZ$9,0))</f>
        <v>-1846023.8776815697</v>
      </c>
      <c r="AW222" s="209">
        <f>-AP222*INDEX(port_processing_fee,MATCH(AT222,PORTS!$H$626:$H$933,0),MATCH(AX$5,PORTS!$H$626:$Z$626,0))</f>
        <v>-174896.49421212159</v>
      </c>
      <c r="AX222" s="405">
        <f>(((VLOOKUP(AT222,curvecalc,4,0))*IF(AN222=0,0,AR222/AN222)-INDEX(ship_curves,MATCH(AT222,'SHIP CURVES'!$A$9:$A$316,0),MATCH(CONCATENATE(AX$4,AX$5,AX$6,AX$7),'SHIP CURVES'!$A$9:$Z$9,0))-INDEX(terminal_curves,MATCH(AT222,'TERMINAL CURVES'!$A$4:$A$313,0),MATCH(AX$5,'TERMINAL CURVES'!$A$4:$N$4,0))*IF(AN222=0,0,AP222/AN222))-(AV$8)*((AV$7-$N$5)-(INDEX(ship_curves,MATCH(AT222,'SHIP CURVES'!$A$9:$A$316,0),MATCH(CONCATENATE(AX$4,AX$5,AX$6,AX$7),'SHIP CURVES'!$A$9:$Z$9,0))-INDEX(ship_curves,MATCH(AT222,'SHIP CURVES'!$A$9:$A$316,0),MATCH(CONCATENATE(AX$4,AV$6,AX$6,AX$7),'SHIP CURVES'!$A$9:$Z$9,0)))-(INDEX(terminal_curves,MATCH(AT222,'TERMINAL CURVES'!$A$4:$A$313,0),MATCH(AX$5,'TERMINAL CURVES'!$A$4:$N$4,0))-INDEX(terminal_curves,MATCH(AT222,'TERMINAL CURVES'!$A$4:$A$313,0),MATCH(AV$6,'TERMINAL CURVES'!$A$4:$N$4,0)))*IF(AN222=0,0,AP222/AN222)))*-AN222</f>
        <v>-17966391.717587464</v>
      </c>
      <c r="AY222" s="343">
        <f t="shared" si="112"/>
        <v>-19987312.089481156</v>
      </c>
      <c r="AZ222" s="338">
        <f>(-AP222/((HLOOKUP(AX$5,port_specs,2,0)/(365.25))*(AT223-AT222)))*(INDEX(fixed_capacity_charge,MATCH(AT222,PORTS!$H$11:$H$317,0),MATCH(AX$5,PORTS!$H$11:$N$11,0))+INDEX(variable_om_charge,MATCH(AT222,PORTS!$H$318:$H$625,0),MATCH(AX$5,PORTS!$H$318:$N$318,0)))</f>
        <v>-1048632.0013489753</v>
      </c>
      <c r="BA222" s="232">
        <f t="shared" si="113"/>
        <v>-21035944.090830132</v>
      </c>
      <c r="BB222" s="241">
        <f t="shared" si="114"/>
        <v>104112.56664602458</v>
      </c>
      <c r="BC222" s="408"/>
      <c r="BD222" s="338">
        <f>+PORTS!I216+PORTS!I524</f>
        <v>1048632.0013489753</v>
      </c>
    </row>
    <row r="223" spans="1:56" x14ac:dyDescent="0.2">
      <c r="A223" s="186">
        <f t="shared" si="115"/>
        <v>42948</v>
      </c>
      <c r="B223" s="215">
        <f>+IF(AND($A223&gt;=$C$8,$A223&lt;=$C$9),1,0)*PORTS!$I$5/(365.25)*(A224-A223)</f>
        <v>5339105.9818476336</v>
      </c>
      <c r="C223" s="351">
        <f t="shared" si="94"/>
        <v>0</v>
      </c>
      <c r="D223">
        <f t="shared" si="95"/>
        <v>2017</v>
      </c>
      <c r="E223" s="186">
        <f t="shared" si="116"/>
        <v>42948</v>
      </c>
      <c r="F223" s="215">
        <f t="shared" si="96"/>
        <v>0</v>
      </c>
      <c r="G223" s="191">
        <f t="shared" si="97"/>
        <v>0</v>
      </c>
      <c r="H223" s="218">
        <f t="shared" si="98"/>
        <v>0</v>
      </c>
      <c r="I223" s="118">
        <f t="shared" si="99"/>
        <v>0</v>
      </c>
      <c r="J223" s="215">
        <f t="shared" si="100"/>
        <v>0</v>
      </c>
      <c r="K223" s="202"/>
      <c r="L223" s="186">
        <f t="shared" si="117"/>
        <v>42948</v>
      </c>
      <c r="M223" s="400">
        <f>+J223*(VLOOKUP(L223,CURVECALC!$C$6:$J$312,4,0)+N$5)</f>
        <v>0</v>
      </c>
      <c r="N223" s="208">
        <f>-F223*INDEX(ship_curves,MATCH(L223,'SHIP CURVES'!$A$9:$A$316,0),MATCH(CONCATENATE(P$4,P$5,P$6,P$7),'SHIP CURVES'!$A$9:$AZ$9,0))</f>
        <v>0</v>
      </c>
      <c r="O223" s="209">
        <f>-H223*INDEX(port_processing_fee,MATCH(L223,PORTS!$H$626:$H$933,0),MATCH(P$5,PORTS!$H$626:$Z$626,0))</f>
        <v>0</v>
      </c>
      <c r="P223" s="405">
        <f>(((VLOOKUP(L223,curvecalc,4,0))*IF(F223=0,0,J223/F223)-INDEX(ship_curves,MATCH(L223,'SHIP CURVES'!$A$9:$A$316,0),MATCH(CONCATENATE(P$4,P$5,P$6,P$7),'SHIP CURVES'!$A$9:$Z$9,0))-INDEX(terminal_curves,MATCH(L223,'TERMINAL CURVES'!$A$4:$A$313,0),MATCH(P$5,'TERMINAL CURVES'!$A$4:$N$4,0))*IF(F223=0,0,H223/F223))-(N$8)*((N$7-$N$5)-(INDEX(ship_curves,MATCH(L223,'SHIP CURVES'!$A$9:$A$316,0),MATCH(CONCATENATE(P$4,P$5,P$6,P$7),'SHIP CURVES'!$A$9:$Z$9,0))-INDEX(ship_curves,MATCH(L223,'SHIP CURVES'!$A$9:$A$316,0),MATCH(CONCATENATE(P$4,N$6,P$6,P$7),'SHIP CURVES'!$A$9:$Z$9,0)))-(INDEX(terminal_curves,MATCH(L223,'TERMINAL CURVES'!$A$4:$A$313,0),MATCH(P$5,'TERMINAL CURVES'!$A$4:$N$4,0))-INDEX(terminal_curves,MATCH(L223,'TERMINAL CURVES'!$A$4:$A$313,0),MATCH(N$6,'TERMINAL CURVES'!$A$4:$N$4,0)))*IF(F223=0,0,H223/F223)))*-F223</f>
        <v>0</v>
      </c>
      <c r="Q223" s="403">
        <f t="shared" si="101"/>
        <v>0</v>
      </c>
      <c r="R223" s="338">
        <f>(-H223/((HLOOKUP(P$5,port_specs,2,0)/(365.25))*(L224-L223)))*(INDEX(fixed_capacity_charge,MATCH(L223,PORTS!$H$11:$H$317,0),MATCH(P$5,PORTS!$H$11:$N$11,0))+INDEX(variable_om_charge,MATCH(L223,PORTS!$H$318:$H$625,0),MATCH(P$5,PORTS!$H$318:$N$318,0)))</f>
        <v>0</v>
      </c>
      <c r="S223" s="232">
        <f t="shared" si="102"/>
        <v>0</v>
      </c>
      <c r="T223" s="241">
        <f t="shared" si="103"/>
        <v>0</v>
      </c>
      <c r="V223" s="186">
        <f t="shared" si="118"/>
        <v>42948</v>
      </c>
      <c r="W223" s="215">
        <f t="shared" si="104"/>
        <v>0</v>
      </c>
      <c r="X223" s="191">
        <f t="shared" si="105"/>
        <v>0</v>
      </c>
      <c r="Y223" s="218">
        <f>+IF(AND(X$8&lt;=V223,X$9&gt;=V223),+MIN($B223-SUMIF($H$17:X$17,Y$17,$H223:X223),((INDEX(ROUTE_PER_DAY_BY_SHIP,MATCH(CONCATENATE(X$4,X$5,X$7),ROUTE_PER_DAY_ROUTES,0),MATCH(X$6,ROUTE_PER_DAY_SHIPS,0))*(V224-V223))-(INDEX(ROUTE_PER_DAY_BY_SHIP,MATCH(CONCATENATE(X$4,X$5,X$7),ROUTE_PER_DAY_ROUTES,0),MATCH(X$6,ROUTE_PER_DAY_SHIPS,0))*(V224-V223))*HLOOKUP(X$6,SHIPS,7,0)*INDEX(LADEN_VOYAGE_DAYS,MATCH(CONCATENATE(X$4,X$5,X$7),LADEN_VOYAGE_ROUTES,0),MATCH(X$6,LADEN_VOYAGE_SHIPS,0)))),0)</f>
        <v>0</v>
      </c>
      <c r="Z223" s="118">
        <f t="shared" si="106"/>
        <v>0</v>
      </c>
      <c r="AA223" s="215">
        <f t="shared" si="92"/>
        <v>0</v>
      </c>
      <c r="AB223" s="202"/>
      <c r="AC223" s="186">
        <f t="shared" si="119"/>
        <v>42948</v>
      </c>
      <c r="AD223" s="232">
        <f>+AA223*(VLOOKUP(AC223,CURVECALC!$C$6:$J$312,4,0)+AE$5)</f>
        <v>0</v>
      </c>
      <c r="AE223" s="208">
        <f>-W223*INDEX(ship_curves,MATCH(AC223,'SHIP CURVES'!$A$9:$A$316,0),MATCH(CONCATENATE(AG$4,AG$5,AG$6,AG$7),'SHIP CURVES'!$A$9:$AZ$9,0))</f>
        <v>0</v>
      </c>
      <c r="AF223" s="209">
        <f>-Y223*INDEX(port_processing_fee,MATCH(AC223,PORTS!$H$626:$H$933,0),MATCH(AG$5,PORTS!$H$626:$Z$626,0))</f>
        <v>0</v>
      </c>
      <c r="AG223" s="405">
        <f>(((VLOOKUP(AC223,curvecalc,4,0))*IF(W223=0,0,AA223/W223)-INDEX(ship_curves,MATCH(AC223,'SHIP CURVES'!$A$9:$A$316,0),MATCH(CONCATENATE(AG$4,AG$5,AG$6,AG$7),'SHIP CURVES'!$A$9:$Z$9,0))-INDEX(terminal_curves,MATCH(AC223,'TERMINAL CURVES'!$A$4:$A$313,0),MATCH(AG$5,'TERMINAL CURVES'!$A$4:$N$4,0))*IF(W223=0,0,Y223/W223))-(AE$8)*((AE$7-$N$5)-(INDEX(ship_curves,MATCH(AC223,'SHIP CURVES'!$A$9:$A$316,0),MATCH(CONCATENATE(AG$4,AG$5,AG$6,AG$7),'SHIP CURVES'!$A$9:$Z$9,0))-INDEX(ship_curves,MATCH(AC223,'SHIP CURVES'!$A$9:$A$316,0),MATCH(CONCATENATE(AG$4,AE$6,AG$6,AG$7),'SHIP CURVES'!$A$9:$Z$9,0)))-(INDEX(terminal_curves,MATCH(AC223,'TERMINAL CURVES'!$A$4:$A$313,0),MATCH(AG$5,'TERMINAL CURVES'!$A$4:$N$4,0))-INDEX(terminal_curves,MATCH(AC223,'TERMINAL CURVES'!$A$4:$A$313,0),MATCH(AE$6,'TERMINAL CURVES'!$A$4:$N$4,0)))*IF(W223=0,0,Y223/W223)))*-W223</f>
        <v>0</v>
      </c>
      <c r="AH223" s="343">
        <f t="shared" si="107"/>
        <v>0</v>
      </c>
      <c r="AI223" s="338">
        <f>(-Y223/((HLOOKUP(AG$5,port_specs,2,0)/(365.25))*(AC224-AC223)))*(INDEX(fixed_capacity_charge,MATCH(AC223,PORTS!$H$11:$H$317,0),MATCH(AG$5,PORTS!$H$11:$N$11,0))+INDEX(variable_om_charge,MATCH(AC223,PORTS!$H$318:$H$625,0),MATCH(AG$5,PORTS!$H$318:$N$318,0)))</f>
        <v>0</v>
      </c>
      <c r="AJ223" s="232">
        <f t="shared" si="108"/>
        <v>0</v>
      </c>
      <c r="AK223" s="241">
        <f t="shared" si="109"/>
        <v>0</v>
      </c>
      <c r="AM223" s="186">
        <f t="shared" si="120"/>
        <v>42948</v>
      </c>
      <c r="AN223" s="215">
        <f t="shared" si="110"/>
        <v>5395761.4773599124</v>
      </c>
      <c r="AO223" s="191">
        <f t="shared" si="111"/>
        <v>-56655.495512278751</v>
      </c>
      <c r="AP223" s="218">
        <f>+IF(AND(AO$8&lt;=AM223,AO$9&gt;=AM223),+MIN($B223-SUMIF($H$17:AO$17,AP$17,$H223:AO223),((INDEX(ROUTE_PER_DAY_BY_SHIP,MATCH(CONCATENATE(AO$4,AO$5,AO$7),ROUTE_PER_DAY_ROUTES,0),MATCH(AO$6,ROUTE_PER_DAY_SHIPS,0))*(AM224-AM223))-(INDEX(ROUTE_PER_DAY_BY_SHIP,MATCH(CONCATENATE(AO$4,AO$5,AO$7),ROUTE_PER_DAY_ROUTES,0),MATCH(AO$6,ROUTE_PER_DAY_SHIPS,0))*(AM224-AM223))*HLOOKUP(AO$6,SHIPS,7,0)*INDEX(LADEN_VOYAGE_DAYS,MATCH(CONCATENATE(AO$4,AO$5,AO$7),LADEN_VOYAGE_ROUTES,0),MATCH(AO$6,LADEN_VOYAGE_SHIPS,0)))),0)</f>
        <v>5339105.9818476336</v>
      </c>
      <c r="AQ223" s="118">
        <f>-(AP223)*PORTS!$I$6</f>
        <v>-133477.64954619083</v>
      </c>
      <c r="AR223" s="215">
        <f t="shared" si="93"/>
        <v>5205628.3323014425</v>
      </c>
      <c r="AS223" s="202"/>
      <c r="AT223" s="186">
        <f t="shared" si="121"/>
        <v>42948</v>
      </c>
      <c r="AU223" s="232">
        <f>+AR223*(VLOOKUP(AT223,CURVECALC!$C$6:$J$312,4,0)+AV$5)</f>
        <v>21452394.357414242</v>
      </c>
      <c r="AV223" s="208">
        <f>-AN223*INDEX(ship_curves,MATCH(AT223,'SHIP CURVES'!$A$9:$A$316,0),MATCH(CONCATENATE(AX$4,AX$5,AX$6,AX$7),'SHIP CURVES'!$A$9:$AZ$9,0))</f>
        <v>-1846674.0779954558</v>
      </c>
      <c r="AW223" s="209">
        <f>-AP223*INDEX(port_processing_fee,MATCH(AT223,PORTS!$H$626:$H$933,0),MATCH(AX$5,PORTS!$H$626:$Z$626,0))</f>
        <v>-175078.6780602592</v>
      </c>
      <c r="AX223" s="405">
        <f>(((VLOOKUP(AT223,curvecalc,4,0))*IF(AN223=0,0,AR223/AN223)-INDEX(ship_curves,MATCH(AT223,'SHIP CURVES'!$A$9:$A$316,0),MATCH(CONCATENATE(AX$4,AX$5,AX$6,AX$7),'SHIP CURVES'!$A$9:$Z$9,0))-INDEX(terminal_curves,MATCH(AT223,'TERMINAL CURVES'!$A$4:$A$313,0),MATCH(AX$5,'TERMINAL CURVES'!$A$4:$N$4,0))*IF(AN223=0,0,AP223/AN223))-(AV$8)*((AV$7-$N$5)-(INDEX(ship_curves,MATCH(AT223,'SHIP CURVES'!$A$9:$A$316,0),MATCH(CONCATENATE(AX$4,AX$5,AX$6,AX$7),'SHIP CURVES'!$A$9:$Z$9,0))-INDEX(ship_curves,MATCH(AT223,'SHIP CURVES'!$A$9:$A$316,0),MATCH(CONCATENATE(AX$4,AV$6,AX$6,AX$7),'SHIP CURVES'!$A$9:$Z$9,0)))-(INDEX(terminal_curves,MATCH(AT223,'TERMINAL CURVES'!$A$4:$A$313,0),MATCH(AX$5,'TERMINAL CURVES'!$A$4:$N$4,0))-INDEX(terminal_curves,MATCH(AT223,'TERMINAL CURVES'!$A$4:$A$313,0),MATCH(AV$6,'TERMINAL CURVES'!$A$4:$N$4,0)))*IF(AN223=0,0,AP223/AN223)))*-AN223</f>
        <v>-18277310.111040149</v>
      </c>
      <c r="AY223" s="343">
        <f t="shared" si="112"/>
        <v>-20299062.867095865</v>
      </c>
      <c r="AZ223" s="338">
        <f>(-AP223/((HLOOKUP(AX$5,port_specs,2,0)/(365.25))*(AT224-AT223)))*(INDEX(fixed_capacity_charge,MATCH(AT223,PORTS!$H$11:$H$317,0),MATCH(AX$5,PORTS!$H$11:$N$11,0))+INDEX(variable_om_charge,MATCH(AT223,PORTS!$H$318:$H$625,0),MATCH(AX$5,PORTS!$H$318:$N$318,0)))</f>
        <v>-1049218.9236723511</v>
      </c>
      <c r="BA223" s="232">
        <f t="shared" si="113"/>
        <v>-21348281.790768217</v>
      </c>
      <c r="BB223" s="241">
        <f t="shared" si="114"/>
        <v>104112.56664602458</v>
      </c>
      <c r="BC223" s="408"/>
      <c r="BD223" s="338">
        <f>+PORTS!I217+PORTS!I525</f>
        <v>1049218.9236723511</v>
      </c>
    </row>
    <row r="224" spans="1:56" x14ac:dyDescent="0.2">
      <c r="A224" s="186">
        <f t="shared" si="115"/>
        <v>42979</v>
      </c>
      <c r="B224" s="215">
        <f>+IF(AND($A224&gt;=$C$8,$A224&lt;=$C$9),1,0)*PORTS!$I$5/(365.25)*(A225-A224)</f>
        <v>5166876.756626742</v>
      </c>
      <c r="C224" s="351">
        <f t="shared" si="94"/>
        <v>0</v>
      </c>
      <c r="D224">
        <f t="shared" si="95"/>
        <v>2017</v>
      </c>
      <c r="E224" s="186">
        <f t="shared" si="116"/>
        <v>42979</v>
      </c>
      <c r="F224" s="215">
        <f t="shared" si="96"/>
        <v>0</v>
      </c>
      <c r="G224" s="191">
        <f t="shared" si="97"/>
        <v>0</v>
      </c>
      <c r="H224" s="218">
        <f t="shared" si="98"/>
        <v>0</v>
      </c>
      <c r="I224" s="118">
        <f t="shared" si="99"/>
        <v>0</v>
      </c>
      <c r="J224" s="215">
        <f t="shared" si="100"/>
        <v>0</v>
      </c>
      <c r="K224" s="202"/>
      <c r="L224" s="186">
        <f t="shared" si="117"/>
        <v>42979</v>
      </c>
      <c r="M224" s="400">
        <f>+J224*(VLOOKUP(L224,CURVECALC!$C$6:$J$312,4,0)+N$5)</f>
        <v>0</v>
      </c>
      <c r="N224" s="208">
        <f>-F224*INDEX(ship_curves,MATCH(L224,'SHIP CURVES'!$A$9:$A$316,0),MATCH(CONCATENATE(P$4,P$5,P$6,P$7),'SHIP CURVES'!$A$9:$AZ$9,0))</f>
        <v>0</v>
      </c>
      <c r="O224" s="209">
        <f>-H224*INDEX(port_processing_fee,MATCH(L224,PORTS!$H$626:$H$933,0),MATCH(P$5,PORTS!$H$626:$Z$626,0))</f>
        <v>0</v>
      </c>
      <c r="P224" s="405">
        <f>(((VLOOKUP(L224,curvecalc,4,0))*IF(F224=0,0,J224/F224)-INDEX(ship_curves,MATCH(L224,'SHIP CURVES'!$A$9:$A$316,0),MATCH(CONCATENATE(P$4,P$5,P$6,P$7),'SHIP CURVES'!$A$9:$Z$9,0))-INDEX(terminal_curves,MATCH(L224,'TERMINAL CURVES'!$A$4:$A$313,0),MATCH(P$5,'TERMINAL CURVES'!$A$4:$N$4,0))*IF(F224=0,0,H224/F224))-(N$8)*((N$7-$N$5)-(INDEX(ship_curves,MATCH(L224,'SHIP CURVES'!$A$9:$A$316,0),MATCH(CONCATENATE(P$4,P$5,P$6,P$7),'SHIP CURVES'!$A$9:$Z$9,0))-INDEX(ship_curves,MATCH(L224,'SHIP CURVES'!$A$9:$A$316,0),MATCH(CONCATENATE(P$4,N$6,P$6,P$7),'SHIP CURVES'!$A$9:$Z$9,0)))-(INDEX(terminal_curves,MATCH(L224,'TERMINAL CURVES'!$A$4:$A$313,0),MATCH(P$5,'TERMINAL CURVES'!$A$4:$N$4,0))-INDEX(terminal_curves,MATCH(L224,'TERMINAL CURVES'!$A$4:$A$313,0),MATCH(N$6,'TERMINAL CURVES'!$A$4:$N$4,0)))*IF(F224=0,0,H224/F224)))*-F224</f>
        <v>0</v>
      </c>
      <c r="Q224" s="403">
        <f t="shared" si="101"/>
        <v>0</v>
      </c>
      <c r="R224" s="338">
        <f>(-H224/((HLOOKUP(P$5,port_specs,2,0)/(365.25))*(L225-L224)))*(INDEX(fixed_capacity_charge,MATCH(L224,PORTS!$H$11:$H$317,0),MATCH(P$5,PORTS!$H$11:$N$11,0))+INDEX(variable_om_charge,MATCH(L224,PORTS!$H$318:$H$625,0),MATCH(P$5,PORTS!$H$318:$N$318,0)))</f>
        <v>0</v>
      </c>
      <c r="S224" s="232">
        <f t="shared" si="102"/>
        <v>0</v>
      </c>
      <c r="T224" s="241">
        <f t="shared" si="103"/>
        <v>0</v>
      </c>
      <c r="V224" s="186">
        <f t="shared" si="118"/>
        <v>42979</v>
      </c>
      <c r="W224" s="215">
        <f t="shared" si="104"/>
        <v>0</v>
      </c>
      <c r="X224" s="191">
        <f t="shared" si="105"/>
        <v>0</v>
      </c>
      <c r="Y224" s="218">
        <f>+IF(AND(X$8&lt;=V224,X$9&gt;=V224),+MIN($B224-SUMIF($H$17:X$17,Y$17,$H224:X224),((INDEX(ROUTE_PER_DAY_BY_SHIP,MATCH(CONCATENATE(X$4,X$5,X$7),ROUTE_PER_DAY_ROUTES,0),MATCH(X$6,ROUTE_PER_DAY_SHIPS,0))*(V225-V224))-(INDEX(ROUTE_PER_DAY_BY_SHIP,MATCH(CONCATENATE(X$4,X$5,X$7),ROUTE_PER_DAY_ROUTES,0),MATCH(X$6,ROUTE_PER_DAY_SHIPS,0))*(V225-V224))*HLOOKUP(X$6,SHIPS,7,0)*INDEX(LADEN_VOYAGE_DAYS,MATCH(CONCATENATE(X$4,X$5,X$7),LADEN_VOYAGE_ROUTES,0),MATCH(X$6,LADEN_VOYAGE_SHIPS,0)))),0)</f>
        <v>0</v>
      </c>
      <c r="Z224" s="118">
        <f t="shared" si="106"/>
        <v>0</v>
      </c>
      <c r="AA224" s="215">
        <f t="shared" si="92"/>
        <v>0</v>
      </c>
      <c r="AB224" s="202"/>
      <c r="AC224" s="186">
        <f t="shared" si="119"/>
        <v>42979</v>
      </c>
      <c r="AD224" s="232">
        <f>+AA224*(VLOOKUP(AC224,CURVECALC!$C$6:$J$312,4,0)+AE$5)</f>
        <v>0</v>
      </c>
      <c r="AE224" s="208">
        <f>-W224*INDEX(ship_curves,MATCH(AC224,'SHIP CURVES'!$A$9:$A$316,0),MATCH(CONCATENATE(AG$4,AG$5,AG$6,AG$7),'SHIP CURVES'!$A$9:$AZ$9,0))</f>
        <v>0</v>
      </c>
      <c r="AF224" s="209">
        <f>-Y224*INDEX(port_processing_fee,MATCH(AC224,PORTS!$H$626:$H$933,0),MATCH(AG$5,PORTS!$H$626:$Z$626,0))</f>
        <v>0</v>
      </c>
      <c r="AG224" s="405">
        <f>(((VLOOKUP(AC224,curvecalc,4,0))*IF(W224=0,0,AA224/W224)-INDEX(ship_curves,MATCH(AC224,'SHIP CURVES'!$A$9:$A$316,0),MATCH(CONCATENATE(AG$4,AG$5,AG$6,AG$7),'SHIP CURVES'!$A$9:$Z$9,0))-INDEX(terminal_curves,MATCH(AC224,'TERMINAL CURVES'!$A$4:$A$313,0),MATCH(AG$5,'TERMINAL CURVES'!$A$4:$N$4,0))*IF(W224=0,0,Y224/W224))-(AE$8)*((AE$7-$N$5)-(INDEX(ship_curves,MATCH(AC224,'SHIP CURVES'!$A$9:$A$316,0),MATCH(CONCATENATE(AG$4,AG$5,AG$6,AG$7),'SHIP CURVES'!$A$9:$Z$9,0))-INDEX(ship_curves,MATCH(AC224,'SHIP CURVES'!$A$9:$A$316,0),MATCH(CONCATENATE(AG$4,AE$6,AG$6,AG$7),'SHIP CURVES'!$A$9:$Z$9,0)))-(INDEX(terminal_curves,MATCH(AC224,'TERMINAL CURVES'!$A$4:$A$313,0),MATCH(AG$5,'TERMINAL CURVES'!$A$4:$N$4,0))-INDEX(terminal_curves,MATCH(AC224,'TERMINAL CURVES'!$A$4:$A$313,0),MATCH(AE$6,'TERMINAL CURVES'!$A$4:$N$4,0)))*IF(W224=0,0,Y224/W224)))*-W224</f>
        <v>0</v>
      </c>
      <c r="AH224" s="343">
        <f t="shared" si="107"/>
        <v>0</v>
      </c>
      <c r="AI224" s="338">
        <f>(-Y224/((HLOOKUP(AG$5,port_specs,2,0)/(365.25))*(AC225-AC224)))*(INDEX(fixed_capacity_charge,MATCH(AC224,PORTS!$H$11:$H$317,0),MATCH(AG$5,PORTS!$H$11:$N$11,0))+INDEX(variable_om_charge,MATCH(AC224,PORTS!$H$318:$H$625,0),MATCH(AG$5,PORTS!$H$318:$N$318,0)))</f>
        <v>0</v>
      </c>
      <c r="AJ224" s="232">
        <f t="shared" si="108"/>
        <v>0</v>
      </c>
      <c r="AK224" s="241">
        <f t="shared" si="109"/>
        <v>0</v>
      </c>
      <c r="AM224" s="186">
        <f t="shared" si="120"/>
        <v>42979</v>
      </c>
      <c r="AN224" s="215">
        <f t="shared" si="110"/>
        <v>5221704.655509592</v>
      </c>
      <c r="AO224" s="191">
        <f t="shared" si="111"/>
        <v>-54827.898882850073</v>
      </c>
      <c r="AP224" s="218">
        <f>+IF(AND(AO$8&lt;=AM224,AO$9&gt;=AM224),+MIN($B224-SUMIF($H$17:AO$17,AP$17,$H224:AO224),((INDEX(ROUTE_PER_DAY_BY_SHIP,MATCH(CONCATENATE(AO$4,AO$5,AO$7),ROUTE_PER_DAY_ROUTES,0),MATCH(AO$6,ROUTE_PER_DAY_SHIPS,0))*(AM225-AM224))-(INDEX(ROUTE_PER_DAY_BY_SHIP,MATCH(CONCATENATE(AO$4,AO$5,AO$7),ROUTE_PER_DAY_ROUTES,0),MATCH(AO$6,ROUTE_PER_DAY_SHIPS,0))*(AM225-AM224))*HLOOKUP(AO$6,SHIPS,7,0)*INDEX(LADEN_VOYAGE_DAYS,MATCH(CONCATENATE(AO$4,AO$5,AO$7),LADEN_VOYAGE_ROUTES,0),MATCH(AO$6,LADEN_VOYAGE_SHIPS,0)))),0)</f>
        <v>5166876.756626742</v>
      </c>
      <c r="AQ224" s="118">
        <f>-(AP224)*PORTS!$I$6</f>
        <v>-129171.91891566856</v>
      </c>
      <c r="AR224" s="215">
        <f t="shared" si="93"/>
        <v>5037704.8377110735</v>
      </c>
      <c r="AS224" s="202"/>
      <c r="AT224" s="186">
        <f t="shared" si="121"/>
        <v>42979</v>
      </c>
      <c r="AU224" s="232">
        <f>+AR224*(VLOOKUP(AT224,CURVECALC!$C$6:$J$312,4,0)+AV$5)</f>
        <v>20639476.720102265</v>
      </c>
      <c r="AV224" s="208">
        <f>-AN224*INDEX(ship_curves,MATCH(AT224,'SHIP CURVES'!$A$9:$A$316,0),MATCH(CONCATENATE(AX$4,AX$5,AX$6,AX$7),'SHIP CURVES'!$A$9:$AZ$9,0))</f>
        <v>-1787734.4834451571</v>
      </c>
      <c r="AW224" s="209">
        <f>-AP224*INDEX(port_processing_fee,MATCH(AT224,PORTS!$H$626:$H$933,0),MATCH(AX$5,PORTS!$H$626:$Z$626,0))</f>
        <v>-169607.46937087609</v>
      </c>
      <c r="AX224" s="405">
        <f>(((VLOOKUP(AT224,curvecalc,4,0))*IF(AN224=0,0,AR224/AN224)-INDEX(ship_curves,MATCH(AT224,'SHIP CURVES'!$A$9:$A$316,0),MATCH(CONCATENATE(AX$4,AX$5,AX$6,AX$7),'SHIP CURVES'!$A$9:$Z$9,0))-INDEX(terminal_curves,MATCH(AT224,'TERMINAL CURVES'!$A$4:$A$313,0),MATCH(AX$5,'TERMINAL CURVES'!$A$4:$N$4,0))*IF(AN224=0,0,AP224/AN224))-(AV$8)*((AV$7-$N$5)-(INDEX(ship_curves,MATCH(AT224,'SHIP CURVES'!$A$9:$A$316,0),MATCH(CONCATENATE(AX$4,AX$5,AX$6,AX$7),'SHIP CURVES'!$A$9:$Z$9,0))-INDEX(ship_curves,MATCH(AT224,'SHIP CURVES'!$A$9:$A$316,0),MATCH(CONCATENATE(AX$4,AV$6,AX$6,AX$7),'SHIP CURVES'!$A$9:$Z$9,0)))-(INDEX(terminal_curves,MATCH(AT224,'TERMINAL CURVES'!$A$4:$A$313,0),MATCH(AX$5,'TERMINAL CURVES'!$A$4:$N$4,0))-INDEX(terminal_curves,MATCH(AT224,'TERMINAL CURVES'!$A$4:$A$313,0),MATCH(AV$6,'TERMINAL CURVES'!$A$4:$N$4,0)))*IF(AN224=0,0,AP224/AN224)))*-AN224</f>
        <v>-17531574.213158865</v>
      </c>
      <c r="AY224" s="343">
        <f t="shared" si="112"/>
        <v>-19488916.165974896</v>
      </c>
      <c r="AZ224" s="338">
        <f>(-AP224/((HLOOKUP(AX$5,port_specs,2,0)/(365.25))*(AT225-AT224)))*(INDEX(fixed_capacity_charge,MATCH(AT224,PORTS!$H$11:$H$317,0),MATCH(AX$5,PORTS!$H$11:$N$11,0))+INDEX(variable_om_charge,MATCH(AT224,PORTS!$H$318:$H$625,0),MATCH(AX$5,PORTS!$H$318:$N$318,0)))</f>
        <v>-1049806.4573731469</v>
      </c>
      <c r="BA224" s="232">
        <f t="shared" si="113"/>
        <v>-20538722.623348042</v>
      </c>
      <c r="BB224" s="241">
        <f t="shared" si="114"/>
        <v>100754.09675422311</v>
      </c>
      <c r="BC224" s="408"/>
      <c r="BD224" s="338">
        <f>+PORTS!I218+PORTS!I526</f>
        <v>1049806.4573731469</v>
      </c>
    </row>
    <row r="225" spans="1:56" x14ac:dyDescent="0.2">
      <c r="A225" s="186">
        <f t="shared" si="115"/>
        <v>43009</v>
      </c>
      <c r="B225" s="215">
        <f>+IF(AND($A225&gt;=$C$8,$A225&lt;=$C$9),1,0)*PORTS!$I$5/(365.25)*(A226-A225)</f>
        <v>5339105.9818476336</v>
      </c>
      <c r="C225" s="351">
        <f t="shared" si="94"/>
        <v>0</v>
      </c>
      <c r="D225">
        <f t="shared" si="95"/>
        <v>2017</v>
      </c>
      <c r="E225" s="186">
        <f t="shared" si="116"/>
        <v>43009</v>
      </c>
      <c r="F225" s="215">
        <f t="shared" si="96"/>
        <v>0</v>
      </c>
      <c r="G225" s="191">
        <f t="shared" si="97"/>
        <v>0</v>
      </c>
      <c r="H225" s="218">
        <f t="shared" si="98"/>
        <v>0</v>
      </c>
      <c r="I225" s="118">
        <f t="shared" si="99"/>
        <v>0</v>
      </c>
      <c r="J225" s="215">
        <f t="shared" si="100"/>
        <v>0</v>
      </c>
      <c r="K225" s="202"/>
      <c r="L225" s="186">
        <f t="shared" si="117"/>
        <v>43009</v>
      </c>
      <c r="M225" s="400">
        <f>+J225*(VLOOKUP(L225,CURVECALC!$C$6:$J$312,4,0)+N$5)</f>
        <v>0</v>
      </c>
      <c r="N225" s="208">
        <f>-F225*INDEX(ship_curves,MATCH(L225,'SHIP CURVES'!$A$9:$A$316,0),MATCH(CONCATENATE(P$4,P$5,P$6,P$7),'SHIP CURVES'!$A$9:$AZ$9,0))</f>
        <v>0</v>
      </c>
      <c r="O225" s="209">
        <f>-H225*INDEX(port_processing_fee,MATCH(L225,PORTS!$H$626:$H$933,0),MATCH(P$5,PORTS!$H$626:$Z$626,0))</f>
        <v>0</v>
      </c>
      <c r="P225" s="405">
        <f>(((VLOOKUP(L225,curvecalc,4,0))*IF(F225=0,0,J225/F225)-INDEX(ship_curves,MATCH(L225,'SHIP CURVES'!$A$9:$A$316,0),MATCH(CONCATENATE(P$4,P$5,P$6,P$7),'SHIP CURVES'!$A$9:$Z$9,0))-INDEX(terminal_curves,MATCH(L225,'TERMINAL CURVES'!$A$4:$A$313,0),MATCH(P$5,'TERMINAL CURVES'!$A$4:$N$4,0))*IF(F225=0,0,H225/F225))-(N$8)*((N$7-$N$5)-(INDEX(ship_curves,MATCH(L225,'SHIP CURVES'!$A$9:$A$316,0),MATCH(CONCATENATE(P$4,P$5,P$6,P$7),'SHIP CURVES'!$A$9:$Z$9,0))-INDEX(ship_curves,MATCH(L225,'SHIP CURVES'!$A$9:$A$316,0),MATCH(CONCATENATE(P$4,N$6,P$6,P$7),'SHIP CURVES'!$A$9:$Z$9,0)))-(INDEX(terminal_curves,MATCH(L225,'TERMINAL CURVES'!$A$4:$A$313,0),MATCH(P$5,'TERMINAL CURVES'!$A$4:$N$4,0))-INDEX(terminal_curves,MATCH(L225,'TERMINAL CURVES'!$A$4:$A$313,0),MATCH(N$6,'TERMINAL CURVES'!$A$4:$N$4,0)))*IF(F225=0,0,H225/F225)))*-F225</f>
        <v>0</v>
      </c>
      <c r="Q225" s="403">
        <f t="shared" si="101"/>
        <v>0</v>
      </c>
      <c r="R225" s="338">
        <f>(-H225/((HLOOKUP(P$5,port_specs,2,0)/(365.25))*(L226-L225)))*(INDEX(fixed_capacity_charge,MATCH(L225,PORTS!$H$11:$H$317,0),MATCH(P$5,PORTS!$H$11:$N$11,0))+INDEX(variable_om_charge,MATCH(L225,PORTS!$H$318:$H$625,0),MATCH(P$5,PORTS!$H$318:$N$318,0)))</f>
        <v>0</v>
      </c>
      <c r="S225" s="232">
        <f t="shared" si="102"/>
        <v>0</v>
      </c>
      <c r="T225" s="241">
        <f t="shared" si="103"/>
        <v>0</v>
      </c>
      <c r="V225" s="186">
        <f t="shared" si="118"/>
        <v>43009</v>
      </c>
      <c r="W225" s="215">
        <f t="shared" si="104"/>
        <v>0</v>
      </c>
      <c r="X225" s="191">
        <f t="shared" si="105"/>
        <v>0</v>
      </c>
      <c r="Y225" s="218">
        <f>+IF(AND(X$8&lt;=V225,X$9&gt;=V225),+MIN($B225-SUMIF($H$17:X$17,Y$17,$H225:X225),((INDEX(ROUTE_PER_DAY_BY_SHIP,MATCH(CONCATENATE(X$4,X$5,X$7),ROUTE_PER_DAY_ROUTES,0),MATCH(X$6,ROUTE_PER_DAY_SHIPS,0))*(V226-V225))-(INDEX(ROUTE_PER_DAY_BY_SHIP,MATCH(CONCATENATE(X$4,X$5,X$7),ROUTE_PER_DAY_ROUTES,0),MATCH(X$6,ROUTE_PER_DAY_SHIPS,0))*(V226-V225))*HLOOKUP(X$6,SHIPS,7,0)*INDEX(LADEN_VOYAGE_DAYS,MATCH(CONCATENATE(X$4,X$5,X$7),LADEN_VOYAGE_ROUTES,0),MATCH(X$6,LADEN_VOYAGE_SHIPS,0)))),0)</f>
        <v>0</v>
      </c>
      <c r="Z225" s="118">
        <f t="shared" si="106"/>
        <v>0</v>
      </c>
      <c r="AA225" s="215">
        <f t="shared" si="92"/>
        <v>0</v>
      </c>
      <c r="AB225" s="202"/>
      <c r="AC225" s="186">
        <f t="shared" si="119"/>
        <v>43009</v>
      </c>
      <c r="AD225" s="232">
        <f>+AA225*(VLOOKUP(AC225,CURVECALC!$C$6:$J$312,4,0)+AE$5)</f>
        <v>0</v>
      </c>
      <c r="AE225" s="208">
        <f>-W225*INDEX(ship_curves,MATCH(AC225,'SHIP CURVES'!$A$9:$A$316,0),MATCH(CONCATENATE(AG$4,AG$5,AG$6,AG$7),'SHIP CURVES'!$A$9:$AZ$9,0))</f>
        <v>0</v>
      </c>
      <c r="AF225" s="209">
        <f>-Y225*INDEX(port_processing_fee,MATCH(AC225,PORTS!$H$626:$H$933,0),MATCH(AG$5,PORTS!$H$626:$Z$626,0))</f>
        <v>0</v>
      </c>
      <c r="AG225" s="405">
        <f>(((VLOOKUP(AC225,curvecalc,4,0))*IF(W225=0,0,AA225/W225)-INDEX(ship_curves,MATCH(AC225,'SHIP CURVES'!$A$9:$A$316,0),MATCH(CONCATENATE(AG$4,AG$5,AG$6,AG$7),'SHIP CURVES'!$A$9:$Z$9,0))-INDEX(terminal_curves,MATCH(AC225,'TERMINAL CURVES'!$A$4:$A$313,0),MATCH(AG$5,'TERMINAL CURVES'!$A$4:$N$4,0))*IF(W225=0,0,Y225/W225))-(AE$8)*((AE$7-$N$5)-(INDEX(ship_curves,MATCH(AC225,'SHIP CURVES'!$A$9:$A$316,0),MATCH(CONCATENATE(AG$4,AG$5,AG$6,AG$7),'SHIP CURVES'!$A$9:$Z$9,0))-INDEX(ship_curves,MATCH(AC225,'SHIP CURVES'!$A$9:$A$316,0),MATCH(CONCATENATE(AG$4,AE$6,AG$6,AG$7),'SHIP CURVES'!$A$9:$Z$9,0)))-(INDEX(terminal_curves,MATCH(AC225,'TERMINAL CURVES'!$A$4:$A$313,0),MATCH(AG$5,'TERMINAL CURVES'!$A$4:$N$4,0))-INDEX(terminal_curves,MATCH(AC225,'TERMINAL CURVES'!$A$4:$A$313,0),MATCH(AE$6,'TERMINAL CURVES'!$A$4:$N$4,0)))*IF(W225=0,0,Y225/W225)))*-W225</f>
        <v>0</v>
      </c>
      <c r="AH225" s="343">
        <f t="shared" si="107"/>
        <v>0</v>
      </c>
      <c r="AI225" s="338">
        <f>(-Y225/((HLOOKUP(AG$5,port_specs,2,0)/(365.25))*(AC226-AC225)))*(INDEX(fixed_capacity_charge,MATCH(AC225,PORTS!$H$11:$H$317,0),MATCH(AG$5,PORTS!$H$11:$N$11,0))+INDEX(variable_om_charge,MATCH(AC225,PORTS!$H$318:$H$625,0),MATCH(AG$5,PORTS!$H$318:$N$318,0)))</f>
        <v>0</v>
      </c>
      <c r="AJ225" s="232">
        <f t="shared" si="108"/>
        <v>0</v>
      </c>
      <c r="AK225" s="241">
        <f t="shared" si="109"/>
        <v>0</v>
      </c>
      <c r="AM225" s="186">
        <f t="shared" si="120"/>
        <v>43009</v>
      </c>
      <c r="AN225" s="215">
        <f t="shared" si="110"/>
        <v>5395761.4773599124</v>
      </c>
      <c r="AO225" s="191">
        <f t="shared" si="111"/>
        <v>-56655.495512278751</v>
      </c>
      <c r="AP225" s="218">
        <f>+IF(AND(AO$8&lt;=AM225,AO$9&gt;=AM225),+MIN($B225-SUMIF($H$17:AO$17,AP$17,$H225:AO225),((INDEX(ROUTE_PER_DAY_BY_SHIP,MATCH(CONCATENATE(AO$4,AO$5,AO$7),ROUTE_PER_DAY_ROUTES,0),MATCH(AO$6,ROUTE_PER_DAY_SHIPS,0))*(AM226-AM225))-(INDEX(ROUTE_PER_DAY_BY_SHIP,MATCH(CONCATENATE(AO$4,AO$5,AO$7),ROUTE_PER_DAY_ROUTES,0),MATCH(AO$6,ROUTE_PER_DAY_SHIPS,0))*(AM226-AM225))*HLOOKUP(AO$6,SHIPS,7,0)*INDEX(LADEN_VOYAGE_DAYS,MATCH(CONCATENATE(AO$4,AO$5,AO$7),LADEN_VOYAGE_ROUTES,0),MATCH(AO$6,LADEN_VOYAGE_SHIPS,0)))),0)</f>
        <v>5339105.9818476336</v>
      </c>
      <c r="AQ225" s="118">
        <f>-(AP225)*PORTS!$I$6</f>
        <v>-133477.64954619083</v>
      </c>
      <c r="AR225" s="215">
        <f t="shared" si="93"/>
        <v>5205628.3323014425</v>
      </c>
      <c r="AS225" s="202"/>
      <c r="AT225" s="186">
        <f t="shared" si="121"/>
        <v>43009</v>
      </c>
      <c r="AU225" s="232">
        <f>+AR225*(VLOOKUP(AT225,CURVECALC!$C$6:$J$312,4,0)+AV$5)</f>
        <v>21358693.047432818</v>
      </c>
      <c r="AV225" s="208">
        <f>-AN225*INDEX(ship_curves,MATCH(AT225,'SHIP CURVES'!$A$9:$A$316,0),MATCH(CONCATENATE(AX$4,AX$5,AX$6,AX$7),'SHIP CURVES'!$A$9:$AZ$9,0))</f>
        <v>-1847978.5451972398</v>
      </c>
      <c r="AW225" s="209">
        <f>-AP225*INDEX(port_processing_fee,MATCH(AT225,PORTS!$H$626:$H$933,0),MATCH(AX$5,PORTS!$H$626:$Z$626,0))</f>
        <v>-175443.61527874199</v>
      </c>
      <c r="AX225" s="405">
        <f>(((VLOOKUP(AT225,curvecalc,4,0))*IF(AN225=0,0,AR225/AN225)-INDEX(ship_curves,MATCH(AT225,'SHIP CURVES'!$A$9:$A$316,0),MATCH(CONCATENATE(AX$4,AX$5,AX$6,AX$7),'SHIP CURVES'!$A$9:$Z$9,0))-INDEX(terminal_curves,MATCH(AT225,'TERMINAL CURVES'!$A$4:$A$313,0),MATCH(AX$5,'TERMINAL CURVES'!$A$4:$N$4,0))*IF(AN225=0,0,AP225/AN225))-(AV$8)*((AV$7-$N$5)-(INDEX(ship_curves,MATCH(AT225,'SHIP CURVES'!$A$9:$A$316,0),MATCH(CONCATENATE(AX$4,AX$5,AX$6,AX$7),'SHIP CURVES'!$A$9:$Z$9,0))-INDEX(ship_curves,MATCH(AT225,'SHIP CURVES'!$A$9:$A$316,0),MATCH(CONCATENATE(AX$4,AV$6,AX$6,AX$7),'SHIP CURVES'!$A$9:$Z$9,0)))-(INDEX(terminal_curves,MATCH(AT225,'TERMINAL CURVES'!$A$4:$A$313,0),MATCH(AX$5,'TERMINAL CURVES'!$A$4:$N$4,0))-INDEX(terminal_curves,MATCH(AT225,'TERMINAL CURVES'!$A$4:$A$313,0),MATCH(AV$6,'TERMINAL CURVES'!$A$4:$N$4,0)))*IF(AN225=0,0,AP225/AN225)))*-AN225</f>
        <v>-18180763.717222594</v>
      </c>
      <c r="AY225" s="343">
        <f t="shared" si="112"/>
        <v>-20204185.877698574</v>
      </c>
      <c r="AZ225" s="338">
        <f>(-AP225/((HLOOKUP(AX$5,port_specs,2,0)/(365.25))*(AT226-AT225)))*(INDEX(fixed_capacity_charge,MATCH(AT225,PORTS!$H$11:$H$317,0),MATCH(AX$5,PORTS!$H$11:$N$11,0))+INDEX(variable_om_charge,MATCH(AT225,PORTS!$H$318:$H$625,0),MATCH(AX$5,PORTS!$H$318:$N$318,0)))</f>
        <v>-1050394.6030882143</v>
      </c>
      <c r="BA225" s="232">
        <f t="shared" si="113"/>
        <v>-21254580.480786789</v>
      </c>
      <c r="BB225" s="241">
        <f t="shared" si="114"/>
        <v>104112.56664602831</v>
      </c>
      <c r="BC225" s="408"/>
      <c r="BD225" s="338">
        <f>+PORTS!I219+PORTS!I527</f>
        <v>1050394.6030882143</v>
      </c>
    </row>
    <row r="226" spans="1:56" x14ac:dyDescent="0.2">
      <c r="A226" s="186">
        <f t="shared" si="115"/>
        <v>43040</v>
      </c>
      <c r="B226" s="215">
        <f>+IF(AND($A226&gt;=$C$8,$A226&lt;=$C$9),1,0)*PORTS!$I$5/(365.25)*(A227-A226)</f>
        <v>5166876.756626742</v>
      </c>
      <c r="C226" s="351">
        <f t="shared" si="94"/>
        <v>0</v>
      </c>
      <c r="D226">
        <f t="shared" si="95"/>
        <v>2017</v>
      </c>
      <c r="E226" s="186">
        <f t="shared" si="116"/>
        <v>43040</v>
      </c>
      <c r="F226" s="215">
        <f t="shared" si="96"/>
        <v>0</v>
      </c>
      <c r="G226" s="191">
        <f t="shared" si="97"/>
        <v>0</v>
      </c>
      <c r="H226" s="218">
        <f t="shared" si="98"/>
        <v>0</v>
      </c>
      <c r="I226" s="118">
        <f t="shared" si="99"/>
        <v>0</v>
      </c>
      <c r="J226" s="215">
        <f t="shared" si="100"/>
        <v>0</v>
      </c>
      <c r="K226" s="202"/>
      <c r="L226" s="186">
        <f t="shared" si="117"/>
        <v>43040</v>
      </c>
      <c r="M226" s="400">
        <f>+J226*(VLOOKUP(L226,CURVECALC!$C$6:$J$312,4,0)+N$5)</f>
        <v>0</v>
      </c>
      <c r="N226" s="208">
        <f>-F226*INDEX(ship_curves,MATCH(L226,'SHIP CURVES'!$A$9:$A$316,0),MATCH(CONCATENATE(P$4,P$5,P$6,P$7),'SHIP CURVES'!$A$9:$AZ$9,0))</f>
        <v>0</v>
      </c>
      <c r="O226" s="209">
        <f>-H226*INDEX(port_processing_fee,MATCH(L226,PORTS!$H$626:$H$933,0),MATCH(P$5,PORTS!$H$626:$Z$626,0))</f>
        <v>0</v>
      </c>
      <c r="P226" s="405">
        <f>(((VLOOKUP(L226,curvecalc,4,0))*IF(F226=0,0,J226/F226)-INDEX(ship_curves,MATCH(L226,'SHIP CURVES'!$A$9:$A$316,0),MATCH(CONCATENATE(P$4,P$5,P$6,P$7),'SHIP CURVES'!$A$9:$Z$9,0))-INDEX(terminal_curves,MATCH(L226,'TERMINAL CURVES'!$A$4:$A$313,0),MATCH(P$5,'TERMINAL CURVES'!$A$4:$N$4,0))*IF(F226=0,0,H226/F226))-(N$8)*((N$7-$N$5)-(INDEX(ship_curves,MATCH(L226,'SHIP CURVES'!$A$9:$A$316,0),MATCH(CONCATENATE(P$4,P$5,P$6,P$7),'SHIP CURVES'!$A$9:$Z$9,0))-INDEX(ship_curves,MATCH(L226,'SHIP CURVES'!$A$9:$A$316,0),MATCH(CONCATENATE(P$4,N$6,P$6,P$7),'SHIP CURVES'!$A$9:$Z$9,0)))-(INDEX(terminal_curves,MATCH(L226,'TERMINAL CURVES'!$A$4:$A$313,0),MATCH(P$5,'TERMINAL CURVES'!$A$4:$N$4,0))-INDEX(terminal_curves,MATCH(L226,'TERMINAL CURVES'!$A$4:$A$313,0),MATCH(N$6,'TERMINAL CURVES'!$A$4:$N$4,0)))*IF(F226=0,0,H226/F226)))*-F226</f>
        <v>0</v>
      </c>
      <c r="Q226" s="403">
        <f t="shared" si="101"/>
        <v>0</v>
      </c>
      <c r="R226" s="338">
        <f>(-H226/((HLOOKUP(P$5,port_specs,2,0)/(365.25))*(L227-L226)))*(INDEX(fixed_capacity_charge,MATCH(L226,PORTS!$H$11:$H$317,0),MATCH(P$5,PORTS!$H$11:$N$11,0))+INDEX(variable_om_charge,MATCH(L226,PORTS!$H$318:$H$625,0),MATCH(P$5,PORTS!$H$318:$N$318,0)))</f>
        <v>0</v>
      </c>
      <c r="S226" s="232">
        <f t="shared" si="102"/>
        <v>0</v>
      </c>
      <c r="T226" s="241">
        <f t="shared" si="103"/>
        <v>0</v>
      </c>
      <c r="V226" s="186">
        <f t="shared" si="118"/>
        <v>43040</v>
      </c>
      <c r="W226" s="215">
        <f t="shared" si="104"/>
        <v>0</v>
      </c>
      <c r="X226" s="191">
        <f t="shared" si="105"/>
        <v>0</v>
      </c>
      <c r="Y226" s="218">
        <f>+IF(AND(X$8&lt;=V226,X$9&gt;=V226),+MIN($B226-SUMIF($H$17:X$17,Y$17,$H226:X226),((INDEX(ROUTE_PER_DAY_BY_SHIP,MATCH(CONCATENATE(X$4,X$5,X$7),ROUTE_PER_DAY_ROUTES,0),MATCH(X$6,ROUTE_PER_DAY_SHIPS,0))*(V227-V226))-(INDEX(ROUTE_PER_DAY_BY_SHIP,MATCH(CONCATENATE(X$4,X$5,X$7),ROUTE_PER_DAY_ROUTES,0),MATCH(X$6,ROUTE_PER_DAY_SHIPS,0))*(V227-V226))*HLOOKUP(X$6,SHIPS,7,0)*INDEX(LADEN_VOYAGE_DAYS,MATCH(CONCATENATE(X$4,X$5,X$7),LADEN_VOYAGE_ROUTES,0),MATCH(X$6,LADEN_VOYAGE_SHIPS,0)))),0)</f>
        <v>0</v>
      </c>
      <c r="Z226" s="118">
        <f t="shared" si="106"/>
        <v>0</v>
      </c>
      <c r="AA226" s="215">
        <f t="shared" si="92"/>
        <v>0</v>
      </c>
      <c r="AB226" s="202"/>
      <c r="AC226" s="186">
        <f t="shared" si="119"/>
        <v>43040</v>
      </c>
      <c r="AD226" s="232">
        <f>+AA226*(VLOOKUP(AC226,CURVECALC!$C$6:$J$312,4,0)+AE$5)</f>
        <v>0</v>
      </c>
      <c r="AE226" s="208">
        <f>-W226*INDEX(ship_curves,MATCH(AC226,'SHIP CURVES'!$A$9:$A$316,0),MATCH(CONCATENATE(AG$4,AG$5,AG$6,AG$7),'SHIP CURVES'!$A$9:$AZ$9,0))</f>
        <v>0</v>
      </c>
      <c r="AF226" s="209">
        <f>-Y226*INDEX(port_processing_fee,MATCH(AC226,PORTS!$H$626:$H$933,0),MATCH(AG$5,PORTS!$H$626:$Z$626,0))</f>
        <v>0</v>
      </c>
      <c r="AG226" s="405">
        <f>(((VLOOKUP(AC226,curvecalc,4,0))*IF(W226=0,0,AA226/W226)-INDEX(ship_curves,MATCH(AC226,'SHIP CURVES'!$A$9:$A$316,0),MATCH(CONCATENATE(AG$4,AG$5,AG$6,AG$7),'SHIP CURVES'!$A$9:$Z$9,0))-INDEX(terminal_curves,MATCH(AC226,'TERMINAL CURVES'!$A$4:$A$313,0),MATCH(AG$5,'TERMINAL CURVES'!$A$4:$N$4,0))*IF(W226=0,0,Y226/W226))-(AE$8)*((AE$7-$N$5)-(INDEX(ship_curves,MATCH(AC226,'SHIP CURVES'!$A$9:$A$316,0),MATCH(CONCATENATE(AG$4,AG$5,AG$6,AG$7),'SHIP CURVES'!$A$9:$Z$9,0))-INDEX(ship_curves,MATCH(AC226,'SHIP CURVES'!$A$9:$A$316,0),MATCH(CONCATENATE(AG$4,AE$6,AG$6,AG$7),'SHIP CURVES'!$A$9:$Z$9,0)))-(INDEX(terminal_curves,MATCH(AC226,'TERMINAL CURVES'!$A$4:$A$313,0),MATCH(AG$5,'TERMINAL CURVES'!$A$4:$N$4,0))-INDEX(terminal_curves,MATCH(AC226,'TERMINAL CURVES'!$A$4:$A$313,0),MATCH(AE$6,'TERMINAL CURVES'!$A$4:$N$4,0)))*IF(W226=0,0,Y226/W226)))*-W226</f>
        <v>0</v>
      </c>
      <c r="AH226" s="343">
        <f t="shared" si="107"/>
        <v>0</v>
      </c>
      <c r="AI226" s="338">
        <f>(-Y226/((HLOOKUP(AG$5,port_specs,2,0)/(365.25))*(AC227-AC226)))*(INDEX(fixed_capacity_charge,MATCH(AC226,PORTS!$H$11:$H$317,0),MATCH(AG$5,PORTS!$H$11:$N$11,0))+INDEX(variable_om_charge,MATCH(AC226,PORTS!$H$318:$H$625,0),MATCH(AG$5,PORTS!$H$318:$N$318,0)))</f>
        <v>0</v>
      </c>
      <c r="AJ226" s="232">
        <f t="shared" si="108"/>
        <v>0</v>
      </c>
      <c r="AK226" s="241">
        <f t="shared" si="109"/>
        <v>0</v>
      </c>
      <c r="AM226" s="186">
        <f t="shared" si="120"/>
        <v>43040</v>
      </c>
      <c r="AN226" s="215">
        <f t="shared" si="110"/>
        <v>5221704.655509592</v>
      </c>
      <c r="AO226" s="191">
        <f t="shared" si="111"/>
        <v>-54827.898882850073</v>
      </c>
      <c r="AP226" s="218">
        <f>+IF(AND(AO$8&lt;=AM226,AO$9&gt;=AM226),+MIN($B226-SUMIF($H$17:AO$17,AP$17,$H226:AO226),((INDEX(ROUTE_PER_DAY_BY_SHIP,MATCH(CONCATENATE(AO$4,AO$5,AO$7),ROUTE_PER_DAY_ROUTES,0),MATCH(AO$6,ROUTE_PER_DAY_SHIPS,0))*(AM227-AM226))-(INDEX(ROUTE_PER_DAY_BY_SHIP,MATCH(CONCATENATE(AO$4,AO$5,AO$7),ROUTE_PER_DAY_ROUTES,0),MATCH(AO$6,ROUTE_PER_DAY_SHIPS,0))*(AM227-AM226))*HLOOKUP(AO$6,SHIPS,7,0)*INDEX(LADEN_VOYAGE_DAYS,MATCH(CONCATENATE(AO$4,AO$5,AO$7),LADEN_VOYAGE_ROUTES,0),MATCH(AO$6,LADEN_VOYAGE_SHIPS,0)))),0)</f>
        <v>5166876.756626742</v>
      </c>
      <c r="AQ226" s="118">
        <f>-(AP226)*PORTS!$I$6</f>
        <v>-129171.91891566856</v>
      </c>
      <c r="AR226" s="215">
        <f t="shared" si="93"/>
        <v>5037704.8377110735</v>
      </c>
      <c r="AS226" s="202"/>
      <c r="AT226" s="186">
        <f t="shared" si="121"/>
        <v>43040</v>
      </c>
      <c r="AU226" s="232">
        <f>+AR226*(VLOOKUP(AT226,CURVECALC!$C$6:$J$312,4,0)+AV$5)</f>
        <v>20866173.437799264</v>
      </c>
      <c r="AV226" s="208">
        <f>-AN226*INDEX(ship_curves,MATCH(AT226,'SHIP CURVES'!$A$9:$A$316,0),MATCH(CONCATENATE(AX$4,AX$5,AX$6,AX$7),'SHIP CURVES'!$A$9:$AZ$9,0))</f>
        <v>-1788999.5010339841</v>
      </c>
      <c r="AW226" s="209">
        <f>-AP226*INDEX(port_processing_fee,MATCH(AT226,PORTS!$H$626:$H$933,0),MATCH(AX$5,PORTS!$H$626:$Z$626,0))</f>
        <v>-169961.00230128132</v>
      </c>
      <c r="AX226" s="405">
        <f>(((VLOOKUP(AT226,curvecalc,4,0))*IF(AN226=0,0,AR226/AN226)-INDEX(ship_curves,MATCH(AT226,'SHIP CURVES'!$A$9:$A$316,0),MATCH(CONCATENATE(AX$4,AX$5,AX$6,AX$7),'SHIP CURVES'!$A$9:$Z$9,0))-INDEX(terminal_curves,MATCH(AT226,'TERMINAL CURVES'!$A$4:$A$313,0),MATCH(AX$5,'TERMINAL CURVES'!$A$4:$N$4,0))*IF(AN226=0,0,AP226/AN226))-(AV$8)*((AV$7-$N$5)-(INDEX(ship_curves,MATCH(AT226,'SHIP CURVES'!$A$9:$A$316,0),MATCH(CONCATENATE(AX$4,AX$5,AX$6,AX$7),'SHIP CURVES'!$A$9:$Z$9,0))-INDEX(ship_curves,MATCH(AT226,'SHIP CURVES'!$A$9:$A$316,0),MATCH(CONCATENATE(AX$4,AV$6,AX$6,AX$7),'SHIP CURVES'!$A$9:$Z$9,0)))-(INDEX(terminal_curves,MATCH(AT226,'TERMINAL CURVES'!$A$4:$A$313,0),MATCH(AX$5,'TERMINAL CURVES'!$A$4:$N$4,0))-INDEX(terminal_curves,MATCH(AT226,'TERMINAL CURVES'!$A$4:$A$313,0),MATCH(AV$6,'TERMINAL CURVES'!$A$4:$N$4,0)))*IF(AN226=0,0,AP226/AN226)))*-AN226</f>
        <v>-17755475.476254709</v>
      </c>
      <c r="AY226" s="343">
        <f t="shared" si="112"/>
        <v>-19714435.979589976</v>
      </c>
      <c r="AZ226" s="338">
        <f>(-AP226/((HLOOKUP(AX$5,port_specs,2,0)/(365.25))*(AT227-AT226)))*(INDEX(fixed_capacity_charge,MATCH(AT226,PORTS!$H$11:$H$317,0),MATCH(AX$5,PORTS!$H$11:$N$11,0))+INDEX(variable_om_charge,MATCH(AT226,PORTS!$H$318:$H$625,0),MATCH(AX$5,PORTS!$H$318:$N$318,0)))</f>
        <v>-1050983.3614550685</v>
      </c>
      <c r="BA226" s="232">
        <f t="shared" si="113"/>
        <v>-20765419.341045044</v>
      </c>
      <c r="BB226" s="241">
        <f t="shared" si="114"/>
        <v>100754.09675421938</v>
      </c>
      <c r="BC226" s="408"/>
      <c r="BD226" s="338">
        <f>+PORTS!I220+PORTS!I528</f>
        <v>1050983.3614550685</v>
      </c>
    </row>
    <row r="227" spans="1:56" x14ac:dyDescent="0.2">
      <c r="A227" s="186">
        <f t="shared" si="115"/>
        <v>43070</v>
      </c>
      <c r="B227" s="215">
        <f>+IF(AND($A227&gt;=$C$8,$A227&lt;=$C$9),1,0)*PORTS!$I$5/(365.25)*(A228-A227)</f>
        <v>5339105.9818476336</v>
      </c>
      <c r="C227" s="351">
        <f t="shared" si="94"/>
        <v>0</v>
      </c>
      <c r="D227">
        <f t="shared" si="95"/>
        <v>2017</v>
      </c>
      <c r="E227" s="186">
        <f t="shared" si="116"/>
        <v>43070</v>
      </c>
      <c r="F227" s="215">
        <f t="shared" si="96"/>
        <v>0</v>
      </c>
      <c r="G227" s="191">
        <f t="shared" si="97"/>
        <v>0</v>
      </c>
      <c r="H227" s="218">
        <f t="shared" si="98"/>
        <v>0</v>
      </c>
      <c r="I227" s="118">
        <f t="shared" si="99"/>
        <v>0</v>
      </c>
      <c r="J227" s="215">
        <f t="shared" si="100"/>
        <v>0</v>
      </c>
      <c r="K227" s="202"/>
      <c r="L227" s="186">
        <f t="shared" si="117"/>
        <v>43070</v>
      </c>
      <c r="M227" s="400">
        <f>+J227*(VLOOKUP(L227,CURVECALC!$C$6:$J$312,4,0)+N$5)</f>
        <v>0</v>
      </c>
      <c r="N227" s="208">
        <f>-F227*INDEX(ship_curves,MATCH(L227,'SHIP CURVES'!$A$9:$A$316,0),MATCH(CONCATENATE(P$4,P$5,P$6,P$7),'SHIP CURVES'!$A$9:$AZ$9,0))</f>
        <v>0</v>
      </c>
      <c r="O227" s="209">
        <f>-H227*INDEX(port_processing_fee,MATCH(L227,PORTS!$H$626:$H$933,0),MATCH(P$5,PORTS!$H$626:$Z$626,0))</f>
        <v>0</v>
      </c>
      <c r="P227" s="405">
        <f>(((VLOOKUP(L227,curvecalc,4,0))*IF(F227=0,0,J227/F227)-INDEX(ship_curves,MATCH(L227,'SHIP CURVES'!$A$9:$A$316,0),MATCH(CONCATENATE(P$4,P$5,P$6,P$7),'SHIP CURVES'!$A$9:$Z$9,0))-INDEX(terminal_curves,MATCH(L227,'TERMINAL CURVES'!$A$4:$A$313,0),MATCH(P$5,'TERMINAL CURVES'!$A$4:$N$4,0))*IF(F227=0,0,H227/F227))-(N$8)*((N$7-$N$5)-(INDEX(ship_curves,MATCH(L227,'SHIP CURVES'!$A$9:$A$316,0),MATCH(CONCATENATE(P$4,P$5,P$6,P$7),'SHIP CURVES'!$A$9:$Z$9,0))-INDEX(ship_curves,MATCH(L227,'SHIP CURVES'!$A$9:$A$316,0),MATCH(CONCATENATE(P$4,N$6,P$6,P$7),'SHIP CURVES'!$A$9:$Z$9,0)))-(INDEX(terminal_curves,MATCH(L227,'TERMINAL CURVES'!$A$4:$A$313,0),MATCH(P$5,'TERMINAL CURVES'!$A$4:$N$4,0))-INDEX(terminal_curves,MATCH(L227,'TERMINAL CURVES'!$A$4:$A$313,0),MATCH(N$6,'TERMINAL CURVES'!$A$4:$N$4,0)))*IF(F227=0,0,H227/F227)))*-F227</f>
        <v>0</v>
      </c>
      <c r="Q227" s="403">
        <f t="shared" si="101"/>
        <v>0</v>
      </c>
      <c r="R227" s="338">
        <f>(-H227/((HLOOKUP(P$5,port_specs,2,0)/(365.25))*(L228-L227)))*(INDEX(fixed_capacity_charge,MATCH(L227,PORTS!$H$11:$H$317,0),MATCH(P$5,PORTS!$H$11:$N$11,0))+INDEX(variable_om_charge,MATCH(L227,PORTS!$H$318:$H$625,0),MATCH(P$5,PORTS!$H$318:$N$318,0)))</f>
        <v>0</v>
      </c>
      <c r="S227" s="232">
        <f t="shared" si="102"/>
        <v>0</v>
      </c>
      <c r="T227" s="241">
        <f t="shared" si="103"/>
        <v>0</v>
      </c>
      <c r="V227" s="186">
        <f t="shared" si="118"/>
        <v>43070</v>
      </c>
      <c r="W227" s="215">
        <f t="shared" si="104"/>
        <v>0</v>
      </c>
      <c r="X227" s="191">
        <f t="shared" si="105"/>
        <v>0</v>
      </c>
      <c r="Y227" s="218">
        <f>+IF(AND(X$8&lt;=V227,X$9&gt;=V227),+MIN($B227-SUMIF($H$17:X$17,Y$17,$H227:X227),((INDEX(ROUTE_PER_DAY_BY_SHIP,MATCH(CONCATENATE(X$4,X$5,X$7),ROUTE_PER_DAY_ROUTES,0),MATCH(X$6,ROUTE_PER_DAY_SHIPS,0))*(V228-V227))-(INDEX(ROUTE_PER_DAY_BY_SHIP,MATCH(CONCATENATE(X$4,X$5,X$7),ROUTE_PER_DAY_ROUTES,0),MATCH(X$6,ROUTE_PER_DAY_SHIPS,0))*(V228-V227))*HLOOKUP(X$6,SHIPS,7,0)*INDEX(LADEN_VOYAGE_DAYS,MATCH(CONCATENATE(X$4,X$5,X$7),LADEN_VOYAGE_ROUTES,0),MATCH(X$6,LADEN_VOYAGE_SHIPS,0)))),0)</f>
        <v>0</v>
      </c>
      <c r="Z227" s="118">
        <f t="shared" si="106"/>
        <v>0</v>
      </c>
      <c r="AA227" s="215">
        <f t="shared" si="92"/>
        <v>0</v>
      </c>
      <c r="AB227" s="202"/>
      <c r="AC227" s="186">
        <f t="shared" si="119"/>
        <v>43070</v>
      </c>
      <c r="AD227" s="232">
        <f>+AA227*(VLOOKUP(AC227,CURVECALC!$C$6:$J$312,4,0)+AE$5)</f>
        <v>0</v>
      </c>
      <c r="AE227" s="208">
        <f>-W227*INDEX(ship_curves,MATCH(AC227,'SHIP CURVES'!$A$9:$A$316,0),MATCH(CONCATENATE(AG$4,AG$5,AG$6,AG$7),'SHIP CURVES'!$A$9:$AZ$9,0))</f>
        <v>0</v>
      </c>
      <c r="AF227" s="209">
        <f>-Y227*INDEX(port_processing_fee,MATCH(AC227,PORTS!$H$626:$H$933,0),MATCH(AG$5,PORTS!$H$626:$Z$626,0))</f>
        <v>0</v>
      </c>
      <c r="AG227" s="405">
        <f>(((VLOOKUP(AC227,curvecalc,4,0))*IF(W227=0,0,AA227/W227)-INDEX(ship_curves,MATCH(AC227,'SHIP CURVES'!$A$9:$A$316,0),MATCH(CONCATENATE(AG$4,AG$5,AG$6,AG$7),'SHIP CURVES'!$A$9:$Z$9,0))-INDEX(terminal_curves,MATCH(AC227,'TERMINAL CURVES'!$A$4:$A$313,0),MATCH(AG$5,'TERMINAL CURVES'!$A$4:$N$4,0))*IF(W227=0,0,Y227/W227))-(AE$8)*((AE$7-$N$5)-(INDEX(ship_curves,MATCH(AC227,'SHIP CURVES'!$A$9:$A$316,0),MATCH(CONCATENATE(AG$4,AG$5,AG$6,AG$7),'SHIP CURVES'!$A$9:$Z$9,0))-INDEX(ship_curves,MATCH(AC227,'SHIP CURVES'!$A$9:$A$316,0),MATCH(CONCATENATE(AG$4,AE$6,AG$6,AG$7),'SHIP CURVES'!$A$9:$Z$9,0)))-(INDEX(terminal_curves,MATCH(AC227,'TERMINAL CURVES'!$A$4:$A$313,0),MATCH(AG$5,'TERMINAL CURVES'!$A$4:$N$4,0))-INDEX(terminal_curves,MATCH(AC227,'TERMINAL CURVES'!$A$4:$A$313,0),MATCH(AE$6,'TERMINAL CURVES'!$A$4:$N$4,0)))*IF(W227=0,0,Y227/W227)))*-W227</f>
        <v>0</v>
      </c>
      <c r="AH227" s="343">
        <f t="shared" si="107"/>
        <v>0</v>
      </c>
      <c r="AI227" s="338">
        <f>(-Y227/((HLOOKUP(AG$5,port_specs,2,0)/(365.25))*(AC228-AC227)))*(INDEX(fixed_capacity_charge,MATCH(AC227,PORTS!$H$11:$H$317,0),MATCH(AG$5,PORTS!$H$11:$N$11,0))+INDEX(variable_om_charge,MATCH(AC227,PORTS!$H$318:$H$625,0),MATCH(AG$5,PORTS!$H$318:$N$318,0)))</f>
        <v>0</v>
      </c>
      <c r="AJ227" s="232">
        <f t="shared" si="108"/>
        <v>0</v>
      </c>
      <c r="AK227" s="241">
        <f t="shared" si="109"/>
        <v>0</v>
      </c>
      <c r="AM227" s="186">
        <f t="shared" si="120"/>
        <v>43070</v>
      </c>
      <c r="AN227" s="215">
        <f t="shared" si="110"/>
        <v>5395761.4773599124</v>
      </c>
      <c r="AO227" s="191">
        <f t="shared" si="111"/>
        <v>-56655.495512278751</v>
      </c>
      <c r="AP227" s="218">
        <f>+IF(AND(AO$8&lt;=AM227,AO$9&gt;=AM227),+MIN($B227-SUMIF($H$17:AO$17,AP$17,$H227:AO227),((INDEX(ROUTE_PER_DAY_BY_SHIP,MATCH(CONCATENATE(AO$4,AO$5,AO$7),ROUTE_PER_DAY_ROUTES,0),MATCH(AO$6,ROUTE_PER_DAY_SHIPS,0))*(AM228-AM227))-(INDEX(ROUTE_PER_DAY_BY_SHIP,MATCH(CONCATENATE(AO$4,AO$5,AO$7),ROUTE_PER_DAY_ROUTES,0),MATCH(AO$6,ROUTE_PER_DAY_SHIPS,0))*(AM228-AM227))*HLOOKUP(AO$6,SHIPS,7,0)*INDEX(LADEN_VOYAGE_DAYS,MATCH(CONCATENATE(AO$4,AO$5,AO$7),LADEN_VOYAGE_ROUTES,0),MATCH(AO$6,LADEN_VOYAGE_SHIPS,0)))),0)</f>
        <v>5339105.9818476336</v>
      </c>
      <c r="AQ227" s="118">
        <f>-(AP227)*PORTS!$I$6</f>
        <v>-133477.64954619083</v>
      </c>
      <c r="AR227" s="215">
        <f t="shared" si="93"/>
        <v>5205628.3323014425</v>
      </c>
      <c r="AS227" s="202"/>
      <c r="AT227" s="186">
        <f t="shared" si="121"/>
        <v>43070</v>
      </c>
      <c r="AU227" s="232">
        <f>+AR227*(VLOOKUP(AT227,CURVECALC!$C$6:$J$312,4,0)+AV$5)</f>
        <v>21889667.137327563</v>
      </c>
      <c r="AV227" s="208">
        <f>-AN227*INDEX(ship_curves,MATCH(AT227,'SHIP CURVES'!$A$9:$A$316,0),MATCH(CONCATENATE(AX$4,AX$5,AX$6,AX$7),'SHIP CURVES'!$A$9:$AZ$9,0))</f>
        <v>-1849288.4533407814</v>
      </c>
      <c r="AW227" s="209">
        <f>-AP227*INDEX(port_processing_fee,MATCH(AT227,PORTS!$H$626:$H$933,0),MATCH(AX$5,PORTS!$H$626:$Z$626,0))</f>
        <v>-175809.31317907886</v>
      </c>
      <c r="AX227" s="405">
        <f>(((VLOOKUP(AT227,curvecalc,4,0))*IF(AN227=0,0,AR227/AN227)-INDEX(ship_curves,MATCH(AT227,'SHIP CURVES'!$A$9:$A$316,0),MATCH(CONCATENATE(AX$4,AX$5,AX$6,AX$7),'SHIP CURVES'!$A$9:$Z$9,0))-INDEX(terminal_curves,MATCH(AT227,'TERMINAL CURVES'!$A$4:$A$313,0),MATCH(AX$5,'TERMINAL CURVES'!$A$4:$N$4,0))*IF(AN227=0,0,AP227/AN227))-(AV$8)*((AV$7-$N$5)-(INDEX(ship_curves,MATCH(AT227,'SHIP CURVES'!$A$9:$A$316,0),MATCH(CONCATENATE(AX$4,AX$5,AX$6,AX$7),'SHIP CURVES'!$A$9:$Z$9,0))-INDEX(ship_curves,MATCH(AT227,'SHIP CURVES'!$A$9:$A$316,0),MATCH(CONCATENATE(AX$4,AV$6,AX$6,AX$7),'SHIP CURVES'!$A$9:$Z$9,0)))-(INDEX(terminal_curves,MATCH(AT227,'TERMINAL CURVES'!$A$4:$A$313,0),MATCH(AX$5,'TERMINAL CURVES'!$A$4:$N$4,0))-INDEX(terminal_curves,MATCH(AT227,'TERMINAL CURVES'!$A$4:$A$313,0),MATCH(AV$6,'TERMINAL CURVES'!$A$4:$N$4,0)))*IF(AN227=0,0,AP227/AN227)))*-AN227</f>
        <v>-18708884.071049787</v>
      </c>
      <c r="AY227" s="343">
        <f t="shared" si="112"/>
        <v>-20733981.837569647</v>
      </c>
      <c r="AZ227" s="338">
        <f>(-AP227/((HLOOKUP(AX$5,port_specs,2,0)/(365.25))*(AT228-AT227)))*(INDEX(fixed_capacity_charge,MATCH(AT227,PORTS!$H$11:$H$317,0),MATCH(AX$5,PORTS!$H$11:$N$11,0))+INDEX(variable_om_charge,MATCH(AT227,PORTS!$H$318:$H$625,0),MATCH(AX$5,PORTS!$H$318:$N$318,0)))</f>
        <v>-1051572.7331118879</v>
      </c>
      <c r="BA227" s="232">
        <f t="shared" si="113"/>
        <v>-21785554.570681535</v>
      </c>
      <c r="BB227" s="241">
        <f t="shared" si="114"/>
        <v>104112.56664602831</v>
      </c>
      <c r="BC227" s="408"/>
      <c r="BD227" s="338">
        <f>+PORTS!I221+PORTS!I529</f>
        <v>1051572.7331118879</v>
      </c>
    </row>
    <row r="228" spans="1:56" x14ac:dyDescent="0.2">
      <c r="A228" s="186">
        <f t="shared" si="115"/>
        <v>43101</v>
      </c>
      <c r="B228" s="215">
        <f>+IF(AND($A228&gt;=$C$8,$A228&lt;=$C$9),1,0)*PORTS!$I$5/(365.25)*(A229-A228)</f>
        <v>5339105.9818476336</v>
      </c>
      <c r="C228" s="351">
        <f t="shared" si="94"/>
        <v>0</v>
      </c>
      <c r="D228">
        <f t="shared" si="95"/>
        <v>2018</v>
      </c>
      <c r="E228" s="186">
        <f t="shared" si="116"/>
        <v>43101</v>
      </c>
      <c r="F228" s="215">
        <f t="shared" si="96"/>
        <v>0</v>
      </c>
      <c r="G228" s="191">
        <f t="shared" si="97"/>
        <v>0</v>
      </c>
      <c r="H228" s="218">
        <f t="shared" si="98"/>
        <v>0</v>
      </c>
      <c r="I228" s="118">
        <f t="shared" si="99"/>
        <v>0</v>
      </c>
      <c r="J228" s="215">
        <f t="shared" si="100"/>
        <v>0</v>
      </c>
      <c r="K228" s="202"/>
      <c r="L228" s="186">
        <f t="shared" si="117"/>
        <v>43101</v>
      </c>
      <c r="M228" s="400">
        <f>+J228*(VLOOKUP(L228,CURVECALC!$C$6:$J$312,4,0)+N$5)</f>
        <v>0</v>
      </c>
      <c r="N228" s="208">
        <f>-F228*INDEX(ship_curves,MATCH(L228,'SHIP CURVES'!$A$9:$A$316,0),MATCH(CONCATENATE(P$4,P$5,P$6,P$7),'SHIP CURVES'!$A$9:$AZ$9,0))</f>
        <v>0</v>
      </c>
      <c r="O228" s="209">
        <f>-H228*INDEX(port_processing_fee,MATCH(L228,PORTS!$H$626:$H$933,0),MATCH(P$5,PORTS!$H$626:$Z$626,0))</f>
        <v>0</v>
      </c>
      <c r="P228" s="405">
        <f>(((VLOOKUP(L228,curvecalc,4,0))*IF(F228=0,0,J228/F228)-INDEX(ship_curves,MATCH(L228,'SHIP CURVES'!$A$9:$A$316,0),MATCH(CONCATENATE(P$4,P$5,P$6,P$7),'SHIP CURVES'!$A$9:$Z$9,0))-INDEX(terminal_curves,MATCH(L228,'TERMINAL CURVES'!$A$4:$A$313,0),MATCH(P$5,'TERMINAL CURVES'!$A$4:$N$4,0))*IF(F228=0,0,H228/F228))-(N$8)*((N$7-$N$5)-(INDEX(ship_curves,MATCH(L228,'SHIP CURVES'!$A$9:$A$316,0),MATCH(CONCATENATE(P$4,P$5,P$6,P$7),'SHIP CURVES'!$A$9:$Z$9,0))-INDEX(ship_curves,MATCH(L228,'SHIP CURVES'!$A$9:$A$316,0),MATCH(CONCATENATE(P$4,N$6,P$6,P$7),'SHIP CURVES'!$A$9:$Z$9,0)))-(INDEX(terminal_curves,MATCH(L228,'TERMINAL CURVES'!$A$4:$A$313,0),MATCH(P$5,'TERMINAL CURVES'!$A$4:$N$4,0))-INDEX(terminal_curves,MATCH(L228,'TERMINAL CURVES'!$A$4:$A$313,0),MATCH(N$6,'TERMINAL CURVES'!$A$4:$N$4,0)))*IF(F228=0,0,H228/F228)))*-F228</f>
        <v>0</v>
      </c>
      <c r="Q228" s="403">
        <f t="shared" si="101"/>
        <v>0</v>
      </c>
      <c r="R228" s="338">
        <f>(-H228/((HLOOKUP(P$5,port_specs,2,0)/(365.25))*(L229-L228)))*(INDEX(fixed_capacity_charge,MATCH(L228,PORTS!$H$11:$H$317,0),MATCH(P$5,PORTS!$H$11:$N$11,0))+INDEX(variable_om_charge,MATCH(L228,PORTS!$H$318:$H$625,0),MATCH(P$5,PORTS!$H$318:$N$318,0)))</f>
        <v>0</v>
      </c>
      <c r="S228" s="232">
        <f t="shared" si="102"/>
        <v>0</v>
      </c>
      <c r="T228" s="241">
        <f t="shared" si="103"/>
        <v>0</v>
      </c>
      <c r="V228" s="186">
        <f t="shared" si="118"/>
        <v>43101</v>
      </c>
      <c r="W228" s="215">
        <f t="shared" si="104"/>
        <v>0</v>
      </c>
      <c r="X228" s="191">
        <f t="shared" si="105"/>
        <v>0</v>
      </c>
      <c r="Y228" s="218">
        <f>+IF(AND(X$8&lt;=V228,X$9&gt;=V228),+MIN($B228-SUMIF($H$17:X$17,Y$17,$H228:X228),((INDEX(ROUTE_PER_DAY_BY_SHIP,MATCH(CONCATENATE(X$4,X$5,X$7),ROUTE_PER_DAY_ROUTES,0),MATCH(X$6,ROUTE_PER_DAY_SHIPS,0))*(V229-V228))-(INDEX(ROUTE_PER_DAY_BY_SHIP,MATCH(CONCATENATE(X$4,X$5,X$7),ROUTE_PER_DAY_ROUTES,0),MATCH(X$6,ROUTE_PER_DAY_SHIPS,0))*(V229-V228))*HLOOKUP(X$6,SHIPS,7,0)*INDEX(LADEN_VOYAGE_DAYS,MATCH(CONCATENATE(X$4,X$5,X$7),LADEN_VOYAGE_ROUTES,0),MATCH(X$6,LADEN_VOYAGE_SHIPS,0)))),0)</f>
        <v>0</v>
      </c>
      <c r="Z228" s="118">
        <f t="shared" si="106"/>
        <v>0</v>
      </c>
      <c r="AA228" s="215">
        <f t="shared" si="92"/>
        <v>0</v>
      </c>
      <c r="AB228" s="202"/>
      <c r="AC228" s="186">
        <f t="shared" si="119"/>
        <v>43101</v>
      </c>
      <c r="AD228" s="232">
        <f>+AA228*(VLOOKUP(AC228,CURVECALC!$C$6:$J$312,4,0)+AE$5)</f>
        <v>0</v>
      </c>
      <c r="AE228" s="208">
        <f>-W228*INDEX(ship_curves,MATCH(AC228,'SHIP CURVES'!$A$9:$A$316,0),MATCH(CONCATENATE(AG$4,AG$5,AG$6,AG$7),'SHIP CURVES'!$A$9:$AZ$9,0))</f>
        <v>0</v>
      </c>
      <c r="AF228" s="209">
        <f>-Y228*INDEX(port_processing_fee,MATCH(AC228,PORTS!$H$626:$H$933,0),MATCH(AG$5,PORTS!$H$626:$Z$626,0))</f>
        <v>0</v>
      </c>
      <c r="AG228" s="405">
        <f>(((VLOOKUP(AC228,curvecalc,4,0))*IF(W228=0,0,AA228/W228)-INDEX(ship_curves,MATCH(AC228,'SHIP CURVES'!$A$9:$A$316,0),MATCH(CONCATENATE(AG$4,AG$5,AG$6,AG$7),'SHIP CURVES'!$A$9:$Z$9,0))-INDEX(terminal_curves,MATCH(AC228,'TERMINAL CURVES'!$A$4:$A$313,0),MATCH(AG$5,'TERMINAL CURVES'!$A$4:$N$4,0))*IF(W228=0,0,Y228/W228))-(AE$8)*((AE$7-$N$5)-(INDEX(ship_curves,MATCH(AC228,'SHIP CURVES'!$A$9:$A$316,0),MATCH(CONCATENATE(AG$4,AG$5,AG$6,AG$7),'SHIP CURVES'!$A$9:$Z$9,0))-INDEX(ship_curves,MATCH(AC228,'SHIP CURVES'!$A$9:$A$316,0),MATCH(CONCATENATE(AG$4,AE$6,AG$6,AG$7),'SHIP CURVES'!$A$9:$Z$9,0)))-(INDEX(terminal_curves,MATCH(AC228,'TERMINAL CURVES'!$A$4:$A$313,0),MATCH(AG$5,'TERMINAL CURVES'!$A$4:$N$4,0))-INDEX(terminal_curves,MATCH(AC228,'TERMINAL CURVES'!$A$4:$A$313,0),MATCH(AE$6,'TERMINAL CURVES'!$A$4:$N$4,0)))*IF(W228=0,0,Y228/W228)))*-W228</f>
        <v>0</v>
      </c>
      <c r="AH228" s="343">
        <f t="shared" si="107"/>
        <v>0</v>
      </c>
      <c r="AI228" s="338">
        <f>(-Y228/((HLOOKUP(AG$5,port_specs,2,0)/(365.25))*(AC229-AC228)))*(INDEX(fixed_capacity_charge,MATCH(AC228,PORTS!$H$11:$H$317,0),MATCH(AG$5,PORTS!$H$11:$N$11,0))+INDEX(variable_om_charge,MATCH(AC228,PORTS!$H$318:$H$625,0),MATCH(AG$5,PORTS!$H$318:$N$318,0)))</f>
        <v>0</v>
      </c>
      <c r="AJ228" s="232">
        <f t="shared" si="108"/>
        <v>0</v>
      </c>
      <c r="AK228" s="241">
        <f t="shared" si="109"/>
        <v>0</v>
      </c>
      <c r="AM228" s="186">
        <f t="shared" si="120"/>
        <v>43101</v>
      </c>
      <c r="AN228" s="215">
        <f t="shared" si="110"/>
        <v>5395761.4773599124</v>
      </c>
      <c r="AO228" s="191">
        <f t="shared" si="111"/>
        <v>-56655.495512278751</v>
      </c>
      <c r="AP228" s="218">
        <f>+IF(AND(AO$8&lt;=AM228,AO$9&gt;=AM228),+MIN($B228-SUMIF($H$17:AO$17,AP$17,$H228:AO228),((INDEX(ROUTE_PER_DAY_BY_SHIP,MATCH(CONCATENATE(AO$4,AO$5,AO$7),ROUTE_PER_DAY_ROUTES,0),MATCH(AO$6,ROUTE_PER_DAY_SHIPS,0))*(AM229-AM228))-(INDEX(ROUTE_PER_DAY_BY_SHIP,MATCH(CONCATENATE(AO$4,AO$5,AO$7),ROUTE_PER_DAY_ROUTES,0),MATCH(AO$6,ROUTE_PER_DAY_SHIPS,0))*(AM229-AM228))*HLOOKUP(AO$6,SHIPS,7,0)*INDEX(LADEN_VOYAGE_DAYS,MATCH(CONCATENATE(AO$4,AO$5,AO$7),LADEN_VOYAGE_ROUTES,0),MATCH(AO$6,LADEN_VOYAGE_SHIPS,0)))),0)</f>
        <v>5339105.9818476336</v>
      </c>
      <c r="AQ228" s="118">
        <f>-(AP228)*PORTS!$I$6</f>
        <v>-133477.64954619083</v>
      </c>
      <c r="AR228" s="215">
        <f t="shared" si="93"/>
        <v>5205628.3323014425</v>
      </c>
      <c r="AS228" s="202"/>
      <c r="AT228" s="186">
        <f t="shared" si="121"/>
        <v>43101</v>
      </c>
      <c r="AU228" s="232">
        <f>+AR228*(VLOOKUP(AT228,CURVECALC!$C$6:$J$312,4,0)+AV$5)</f>
        <v>22930792.80378785</v>
      </c>
      <c r="AV228" s="208">
        <f>-AN228*INDEX(ship_curves,MATCH(AT228,'SHIP CURVES'!$A$9:$A$316,0),MATCH(CONCATENATE(AX$4,AX$5,AX$6,AX$7),'SHIP CURVES'!$A$9:$AZ$9,0))</f>
        <v>-1849945.4548539573</v>
      </c>
      <c r="AW228" s="209">
        <f>-AP228*INDEX(port_processing_fee,MATCH(AT228,PORTS!$H$626:$H$933,0),MATCH(AX$5,PORTS!$H$626:$Z$626,0))</f>
        <v>-175992.44788030704</v>
      </c>
      <c r="AX228" s="405">
        <f>(((VLOOKUP(AT228,curvecalc,4,0))*IF(AN228=0,0,AR228/AN228)-INDEX(ship_curves,MATCH(AT228,'SHIP CURVES'!$A$9:$A$316,0),MATCH(CONCATENATE(AX$4,AX$5,AX$6,AX$7),'SHIP CURVES'!$A$9:$Z$9,0))-INDEX(terminal_curves,MATCH(AT228,'TERMINAL CURVES'!$A$4:$A$313,0),MATCH(AX$5,'TERMINAL CURVES'!$A$4:$N$4,0))*IF(AN228=0,0,AP228/AN228))-(AV$8)*((AV$7-$N$5)-(INDEX(ship_curves,MATCH(AT228,'SHIP CURVES'!$A$9:$A$316,0),MATCH(CONCATENATE(AX$4,AX$5,AX$6,AX$7),'SHIP CURVES'!$A$9:$Z$9,0))-INDEX(ship_curves,MATCH(AT228,'SHIP CURVES'!$A$9:$A$316,0),MATCH(CONCATENATE(AX$4,AV$6,AX$6,AX$7),'SHIP CURVES'!$A$9:$Z$9,0)))-(INDEX(terminal_curves,MATCH(AT228,'TERMINAL CURVES'!$A$4:$A$313,0),MATCH(AX$5,'TERMINAL CURVES'!$A$4:$N$4,0))-INDEX(terminal_curves,MATCH(AT228,'TERMINAL CURVES'!$A$4:$A$313,0),MATCH(AV$6,'TERMINAL CURVES'!$A$4:$N$4,0)))*IF(AN228=0,0,AP228/AN228)))*-AN228</f>
        <v>-19748579.615710042</v>
      </c>
      <c r="AY228" s="343">
        <f t="shared" si="112"/>
        <v>-21774517.518444307</v>
      </c>
      <c r="AZ228" s="338">
        <f>(-AP228/((HLOOKUP(AX$5,port_specs,2,0)/(365.25))*(AT229-AT228)))*(INDEX(fixed_capacity_charge,MATCH(AT228,PORTS!$H$11:$H$317,0),MATCH(AX$5,PORTS!$H$11:$N$11,0))+INDEX(variable_om_charge,MATCH(AT228,PORTS!$H$318:$H$625,0),MATCH(AX$5,PORTS!$H$318:$N$318,0)))</f>
        <v>-1052162.7186975165</v>
      </c>
      <c r="BA228" s="232">
        <f t="shared" si="113"/>
        <v>-22826680.237141825</v>
      </c>
      <c r="BB228" s="241">
        <f t="shared" si="114"/>
        <v>104112.56664602458</v>
      </c>
      <c r="BC228" s="408"/>
      <c r="BD228" s="338">
        <f>+PORTS!I222+PORTS!I530</f>
        <v>1052162.7186975165</v>
      </c>
    </row>
    <row r="229" spans="1:56" x14ac:dyDescent="0.2">
      <c r="A229" s="186">
        <f t="shared" si="115"/>
        <v>43132</v>
      </c>
      <c r="B229" s="215">
        <f>+IF(AND($A229&gt;=$C$8,$A229&lt;=$C$9),1,0)*PORTS!$I$5/(365.25)*(A230-A229)</f>
        <v>4822418.3061849596</v>
      </c>
      <c r="C229" s="351">
        <f t="shared" si="94"/>
        <v>0</v>
      </c>
      <c r="D229">
        <f t="shared" si="95"/>
        <v>2018</v>
      </c>
      <c r="E229" s="186">
        <f t="shared" si="116"/>
        <v>43132</v>
      </c>
      <c r="F229" s="215">
        <f t="shared" si="96"/>
        <v>0</v>
      </c>
      <c r="G229" s="191">
        <f t="shared" si="97"/>
        <v>0</v>
      </c>
      <c r="H229" s="218">
        <f t="shared" si="98"/>
        <v>0</v>
      </c>
      <c r="I229" s="118">
        <f t="shared" si="99"/>
        <v>0</v>
      </c>
      <c r="J229" s="215">
        <f t="shared" si="100"/>
        <v>0</v>
      </c>
      <c r="K229" s="202"/>
      <c r="L229" s="186">
        <f t="shared" si="117"/>
        <v>43132</v>
      </c>
      <c r="M229" s="400">
        <f>+J229*(VLOOKUP(L229,CURVECALC!$C$6:$J$312,4,0)+N$5)</f>
        <v>0</v>
      </c>
      <c r="N229" s="208">
        <f>-F229*INDEX(ship_curves,MATCH(L229,'SHIP CURVES'!$A$9:$A$316,0),MATCH(CONCATENATE(P$4,P$5,P$6,P$7),'SHIP CURVES'!$A$9:$AZ$9,0))</f>
        <v>0</v>
      </c>
      <c r="O229" s="209">
        <f>-H229*INDEX(port_processing_fee,MATCH(L229,PORTS!$H$626:$H$933,0),MATCH(P$5,PORTS!$H$626:$Z$626,0))</f>
        <v>0</v>
      </c>
      <c r="P229" s="405">
        <f>(((VLOOKUP(L229,curvecalc,4,0))*IF(F229=0,0,J229/F229)-INDEX(ship_curves,MATCH(L229,'SHIP CURVES'!$A$9:$A$316,0),MATCH(CONCATENATE(P$4,P$5,P$6,P$7),'SHIP CURVES'!$A$9:$Z$9,0))-INDEX(terminal_curves,MATCH(L229,'TERMINAL CURVES'!$A$4:$A$313,0),MATCH(P$5,'TERMINAL CURVES'!$A$4:$N$4,0))*IF(F229=0,0,H229/F229))-(N$8)*((N$7-$N$5)-(INDEX(ship_curves,MATCH(L229,'SHIP CURVES'!$A$9:$A$316,0),MATCH(CONCATENATE(P$4,P$5,P$6,P$7),'SHIP CURVES'!$A$9:$Z$9,0))-INDEX(ship_curves,MATCH(L229,'SHIP CURVES'!$A$9:$A$316,0),MATCH(CONCATENATE(P$4,N$6,P$6,P$7),'SHIP CURVES'!$A$9:$Z$9,0)))-(INDEX(terminal_curves,MATCH(L229,'TERMINAL CURVES'!$A$4:$A$313,0),MATCH(P$5,'TERMINAL CURVES'!$A$4:$N$4,0))-INDEX(terminal_curves,MATCH(L229,'TERMINAL CURVES'!$A$4:$A$313,0),MATCH(N$6,'TERMINAL CURVES'!$A$4:$N$4,0)))*IF(F229=0,0,H229/F229)))*-F229</f>
        <v>0</v>
      </c>
      <c r="Q229" s="403">
        <f t="shared" si="101"/>
        <v>0</v>
      </c>
      <c r="R229" s="338">
        <f>(-H229/((HLOOKUP(P$5,port_specs,2,0)/(365.25))*(L230-L229)))*(INDEX(fixed_capacity_charge,MATCH(L229,PORTS!$H$11:$H$317,0),MATCH(P$5,PORTS!$H$11:$N$11,0))+INDEX(variable_om_charge,MATCH(L229,PORTS!$H$318:$H$625,0),MATCH(P$5,PORTS!$H$318:$N$318,0)))</f>
        <v>0</v>
      </c>
      <c r="S229" s="232">
        <f t="shared" si="102"/>
        <v>0</v>
      </c>
      <c r="T229" s="241">
        <f t="shared" si="103"/>
        <v>0</v>
      </c>
      <c r="V229" s="186">
        <f t="shared" si="118"/>
        <v>43132</v>
      </c>
      <c r="W229" s="215">
        <f t="shared" si="104"/>
        <v>0</v>
      </c>
      <c r="X229" s="191">
        <f t="shared" si="105"/>
        <v>0</v>
      </c>
      <c r="Y229" s="218">
        <f>+IF(AND(X$8&lt;=V229,X$9&gt;=V229),+MIN($B229-SUMIF($H$17:X$17,Y$17,$H229:X229),((INDEX(ROUTE_PER_DAY_BY_SHIP,MATCH(CONCATENATE(X$4,X$5,X$7),ROUTE_PER_DAY_ROUTES,0),MATCH(X$6,ROUTE_PER_DAY_SHIPS,0))*(V230-V229))-(INDEX(ROUTE_PER_DAY_BY_SHIP,MATCH(CONCATENATE(X$4,X$5,X$7),ROUTE_PER_DAY_ROUTES,0),MATCH(X$6,ROUTE_PER_DAY_SHIPS,0))*(V230-V229))*HLOOKUP(X$6,SHIPS,7,0)*INDEX(LADEN_VOYAGE_DAYS,MATCH(CONCATENATE(X$4,X$5,X$7),LADEN_VOYAGE_ROUTES,0),MATCH(X$6,LADEN_VOYAGE_SHIPS,0)))),0)</f>
        <v>0</v>
      </c>
      <c r="Z229" s="118">
        <f t="shared" si="106"/>
        <v>0</v>
      </c>
      <c r="AA229" s="215">
        <f t="shared" si="92"/>
        <v>0</v>
      </c>
      <c r="AB229" s="202"/>
      <c r="AC229" s="186">
        <f t="shared" si="119"/>
        <v>43132</v>
      </c>
      <c r="AD229" s="232">
        <f>+AA229*(VLOOKUP(AC229,CURVECALC!$C$6:$J$312,4,0)+AE$5)</f>
        <v>0</v>
      </c>
      <c r="AE229" s="208">
        <f>-W229*INDEX(ship_curves,MATCH(AC229,'SHIP CURVES'!$A$9:$A$316,0),MATCH(CONCATENATE(AG$4,AG$5,AG$6,AG$7),'SHIP CURVES'!$A$9:$AZ$9,0))</f>
        <v>0</v>
      </c>
      <c r="AF229" s="209">
        <f>-Y229*INDEX(port_processing_fee,MATCH(AC229,PORTS!$H$626:$H$933,0),MATCH(AG$5,PORTS!$H$626:$Z$626,0))</f>
        <v>0</v>
      </c>
      <c r="AG229" s="405">
        <f>(((VLOOKUP(AC229,curvecalc,4,0))*IF(W229=0,0,AA229/W229)-INDEX(ship_curves,MATCH(AC229,'SHIP CURVES'!$A$9:$A$316,0),MATCH(CONCATENATE(AG$4,AG$5,AG$6,AG$7),'SHIP CURVES'!$A$9:$Z$9,0))-INDEX(terminal_curves,MATCH(AC229,'TERMINAL CURVES'!$A$4:$A$313,0),MATCH(AG$5,'TERMINAL CURVES'!$A$4:$N$4,0))*IF(W229=0,0,Y229/W229))-(AE$8)*((AE$7-$N$5)-(INDEX(ship_curves,MATCH(AC229,'SHIP CURVES'!$A$9:$A$316,0),MATCH(CONCATENATE(AG$4,AG$5,AG$6,AG$7),'SHIP CURVES'!$A$9:$Z$9,0))-INDEX(ship_curves,MATCH(AC229,'SHIP CURVES'!$A$9:$A$316,0),MATCH(CONCATENATE(AG$4,AE$6,AG$6,AG$7),'SHIP CURVES'!$A$9:$Z$9,0)))-(INDEX(terminal_curves,MATCH(AC229,'TERMINAL CURVES'!$A$4:$A$313,0),MATCH(AG$5,'TERMINAL CURVES'!$A$4:$N$4,0))-INDEX(terminal_curves,MATCH(AC229,'TERMINAL CURVES'!$A$4:$A$313,0),MATCH(AE$6,'TERMINAL CURVES'!$A$4:$N$4,0)))*IF(W229=0,0,Y229/W229)))*-W229</f>
        <v>0</v>
      </c>
      <c r="AH229" s="343">
        <f t="shared" si="107"/>
        <v>0</v>
      </c>
      <c r="AI229" s="338">
        <f>(-Y229/((HLOOKUP(AG$5,port_specs,2,0)/(365.25))*(AC230-AC229)))*(INDEX(fixed_capacity_charge,MATCH(AC229,PORTS!$H$11:$H$317,0),MATCH(AG$5,PORTS!$H$11:$N$11,0))+INDEX(variable_om_charge,MATCH(AC229,PORTS!$H$318:$H$625,0),MATCH(AG$5,PORTS!$H$318:$N$318,0)))</f>
        <v>0</v>
      </c>
      <c r="AJ229" s="232">
        <f t="shared" si="108"/>
        <v>0</v>
      </c>
      <c r="AK229" s="241">
        <f t="shared" si="109"/>
        <v>0</v>
      </c>
      <c r="AM229" s="186">
        <f t="shared" si="120"/>
        <v>43132</v>
      </c>
      <c r="AN229" s="215">
        <f t="shared" si="110"/>
        <v>4873591.0118089532</v>
      </c>
      <c r="AO229" s="191">
        <f t="shared" si="111"/>
        <v>-51172.70562399365</v>
      </c>
      <c r="AP229" s="218">
        <f>+IF(AND(AO$8&lt;=AM229,AO$9&gt;=AM229),+MIN($B229-SUMIF($H$17:AO$17,AP$17,$H229:AO229),((INDEX(ROUTE_PER_DAY_BY_SHIP,MATCH(CONCATENATE(AO$4,AO$5,AO$7),ROUTE_PER_DAY_ROUTES,0),MATCH(AO$6,ROUTE_PER_DAY_SHIPS,0))*(AM230-AM229))-(INDEX(ROUTE_PER_DAY_BY_SHIP,MATCH(CONCATENATE(AO$4,AO$5,AO$7),ROUTE_PER_DAY_ROUTES,0),MATCH(AO$6,ROUTE_PER_DAY_SHIPS,0))*(AM230-AM229))*HLOOKUP(AO$6,SHIPS,7,0)*INDEX(LADEN_VOYAGE_DAYS,MATCH(CONCATENATE(AO$4,AO$5,AO$7),LADEN_VOYAGE_ROUTES,0),MATCH(AO$6,LADEN_VOYAGE_SHIPS,0)))),0)</f>
        <v>4822418.3061849596</v>
      </c>
      <c r="AQ229" s="118">
        <f>-(AP229)*PORTS!$I$6</f>
        <v>-120560.457654624</v>
      </c>
      <c r="AR229" s="215">
        <f t="shared" si="93"/>
        <v>4701857.8485303354</v>
      </c>
      <c r="AS229" s="202"/>
      <c r="AT229" s="186">
        <f t="shared" si="121"/>
        <v>43132</v>
      </c>
      <c r="AU229" s="232">
        <f>+AR229*(VLOOKUP(AT229,CURVECALC!$C$6:$J$312,4,0)+AV$5)</f>
        <v>20382553.773379002</v>
      </c>
      <c r="AV229" s="208">
        <f>-AN229*INDEX(ship_curves,MATCH(AT229,'SHIP CURVES'!$A$9:$A$316,0),MATCH(CONCATENATE(AX$4,AX$5,AX$6,AX$7),'SHIP CURVES'!$A$9:$AZ$9,0))</f>
        <v>-1671513.1323667101</v>
      </c>
      <c r="AW229" s="209">
        <f>-AP229*INDEX(port_processing_fee,MATCH(AT229,PORTS!$H$626:$H$933,0),MATCH(AX$5,PORTS!$H$626:$Z$626,0))</f>
        <v>-159126.50495844427</v>
      </c>
      <c r="AX229" s="405">
        <f>(((VLOOKUP(AT229,curvecalc,4,0))*IF(AN229=0,0,AR229/AN229)-INDEX(ship_curves,MATCH(AT229,'SHIP CURVES'!$A$9:$A$316,0),MATCH(CONCATENATE(AX$4,AX$5,AX$6,AX$7),'SHIP CURVES'!$A$9:$Z$9,0))-INDEX(terminal_curves,MATCH(AT229,'TERMINAL CURVES'!$A$4:$A$313,0),MATCH(AX$5,'TERMINAL CURVES'!$A$4:$N$4,0))*IF(AN229=0,0,AP229/AN229))-(AV$8)*((AV$7-$N$5)-(INDEX(ship_curves,MATCH(AT229,'SHIP CURVES'!$A$9:$A$316,0),MATCH(CONCATENATE(AX$4,AX$5,AX$6,AX$7),'SHIP CURVES'!$A$9:$Z$9,0))-INDEX(ship_curves,MATCH(AT229,'SHIP CURVES'!$A$9:$A$316,0),MATCH(CONCATENATE(AX$4,AV$6,AX$6,AX$7),'SHIP CURVES'!$A$9:$Z$9,0)))-(INDEX(terminal_curves,MATCH(AT229,'TERMINAL CURVES'!$A$4:$A$313,0),MATCH(AX$5,'TERMINAL CURVES'!$A$4:$N$4,0))-INDEX(terminal_curves,MATCH(AT229,'TERMINAL CURVES'!$A$4:$A$313,0),MATCH(AV$6,'TERMINAL CURVES'!$A$4:$N$4,0)))*IF(AN229=0,0,AP229/AN229)))*-AN229</f>
        <v>-17405123.660231777</v>
      </c>
      <c r="AY229" s="343">
        <f t="shared" si="112"/>
        <v>-19235763.297556929</v>
      </c>
      <c r="AZ229" s="338">
        <f>(-AP229/((HLOOKUP(AX$5,port_specs,2,0)/(365.25))*(AT230-AT229)))*(INDEX(fixed_capacity_charge,MATCH(AT229,PORTS!$H$11:$H$317,0),MATCH(AX$5,PORTS!$H$11:$N$11,0))+INDEX(variable_om_charge,MATCH(AT229,PORTS!$H$318:$H$625,0),MATCH(AX$5,PORTS!$H$318:$N$318,0)))</f>
        <v>-1052753.3188514635</v>
      </c>
      <c r="BA229" s="232">
        <f t="shared" si="113"/>
        <v>-20288516.616408393</v>
      </c>
      <c r="BB229" s="241">
        <f t="shared" si="114"/>
        <v>94037.156970608979</v>
      </c>
      <c r="BC229" s="408"/>
      <c r="BD229" s="338">
        <f>+PORTS!I223+PORTS!I531</f>
        <v>1052753.3188514635</v>
      </c>
    </row>
    <row r="230" spans="1:56" x14ac:dyDescent="0.2">
      <c r="A230" s="186">
        <f t="shared" si="115"/>
        <v>43160</v>
      </c>
      <c r="B230" s="215">
        <f>+IF(AND($A230&gt;=$C$8,$A230&lt;=$C$9),1,0)*PORTS!$I$5/(365.25)*(A231-A230)</f>
        <v>5339105.9818476336</v>
      </c>
      <c r="C230" s="351">
        <f t="shared" si="94"/>
        <v>0</v>
      </c>
      <c r="D230">
        <f t="shared" si="95"/>
        <v>2018</v>
      </c>
      <c r="E230" s="186">
        <f t="shared" si="116"/>
        <v>43160</v>
      </c>
      <c r="F230" s="215">
        <f t="shared" si="96"/>
        <v>0</v>
      </c>
      <c r="G230" s="191">
        <f t="shared" si="97"/>
        <v>0</v>
      </c>
      <c r="H230" s="218">
        <f t="shared" si="98"/>
        <v>0</v>
      </c>
      <c r="I230" s="118">
        <f t="shared" si="99"/>
        <v>0</v>
      </c>
      <c r="J230" s="215">
        <f t="shared" si="100"/>
        <v>0</v>
      </c>
      <c r="K230" s="202"/>
      <c r="L230" s="186">
        <f t="shared" si="117"/>
        <v>43160</v>
      </c>
      <c r="M230" s="400">
        <f>+J230*(VLOOKUP(L230,CURVECALC!$C$6:$J$312,4,0)+N$5)</f>
        <v>0</v>
      </c>
      <c r="N230" s="208">
        <f>-F230*INDEX(ship_curves,MATCH(L230,'SHIP CURVES'!$A$9:$A$316,0),MATCH(CONCATENATE(P$4,P$5,P$6,P$7),'SHIP CURVES'!$A$9:$AZ$9,0))</f>
        <v>0</v>
      </c>
      <c r="O230" s="209">
        <f>-H230*INDEX(port_processing_fee,MATCH(L230,PORTS!$H$626:$H$933,0),MATCH(P$5,PORTS!$H$626:$Z$626,0))</f>
        <v>0</v>
      </c>
      <c r="P230" s="405">
        <f>(((VLOOKUP(L230,curvecalc,4,0))*IF(F230=0,0,J230/F230)-INDEX(ship_curves,MATCH(L230,'SHIP CURVES'!$A$9:$A$316,0),MATCH(CONCATENATE(P$4,P$5,P$6,P$7),'SHIP CURVES'!$A$9:$Z$9,0))-INDEX(terminal_curves,MATCH(L230,'TERMINAL CURVES'!$A$4:$A$313,0),MATCH(P$5,'TERMINAL CURVES'!$A$4:$N$4,0))*IF(F230=0,0,H230/F230))-(N$8)*((N$7-$N$5)-(INDEX(ship_curves,MATCH(L230,'SHIP CURVES'!$A$9:$A$316,0),MATCH(CONCATENATE(P$4,P$5,P$6,P$7),'SHIP CURVES'!$A$9:$Z$9,0))-INDEX(ship_curves,MATCH(L230,'SHIP CURVES'!$A$9:$A$316,0),MATCH(CONCATENATE(P$4,N$6,P$6,P$7),'SHIP CURVES'!$A$9:$Z$9,0)))-(INDEX(terminal_curves,MATCH(L230,'TERMINAL CURVES'!$A$4:$A$313,0),MATCH(P$5,'TERMINAL CURVES'!$A$4:$N$4,0))-INDEX(terminal_curves,MATCH(L230,'TERMINAL CURVES'!$A$4:$A$313,0),MATCH(N$6,'TERMINAL CURVES'!$A$4:$N$4,0)))*IF(F230=0,0,H230/F230)))*-F230</f>
        <v>0</v>
      </c>
      <c r="Q230" s="403">
        <f t="shared" si="101"/>
        <v>0</v>
      </c>
      <c r="R230" s="338">
        <f>(-H230/((HLOOKUP(P$5,port_specs,2,0)/(365.25))*(L231-L230)))*(INDEX(fixed_capacity_charge,MATCH(L230,PORTS!$H$11:$H$317,0),MATCH(P$5,PORTS!$H$11:$N$11,0))+INDEX(variable_om_charge,MATCH(L230,PORTS!$H$318:$H$625,0),MATCH(P$5,PORTS!$H$318:$N$318,0)))</f>
        <v>0</v>
      </c>
      <c r="S230" s="232">
        <f t="shared" si="102"/>
        <v>0</v>
      </c>
      <c r="T230" s="241">
        <f t="shared" si="103"/>
        <v>0</v>
      </c>
      <c r="V230" s="186">
        <f t="shared" si="118"/>
        <v>43160</v>
      </c>
      <c r="W230" s="215">
        <f t="shared" si="104"/>
        <v>0</v>
      </c>
      <c r="X230" s="191">
        <f t="shared" si="105"/>
        <v>0</v>
      </c>
      <c r="Y230" s="218">
        <f>+IF(AND(X$8&lt;=V230,X$9&gt;=V230),+MIN($B230-SUMIF($H$17:X$17,Y$17,$H230:X230),((INDEX(ROUTE_PER_DAY_BY_SHIP,MATCH(CONCATENATE(X$4,X$5,X$7),ROUTE_PER_DAY_ROUTES,0),MATCH(X$6,ROUTE_PER_DAY_SHIPS,0))*(V231-V230))-(INDEX(ROUTE_PER_DAY_BY_SHIP,MATCH(CONCATENATE(X$4,X$5,X$7),ROUTE_PER_DAY_ROUTES,0),MATCH(X$6,ROUTE_PER_DAY_SHIPS,0))*(V231-V230))*HLOOKUP(X$6,SHIPS,7,0)*INDEX(LADEN_VOYAGE_DAYS,MATCH(CONCATENATE(X$4,X$5,X$7),LADEN_VOYAGE_ROUTES,0),MATCH(X$6,LADEN_VOYAGE_SHIPS,0)))),0)</f>
        <v>0</v>
      </c>
      <c r="Z230" s="118">
        <f t="shared" si="106"/>
        <v>0</v>
      </c>
      <c r="AA230" s="215">
        <f t="shared" si="92"/>
        <v>0</v>
      </c>
      <c r="AB230" s="202"/>
      <c r="AC230" s="186">
        <f t="shared" si="119"/>
        <v>43160</v>
      </c>
      <c r="AD230" s="232">
        <f>+AA230*(VLOOKUP(AC230,CURVECALC!$C$6:$J$312,4,0)+AE$5)</f>
        <v>0</v>
      </c>
      <c r="AE230" s="208">
        <f>-W230*INDEX(ship_curves,MATCH(AC230,'SHIP CURVES'!$A$9:$A$316,0),MATCH(CONCATENATE(AG$4,AG$5,AG$6,AG$7),'SHIP CURVES'!$A$9:$AZ$9,0))</f>
        <v>0</v>
      </c>
      <c r="AF230" s="209">
        <f>-Y230*INDEX(port_processing_fee,MATCH(AC230,PORTS!$H$626:$H$933,0),MATCH(AG$5,PORTS!$H$626:$Z$626,0))</f>
        <v>0</v>
      </c>
      <c r="AG230" s="405">
        <f>(((VLOOKUP(AC230,curvecalc,4,0))*IF(W230=0,0,AA230/W230)-INDEX(ship_curves,MATCH(AC230,'SHIP CURVES'!$A$9:$A$316,0),MATCH(CONCATENATE(AG$4,AG$5,AG$6,AG$7),'SHIP CURVES'!$A$9:$Z$9,0))-INDEX(terminal_curves,MATCH(AC230,'TERMINAL CURVES'!$A$4:$A$313,0),MATCH(AG$5,'TERMINAL CURVES'!$A$4:$N$4,0))*IF(W230=0,0,Y230/W230))-(AE$8)*((AE$7-$N$5)-(INDEX(ship_curves,MATCH(AC230,'SHIP CURVES'!$A$9:$A$316,0),MATCH(CONCATENATE(AG$4,AG$5,AG$6,AG$7),'SHIP CURVES'!$A$9:$Z$9,0))-INDEX(ship_curves,MATCH(AC230,'SHIP CURVES'!$A$9:$A$316,0),MATCH(CONCATENATE(AG$4,AE$6,AG$6,AG$7),'SHIP CURVES'!$A$9:$Z$9,0)))-(INDEX(terminal_curves,MATCH(AC230,'TERMINAL CURVES'!$A$4:$A$313,0),MATCH(AG$5,'TERMINAL CURVES'!$A$4:$N$4,0))-INDEX(terminal_curves,MATCH(AC230,'TERMINAL CURVES'!$A$4:$A$313,0),MATCH(AE$6,'TERMINAL CURVES'!$A$4:$N$4,0)))*IF(W230=0,0,Y230/W230)))*-W230</f>
        <v>0</v>
      </c>
      <c r="AH230" s="343">
        <f t="shared" si="107"/>
        <v>0</v>
      </c>
      <c r="AI230" s="338">
        <f>(-Y230/((HLOOKUP(AG$5,port_specs,2,0)/(365.25))*(AC231-AC230)))*(INDEX(fixed_capacity_charge,MATCH(AC230,PORTS!$H$11:$H$317,0),MATCH(AG$5,PORTS!$H$11:$N$11,0))+INDEX(variable_om_charge,MATCH(AC230,PORTS!$H$318:$H$625,0),MATCH(AG$5,PORTS!$H$318:$N$318,0)))</f>
        <v>0</v>
      </c>
      <c r="AJ230" s="232">
        <f t="shared" si="108"/>
        <v>0</v>
      </c>
      <c r="AK230" s="241">
        <f t="shared" si="109"/>
        <v>0</v>
      </c>
      <c r="AM230" s="186">
        <f t="shared" si="120"/>
        <v>43160</v>
      </c>
      <c r="AN230" s="215">
        <f t="shared" si="110"/>
        <v>5395761.4773599124</v>
      </c>
      <c r="AO230" s="191">
        <f t="shared" si="111"/>
        <v>-56655.495512278751</v>
      </c>
      <c r="AP230" s="218">
        <f>+IF(AND(AO$8&lt;=AM230,AO$9&gt;=AM230),+MIN($B230-SUMIF($H$17:AO$17,AP$17,$H230:AO230),((INDEX(ROUTE_PER_DAY_BY_SHIP,MATCH(CONCATENATE(AO$4,AO$5,AO$7),ROUTE_PER_DAY_ROUTES,0),MATCH(AO$6,ROUTE_PER_DAY_SHIPS,0))*(AM231-AM230))-(INDEX(ROUTE_PER_DAY_BY_SHIP,MATCH(CONCATENATE(AO$4,AO$5,AO$7),ROUTE_PER_DAY_ROUTES,0),MATCH(AO$6,ROUTE_PER_DAY_SHIPS,0))*(AM231-AM230))*HLOOKUP(AO$6,SHIPS,7,0)*INDEX(LADEN_VOYAGE_DAYS,MATCH(CONCATENATE(AO$4,AO$5,AO$7),LADEN_VOYAGE_ROUTES,0),MATCH(AO$6,LADEN_VOYAGE_SHIPS,0)))),0)</f>
        <v>5339105.9818476336</v>
      </c>
      <c r="AQ230" s="118">
        <f>-(AP230)*PORTS!$I$6</f>
        <v>-133477.64954619083</v>
      </c>
      <c r="AR230" s="215">
        <f t="shared" si="93"/>
        <v>5205628.3323014425</v>
      </c>
      <c r="AS230" s="202"/>
      <c r="AT230" s="186">
        <f t="shared" si="121"/>
        <v>43160</v>
      </c>
      <c r="AU230" s="232">
        <f>+AR230*(VLOOKUP(AT230,CURVECALC!$C$6:$J$312,4,0)+AV$5)</f>
        <v>22071864.128958113</v>
      </c>
      <c r="AV230" s="208">
        <f>-AN230*INDEX(ship_curves,MATCH(AT230,'SHIP CURVES'!$A$9:$A$316,0),MATCH(CONCATENATE(AX$4,AX$5,AX$6,AX$7),'SHIP CURVES'!$A$9:$AZ$9,0))</f>
        <v>-1851263.5669913364</v>
      </c>
      <c r="AW230" s="209">
        <f>-AP230*INDEX(port_processing_fee,MATCH(AT230,PORTS!$H$626:$H$933,0),MATCH(AX$5,PORTS!$H$626:$Z$626,0))</f>
        <v>-176359.28977741866</v>
      </c>
      <c r="AX230" s="405">
        <f>(((VLOOKUP(AT230,curvecalc,4,0))*IF(AN230=0,0,AR230/AN230)-INDEX(ship_curves,MATCH(AT230,'SHIP CURVES'!$A$9:$A$316,0),MATCH(CONCATENATE(AX$4,AX$5,AX$6,AX$7),'SHIP CURVES'!$A$9:$Z$9,0))-INDEX(terminal_curves,MATCH(AT230,'TERMINAL CURVES'!$A$4:$A$313,0),MATCH(AX$5,'TERMINAL CURVES'!$A$4:$N$4,0))*IF(AN230=0,0,AP230/AN230))-(AV$8)*((AV$7-$N$5)-(INDEX(ship_curves,MATCH(AT230,'SHIP CURVES'!$A$9:$A$316,0),MATCH(CONCATENATE(AX$4,AX$5,AX$6,AX$7),'SHIP CURVES'!$A$9:$Z$9,0))-INDEX(ship_curves,MATCH(AT230,'SHIP CURVES'!$A$9:$A$316,0),MATCH(CONCATENATE(AX$4,AV$6,AX$6,AX$7),'SHIP CURVES'!$A$9:$Z$9,0)))-(INDEX(terminal_curves,MATCH(AT230,'TERMINAL CURVES'!$A$4:$A$313,0),MATCH(AX$5,'TERMINAL CURVES'!$A$4:$N$4,0))-INDEX(terminal_curves,MATCH(AT230,'TERMINAL CURVES'!$A$4:$A$313,0),MATCH(AV$6,'TERMINAL CURVES'!$A$4:$N$4,0)))*IF(AN230=0,0,AP230/AN230)))*-AN230</f>
        <v>-18886784.171329424</v>
      </c>
      <c r="AY230" s="343">
        <f t="shared" si="112"/>
        <v>-20914407.028098177</v>
      </c>
      <c r="AZ230" s="338">
        <f>(-AP230/((HLOOKUP(AX$5,port_specs,2,0)/(365.25))*(AT231-AT230)))*(INDEX(fixed_capacity_charge,MATCH(AT230,PORTS!$H$11:$H$317,0),MATCH(AX$5,PORTS!$H$11:$N$11,0))+INDEX(variable_om_charge,MATCH(AT230,PORTS!$H$318:$H$625,0),MATCH(AX$5,PORTS!$H$318:$N$318,0)))</f>
        <v>-1053344.5342139043</v>
      </c>
      <c r="BA230" s="232">
        <f t="shared" si="113"/>
        <v>-21967751.562312081</v>
      </c>
      <c r="BB230" s="241">
        <f t="shared" si="114"/>
        <v>104112.56664603204</v>
      </c>
      <c r="BC230" s="408"/>
      <c r="BD230" s="338">
        <f>+PORTS!I224+PORTS!I532</f>
        <v>1053344.5342139043</v>
      </c>
    </row>
    <row r="231" spans="1:56" x14ac:dyDescent="0.2">
      <c r="A231" s="186">
        <f t="shared" si="115"/>
        <v>43191</v>
      </c>
      <c r="B231" s="215">
        <f>+IF(AND($A231&gt;=$C$8,$A231&lt;=$C$9),1,0)*PORTS!$I$5/(365.25)*(A232-A231)</f>
        <v>5166876.756626742</v>
      </c>
      <c r="C231" s="351">
        <f t="shared" si="94"/>
        <v>0</v>
      </c>
      <c r="D231">
        <f t="shared" si="95"/>
        <v>2018</v>
      </c>
      <c r="E231" s="186">
        <f t="shared" si="116"/>
        <v>43191</v>
      </c>
      <c r="F231" s="215">
        <f t="shared" si="96"/>
        <v>0</v>
      </c>
      <c r="G231" s="191">
        <f t="shared" si="97"/>
        <v>0</v>
      </c>
      <c r="H231" s="218">
        <f t="shared" si="98"/>
        <v>0</v>
      </c>
      <c r="I231" s="118">
        <f t="shared" si="99"/>
        <v>0</v>
      </c>
      <c r="J231" s="215">
        <f t="shared" si="100"/>
        <v>0</v>
      </c>
      <c r="K231" s="202"/>
      <c r="L231" s="186">
        <f t="shared" si="117"/>
        <v>43191</v>
      </c>
      <c r="M231" s="400">
        <f>+J231*(VLOOKUP(L231,CURVECALC!$C$6:$J$312,4,0)+N$5)</f>
        <v>0</v>
      </c>
      <c r="N231" s="208">
        <f>-F231*INDEX(ship_curves,MATCH(L231,'SHIP CURVES'!$A$9:$A$316,0),MATCH(CONCATENATE(P$4,P$5,P$6,P$7),'SHIP CURVES'!$A$9:$AZ$9,0))</f>
        <v>0</v>
      </c>
      <c r="O231" s="209">
        <f>-H231*INDEX(port_processing_fee,MATCH(L231,PORTS!$H$626:$H$933,0),MATCH(P$5,PORTS!$H$626:$Z$626,0))</f>
        <v>0</v>
      </c>
      <c r="P231" s="405">
        <f>(((VLOOKUP(L231,curvecalc,4,0))*IF(F231=0,0,J231/F231)-INDEX(ship_curves,MATCH(L231,'SHIP CURVES'!$A$9:$A$316,0),MATCH(CONCATENATE(P$4,P$5,P$6,P$7),'SHIP CURVES'!$A$9:$Z$9,0))-INDEX(terminal_curves,MATCH(L231,'TERMINAL CURVES'!$A$4:$A$313,0),MATCH(P$5,'TERMINAL CURVES'!$A$4:$N$4,0))*IF(F231=0,0,H231/F231))-(N$8)*((N$7-$N$5)-(INDEX(ship_curves,MATCH(L231,'SHIP CURVES'!$A$9:$A$316,0),MATCH(CONCATENATE(P$4,P$5,P$6,P$7),'SHIP CURVES'!$A$9:$Z$9,0))-INDEX(ship_curves,MATCH(L231,'SHIP CURVES'!$A$9:$A$316,0),MATCH(CONCATENATE(P$4,N$6,P$6,P$7),'SHIP CURVES'!$A$9:$Z$9,0)))-(INDEX(terminal_curves,MATCH(L231,'TERMINAL CURVES'!$A$4:$A$313,0),MATCH(P$5,'TERMINAL CURVES'!$A$4:$N$4,0))-INDEX(terminal_curves,MATCH(L231,'TERMINAL CURVES'!$A$4:$A$313,0),MATCH(N$6,'TERMINAL CURVES'!$A$4:$N$4,0)))*IF(F231=0,0,H231/F231)))*-F231</f>
        <v>0</v>
      </c>
      <c r="Q231" s="403">
        <f t="shared" si="101"/>
        <v>0</v>
      </c>
      <c r="R231" s="338">
        <f>(-H231/((HLOOKUP(P$5,port_specs,2,0)/(365.25))*(L232-L231)))*(INDEX(fixed_capacity_charge,MATCH(L231,PORTS!$H$11:$H$317,0),MATCH(P$5,PORTS!$H$11:$N$11,0))+INDEX(variable_om_charge,MATCH(L231,PORTS!$H$318:$H$625,0),MATCH(P$5,PORTS!$H$318:$N$318,0)))</f>
        <v>0</v>
      </c>
      <c r="S231" s="232">
        <f t="shared" si="102"/>
        <v>0</v>
      </c>
      <c r="T231" s="241">
        <f t="shared" si="103"/>
        <v>0</v>
      </c>
      <c r="V231" s="186">
        <f t="shared" si="118"/>
        <v>43191</v>
      </c>
      <c r="W231" s="215">
        <f t="shared" si="104"/>
        <v>0</v>
      </c>
      <c r="X231" s="191">
        <f t="shared" si="105"/>
        <v>0</v>
      </c>
      <c r="Y231" s="218">
        <f>+IF(AND(X$8&lt;=V231,X$9&gt;=V231),+MIN($B231-SUMIF($H$17:X$17,Y$17,$H231:X231),((INDEX(ROUTE_PER_DAY_BY_SHIP,MATCH(CONCATENATE(X$4,X$5,X$7),ROUTE_PER_DAY_ROUTES,0),MATCH(X$6,ROUTE_PER_DAY_SHIPS,0))*(V232-V231))-(INDEX(ROUTE_PER_DAY_BY_SHIP,MATCH(CONCATENATE(X$4,X$5,X$7),ROUTE_PER_DAY_ROUTES,0),MATCH(X$6,ROUTE_PER_DAY_SHIPS,0))*(V232-V231))*HLOOKUP(X$6,SHIPS,7,0)*INDEX(LADEN_VOYAGE_DAYS,MATCH(CONCATENATE(X$4,X$5,X$7),LADEN_VOYAGE_ROUTES,0),MATCH(X$6,LADEN_VOYAGE_SHIPS,0)))),0)</f>
        <v>0</v>
      </c>
      <c r="Z231" s="118">
        <f t="shared" si="106"/>
        <v>0</v>
      </c>
      <c r="AA231" s="215">
        <f t="shared" si="92"/>
        <v>0</v>
      </c>
      <c r="AB231" s="202"/>
      <c r="AC231" s="186">
        <f t="shared" si="119"/>
        <v>43191</v>
      </c>
      <c r="AD231" s="232">
        <f>+AA231*(VLOOKUP(AC231,CURVECALC!$C$6:$J$312,4,0)+AE$5)</f>
        <v>0</v>
      </c>
      <c r="AE231" s="208">
        <f>-W231*INDEX(ship_curves,MATCH(AC231,'SHIP CURVES'!$A$9:$A$316,0),MATCH(CONCATENATE(AG$4,AG$5,AG$6,AG$7),'SHIP CURVES'!$A$9:$AZ$9,0))</f>
        <v>0</v>
      </c>
      <c r="AF231" s="209">
        <f>-Y231*INDEX(port_processing_fee,MATCH(AC231,PORTS!$H$626:$H$933,0),MATCH(AG$5,PORTS!$H$626:$Z$626,0))</f>
        <v>0</v>
      </c>
      <c r="AG231" s="405">
        <f>(((VLOOKUP(AC231,curvecalc,4,0))*IF(W231=0,0,AA231/W231)-INDEX(ship_curves,MATCH(AC231,'SHIP CURVES'!$A$9:$A$316,0),MATCH(CONCATENATE(AG$4,AG$5,AG$6,AG$7),'SHIP CURVES'!$A$9:$Z$9,0))-INDEX(terminal_curves,MATCH(AC231,'TERMINAL CURVES'!$A$4:$A$313,0),MATCH(AG$5,'TERMINAL CURVES'!$A$4:$N$4,0))*IF(W231=0,0,Y231/W231))-(AE$8)*((AE$7-$N$5)-(INDEX(ship_curves,MATCH(AC231,'SHIP CURVES'!$A$9:$A$316,0),MATCH(CONCATENATE(AG$4,AG$5,AG$6,AG$7),'SHIP CURVES'!$A$9:$Z$9,0))-INDEX(ship_curves,MATCH(AC231,'SHIP CURVES'!$A$9:$A$316,0),MATCH(CONCATENATE(AG$4,AE$6,AG$6,AG$7),'SHIP CURVES'!$A$9:$Z$9,0)))-(INDEX(terminal_curves,MATCH(AC231,'TERMINAL CURVES'!$A$4:$A$313,0),MATCH(AG$5,'TERMINAL CURVES'!$A$4:$N$4,0))-INDEX(terminal_curves,MATCH(AC231,'TERMINAL CURVES'!$A$4:$A$313,0),MATCH(AE$6,'TERMINAL CURVES'!$A$4:$N$4,0)))*IF(W231=0,0,Y231/W231)))*-W231</f>
        <v>0</v>
      </c>
      <c r="AH231" s="343">
        <f t="shared" si="107"/>
        <v>0</v>
      </c>
      <c r="AI231" s="338">
        <f>(-Y231/((HLOOKUP(AG$5,port_specs,2,0)/(365.25))*(AC232-AC231)))*(INDEX(fixed_capacity_charge,MATCH(AC231,PORTS!$H$11:$H$317,0),MATCH(AG$5,PORTS!$H$11:$N$11,0))+INDEX(variable_om_charge,MATCH(AC231,PORTS!$H$318:$H$625,0),MATCH(AG$5,PORTS!$H$318:$N$318,0)))</f>
        <v>0</v>
      </c>
      <c r="AJ231" s="232">
        <f t="shared" si="108"/>
        <v>0</v>
      </c>
      <c r="AK231" s="241">
        <f t="shared" si="109"/>
        <v>0</v>
      </c>
      <c r="AM231" s="186">
        <f t="shared" si="120"/>
        <v>43191</v>
      </c>
      <c r="AN231" s="215">
        <f t="shared" si="110"/>
        <v>5221704.655509592</v>
      </c>
      <c r="AO231" s="191">
        <f t="shared" si="111"/>
        <v>-54827.898882850073</v>
      </c>
      <c r="AP231" s="218">
        <f>+IF(AND(AO$8&lt;=AM231,AO$9&gt;=AM231),+MIN($B231-SUMIF($H$17:AO$17,AP$17,$H231:AO231),((INDEX(ROUTE_PER_DAY_BY_SHIP,MATCH(CONCATENATE(AO$4,AO$5,AO$7),ROUTE_PER_DAY_ROUTES,0),MATCH(AO$6,ROUTE_PER_DAY_SHIPS,0))*(AM232-AM231))-(INDEX(ROUTE_PER_DAY_BY_SHIP,MATCH(CONCATENATE(AO$4,AO$5,AO$7),ROUTE_PER_DAY_ROUTES,0),MATCH(AO$6,ROUTE_PER_DAY_SHIPS,0))*(AM232-AM231))*HLOOKUP(AO$6,SHIPS,7,0)*INDEX(LADEN_VOYAGE_DAYS,MATCH(CONCATENATE(AO$4,AO$5,AO$7),LADEN_VOYAGE_ROUTES,0),MATCH(AO$6,LADEN_VOYAGE_SHIPS,0)))),0)</f>
        <v>5166876.756626742</v>
      </c>
      <c r="AQ231" s="118">
        <f>-(AP231)*PORTS!$I$6</f>
        <v>-129171.91891566856</v>
      </c>
      <c r="AR231" s="215">
        <f t="shared" si="93"/>
        <v>5037704.8377110735</v>
      </c>
      <c r="AS231" s="202"/>
      <c r="AT231" s="186">
        <f t="shared" si="121"/>
        <v>43191</v>
      </c>
      <c r="AU231" s="232">
        <f>+AR231*(VLOOKUP(AT231,CURVECALC!$C$6:$J$312,4,0)+AV$5)</f>
        <v>20881286.552312396</v>
      </c>
      <c r="AV231" s="208">
        <f>-AN231*INDEX(ship_curves,MATCH(AT231,'SHIP CURVES'!$A$9:$A$316,0),MATCH(CONCATENATE(AX$4,AX$5,AX$6,AX$7),'SHIP CURVES'!$A$9:$AZ$9,0))</f>
        <v>-1792185.1774109199</v>
      </c>
      <c r="AW231" s="209">
        <f>-AP231*INDEX(port_processing_fee,MATCH(AT231,PORTS!$H$626:$H$933,0),MATCH(AX$5,PORTS!$H$626:$Z$626,0))</f>
        <v>-170848.0619718743</v>
      </c>
      <c r="AX231" s="405">
        <f>(((VLOOKUP(AT231,curvecalc,4,0))*IF(AN231=0,0,AR231/AN231)-INDEX(ship_curves,MATCH(AT231,'SHIP CURVES'!$A$9:$A$316,0),MATCH(CONCATENATE(AX$4,AX$5,AX$6,AX$7),'SHIP CURVES'!$A$9:$Z$9,0))-INDEX(terminal_curves,MATCH(AT231,'TERMINAL CURVES'!$A$4:$A$313,0),MATCH(AX$5,'TERMINAL CURVES'!$A$4:$N$4,0))*IF(AN231=0,0,AP231/AN231))-(AV$8)*((AV$7-$N$5)-(INDEX(ship_curves,MATCH(AT231,'SHIP CURVES'!$A$9:$A$316,0),MATCH(CONCATENATE(AX$4,AX$5,AX$6,AX$7),'SHIP CURVES'!$A$9:$Z$9,0))-INDEX(ship_curves,MATCH(AT231,'SHIP CURVES'!$A$9:$A$316,0),MATCH(CONCATENATE(AX$4,AV$6,AX$6,AX$7),'SHIP CURVES'!$A$9:$Z$9,0)))-(INDEX(terminal_curves,MATCH(AT231,'TERMINAL CURVES'!$A$4:$A$313,0),MATCH(AX$5,'TERMINAL CURVES'!$A$4:$N$4,0))-INDEX(terminal_curves,MATCH(AT231,'TERMINAL CURVES'!$A$4:$A$313,0),MATCH(AV$6,'TERMINAL CURVES'!$A$4:$N$4,0)))*IF(AN231=0,0,AP231/AN231)))*-AN231</f>
        <v>-17763562.850749701</v>
      </c>
      <c r="AY231" s="343">
        <f t="shared" si="112"/>
        <v>-19726596.090132497</v>
      </c>
      <c r="AZ231" s="338">
        <f>(-AP231/((HLOOKUP(AX$5,port_specs,2,0)/(365.25))*(AT232-AT231)))*(INDEX(fixed_capacity_charge,MATCH(AT231,PORTS!$H$11:$H$317,0),MATCH(AX$5,PORTS!$H$11:$N$11,0))+INDEX(variable_om_charge,MATCH(AT231,PORTS!$H$318:$H$625,0),MATCH(AX$5,PORTS!$H$318:$N$318,0)))</f>
        <v>-1053936.3654256808</v>
      </c>
      <c r="BA231" s="232">
        <f t="shared" si="113"/>
        <v>-20780532.455558177</v>
      </c>
      <c r="BB231" s="241">
        <f t="shared" si="114"/>
        <v>100754.09675421938</v>
      </c>
      <c r="BC231" s="408"/>
      <c r="BD231" s="338">
        <f>+PORTS!I225+PORTS!I533</f>
        <v>1053936.3654256808</v>
      </c>
    </row>
    <row r="232" spans="1:56" x14ac:dyDescent="0.2">
      <c r="A232" s="186">
        <f t="shared" si="115"/>
        <v>43221</v>
      </c>
      <c r="B232" s="215">
        <f>+IF(AND($A232&gt;=$C$8,$A232&lt;=$C$9),1,0)*PORTS!$I$5/(365.25)*(A233-A232)</f>
        <v>5339105.9818476336</v>
      </c>
      <c r="C232" s="351">
        <f t="shared" si="94"/>
        <v>0</v>
      </c>
      <c r="D232">
        <f t="shared" si="95"/>
        <v>2018</v>
      </c>
      <c r="E232" s="186">
        <f t="shared" si="116"/>
        <v>43221</v>
      </c>
      <c r="F232" s="215">
        <f t="shared" si="96"/>
        <v>0</v>
      </c>
      <c r="G232" s="191">
        <f t="shared" si="97"/>
        <v>0</v>
      </c>
      <c r="H232" s="218">
        <f t="shared" si="98"/>
        <v>0</v>
      </c>
      <c r="I232" s="118">
        <f t="shared" si="99"/>
        <v>0</v>
      </c>
      <c r="J232" s="215">
        <f t="shared" si="100"/>
        <v>0</v>
      </c>
      <c r="K232" s="202"/>
      <c r="L232" s="186">
        <f t="shared" si="117"/>
        <v>43221</v>
      </c>
      <c r="M232" s="400">
        <f>+J232*(VLOOKUP(L232,CURVECALC!$C$6:$J$312,4,0)+N$5)</f>
        <v>0</v>
      </c>
      <c r="N232" s="208">
        <f>-F232*INDEX(ship_curves,MATCH(L232,'SHIP CURVES'!$A$9:$A$316,0),MATCH(CONCATENATE(P$4,P$5,P$6,P$7),'SHIP CURVES'!$A$9:$AZ$9,0))</f>
        <v>0</v>
      </c>
      <c r="O232" s="209">
        <f>-H232*INDEX(port_processing_fee,MATCH(L232,PORTS!$H$626:$H$933,0),MATCH(P$5,PORTS!$H$626:$Z$626,0))</f>
        <v>0</v>
      </c>
      <c r="P232" s="405">
        <f>(((VLOOKUP(L232,curvecalc,4,0))*IF(F232=0,0,J232/F232)-INDEX(ship_curves,MATCH(L232,'SHIP CURVES'!$A$9:$A$316,0),MATCH(CONCATENATE(P$4,P$5,P$6,P$7),'SHIP CURVES'!$A$9:$Z$9,0))-INDEX(terminal_curves,MATCH(L232,'TERMINAL CURVES'!$A$4:$A$313,0),MATCH(P$5,'TERMINAL CURVES'!$A$4:$N$4,0))*IF(F232=0,0,H232/F232))-(N$8)*((N$7-$N$5)-(INDEX(ship_curves,MATCH(L232,'SHIP CURVES'!$A$9:$A$316,0),MATCH(CONCATENATE(P$4,P$5,P$6,P$7),'SHIP CURVES'!$A$9:$Z$9,0))-INDEX(ship_curves,MATCH(L232,'SHIP CURVES'!$A$9:$A$316,0),MATCH(CONCATENATE(P$4,N$6,P$6,P$7),'SHIP CURVES'!$A$9:$Z$9,0)))-(INDEX(terminal_curves,MATCH(L232,'TERMINAL CURVES'!$A$4:$A$313,0),MATCH(P$5,'TERMINAL CURVES'!$A$4:$N$4,0))-INDEX(terminal_curves,MATCH(L232,'TERMINAL CURVES'!$A$4:$A$313,0),MATCH(N$6,'TERMINAL CURVES'!$A$4:$N$4,0)))*IF(F232=0,0,H232/F232)))*-F232</f>
        <v>0</v>
      </c>
      <c r="Q232" s="403">
        <f t="shared" si="101"/>
        <v>0</v>
      </c>
      <c r="R232" s="338">
        <f>(-H232/((HLOOKUP(P$5,port_specs,2,0)/(365.25))*(L233-L232)))*(INDEX(fixed_capacity_charge,MATCH(L232,PORTS!$H$11:$H$317,0),MATCH(P$5,PORTS!$H$11:$N$11,0))+INDEX(variable_om_charge,MATCH(L232,PORTS!$H$318:$H$625,0),MATCH(P$5,PORTS!$H$318:$N$318,0)))</f>
        <v>0</v>
      </c>
      <c r="S232" s="232">
        <f t="shared" si="102"/>
        <v>0</v>
      </c>
      <c r="T232" s="241">
        <f t="shared" si="103"/>
        <v>0</v>
      </c>
      <c r="V232" s="186">
        <f t="shared" si="118"/>
        <v>43221</v>
      </c>
      <c r="W232" s="215">
        <f t="shared" si="104"/>
        <v>0</v>
      </c>
      <c r="X232" s="191">
        <f t="shared" si="105"/>
        <v>0</v>
      </c>
      <c r="Y232" s="218">
        <f>+IF(AND(X$8&lt;=V232,X$9&gt;=V232),+MIN($B232-SUMIF($H$17:X$17,Y$17,$H232:X232),((INDEX(ROUTE_PER_DAY_BY_SHIP,MATCH(CONCATENATE(X$4,X$5,X$7),ROUTE_PER_DAY_ROUTES,0),MATCH(X$6,ROUTE_PER_DAY_SHIPS,0))*(V233-V232))-(INDEX(ROUTE_PER_DAY_BY_SHIP,MATCH(CONCATENATE(X$4,X$5,X$7),ROUTE_PER_DAY_ROUTES,0),MATCH(X$6,ROUTE_PER_DAY_SHIPS,0))*(V233-V232))*HLOOKUP(X$6,SHIPS,7,0)*INDEX(LADEN_VOYAGE_DAYS,MATCH(CONCATENATE(X$4,X$5,X$7),LADEN_VOYAGE_ROUTES,0),MATCH(X$6,LADEN_VOYAGE_SHIPS,0)))),0)</f>
        <v>0</v>
      </c>
      <c r="Z232" s="118">
        <f t="shared" si="106"/>
        <v>0</v>
      </c>
      <c r="AA232" s="215">
        <f t="shared" si="92"/>
        <v>0</v>
      </c>
      <c r="AB232" s="202"/>
      <c r="AC232" s="186">
        <f t="shared" si="119"/>
        <v>43221</v>
      </c>
      <c r="AD232" s="232">
        <f>+AA232*(VLOOKUP(AC232,CURVECALC!$C$6:$J$312,4,0)+AE$5)</f>
        <v>0</v>
      </c>
      <c r="AE232" s="208">
        <f>-W232*INDEX(ship_curves,MATCH(AC232,'SHIP CURVES'!$A$9:$A$316,0),MATCH(CONCATENATE(AG$4,AG$5,AG$6,AG$7),'SHIP CURVES'!$A$9:$AZ$9,0))</f>
        <v>0</v>
      </c>
      <c r="AF232" s="209">
        <f>-Y232*INDEX(port_processing_fee,MATCH(AC232,PORTS!$H$626:$H$933,0),MATCH(AG$5,PORTS!$H$626:$Z$626,0))</f>
        <v>0</v>
      </c>
      <c r="AG232" s="405">
        <f>(((VLOOKUP(AC232,curvecalc,4,0))*IF(W232=0,0,AA232/W232)-INDEX(ship_curves,MATCH(AC232,'SHIP CURVES'!$A$9:$A$316,0),MATCH(CONCATENATE(AG$4,AG$5,AG$6,AG$7),'SHIP CURVES'!$A$9:$Z$9,0))-INDEX(terminal_curves,MATCH(AC232,'TERMINAL CURVES'!$A$4:$A$313,0),MATCH(AG$5,'TERMINAL CURVES'!$A$4:$N$4,0))*IF(W232=0,0,Y232/W232))-(AE$8)*((AE$7-$N$5)-(INDEX(ship_curves,MATCH(AC232,'SHIP CURVES'!$A$9:$A$316,0),MATCH(CONCATENATE(AG$4,AG$5,AG$6,AG$7),'SHIP CURVES'!$A$9:$Z$9,0))-INDEX(ship_curves,MATCH(AC232,'SHIP CURVES'!$A$9:$A$316,0),MATCH(CONCATENATE(AG$4,AE$6,AG$6,AG$7),'SHIP CURVES'!$A$9:$Z$9,0)))-(INDEX(terminal_curves,MATCH(AC232,'TERMINAL CURVES'!$A$4:$A$313,0),MATCH(AG$5,'TERMINAL CURVES'!$A$4:$N$4,0))-INDEX(terminal_curves,MATCH(AC232,'TERMINAL CURVES'!$A$4:$A$313,0),MATCH(AE$6,'TERMINAL CURVES'!$A$4:$N$4,0)))*IF(W232=0,0,Y232/W232)))*-W232</f>
        <v>0</v>
      </c>
      <c r="AH232" s="343">
        <f t="shared" si="107"/>
        <v>0</v>
      </c>
      <c r="AI232" s="338">
        <f>(-Y232/((HLOOKUP(AG$5,port_specs,2,0)/(365.25))*(AC233-AC232)))*(INDEX(fixed_capacity_charge,MATCH(AC232,PORTS!$H$11:$H$317,0),MATCH(AG$5,PORTS!$H$11:$N$11,0))+INDEX(variable_om_charge,MATCH(AC232,PORTS!$H$318:$H$625,0),MATCH(AG$5,PORTS!$H$318:$N$318,0)))</f>
        <v>0</v>
      </c>
      <c r="AJ232" s="232">
        <f t="shared" si="108"/>
        <v>0</v>
      </c>
      <c r="AK232" s="241">
        <f t="shared" si="109"/>
        <v>0</v>
      </c>
      <c r="AM232" s="186">
        <f t="shared" si="120"/>
        <v>43221</v>
      </c>
      <c r="AN232" s="215">
        <f t="shared" si="110"/>
        <v>5395761.4773599124</v>
      </c>
      <c r="AO232" s="191">
        <f t="shared" si="111"/>
        <v>-56655.495512278751</v>
      </c>
      <c r="AP232" s="218">
        <f>+IF(AND(AO$8&lt;=AM232,AO$9&gt;=AM232),+MIN($B232-SUMIF($H$17:AO$17,AP$17,$H232:AO232),((INDEX(ROUTE_PER_DAY_BY_SHIP,MATCH(CONCATENATE(AO$4,AO$5,AO$7),ROUTE_PER_DAY_ROUTES,0),MATCH(AO$6,ROUTE_PER_DAY_SHIPS,0))*(AM233-AM232))-(INDEX(ROUTE_PER_DAY_BY_SHIP,MATCH(CONCATENATE(AO$4,AO$5,AO$7),ROUTE_PER_DAY_ROUTES,0),MATCH(AO$6,ROUTE_PER_DAY_SHIPS,0))*(AM233-AM232))*HLOOKUP(AO$6,SHIPS,7,0)*INDEX(LADEN_VOYAGE_DAYS,MATCH(CONCATENATE(AO$4,AO$5,AO$7),LADEN_VOYAGE_ROUTES,0),MATCH(AO$6,LADEN_VOYAGE_SHIPS,0)))),0)</f>
        <v>5339105.9818476336</v>
      </c>
      <c r="AQ232" s="118">
        <f>-(AP232)*PORTS!$I$6</f>
        <v>-133477.64954619083</v>
      </c>
      <c r="AR232" s="215">
        <f t="shared" si="93"/>
        <v>5205628.3323014425</v>
      </c>
      <c r="AS232" s="202"/>
      <c r="AT232" s="186">
        <f t="shared" si="121"/>
        <v>43221</v>
      </c>
      <c r="AU232" s="232">
        <f>+AR232*(VLOOKUP(AT232,CURVECALC!$C$6:$J$312,4,0)+AV$5)</f>
        <v>21577329.437389478</v>
      </c>
      <c r="AV232" s="208">
        <f>-AN232*INDEX(ship_curves,MATCH(AT232,'SHIP CURVES'!$A$9:$A$316,0),MATCH(CONCATENATE(AX$4,AX$5,AX$6,AX$7),'SHIP CURVES'!$A$9:$AZ$9,0))</f>
        <v>-1852587.1769835933</v>
      </c>
      <c r="AW232" s="209">
        <f>-AP232*INDEX(port_processing_fee,MATCH(AT232,PORTS!$H$626:$H$933,0),MATCH(AX$5,PORTS!$H$626:$Z$626,0))</f>
        <v>-176726.89632653151</v>
      </c>
      <c r="AX232" s="405">
        <f>(((VLOOKUP(AT232,curvecalc,4,0))*IF(AN232=0,0,AR232/AN232)-INDEX(ship_curves,MATCH(AT232,'SHIP CURVES'!$A$9:$A$316,0),MATCH(CONCATENATE(AX$4,AX$5,AX$6,AX$7),'SHIP CURVES'!$A$9:$Z$9,0))-INDEX(terminal_curves,MATCH(AT232,'TERMINAL CURVES'!$A$4:$A$313,0),MATCH(AX$5,'TERMINAL CURVES'!$A$4:$N$4,0))*IF(AN232=0,0,AP232/AN232))-(AV$8)*((AV$7-$N$5)-(INDEX(ship_curves,MATCH(AT232,'SHIP CURVES'!$A$9:$A$316,0),MATCH(CONCATENATE(AX$4,AX$5,AX$6,AX$7),'SHIP CURVES'!$A$9:$Z$9,0))-INDEX(ship_curves,MATCH(AT232,'SHIP CURVES'!$A$9:$A$316,0),MATCH(CONCATENATE(AX$4,AV$6,AX$6,AX$7),'SHIP CURVES'!$A$9:$Z$9,0)))-(INDEX(terminal_curves,MATCH(AT232,'TERMINAL CURVES'!$A$4:$A$313,0),MATCH(AX$5,'TERMINAL CURVES'!$A$4:$N$4,0))-INDEX(terminal_curves,MATCH(AT232,'TERMINAL CURVES'!$A$4:$A$313,0),MATCH(AV$6,'TERMINAL CURVES'!$A$4:$N$4,0)))*IF(AN232=0,0,AP232/AN232)))*-AN232</f>
        <v>-18389373.984305024</v>
      </c>
      <c r="AY232" s="343">
        <f t="shared" si="112"/>
        <v>-20418688.05761515</v>
      </c>
      <c r="AZ232" s="338">
        <f>(-AP232/((HLOOKUP(AX$5,port_specs,2,0)/(365.25))*(AT233-AT232)))*(INDEX(fixed_capacity_charge,MATCH(AT232,PORTS!$H$11:$H$317,0),MATCH(AX$5,PORTS!$H$11:$N$11,0))+INDEX(variable_om_charge,MATCH(AT232,PORTS!$H$318:$H$625,0),MATCH(AX$5,PORTS!$H$318:$N$318,0)))</f>
        <v>-1054528.813128303</v>
      </c>
      <c r="BA232" s="232">
        <f t="shared" si="113"/>
        <v>-21473216.870743454</v>
      </c>
      <c r="BB232" s="241">
        <f t="shared" si="114"/>
        <v>104112.56664602458</v>
      </c>
      <c r="BC232" s="408"/>
      <c r="BD232" s="338">
        <f>+PORTS!I226+PORTS!I534</f>
        <v>1054528.813128303</v>
      </c>
    </row>
    <row r="233" spans="1:56" x14ac:dyDescent="0.2">
      <c r="A233" s="186">
        <f t="shared" si="115"/>
        <v>43252</v>
      </c>
      <c r="B233" s="215">
        <f>+IF(AND($A233&gt;=$C$8,$A233&lt;=$C$9),1,0)*PORTS!$I$5/(365.25)*(A234-A233)</f>
        <v>5166876.756626742</v>
      </c>
      <c r="C233" s="351">
        <f t="shared" si="94"/>
        <v>0</v>
      </c>
      <c r="D233">
        <f t="shared" si="95"/>
        <v>2018</v>
      </c>
      <c r="E233" s="186">
        <f t="shared" si="116"/>
        <v>43252</v>
      </c>
      <c r="F233" s="215">
        <f t="shared" si="96"/>
        <v>0</v>
      </c>
      <c r="G233" s="191">
        <f t="shared" si="97"/>
        <v>0</v>
      </c>
      <c r="H233" s="218">
        <f t="shared" si="98"/>
        <v>0</v>
      </c>
      <c r="I233" s="118">
        <f t="shared" si="99"/>
        <v>0</v>
      </c>
      <c r="J233" s="215">
        <f t="shared" si="100"/>
        <v>0</v>
      </c>
      <c r="K233" s="202"/>
      <c r="L233" s="186">
        <f t="shared" si="117"/>
        <v>43252</v>
      </c>
      <c r="M233" s="400">
        <f>+J233*(VLOOKUP(L233,CURVECALC!$C$6:$J$312,4,0)+N$5)</f>
        <v>0</v>
      </c>
      <c r="N233" s="208">
        <f>-F233*INDEX(ship_curves,MATCH(L233,'SHIP CURVES'!$A$9:$A$316,0),MATCH(CONCATENATE(P$4,P$5,P$6,P$7),'SHIP CURVES'!$A$9:$AZ$9,0))</f>
        <v>0</v>
      </c>
      <c r="O233" s="209">
        <f>-H233*INDEX(port_processing_fee,MATCH(L233,PORTS!$H$626:$H$933,0),MATCH(P$5,PORTS!$H$626:$Z$626,0))</f>
        <v>0</v>
      </c>
      <c r="P233" s="405">
        <f>(((VLOOKUP(L233,curvecalc,4,0))*IF(F233=0,0,J233/F233)-INDEX(ship_curves,MATCH(L233,'SHIP CURVES'!$A$9:$A$316,0),MATCH(CONCATENATE(P$4,P$5,P$6,P$7),'SHIP CURVES'!$A$9:$Z$9,0))-INDEX(terminal_curves,MATCH(L233,'TERMINAL CURVES'!$A$4:$A$313,0),MATCH(P$5,'TERMINAL CURVES'!$A$4:$N$4,0))*IF(F233=0,0,H233/F233))-(N$8)*((N$7-$N$5)-(INDEX(ship_curves,MATCH(L233,'SHIP CURVES'!$A$9:$A$316,0),MATCH(CONCATENATE(P$4,P$5,P$6,P$7),'SHIP CURVES'!$A$9:$Z$9,0))-INDEX(ship_curves,MATCH(L233,'SHIP CURVES'!$A$9:$A$316,0),MATCH(CONCATENATE(P$4,N$6,P$6,P$7),'SHIP CURVES'!$A$9:$Z$9,0)))-(INDEX(terminal_curves,MATCH(L233,'TERMINAL CURVES'!$A$4:$A$313,0),MATCH(P$5,'TERMINAL CURVES'!$A$4:$N$4,0))-INDEX(terminal_curves,MATCH(L233,'TERMINAL CURVES'!$A$4:$A$313,0),MATCH(N$6,'TERMINAL CURVES'!$A$4:$N$4,0)))*IF(F233=0,0,H233/F233)))*-F233</f>
        <v>0</v>
      </c>
      <c r="Q233" s="403">
        <f t="shared" si="101"/>
        <v>0</v>
      </c>
      <c r="R233" s="338">
        <f>(-H233/((HLOOKUP(P$5,port_specs,2,0)/(365.25))*(L234-L233)))*(INDEX(fixed_capacity_charge,MATCH(L233,PORTS!$H$11:$H$317,0),MATCH(P$5,PORTS!$H$11:$N$11,0))+INDEX(variable_om_charge,MATCH(L233,PORTS!$H$318:$H$625,0),MATCH(P$5,PORTS!$H$318:$N$318,0)))</f>
        <v>0</v>
      </c>
      <c r="S233" s="232">
        <f t="shared" si="102"/>
        <v>0</v>
      </c>
      <c r="T233" s="241">
        <f t="shared" si="103"/>
        <v>0</v>
      </c>
      <c r="V233" s="186">
        <f t="shared" si="118"/>
        <v>43252</v>
      </c>
      <c r="W233" s="215">
        <f t="shared" si="104"/>
        <v>0</v>
      </c>
      <c r="X233" s="191">
        <f t="shared" si="105"/>
        <v>0</v>
      </c>
      <c r="Y233" s="218">
        <f>+IF(AND(X$8&lt;=V233,X$9&gt;=V233),+MIN($B233-SUMIF($H$17:X$17,Y$17,$H233:X233),((INDEX(ROUTE_PER_DAY_BY_SHIP,MATCH(CONCATENATE(X$4,X$5,X$7),ROUTE_PER_DAY_ROUTES,0),MATCH(X$6,ROUTE_PER_DAY_SHIPS,0))*(V234-V233))-(INDEX(ROUTE_PER_DAY_BY_SHIP,MATCH(CONCATENATE(X$4,X$5,X$7),ROUTE_PER_DAY_ROUTES,0),MATCH(X$6,ROUTE_PER_DAY_SHIPS,0))*(V234-V233))*HLOOKUP(X$6,SHIPS,7,0)*INDEX(LADEN_VOYAGE_DAYS,MATCH(CONCATENATE(X$4,X$5,X$7),LADEN_VOYAGE_ROUTES,0),MATCH(X$6,LADEN_VOYAGE_SHIPS,0)))),0)</f>
        <v>0</v>
      </c>
      <c r="Z233" s="118">
        <f t="shared" si="106"/>
        <v>0</v>
      </c>
      <c r="AA233" s="215">
        <f t="shared" si="92"/>
        <v>0</v>
      </c>
      <c r="AB233" s="202"/>
      <c r="AC233" s="186">
        <f t="shared" si="119"/>
        <v>43252</v>
      </c>
      <c r="AD233" s="232">
        <f>+AA233*(VLOOKUP(AC233,CURVECALC!$C$6:$J$312,4,0)+AE$5)</f>
        <v>0</v>
      </c>
      <c r="AE233" s="208">
        <f>-W233*INDEX(ship_curves,MATCH(AC233,'SHIP CURVES'!$A$9:$A$316,0),MATCH(CONCATENATE(AG$4,AG$5,AG$6,AG$7),'SHIP CURVES'!$A$9:$AZ$9,0))</f>
        <v>0</v>
      </c>
      <c r="AF233" s="209">
        <f>-Y233*INDEX(port_processing_fee,MATCH(AC233,PORTS!$H$626:$H$933,0),MATCH(AG$5,PORTS!$H$626:$Z$626,0))</f>
        <v>0</v>
      </c>
      <c r="AG233" s="405">
        <f>(((VLOOKUP(AC233,curvecalc,4,0))*IF(W233=0,0,AA233/W233)-INDEX(ship_curves,MATCH(AC233,'SHIP CURVES'!$A$9:$A$316,0),MATCH(CONCATENATE(AG$4,AG$5,AG$6,AG$7),'SHIP CURVES'!$A$9:$Z$9,0))-INDEX(terminal_curves,MATCH(AC233,'TERMINAL CURVES'!$A$4:$A$313,0),MATCH(AG$5,'TERMINAL CURVES'!$A$4:$N$4,0))*IF(W233=0,0,Y233/W233))-(AE$8)*((AE$7-$N$5)-(INDEX(ship_curves,MATCH(AC233,'SHIP CURVES'!$A$9:$A$316,0),MATCH(CONCATENATE(AG$4,AG$5,AG$6,AG$7),'SHIP CURVES'!$A$9:$Z$9,0))-INDEX(ship_curves,MATCH(AC233,'SHIP CURVES'!$A$9:$A$316,0),MATCH(CONCATENATE(AG$4,AE$6,AG$6,AG$7),'SHIP CURVES'!$A$9:$Z$9,0)))-(INDEX(terminal_curves,MATCH(AC233,'TERMINAL CURVES'!$A$4:$A$313,0),MATCH(AG$5,'TERMINAL CURVES'!$A$4:$N$4,0))-INDEX(terminal_curves,MATCH(AC233,'TERMINAL CURVES'!$A$4:$A$313,0),MATCH(AE$6,'TERMINAL CURVES'!$A$4:$N$4,0)))*IF(W233=0,0,Y233/W233)))*-W233</f>
        <v>0</v>
      </c>
      <c r="AH233" s="343">
        <f t="shared" si="107"/>
        <v>0</v>
      </c>
      <c r="AI233" s="338">
        <f>(-Y233/((HLOOKUP(AG$5,port_specs,2,0)/(365.25))*(AC234-AC233)))*(INDEX(fixed_capacity_charge,MATCH(AC233,PORTS!$H$11:$H$317,0),MATCH(AG$5,PORTS!$H$11:$N$11,0))+INDEX(variable_om_charge,MATCH(AC233,PORTS!$H$318:$H$625,0),MATCH(AG$5,PORTS!$H$318:$N$318,0)))</f>
        <v>0</v>
      </c>
      <c r="AJ233" s="232">
        <f t="shared" si="108"/>
        <v>0</v>
      </c>
      <c r="AK233" s="241">
        <f t="shared" si="109"/>
        <v>0</v>
      </c>
      <c r="AM233" s="186">
        <f t="shared" si="120"/>
        <v>43252</v>
      </c>
      <c r="AN233" s="215">
        <f t="shared" si="110"/>
        <v>5221704.655509592</v>
      </c>
      <c r="AO233" s="191">
        <f t="shared" si="111"/>
        <v>-54827.898882850073</v>
      </c>
      <c r="AP233" s="218">
        <f>+IF(AND(AO$8&lt;=AM233,AO$9&gt;=AM233),+MIN($B233-SUMIF($H$17:AO$17,AP$17,$H233:AO233),((INDEX(ROUTE_PER_DAY_BY_SHIP,MATCH(CONCATENATE(AO$4,AO$5,AO$7),ROUTE_PER_DAY_ROUTES,0),MATCH(AO$6,ROUTE_PER_DAY_SHIPS,0))*(AM234-AM233))-(INDEX(ROUTE_PER_DAY_BY_SHIP,MATCH(CONCATENATE(AO$4,AO$5,AO$7),ROUTE_PER_DAY_ROUTES,0),MATCH(AO$6,ROUTE_PER_DAY_SHIPS,0))*(AM234-AM233))*HLOOKUP(AO$6,SHIPS,7,0)*INDEX(LADEN_VOYAGE_DAYS,MATCH(CONCATENATE(AO$4,AO$5,AO$7),LADEN_VOYAGE_ROUTES,0),MATCH(AO$6,LADEN_VOYAGE_SHIPS,0)))),0)</f>
        <v>5166876.756626742</v>
      </c>
      <c r="AQ233" s="118">
        <f>-(AP233)*PORTS!$I$6</f>
        <v>-129171.91891566856</v>
      </c>
      <c r="AR233" s="215">
        <f t="shared" si="93"/>
        <v>5037704.8377110735</v>
      </c>
      <c r="AS233" s="202"/>
      <c r="AT233" s="186">
        <f t="shared" si="121"/>
        <v>43252</v>
      </c>
      <c r="AU233" s="232">
        <f>+AR233*(VLOOKUP(AT233,CURVECALC!$C$6:$J$312,4,0)+AV$5)</f>
        <v>21107983.270009395</v>
      </c>
      <c r="AV233" s="208">
        <f>-AN233*INDEX(ship_curves,MATCH(AT233,'SHIP CURVES'!$A$9:$A$316,0),MATCH(CONCATENATE(AX$4,AX$5,AX$6,AX$7),'SHIP CURVES'!$A$9:$AZ$9,0))</f>
        <v>-1793468.7588751859</v>
      </c>
      <c r="AW233" s="209">
        <f>-AP233*INDEX(port_processing_fee,MATCH(AT233,PORTS!$H$626:$H$933,0),MATCH(AX$5,PORTS!$H$626:$Z$626,0))</f>
        <v>-171204.1808163274</v>
      </c>
      <c r="AX233" s="405">
        <f>(((VLOOKUP(AT233,curvecalc,4,0))*IF(AN233=0,0,AR233/AN233)-INDEX(ship_curves,MATCH(AT233,'SHIP CURVES'!$A$9:$A$316,0),MATCH(CONCATENATE(AX$4,AX$5,AX$6,AX$7),'SHIP CURVES'!$A$9:$Z$9,0))-INDEX(terminal_curves,MATCH(AT233,'TERMINAL CURVES'!$A$4:$A$313,0),MATCH(AX$5,'TERMINAL CURVES'!$A$4:$N$4,0))*IF(AN233=0,0,AP233/AN233))-(AV$8)*((AV$7-$N$5)-(INDEX(ship_curves,MATCH(AT233,'SHIP CURVES'!$A$9:$A$316,0),MATCH(CONCATENATE(AX$4,AX$5,AX$6,AX$7),'SHIP CURVES'!$A$9:$Z$9,0))-INDEX(ship_curves,MATCH(AT233,'SHIP CURVES'!$A$9:$A$316,0),MATCH(CONCATENATE(AX$4,AV$6,AX$6,AX$7),'SHIP CURVES'!$A$9:$Z$9,0)))-(INDEX(terminal_curves,MATCH(AT233,'TERMINAL CURVES'!$A$4:$A$313,0),MATCH(AX$5,'TERMINAL CURVES'!$A$4:$N$4,0))-INDEX(terminal_curves,MATCH(AT233,'TERMINAL CURVES'!$A$4:$A$313,0),MATCH(AV$6,'TERMINAL CURVES'!$A$4:$N$4,0)))*IF(AN233=0,0,AP233/AN233)))*-AN233</f>
        <v>-17987434.355599713</v>
      </c>
      <c r="AY233" s="343">
        <f t="shared" si="112"/>
        <v>-19952107.295291226</v>
      </c>
      <c r="AZ233" s="338">
        <f>(-AP233/((HLOOKUP(AX$5,port_specs,2,0)/(365.25))*(AT234-AT233)))*(INDEX(fixed_capacity_charge,MATCH(AT233,PORTS!$H$11:$H$317,0),MATCH(AX$5,PORTS!$H$11:$N$11,0))+INDEX(variable_om_charge,MATCH(AT233,PORTS!$H$318:$H$625,0),MATCH(AX$5,PORTS!$H$318:$N$318,0)))</f>
        <v>-1055121.8779639488</v>
      </c>
      <c r="BA233" s="232">
        <f t="shared" si="113"/>
        <v>-21007229.173255175</v>
      </c>
      <c r="BB233" s="241">
        <f t="shared" si="114"/>
        <v>100754.09675421938</v>
      </c>
      <c r="BC233" s="408"/>
      <c r="BD233" s="338">
        <f>+PORTS!I227+PORTS!I535</f>
        <v>1055121.8779639488</v>
      </c>
    </row>
    <row r="234" spans="1:56" x14ac:dyDescent="0.2">
      <c r="A234" s="186">
        <f t="shared" si="115"/>
        <v>43282</v>
      </c>
      <c r="B234" s="215">
        <f>+IF(AND($A234&gt;=$C$8,$A234&lt;=$C$9),1,0)*PORTS!$I$5/(365.25)*(A235-A234)</f>
        <v>5339105.9818476336</v>
      </c>
      <c r="C234" s="351">
        <f t="shared" si="94"/>
        <v>0</v>
      </c>
      <c r="D234">
        <f t="shared" si="95"/>
        <v>2018</v>
      </c>
      <c r="E234" s="186">
        <f t="shared" si="116"/>
        <v>43282</v>
      </c>
      <c r="F234" s="215">
        <f t="shared" si="96"/>
        <v>0</v>
      </c>
      <c r="G234" s="191">
        <f t="shared" si="97"/>
        <v>0</v>
      </c>
      <c r="H234" s="218">
        <f t="shared" si="98"/>
        <v>0</v>
      </c>
      <c r="I234" s="118">
        <f t="shared" si="99"/>
        <v>0</v>
      </c>
      <c r="J234" s="215">
        <f t="shared" si="100"/>
        <v>0</v>
      </c>
      <c r="K234" s="202"/>
      <c r="L234" s="186">
        <f t="shared" si="117"/>
        <v>43282</v>
      </c>
      <c r="M234" s="400">
        <f>+J234*(VLOOKUP(L234,CURVECALC!$C$6:$J$312,4,0)+N$5)</f>
        <v>0</v>
      </c>
      <c r="N234" s="208">
        <f>-F234*INDEX(ship_curves,MATCH(L234,'SHIP CURVES'!$A$9:$A$316,0),MATCH(CONCATENATE(P$4,P$5,P$6,P$7),'SHIP CURVES'!$A$9:$AZ$9,0))</f>
        <v>0</v>
      </c>
      <c r="O234" s="209">
        <f>-H234*INDEX(port_processing_fee,MATCH(L234,PORTS!$H$626:$H$933,0),MATCH(P$5,PORTS!$H$626:$Z$626,0))</f>
        <v>0</v>
      </c>
      <c r="P234" s="405">
        <f>(((VLOOKUP(L234,curvecalc,4,0))*IF(F234=0,0,J234/F234)-INDEX(ship_curves,MATCH(L234,'SHIP CURVES'!$A$9:$A$316,0),MATCH(CONCATENATE(P$4,P$5,P$6,P$7),'SHIP CURVES'!$A$9:$Z$9,0))-INDEX(terminal_curves,MATCH(L234,'TERMINAL CURVES'!$A$4:$A$313,0),MATCH(P$5,'TERMINAL CURVES'!$A$4:$N$4,0))*IF(F234=0,0,H234/F234))-(N$8)*((N$7-$N$5)-(INDEX(ship_curves,MATCH(L234,'SHIP CURVES'!$A$9:$A$316,0),MATCH(CONCATENATE(P$4,P$5,P$6,P$7),'SHIP CURVES'!$A$9:$Z$9,0))-INDEX(ship_curves,MATCH(L234,'SHIP CURVES'!$A$9:$A$316,0),MATCH(CONCATENATE(P$4,N$6,P$6,P$7),'SHIP CURVES'!$A$9:$Z$9,0)))-(INDEX(terminal_curves,MATCH(L234,'TERMINAL CURVES'!$A$4:$A$313,0),MATCH(P$5,'TERMINAL CURVES'!$A$4:$N$4,0))-INDEX(terminal_curves,MATCH(L234,'TERMINAL CURVES'!$A$4:$A$313,0),MATCH(N$6,'TERMINAL CURVES'!$A$4:$N$4,0)))*IF(F234=0,0,H234/F234)))*-F234</f>
        <v>0</v>
      </c>
      <c r="Q234" s="403">
        <f t="shared" si="101"/>
        <v>0</v>
      </c>
      <c r="R234" s="338">
        <f>(-H234/((HLOOKUP(P$5,port_specs,2,0)/(365.25))*(L235-L234)))*(INDEX(fixed_capacity_charge,MATCH(L234,PORTS!$H$11:$H$317,0),MATCH(P$5,PORTS!$H$11:$N$11,0))+INDEX(variable_om_charge,MATCH(L234,PORTS!$H$318:$H$625,0),MATCH(P$5,PORTS!$H$318:$N$318,0)))</f>
        <v>0</v>
      </c>
      <c r="S234" s="232">
        <f t="shared" si="102"/>
        <v>0</v>
      </c>
      <c r="T234" s="241">
        <f t="shared" si="103"/>
        <v>0</v>
      </c>
      <c r="V234" s="186">
        <f t="shared" si="118"/>
        <v>43282</v>
      </c>
      <c r="W234" s="215">
        <f t="shared" si="104"/>
        <v>0</v>
      </c>
      <c r="X234" s="191">
        <f t="shared" si="105"/>
        <v>0</v>
      </c>
      <c r="Y234" s="218">
        <f>+IF(AND(X$8&lt;=V234,X$9&gt;=V234),+MIN($B234-SUMIF($H$17:X$17,Y$17,$H234:X234),((INDEX(ROUTE_PER_DAY_BY_SHIP,MATCH(CONCATENATE(X$4,X$5,X$7),ROUTE_PER_DAY_ROUTES,0),MATCH(X$6,ROUTE_PER_DAY_SHIPS,0))*(V235-V234))-(INDEX(ROUTE_PER_DAY_BY_SHIP,MATCH(CONCATENATE(X$4,X$5,X$7),ROUTE_PER_DAY_ROUTES,0),MATCH(X$6,ROUTE_PER_DAY_SHIPS,0))*(V235-V234))*HLOOKUP(X$6,SHIPS,7,0)*INDEX(LADEN_VOYAGE_DAYS,MATCH(CONCATENATE(X$4,X$5,X$7),LADEN_VOYAGE_ROUTES,0),MATCH(X$6,LADEN_VOYAGE_SHIPS,0)))),0)</f>
        <v>0</v>
      </c>
      <c r="Z234" s="118">
        <f t="shared" si="106"/>
        <v>0</v>
      </c>
      <c r="AA234" s="215">
        <f t="shared" si="92"/>
        <v>0</v>
      </c>
      <c r="AB234" s="202"/>
      <c r="AC234" s="186">
        <f t="shared" si="119"/>
        <v>43282</v>
      </c>
      <c r="AD234" s="232">
        <f>+AA234*(VLOOKUP(AC234,CURVECALC!$C$6:$J$312,4,0)+AE$5)</f>
        <v>0</v>
      </c>
      <c r="AE234" s="208">
        <f>-W234*INDEX(ship_curves,MATCH(AC234,'SHIP CURVES'!$A$9:$A$316,0),MATCH(CONCATENATE(AG$4,AG$5,AG$6,AG$7),'SHIP CURVES'!$A$9:$AZ$9,0))</f>
        <v>0</v>
      </c>
      <c r="AF234" s="209">
        <f>-Y234*INDEX(port_processing_fee,MATCH(AC234,PORTS!$H$626:$H$933,0),MATCH(AG$5,PORTS!$H$626:$Z$626,0))</f>
        <v>0</v>
      </c>
      <c r="AG234" s="405">
        <f>(((VLOOKUP(AC234,curvecalc,4,0))*IF(W234=0,0,AA234/W234)-INDEX(ship_curves,MATCH(AC234,'SHIP CURVES'!$A$9:$A$316,0),MATCH(CONCATENATE(AG$4,AG$5,AG$6,AG$7),'SHIP CURVES'!$A$9:$Z$9,0))-INDEX(terminal_curves,MATCH(AC234,'TERMINAL CURVES'!$A$4:$A$313,0),MATCH(AG$5,'TERMINAL CURVES'!$A$4:$N$4,0))*IF(W234=0,0,Y234/W234))-(AE$8)*((AE$7-$N$5)-(INDEX(ship_curves,MATCH(AC234,'SHIP CURVES'!$A$9:$A$316,0),MATCH(CONCATENATE(AG$4,AG$5,AG$6,AG$7),'SHIP CURVES'!$A$9:$Z$9,0))-INDEX(ship_curves,MATCH(AC234,'SHIP CURVES'!$A$9:$A$316,0),MATCH(CONCATENATE(AG$4,AE$6,AG$6,AG$7),'SHIP CURVES'!$A$9:$Z$9,0)))-(INDEX(terminal_curves,MATCH(AC234,'TERMINAL CURVES'!$A$4:$A$313,0),MATCH(AG$5,'TERMINAL CURVES'!$A$4:$N$4,0))-INDEX(terminal_curves,MATCH(AC234,'TERMINAL CURVES'!$A$4:$A$313,0),MATCH(AE$6,'TERMINAL CURVES'!$A$4:$N$4,0)))*IF(W234=0,0,Y234/W234)))*-W234</f>
        <v>0</v>
      </c>
      <c r="AH234" s="343">
        <f t="shared" si="107"/>
        <v>0</v>
      </c>
      <c r="AI234" s="338">
        <f>(-Y234/((HLOOKUP(AG$5,port_specs,2,0)/(365.25))*(AC235-AC234)))*(INDEX(fixed_capacity_charge,MATCH(AC234,PORTS!$H$11:$H$317,0),MATCH(AG$5,PORTS!$H$11:$N$11,0))+INDEX(variable_om_charge,MATCH(AC234,PORTS!$H$318:$H$625,0),MATCH(AG$5,PORTS!$H$318:$N$318,0)))</f>
        <v>0</v>
      </c>
      <c r="AJ234" s="232">
        <f t="shared" si="108"/>
        <v>0</v>
      </c>
      <c r="AK234" s="241">
        <f t="shared" si="109"/>
        <v>0</v>
      </c>
      <c r="AM234" s="186">
        <f t="shared" si="120"/>
        <v>43282</v>
      </c>
      <c r="AN234" s="215">
        <f t="shared" si="110"/>
        <v>5395761.4773599124</v>
      </c>
      <c r="AO234" s="191">
        <f t="shared" si="111"/>
        <v>-56655.495512278751</v>
      </c>
      <c r="AP234" s="218">
        <f>+IF(AND(AO$8&lt;=AM234,AO$9&gt;=AM234),+MIN($B234-SUMIF($H$17:AO$17,AP$17,$H234:AO234),((INDEX(ROUTE_PER_DAY_BY_SHIP,MATCH(CONCATENATE(AO$4,AO$5,AO$7),ROUTE_PER_DAY_ROUTES,0),MATCH(AO$6,ROUTE_PER_DAY_SHIPS,0))*(AM235-AM234))-(INDEX(ROUTE_PER_DAY_BY_SHIP,MATCH(CONCATENATE(AO$4,AO$5,AO$7),ROUTE_PER_DAY_ROUTES,0),MATCH(AO$6,ROUTE_PER_DAY_SHIPS,0))*(AM235-AM234))*HLOOKUP(AO$6,SHIPS,7,0)*INDEX(LADEN_VOYAGE_DAYS,MATCH(CONCATENATE(AO$4,AO$5,AO$7),LADEN_VOYAGE_ROUTES,0),MATCH(AO$6,LADEN_VOYAGE_SHIPS,0)))),0)</f>
        <v>5339105.9818476336</v>
      </c>
      <c r="AQ234" s="118">
        <f>-(AP234)*PORTS!$I$6</f>
        <v>-133477.64954619083</v>
      </c>
      <c r="AR234" s="215">
        <f t="shared" si="93"/>
        <v>5205628.3323014425</v>
      </c>
      <c r="AS234" s="202"/>
      <c r="AT234" s="186">
        <f t="shared" si="121"/>
        <v>43282</v>
      </c>
      <c r="AU234" s="232">
        <f>+AR234*(VLOOKUP(AT234,CURVECALC!$C$6:$J$312,4,0)+AV$5)</f>
        <v>21811582.712343041</v>
      </c>
      <c r="AV234" s="208">
        <f>-AN234*INDEX(ship_curves,MATCH(AT234,'SHIP CURVES'!$A$9:$A$316,0),MATCH(CONCATENATE(AX$4,AX$5,AX$6,AX$7),'SHIP CURVES'!$A$9:$AZ$9,0))</f>
        <v>-1853916.3077623202</v>
      </c>
      <c r="AW234" s="209">
        <f>-AP234*INDEX(port_processing_fee,MATCH(AT234,PORTS!$H$626:$H$933,0),MATCH(AX$5,PORTS!$H$626:$Z$626,0))</f>
        <v>-177095.26912150034</v>
      </c>
      <c r="AX234" s="405">
        <f>(((VLOOKUP(AT234,curvecalc,4,0))*IF(AN234=0,0,AR234/AN234)-INDEX(ship_curves,MATCH(AT234,'SHIP CURVES'!$A$9:$A$316,0),MATCH(CONCATENATE(AX$4,AX$5,AX$6,AX$7),'SHIP CURVES'!$A$9:$Z$9,0))-INDEX(terminal_curves,MATCH(AT234,'TERMINAL CURVES'!$A$4:$A$313,0),MATCH(AX$5,'TERMINAL CURVES'!$A$4:$N$4,0))*IF(AN234=0,0,AP234/AN234))-(AV$8)*((AV$7-$N$5)-(INDEX(ship_curves,MATCH(AT234,'SHIP CURVES'!$A$9:$A$316,0),MATCH(CONCATENATE(AX$4,AX$5,AX$6,AX$7),'SHIP CURVES'!$A$9:$Z$9,0))-INDEX(ship_curves,MATCH(AT234,'SHIP CURVES'!$A$9:$A$316,0),MATCH(CONCATENATE(AX$4,AV$6,AX$6,AX$7),'SHIP CURVES'!$A$9:$Z$9,0)))-(INDEX(terminal_curves,MATCH(AT234,'TERMINAL CURVES'!$A$4:$A$313,0),MATCH(AX$5,'TERMINAL CURVES'!$A$4:$N$4,0))-INDEX(terminal_curves,MATCH(AT234,'TERMINAL CURVES'!$A$4:$A$313,0),MATCH(AV$6,'TERMINAL CURVES'!$A$4:$N$4,0)))*IF(AN234=0,0,AP234/AN234)))*-AN234</f>
        <v>-18620743.008237731</v>
      </c>
      <c r="AY234" s="343">
        <f t="shared" si="112"/>
        <v>-20651754.58512155</v>
      </c>
      <c r="AZ234" s="338">
        <f>(-AP234/((HLOOKUP(AX$5,port_specs,2,0)/(365.25))*(AT235-AT234)))*(INDEX(fixed_capacity_charge,MATCH(AT234,PORTS!$H$11:$H$317,0),MATCH(AX$5,PORTS!$H$11:$N$11,0))+INDEX(variable_om_charge,MATCH(AT234,PORTS!$H$318:$H$625,0),MATCH(AX$5,PORTS!$H$318:$N$318,0)))</f>
        <v>-1055715.560575465</v>
      </c>
      <c r="BA234" s="232">
        <f t="shared" si="113"/>
        <v>-21707470.145697016</v>
      </c>
      <c r="BB234" s="241">
        <f t="shared" si="114"/>
        <v>104112.56664602458</v>
      </c>
      <c r="BC234" s="408"/>
      <c r="BD234" s="338">
        <f>+PORTS!I228+PORTS!I536</f>
        <v>1055715.560575465</v>
      </c>
    </row>
    <row r="235" spans="1:56" x14ac:dyDescent="0.2">
      <c r="A235" s="186">
        <f t="shared" si="115"/>
        <v>43313</v>
      </c>
      <c r="B235" s="215">
        <f>+IF(AND($A235&gt;=$C$8,$A235&lt;=$C$9),1,0)*PORTS!$I$5/(365.25)*(A236-A235)</f>
        <v>5339105.9818476336</v>
      </c>
      <c r="C235" s="351">
        <f t="shared" si="94"/>
        <v>0</v>
      </c>
      <c r="D235">
        <f t="shared" si="95"/>
        <v>2018</v>
      </c>
      <c r="E235" s="186">
        <f t="shared" si="116"/>
        <v>43313</v>
      </c>
      <c r="F235" s="215">
        <f t="shared" si="96"/>
        <v>0</v>
      </c>
      <c r="G235" s="191">
        <f t="shared" si="97"/>
        <v>0</v>
      </c>
      <c r="H235" s="218">
        <f t="shared" si="98"/>
        <v>0</v>
      </c>
      <c r="I235" s="118">
        <f t="shared" si="99"/>
        <v>0</v>
      </c>
      <c r="J235" s="215">
        <f t="shared" si="100"/>
        <v>0</v>
      </c>
      <c r="K235" s="202"/>
      <c r="L235" s="186">
        <f t="shared" si="117"/>
        <v>43313</v>
      </c>
      <c r="M235" s="400">
        <f>+J235*(VLOOKUP(L235,CURVECALC!$C$6:$J$312,4,0)+N$5)</f>
        <v>0</v>
      </c>
      <c r="N235" s="208">
        <f>-F235*INDEX(ship_curves,MATCH(L235,'SHIP CURVES'!$A$9:$A$316,0),MATCH(CONCATENATE(P$4,P$5,P$6,P$7),'SHIP CURVES'!$A$9:$AZ$9,0))</f>
        <v>0</v>
      </c>
      <c r="O235" s="209">
        <f>-H235*INDEX(port_processing_fee,MATCH(L235,PORTS!$H$626:$H$933,0),MATCH(P$5,PORTS!$H$626:$Z$626,0))</f>
        <v>0</v>
      </c>
      <c r="P235" s="405">
        <f>(((VLOOKUP(L235,curvecalc,4,0))*IF(F235=0,0,J235/F235)-INDEX(ship_curves,MATCH(L235,'SHIP CURVES'!$A$9:$A$316,0),MATCH(CONCATENATE(P$4,P$5,P$6,P$7),'SHIP CURVES'!$A$9:$Z$9,0))-INDEX(terminal_curves,MATCH(L235,'TERMINAL CURVES'!$A$4:$A$313,0),MATCH(P$5,'TERMINAL CURVES'!$A$4:$N$4,0))*IF(F235=0,0,H235/F235))-(N$8)*((N$7-$N$5)-(INDEX(ship_curves,MATCH(L235,'SHIP CURVES'!$A$9:$A$316,0),MATCH(CONCATENATE(P$4,P$5,P$6,P$7),'SHIP CURVES'!$A$9:$Z$9,0))-INDEX(ship_curves,MATCH(L235,'SHIP CURVES'!$A$9:$A$316,0),MATCH(CONCATENATE(P$4,N$6,P$6,P$7),'SHIP CURVES'!$A$9:$Z$9,0)))-(INDEX(terminal_curves,MATCH(L235,'TERMINAL CURVES'!$A$4:$A$313,0),MATCH(P$5,'TERMINAL CURVES'!$A$4:$N$4,0))-INDEX(terminal_curves,MATCH(L235,'TERMINAL CURVES'!$A$4:$A$313,0),MATCH(N$6,'TERMINAL CURVES'!$A$4:$N$4,0)))*IF(F235=0,0,H235/F235)))*-F235</f>
        <v>0</v>
      </c>
      <c r="Q235" s="403">
        <f t="shared" si="101"/>
        <v>0</v>
      </c>
      <c r="R235" s="338">
        <f>(-H235/((HLOOKUP(P$5,port_specs,2,0)/(365.25))*(L236-L235)))*(INDEX(fixed_capacity_charge,MATCH(L235,PORTS!$H$11:$H$317,0),MATCH(P$5,PORTS!$H$11:$N$11,0))+INDEX(variable_om_charge,MATCH(L235,PORTS!$H$318:$H$625,0),MATCH(P$5,PORTS!$H$318:$N$318,0)))</f>
        <v>0</v>
      </c>
      <c r="S235" s="232">
        <f t="shared" si="102"/>
        <v>0</v>
      </c>
      <c r="T235" s="241">
        <f t="shared" si="103"/>
        <v>0</v>
      </c>
      <c r="V235" s="186">
        <f t="shared" si="118"/>
        <v>43313</v>
      </c>
      <c r="W235" s="215">
        <f t="shared" si="104"/>
        <v>0</v>
      </c>
      <c r="X235" s="191">
        <f t="shared" si="105"/>
        <v>0</v>
      </c>
      <c r="Y235" s="218">
        <f>+IF(AND(X$8&lt;=V235,X$9&gt;=V235),+MIN($B235-SUMIF($H$17:X$17,Y$17,$H235:X235),((INDEX(ROUTE_PER_DAY_BY_SHIP,MATCH(CONCATENATE(X$4,X$5,X$7),ROUTE_PER_DAY_ROUTES,0),MATCH(X$6,ROUTE_PER_DAY_SHIPS,0))*(V236-V235))-(INDEX(ROUTE_PER_DAY_BY_SHIP,MATCH(CONCATENATE(X$4,X$5,X$7),ROUTE_PER_DAY_ROUTES,0),MATCH(X$6,ROUTE_PER_DAY_SHIPS,0))*(V236-V235))*HLOOKUP(X$6,SHIPS,7,0)*INDEX(LADEN_VOYAGE_DAYS,MATCH(CONCATENATE(X$4,X$5,X$7),LADEN_VOYAGE_ROUTES,0),MATCH(X$6,LADEN_VOYAGE_SHIPS,0)))),0)</f>
        <v>0</v>
      </c>
      <c r="Z235" s="118">
        <f t="shared" si="106"/>
        <v>0</v>
      </c>
      <c r="AA235" s="215">
        <f t="shared" si="92"/>
        <v>0</v>
      </c>
      <c r="AB235" s="202"/>
      <c r="AC235" s="186">
        <f t="shared" si="119"/>
        <v>43313</v>
      </c>
      <c r="AD235" s="232">
        <f>+AA235*(VLOOKUP(AC235,CURVECALC!$C$6:$J$312,4,0)+AE$5)</f>
        <v>0</v>
      </c>
      <c r="AE235" s="208">
        <f>-W235*INDEX(ship_curves,MATCH(AC235,'SHIP CURVES'!$A$9:$A$316,0),MATCH(CONCATENATE(AG$4,AG$5,AG$6,AG$7),'SHIP CURVES'!$A$9:$AZ$9,0))</f>
        <v>0</v>
      </c>
      <c r="AF235" s="209">
        <f>-Y235*INDEX(port_processing_fee,MATCH(AC235,PORTS!$H$626:$H$933,0),MATCH(AG$5,PORTS!$H$626:$Z$626,0))</f>
        <v>0</v>
      </c>
      <c r="AG235" s="405">
        <f>(((VLOOKUP(AC235,curvecalc,4,0))*IF(W235=0,0,AA235/W235)-INDEX(ship_curves,MATCH(AC235,'SHIP CURVES'!$A$9:$A$316,0),MATCH(CONCATENATE(AG$4,AG$5,AG$6,AG$7),'SHIP CURVES'!$A$9:$Z$9,0))-INDEX(terminal_curves,MATCH(AC235,'TERMINAL CURVES'!$A$4:$A$313,0),MATCH(AG$5,'TERMINAL CURVES'!$A$4:$N$4,0))*IF(W235=0,0,Y235/W235))-(AE$8)*((AE$7-$N$5)-(INDEX(ship_curves,MATCH(AC235,'SHIP CURVES'!$A$9:$A$316,0),MATCH(CONCATENATE(AG$4,AG$5,AG$6,AG$7),'SHIP CURVES'!$A$9:$Z$9,0))-INDEX(ship_curves,MATCH(AC235,'SHIP CURVES'!$A$9:$A$316,0),MATCH(CONCATENATE(AG$4,AE$6,AG$6,AG$7),'SHIP CURVES'!$A$9:$Z$9,0)))-(INDEX(terminal_curves,MATCH(AC235,'TERMINAL CURVES'!$A$4:$A$313,0),MATCH(AG$5,'TERMINAL CURVES'!$A$4:$N$4,0))-INDEX(terminal_curves,MATCH(AC235,'TERMINAL CURVES'!$A$4:$A$313,0),MATCH(AE$6,'TERMINAL CURVES'!$A$4:$N$4,0)))*IF(W235=0,0,Y235/W235)))*-W235</f>
        <v>0</v>
      </c>
      <c r="AH235" s="343">
        <f t="shared" si="107"/>
        <v>0</v>
      </c>
      <c r="AI235" s="338">
        <f>(-Y235/((HLOOKUP(AG$5,port_specs,2,0)/(365.25))*(AC236-AC235)))*(INDEX(fixed_capacity_charge,MATCH(AC235,PORTS!$H$11:$H$317,0),MATCH(AG$5,PORTS!$H$11:$N$11,0))+INDEX(variable_om_charge,MATCH(AC235,PORTS!$H$318:$H$625,0),MATCH(AG$5,PORTS!$H$318:$N$318,0)))</f>
        <v>0</v>
      </c>
      <c r="AJ235" s="232">
        <f t="shared" si="108"/>
        <v>0</v>
      </c>
      <c r="AK235" s="241">
        <f t="shared" si="109"/>
        <v>0</v>
      </c>
      <c r="AM235" s="186">
        <f t="shared" si="120"/>
        <v>43313</v>
      </c>
      <c r="AN235" s="215">
        <f t="shared" si="110"/>
        <v>5395761.4773599124</v>
      </c>
      <c r="AO235" s="191">
        <f t="shared" si="111"/>
        <v>-56655.495512278751</v>
      </c>
      <c r="AP235" s="218">
        <f>+IF(AND(AO$8&lt;=AM235,AO$9&gt;=AM235),+MIN($B235-SUMIF($H$17:AO$17,AP$17,$H235:AO235),((INDEX(ROUTE_PER_DAY_BY_SHIP,MATCH(CONCATENATE(AO$4,AO$5,AO$7),ROUTE_PER_DAY_ROUTES,0),MATCH(AO$6,ROUTE_PER_DAY_SHIPS,0))*(AM236-AM235))-(INDEX(ROUTE_PER_DAY_BY_SHIP,MATCH(CONCATENATE(AO$4,AO$5,AO$7),ROUTE_PER_DAY_ROUTES,0),MATCH(AO$6,ROUTE_PER_DAY_SHIPS,0))*(AM236-AM235))*HLOOKUP(AO$6,SHIPS,7,0)*INDEX(LADEN_VOYAGE_DAYS,MATCH(CONCATENATE(AO$4,AO$5,AO$7),LADEN_VOYAGE_ROUTES,0),MATCH(AO$6,LADEN_VOYAGE_SHIPS,0)))),0)</f>
        <v>5339105.9818476336</v>
      </c>
      <c r="AQ235" s="118">
        <f>-(AP235)*PORTS!$I$6</f>
        <v>-133477.64954619083</v>
      </c>
      <c r="AR235" s="215">
        <f t="shared" si="93"/>
        <v>5205628.3323014425</v>
      </c>
      <c r="AS235" s="202"/>
      <c r="AT235" s="186">
        <f t="shared" si="121"/>
        <v>43313</v>
      </c>
      <c r="AU235" s="232">
        <f>+AR235*(VLOOKUP(AT235,CURVECALC!$C$6:$J$312,4,0)+AV$5)</f>
        <v>22123920.41228113</v>
      </c>
      <c r="AV235" s="208">
        <f>-AN235*INDEX(ship_curves,MATCH(AT235,'SHIP CURVES'!$A$9:$A$316,0),MATCH(CONCATENATE(AX$4,AX$5,AX$6,AX$7),'SHIP CURVES'!$A$9:$AZ$9,0))</f>
        <v>-1854582.9506388747</v>
      </c>
      <c r="AW235" s="209">
        <f>-AP235*INDEX(port_processing_fee,MATCH(AT235,PORTS!$H$626:$H$933,0),MATCH(AX$5,PORTS!$H$626:$Z$626,0))</f>
        <v>-177279.74336016856</v>
      </c>
      <c r="AX235" s="405">
        <f>(((VLOOKUP(AT235,curvecalc,4,0))*IF(AN235=0,0,AR235/AN235)-INDEX(ship_curves,MATCH(AT235,'SHIP CURVES'!$A$9:$A$316,0),MATCH(CONCATENATE(AX$4,AX$5,AX$6,AX$7),'SHIP CURVES'!$A$9:$Z$9,0))-INDEX(terminal_curves,MATCH(AT235,'TERMINAL CURVES'!$A$4:$A$313,0),MATCH(AX$5,'TERMINAL CURVES'!$A$4:$N$4,0))*IF(AN235=0,0,AP235/AN235))-(AV$8)*((AV$7-$N$5)-(INDEX(ship_curves,MATCH(AT235,'SHIP CURVES'!$A$9:$A$316,0),MATCH(CONCATENATE(AX$4,AX$5,AX$6,AX$7),'SHIP CURVES'!$A$9:$Z$9,0))-INDEX(ship_curves,MATCH(AT235,'SHIP CURVES'!$A$9:$A$316,0),MATCH(CONCATENATE(AX$4,AV$6,AX$6,AX$7),'SHIP CURVES'!$A$9:$Z$9,0)))-(INDEX(terminal_curves,MATCH(AT235,'TERMINAL CURVES'!$A$4:$A$313,0),MATCH(AX$5,'TERMINAL CURVES'!$A$4:$N$4,0))-INDEX(terminal_curves,MATCH(AT235,'TERMINAL CURVES'!$A$4:$A$313,0),MATCH(AV$6,'TERMINAL CURVES'!$A$4:$N$4,0)))*IF(AN235=0,0,AP235/AN235)))*-AN235</f>
        <v>-18931635.290029693</v>
      </c>
      <c r="AY235" s="343">
        <f t="shared" si="112"/>
        <v>-20963497.984028738</v>
      </c>
      <c r="AZ235" s="338">
        <f>(-AP235/((HLOOKUP(AX$5,port_specs,2,0)/(365.25))*(AT236-AT235)))*(INDEX(fixed_capacity_charge,MATCH(AT235,PORTS!$H$11:$H$317,0),MATCH(AX$5,PORTS!$H$11:$N$11,0))+INDEX(variable_om_charge,MATCH(AT235,PORTS!$H$318:$H$625,0),MATCH(AX$5,PORTS!$H$318:$N$318,0)))</f>
        <v>-1056309.8616063681</v>
      </c>
      <c r="BA235" s="232">
        <f t="shared" si="113"/>
        <v>-22019807.845635105</v>
      </c>
      <c r="BB235" s="241">
        <f t="shared" si="114"/>
        <v>104112.56664602458</v>
      </c>
      <c r="BC235" s="408"/>
      <c r="BD235" s="338">
        <f>+PORTS!I229+PORTS!I537</f>
        <v>1056309.8616063681</v>
      </c>
    </row>
    <row r="236" spans="1:56" x14ac:dyDescent="0.2">
      <c r="A236" s="186">
        <f t="shared" si="115"/>
        <v>43344</v>
      </c>
      <c r="B236" s="215">
        <f>+IF(AND($A236&gt;=$C$8,$A236&lt;=$C$9),1,0)*PORTS!$I$5/(365.25)*(A237-A236)</f>
        <v>5166876.756626742</v>
      </c>
      <c r="C236" s="351">
        <f t="shared" si="94"/>
        <v>0</v>
      </c>
      <c r="D236">
        <f t="shared" si="95"/>
        <v>2018</v>
      </c>
      <c r="E236" s="186">
        <f t="shared" si="116"/>
        <v>43344</v>
      </c>
      <c r="F236" s="215">
        <f t="shared" si="96"/>
        <v>0</v>
      </c>
      <c r="G236" s="191">
        <f t="shared" si="97"/>
        <v>0</v>
      </c>
      <c r="H236" s="218">
        <f t="shared" si="98"/>
        <v>0</v>
      </c>
      <c r="I236" s="118">
        <f t="shared" si="99"/>
        <v>0</v>
      </c>
      <c r="J236" s="215">
        <f t="shared" si="100"/>
        <v>0</v>
      </c>
      <c r="K236" s="202"/>
      <c r="L236" s="186">
        <f t="shared" si="117"/>
        <v>43344</v>
      </c>
      <c r="M236" s="400">
        <f>+J236*(VLOOKUP(L236,CURVECALC!$C$6:$J$312,4,0)+N$5)</f>
        <v>0</v>
      </c>
      <c r="N236" s="208">
        <f>-F236*INDEX(ship_curves,MATCH(L236,'SHIP CURVES'!$A$9:$A$316,0),MATCH(CONCATENATE(P$4,P$5,P$6,P$7),'SHIP CURVES'!$A$9:$AZ$9,0))</f>
        <v>0</v>
      </c>
      <c r="O236" s="209">
        <f>-H236*INDEX(port_processing_fee,MATCH(L236,PORTS!$H$626:$H$933,0),MATCH(P$5,PORTS!$H$626:$Z$626,0))</f>
        <v>0</v>
      </c>
      <c r="P236" s="405">
        <f>(((VLOOKUP(L236,curvecalc,4,0))*IF(F236=0,0,J236/F236)-INDEX(ship_curves,MATCH(L236,'SHIP CURVES'!$A$9:$A$316,0),MATCH(CONCATENATE(P$4,P$5,P$6,P$7),'SHIP CURVES'!$A$9:$Z$9,0))-INDEX(terminal_curves,MATCH(L236,'TERMINAL CURVES'!$A$4:$A$313,0),MATCH(P$5,'TERMINAL CURVES'!$A$4:$N$4,0))*IF(F236=0,0,H236/F236))-(N$8)*((N$7-$N$5)-(INDEX(ship_curves,MATCH(L236,'SHIP CURVES'!$A$9:$A$316,0),MATCH(CONCATENATE(P$4,P$5,P$6,P$7),'SHIP CURVES'!$A$9:$Z$9,0))-INDEX(ship_curves,MATCH(L236,'SHIP CURVES'!$A$9:$A$316,0),MATCH(CONCATENATE(P$4,N$6,P$6,P$7),'SHIP CURVES'!$A$9:$Z$9,0)))-(INDEX(terminal_curves,MATCH(L236,'TERMINAL CURVES'!$A$4:$A$313,0),MATCH(P$5,'TERMINAL CURVES'!$A$4:$N$4,0))-INDEX(terminal_curves,MATCH(L236,'TERMINAL CURVES'!$A$4:$A$313,0),MATCH(N$6,'TERMINAL CURVES'!$A$4:$N$4,0)))*IF(F236=0,0,H236/F236)))*-F236</f>
        <v>0</v>
      </c>
      <c r="Q236" s="403">
        <f t="shared" si="101"/>
        <v>0</v>
      </c>
      <c r="R236" s="338">
        <f>(-H236/((HLOOKUP(P$5,port_specs,2,0)/(365.25))*(L237-L236)))*(INDEX(fixed_capacity_charge,MATCH(L236,PORTS!$H$11:$H$317,0),MATCH(P$5,PORTS!$H$11:$N$11,0))+INDEX(variable_om_charge,MATCH(L236,PORTS!$H$318:$H$625,0),MATCH(P$5,PORTS!$H$318:$N$318,0)))</f>
        <v>0</v>
      </c>
      <c r="S236" s="232">
        <f t="shared" si="102"/>
        <v>0</v>
      </c>
      <c r="T236" s="241">
        <f t="shared" si="103"/>
        <v>0</v>
      </c>
      <c r="V236" s="186">
        <f t="shared" si="118"/>
        <v>43344</v>
      </c>
      <c r="W236" s="215">
        <f t="shared" si="104"/>
        <v>0</v>
      </c>
      <c r="X236" s="191">
        <f t="shared" si="105"/>
        <v>0</v>
      </c>
      <c r="Y236" s="218">
        <f>+IF(AND(X$8&lt;=V236,X$9&gt;=V236),+MIN($B236-SUMIF($H$17:X$17,Y$17,$H236:X236),((INDEX(ROUTE_PER_DAY_BY_SHIP,MATCH(CONCATENATE(X$4,X$5,X$7),ROUTE_PER_DAY_ROUTES,0),MATCH(X$6,ROUTE_PER_DAY_SHIPS,0))*(V237-V236))-(INDEX(ROUTE_PER_DAY_BY_SHIP,MATCH(CONCATENATE(X$4,X$5,X$7),ROUTE_PER_DAY_ROUTES,0),MATCH(X$6,ROUTE_PER_DAY_SHIPS,0))*(V237-V236))*HLOOKUP(X$6,SHIPS,7,0)*INDEX(LADEN_VOYAGE_DAYS,MATCH(CONCATENATE(X$4,X$5,X$7),LADEN_VOYAGE_ROUTES,0),MATCH(X$6,LADEN_VOYAGE_SHIPS,0)))),0)</f>
        <v>0</v>
      </c>
      <c r="Z236" s="118">
        <f t="shared" si="106"/>
        <v>0</v>
      </c>
      <c r="AA236" s="215">
        <f t="shared" si="92"/>
        <v>0</v>
      </c>
      <c r="AB236" s="202"/>
      <c r="AC236" s="186">
        <f t="shared" si="119"/>
        <v>43344</v>
      </c>
      <c r="AD236" s="232">
        <f>+AA236*(VLOOKUP(AC236,CURVECALC!$C$6:$J$312,4,0)+AE$5)</f>
        <v>0</v>
      </c>
      <c r="AE236" s="208">
        <f>-W236*INDEX(ship_curves,MATCH(AC236,'SHIP CURVES'!$A$9:$A$316,0),MATCH(CONCATENATE(AG$4,AG$5,AG$6,AG$7),'SHIP CURVES'!$A$9:$AZ$9,0))</f>
        <v>0</v>
      </c>
      <c r="AF236" s="209">
        <f>-Y236*INDEX(port_processing_fee,MATCH(AC236,PORTS!$H$626:$H$933,0),MATCH(AG$5,PORTS!$H$626:$Z$626,0))</f>
        <v>0</v>
      </c>
      <c r="AG236" s="405">
        <f>(((VLOOKUP(AC236,curvecalc,4,0))*IF(W236=0,0,AA236/W236)-INDEX(ship_curves,MATCH(AC236,'SHIP CURVES'!$A$9:$A$316,0),MATCH(CONCATENATE(AG$4,AG$5,AG$6,AG$7),'SHIP CURVES'!$A$9:$Z$9,0))-INDEX(terminal_curves,MATCH(AC236,'TERMINAL CURVES'!$A$4:$A$313,0),MATCH(AG$5,'TERMINAL CURVES'!$A$4:$N$4,0))*IF(W236=0,0,Y236/W236))-(AE$8)*((AE$7-$N$5)-(INDEX(ship_curves,MATCH(AC236,'SHIP CURVES'!$A$9:$A$316,0),MATCH(CONCATENATE(AG$4,AG$5,AG$6,AG$7),'SHIP CURVES'!$A$9:$Z$9,0))-INDEX(ship_curves,MATCH(AC236,'SHIP CURVES'!$A$9:$A$316,0),MATCH(CONCATENATE(AG$4,AE$6,AG$6,AG$7),'SHIP CURVES'!$A$9:$Z$9,0)))-(INDEX(terminal_curves,MATCH(AC236,'TERMINAL CURVES'!$A$4:$A$313,0),MATCH(AG$5,'TERMINAL CURVES'!$A$4:$N$4,0))-INDEX(terminal_curves,MATCH(AC236,'TERMINAL CURVES'!$A$4:$A$313,0),MATCH(AE$6,'TERMINAL CURVES'!$A$4:$N$4,0)))*IF(W236=0,0,Y236/W236)))*-W236</f>
        <v>0</v>
      </c>
      <c r="AH236" s="343">
        <f t="shared" si="107"/>
        <v>0</v>
      </c>
      <c r="AI236" s="338">
        <f>(-Y236/((HLOOKUP(AG$5,port_specs,2,0)/(365.25))*(AC237-AC236)))*(INDEX(fixed_capacity_charge,MATCH(AC236,PORTS!$H$11:$H$317,0),MATCH(AG$5,PORTS!$H$11:$N$11,0))+INDEX(variable_om_charge,MATCH(AC236,PORTS!$H$318:$H$625,0),MATCH(AG$5,PORTS!$H$318:$N$318,0)))</f>
        <v>0</v>
      </c>
      <c r="AJ236" s="232">
        <f t="shared" si="108"/>
        <v>0</v>
      </c>
      <c r="AK236" s="241">
        <f t="shared" si="109"/>
        <v>0</v>
      </c>
      <c r="AM236" s="186">
        <f t="shared" si="120"/>
        <v>43344</v>
      </c>
      <c r="AN236" s="215">
        <f t="shared" si="110"/>
        <v>5221704.655509592</v>
      </c>
      <c r="AO236" s="191">
        <f t="shared" si="111"/>
        <v>-54827.898882850073</v>
      </c>
      <c r="AP236" s="218">
        <f>+IF(AND(AO$8&lt;=AM236,AO$9&gt;=AM236),+MIN($B236-SUMIF($H$17:AO$17,AP$17,$H236:AO236),((INDEX(ROUTE_PER_DAY_BY_SHIP,MATCH(CONCATENATE(AO$4,AO$5,AO$7),ROUTE_PER_DAY_ROUTES,0),MATCH(AO$6,ROUTE_PER_DAY_SHIPS,0))*(AM237-AM236))-(INDEX(ROUTE_PER_DAY_BY_SHIP,MATCH(CONCATENATE(AO$4,AO$5,AO$7),ROUTE_PER_DAY_ROUTES,0),MATCH(AO$6,ROUTE_PER_DAY_SHIPS,0))*(AM237-AM236))*HLOOKUP(AO$6,SHIPS,7,0)*INDEX(LADEN_VOYAGE_DAYS,MATCH(CONCATENATE(AO$4,AO$5,AO$7),LADEN_VOYAGE_ROUTES,0),MATCH(AO$6,LADEN_VOYAGE_SHIPS,0)))),0)</f>
        <v>5166876.756626742</v>
      </c>
      <c r="AQ236" s="118">
        <f>-(AP236)*PORTS!$I$6</f>
        <v>-129171.91891566856</v>
      </c>
      <c r="AR236" s="215">
        <f t="shared" si="93"/>
        <v>5037704.8377110735</v>
      </c>
      <c r="AS236" s="202"/>
      <c r="AT236" s="186">
        <f t="shared" si="121"/>
        <v>43344</v>
      </c>
      <c r="AU236" s="232">
        <f>+AR236*(VLOOKUP(AT236,CURVECALC!$C$6:$J$312,4,0)+AV$5)</f>
        <v>21284302.939329285</v>
      </c>
      <c r="AV236" s="208">
        <f>-AN236*INDEX(ship_curves,MATCH(AT236,'SHIP CURVES'!$A$9:$A$316,0),MATCH(CONCATENATE(AX$4,AX$5,AX$6,AX$7),'SHIP CURVES'!$A$9:$AZ$9,0))</f>
        <v>-1795404.1764723435</v>
      </c>
      <c r="AW236" s="209">
        <f>-AP236*INDEX(port_processing_fee,MATCH(AT236,PORTS!$H$626:$H$933,0),MATCH(AX$5,PORTS!$H$626:$Z$626,0))</f>
        <v>-171739.7513801633</v>
      </c>
      <c r="AX236" s="405">
        <f>(((VLOOKUP(AT236,curvecalc,4,0))*IF(AN236=0,0,AR236/AN236)-INDEX(ship_curves,MATCH(AT236,'SHIP CURVES'!$A$9:$A$316,0),MATCH(CONCATENATE(AX$4,AX$5,AX$6,AX$7),'SHIP CURVES'!$A$9:$Z$9,0))-INDEX(terminal_curves,MATCH(AT236,'TERMINAL CURVES'!$A$4:$A$313,0),MATCH(AX$5,'TERMINAL CURVES'!$A$4:$N$4,0))*IF(AN236=0,0,AP236/AN236))-(AV$8)*((AV$7-$N$5)-(INDEX(ship_curves,MATCH(AT236,'SHIP CURVES'!$A$9:$A$316,0),MATCH(CONCATENATE(AX$4,AX$5,AX$6,AX$7),'SHIP CURVES'!$A$9:$Z$9,0))-INDEX(ship_curves,MATCH(AT236,'SHIP CURVES'!$A$9:$A$316,0),MATCH(CONCATENATE(AX$4,AV$6,AX$6,AX$7),'SHIP CURVES'!$A$9:$Z$9,0)))-(INDEX(terminal_curves,MATCH(AT236,'TERMINAL CURVES'!$A$4:$A$313,0),MATCH(AX$5,'TERMINAL CURVES'!$A$4:$N$4,0))-INDEX(terminal_curves,MATCH(AT236,'TERMINAL CURVES'!$A$4:$A$313,0),MATCH(AV$6,'TERMINAL CURVES'!$A$4:$N$4,0)))*IF(AN236=0,0,AP236/AN236)))*-AN236</f>
        <v>-18159500.133021709</v>
      </c>
      <c r="AY236" s="343">
        <f t="shared" si="112"/>
        <v>-20126644.060874216</v>
      </c>
      <c r="AZ236" s="338">
        <f>(-AP236/((HLOOKUP(AX$5,port_specs,2,0)/(365.25))*(AT237-AT236)))*(INDEX(fixed_capacity_charge,MATCH(AT236,PORTS!$H$11:$H$317,0),MATCH(AX$5,PORTS!$H$11:$N$11,0))+INDEX(variable_om_charge,MATCH(AT236,PORTS!$H$318:$H$625,0),MATCH(AX$5,PORTS!$H$318:$N$318,0)))</f>
        <v>-1056904.7817008453</v>
      </c>
      <c r="BA236" s="232">
        <f t="shared" si="113"/>
        <v>-21183548.842575062</v>
      </c>
      <c r="BB236" s="241">
        <f t="shared" si="114"/>
        <v>100754.09675422311</v>
      </c>
      <c r="BC236" s="408"/>
      <c r="BD236" s="338">
        <f>+PORTS!I230+PORTS!I538</f>
        <v>1056904.7817008453</v>
      </c>
    </row>
    <row r="237" spans="1:56" x14ac:dyDescent="0.2">
      <c r="A237" s="186">
        <f t="shared" si="115"/>
        <v>43374</v>
      </c>
      <c r="B237" s="215">
        <f>+IF(AND($A237&gt;=$C$8,$A237&lt;=$C$9),1,0)*PORTS!$I$5/(365.25)*(A238-A237)</f>
        <v>5339105.9818476336</v>
      </c>
      <c r="C237" s="351">
        <f t="shared" si="94"/>
        <v>0</v>
      </c>
      <c r="D237">
        <f t="shared" si="95"/>
        <v>2018</v>
      </c>
      <c r="E237" s="186">
        <f t="shared" si="116"/>
        <v>43374</v>
      </c>
      <c r="F237" s="215">
        <f t="shared" si="96"/>
        <v>0</v>
      </c>
      <c r="G237" s="191">
        <f t="shared" si="97"/>
        <v>0</v>
      </c>
      <c r="H237" s="218">
        <f t="shared" si="98"/>
        <v>0</v>
      </c>
      <c r="I237" s="118">
        <f t="shared" si="99"/>
        <v>0</v>
      </c>
      <c r="J237" s="215">
        <f t="shared" si="100"/>
        <v>0</v>
      </c>
      <c r="K237" s="202"/>
      <c r="L237" s="186">
        <f t="shared" si="117"/>
        <v>43374</v>
      </c>
      <c r="M237" s="400">
        <f>+J237*(VLOOKUP(L237,CURVECALC!$C$6:$J$312,4,0)+N$5)</f>
        <v>0</v>
      </c>
      <c r="N237" s="208">
        <f>-F237*INDEX(ship_curves,MATCH(L237,'SHIP CURVES'!$A$9:$A$316,0),MATCH(CONCATENATE(P$4,P$5,P$6,P$7),'SHIP CURVES'!$A$9:$AZ$9,0))</f>
        <v>0</v>
      </c>
      <c r="O237" s="209">
        <f>-H237*INDEX(port_processing_fee,MATCH(L237,PORTS!$H$626:$H$933,0),MATCH(P$5,PORTS!$H$626:$Z$626,0))</f>
        <v>0</v>
      </c>
      <c r="P237" s="405">
        <f>(((VLOOKUP(L237,curvecalc,4,0))*IF(F237=0,0,J237/F237)-INDEX(ship_curves,MATCH(L237,'SHIP CURVES'!$A$9:$A$316,0),MATCH(CONCATENATE(P$4,P$5,P$6,P$7),'SHIP CURVES'!$A$9:$Z$9,0))-INDEX(terminal_curves,MATCH(L237,'TERMINAL CURVES'!$A$4:$A$313,0),MATCH(P$5,'TERMINAL CURVES'!$A$4:$N$4,0))*IF(F237=0,0,H237/F237))-(N$8)*((N$7-$N$5)-(INDEX(ship_curves,MATCH(L237,'SHIP CURVES'!$A$9:$A$316,0),MATCH(CONCATENATE(P$4,P$5,P$6,P$7),'SHIP CURVES'!$A$9:$Z$9,0))-INDEX(ship_curves,MATCH(L237,'SHIP CURVES'!$A$9:$A$316,0),MATCH(CONCATENATE(P$4,N$6,P$6,P$7),'SHIP CURVES'!$A$9:$Z$9,0)))-(INDEX(terminal_curves,MATCH(L237,'TERMINAL CURVES'!$A$4:$A$313,0),MATCH(P$5,'TERMINAL CURVES'!$A$4:$N$4,0))-INDEX(terminal_curves,MATCH(L237,'TERMINAL CURVES'!$A$4:$A$313,0),MATCH(N$6,'TERMINAL CURVES'!$A$4:$N$4,0)))*IF(F237=0,0,H237/F237)))*-F237</f>
        <v>0</v>
      </c>
      <c r="Q237" s="403">
        <f t="shared" si="101"/>
        <v>0</v>
      </c>
      <c r="R237" s="338">
        <f>(-H237/((HLOOKUP(P$5,port_specs,2,0)/(365.25))*(L238-L237)))*(INDEX(fixed_capacity_charge,MATCH(L237,PORTS!$H$11:$H$317,0),MATCH(P$5,PORTS!$H$11:$N$11,0))+INDEX(variable_om_charge,MATCH(L237,PORTS!$H$318:$H$625,0),MATCH(P$5,PORTS!$H$318:$N$318,0)))</f>
        <v>0</v>
      </c>
      <c r="S237" s="232">
        <f t="shared" si="102"/>
        <v>0</v>
      </c>
      <c r="T237" s="241">
        <f t="shared" si="103"/>
        <v>0</v>
      </c>
      <c r="V237" s="186">
        <f t="shared" si="118"/>
        <v>43374</v>
      </c>
      <c r="W237" s="215">
        <f t="shared" si="104"/>
        <v>0</v>
      </c>
      <c r="X237" s="191">
        <f t="shared" si="105"/>
        <v>0</v>
      </c>
      <c r="Y237" s="218">
        <f>+IF(AND(X$8&lt;=V237,X$9&gt;=V237),+MIN($B237-SUMIF($H$17:X$17,Y$17,$H237:X237),((INDEX(ROUTE_PER_DAY_BY_SHIP,MATCH(CONCATENATE(X$4,X$5,X$7),ROUTE_PER_DAY_ROUTES,0),MATCH(X$6,ROUTE_PER_DAY_SHIPS,0))*(V238-V237))-(INDEX(ROUTE_PER_DAY_BY_SHIP,MATCH(CONCATENATE(X$4,X$5,X$7),ROUTE_PER_DAY_ROUTES,0),MATCH(X$6,ROUTE_PER_DAY_SHIPS,0))*(V238-V237))*HLOOKUP(X$6,SHIPS,7,0)*INDEX(LADEN_VOYAGE_DAYS,MATCH(CONCATENATE(X$4,X$5,X$7),LADEN_VOYAGE_ROUTES,0),MATCH(X$6,LADEN_VOYAGE_SHIPS,0)))),0)</f>
        <v>0</v>
      </c>
      <c r="Z237" s="118">
        <f t="shared" si="106"/>
        <v>0</v>
      </c>
      <c r="AA237" s="215">
        <f t="shared" si="92"/>
        <v>0</v>
      </c>
      <c r="AB237" s="202"/>
      <c r="AC237" s="186">
        <f t="shared" si="119"/>
        <v>43374</v>
      </c>
      <c r="AD237" s="232">
        <f>+AA237*(VLOOKUP(AC237,CURVECALC!$C$6:$J$312,4,0)+AE$5)</f>
        <v>0</v>
      </c>
      <c r="AE237" s="208">
        <f>-W237*INDEX(ship_curves,MATCH(AC237,'SHIP CURVES'!$A$9:$A$316,0),MATCH(CONCATENATE(AG$4,AG$5,AG$6,AG$7),'SHIP CURVES'!$A$9:$AZ$9,0))</f>
        <v>0</v>
      </c>
      <c r="AF237" s="209">
        <f>-Y237*INDEX(port_processing_fee,MATCH(AC237,PORTS!$H$626:$H$933,0),MATCH(AG$5,PORTS!$H$626:$Z$626,0))</f>
        <v>0</v>
      </c>
      <c r="AG237" s="405">
        <f>(((VLOOKUP(AC237,curvecalc,4,0))*IF(W237=0,0,AA237/W237)-INDEX(ship_curves,MATCH(AC237,'SHIP CURVES'!$A$9:$A$316,0),MATCH(CONCATENATE(AG$4,AG$5,AG$6,AG$7),'SHIP CURVES'!$A$9:$Z$9,0))-INDEX(terminal_curves,MATCH(AC237,'TERMINAL CURVES'!$A$4:$A$313,0),MATCH(AG$5,'TERMINAL CURVES'!$A$4:$N$4,0))*IF(W237=0,0,Y237/W237))-(AE$8)*((AE$7-$N$5)-(INDEX(ship_curves,MATCH(AC237,'SHIP CURVES'!$A$9:$A$316,0),MATCH(CONCATENATE(AG$4,AG$5,AG$6,AG$7),'SHIP CURVES'!$A$9:$Z$9,0))-INDEX(ship_curves,MATCH(AC237,'SHIP CURVES'!$A$9:$A$316,0),MATCH(CONCATENATE(AG$4,AE$6,AG$6,AG$7),'SHIP CURVES'!$A$9:$Z$9,0)))-(INDEX(terminal_curves,MATCH(AC237,'TERMINAL CURVES'!$A$4:$A$313,0),MATCH(AG$5,'TERMINAL CURVES'!$A$4:$N$4,0))-INDEX(terminal_curves,MATCH(AC237,'TERMINAL CURVES'!$A$4:$A$313,0),MATCH(AE$6,'TERMINAL CURVES'!$A$4:$N$4,0)))*IF(W237=0,0,Y237/W237)))*-W237</f>
        <v>0</v>
      </c>
      <c r="AH237" s="343">
        <f t="shared" si="107"/>
        <v>0</v>
      </c>
      <c r="AI237" s="338">
        <f>(-Y237/((HLOOKUP(AG$5,port_specs,2,0)/(365.25))*(AC238-AC237)))*(INDEX(fixed_capacity_charge,MATCH(AC237,PORTS!$H$11:$H$317,0),MATCH(AG$5,PORTS!$H$11:$N$11,0))+INDEX(variable_om_charge,MATCH(AC237,PORTS!$H$318:$H$625,0),MATCH(AG$5,PORTS!$H$318:$N$318,0)))</f>
        <v>0</v>
      </c>
      <c r="AJ237" s="232">
        <f t="shared" si="108"/>
        <v>0</v>
      </c>
      <c r="AK237" s="241">
        <f t="shared" si="109"/>
        <v>0</v>
      </c>
      <c r="AM237" s="186">
        <f t="shared" si="120"/>
        <v>43374</v>
      </c>
      <c r="AN237" s="215">
        <f t="shared" si="110"/>
        <v>5395761.4773599124</v>
      </c>
      <c r="AO237" s="191">
        <f t="shared" si="111"/>
        <v>-56655.495512278751</v>
      </c>
      <c r="AP237" s="218">
        <f>+IF(AND(AO$8&lt;=AM237,AO$9&gt;=AM237),+MIN($B237-SUMIF($H$17:AO$17,AP$17,$H237:AO237),((INDEX(ROUTE_PER_DAY_BY_SHIP,MATCH(CONCATENATE(AO$4,AO$5,AO$7),ROUTE_PER_DAY_ROUTES,0),MATCH(AO$6,ROUTE_PER_DAY_SHIPS,0))*(AM238-AM237))-(INDEX(ROUTE_PER_DAY_BY_SHIP,MATCH(CONCATENATE(AO$4,AO$5,AO$7),ROUTE_PER_DAY_ROUTES,0),MATCH(AO$6,ROUTE_PER_DAY_SHIPS,0))*(AM238-AM237))*HLOOKUP(AO$6,SHIPS,7,0)*INDEX(LADEN_VOYAGE_DAYS,MATCH(CONCATENATE(AO$4,AO$5,AO$7),LADEN_VOYAGE_ROUTES,0),MATCH(AO$6,LADEN_VOYAGE_SHIPS,0)))),0)</f>
        <v>5339105.9818476336</v>
      </c>
      <c r="AQ237" s="118">
        <f>-(AP237)*PORTS!$I$6</f>
        <v>-133477.64954619083</v>
      </c>
      <c r="AR237" s="215">
        <f t="shared" si="93"/>
        <v>5205628.3323014425</v>
      </c>
      <c r="AS237" s="202"/>
      <c r="AT237" s="186">
        <f t="shared" si="121"/>
        <v>43374</v>
      </c>
      <c r="AU237" s="232">
        <f>+AR237*(VLOOKUP(AT237,CURVECALC!$C$6:$J$312,4,0)+AV$5)</f>
        <v>22019807.845635101</v>
      </c>
      <c r="AV237" s="208">
        <f>-AN237*INDEX(ship_curves,MATCH(AT237,'SHIP CURVES'!$A$9:$A$316,0),MATCH(CONCATENATE(AX$4,AX$5,AX$6,AX$7),'SHIP CURVES'!$A$9:$AZ$9,0))</f>
        <v>-1855920.4058033773</v>
      </c>
      <c r="AW237" s="209">
        <f>-AP237*INDEX(port_processing_fee,MATCH(AT237,PORTS!$H$626:$H$933,0),MATCH(AX$5,PORTS!$H$626:$Z$626,0))</f>
        <v>-177649.26851966823</v>
      </c>
      <c r="AX237" s="405">
        <f>(((VLOOKUP(AT237,curvecalc,4,0))*IF(AN237=0,0,AR237/AN237)-INDEX(ship_curves,MATCH(AT237,'SHIP CURVES'!$A$9:$A$316,0),MATCH(CONCATENATE(AX$4,AX$5,AX$6,AX$7),'SHIP CURVES'!$A$9:$Z$9,0))-INDEX(terminal_curves,MATCH(AT237,'TERMINAL CURVES'!$A$4:$A$313,0),MATCH(AX$5,'TERMINAL CURVES'!$A$4:$N$4,0))*IF(AN237=0,0,AP237/AN237))-(AV$8)*((AV$7-$N$5)-(INDEX(ship_curves,MATCH(AT237,'SHIP CURVES'!$A$9:$A$316,0),MATCH(CONCATENATE(AX$4,AX$5,AX$6,AX$7),'SHIP CURVES'!$A$9:$Z$9,0))-INDEX(ship_curves,MATCH(AT237,'SHIP CURVES'!$A$9:$A$316,0),MATCH(CONCATENATE(AX$4,AV$6,AX$6,AX$7),'SHIP CURVES'!$A$9:$Z$9,0)))-(INDEX(terminal_curves,MATCH(AT237,'TERMINAL CURVES'!$A$4:$A$313,0),MATCH(AX$5,'TERMINAL CURVES'!$A$4:$N$4,0))-INDEX(terminal_curves,MATCH(AT237,'TERMINAL CURVES'!$A$4:$A$313,0),MATCH(AV$6,'TERMINAL CURVES'!$A$4:$N$4,0)))*IF(AN237=0,0,AP237/AN237)))*-AN237</f>
        <v>-18824625.283162273</v>
      </c>
      <c r="AY237" s="343">
        <f t="shared" si="112"/>
        <v>-20858194.957485318</v>
      </c>
      <c r="AZ237" s="338">
        <f>(-AP237/((HLOOKUP(AX$5,port_specs,2,0)/(365.25))*(AT238-AT237)))*(INDEX(fixed_capacity_charge,MATCH(AT237,PORTS!$H$11:$H$317,0),MATCH(AX$5,PORTS!$H$11:$N$11,0))+INDEX(variable_om_charge,MATCH(AT237,PORTS!$H$318:$H$625,0),MATCH(AX$5,PORTS!$H$318:$N$318,0)))</f>
        <v>-1057500.321503754</v>
      </c>
      <c r="BA237" s="232">
        <f t="shared" si="113"/>
        <v>-21915695.278989073</v>
      </c>
      <c r="BB237" s="241">
        <f t="shared" si="114"/>
        <v>104112.56664602831</v>
      </c>
      <c r="BC237" s="408"/>
      <c r="BD237" s="338">
        <f>+PORTS!I231+PORTS!I539</f>
        <v>1057500.321503754</v>
      </c>
    </row>
    <row r="238" spans="1:56" x14ac:dyDescent="0.2">
      <c r="A238" s="186">
        <f t="shared" si="115"/>
        <v>43405</v>
      </c>
      <c r="B238" s="215">
        <f>+IF(AND($A238&gt;=$C$8,$A238&lt;=$C$9),1,0)*PORTS!$I$5/(365.25)*(A239-A238)</f>
        <v>5166876.756626742</v>
      </c>
      <c r="C238" s="351">
        <f t="shared" si="94"/>
        <v>0</v>
      </c>
      <c r="D238">
        <f t="shared" si="95"/>
        <v>2018</v>
      </c>
      <c r="E238" s="186">
        <f t="shared" si="116"/>
        <v>43405</v>
      </c>
      <c r="F238" s="215">
        <f t="shared" si="96"/>
        <v>0</v>
      </c>
      <c r="G238" s="191">
        <f t="shared" si="97"/>
        <v>0</v>
      </c>
      <c r="H238" s="218">
        <f t="shared" si="98"/>
        <v>0</v>
      </c>
      <c r="I238" s="118">
        <f t="shared" si="99"/>
        <v>0</v>
      </c>
      <c r="J238" s="215">
        <f t="shared" si="100"/>
        <v>0</v>
      </c>
      <c r="K238" s="202"/>
      <c r="L238" s="186">
        <f t="shared" si="117"/>
        <v>43405</v>
      </c>
      <c r="M238" s="400">
        <f>+J238*(VLOOKUP(L238,CURVECALC!$C$6:$J$312,4,0)+N$5)</f>
        <v>0</v>
      </c>
      <c r="N238" s="208">
        <f>-F238*INDEX(ship_curves,MATCH(L238,'SHIP CURVES'!$A$9:$A$316,0),MATCH(CONCATENATE(P$4,P$5,P$6,P$7),'SHIP CURVES'!$A$9:$AZ$9,0))</f>
        <v>0</v>
      </c>
      <c r="O238" s="209">
        <f>-H238*INDEX(port_processing_fee,MATCH(L238,PORTS!$H$626:$H$933,0),MATCH(P$5,PORTS!$H$626:$Z$626,0))</f>
        <v>0</v>
      </c>
      <c r="P238" s="405">
        <f>(((VLOOKUP(L238,curvecalc,4,0))*IF(F238=0,0,J238/F238)-INDEX(ship_curves,MATCH(L238,'SHIP CURVES'!$A$9:$A$316,0),MATCH(CONCATENATE(P$4,P$5,P$6,P$7),'SHIP CURVES'!$A$9:$Z$9,0))-INDEX(terminal_curves,MATCH(L238,'TERMINAL CURVES'!$A$4:$A$313,0),MATCH(P$5,'TERMINAL CURVES'!$A$4:$N$4,0))*IF(F238=0,0,H238/F238))-(N$8)*((N$7-$N$5)-(INDEX(ship_curves,MATCH(L238,'SHIP CURVES'!$A$9:$A$316,0),MATCH(CONCATENATE(P$4,P$5,P$6,P$7),'SHIP CURVES'!$A$9:$Z$9,0))-INDEX(ship_curves,MATCH(L238,'SHIP CURVES'!$A$9:$A$316,0),MATCH(CONCATENATE(P$4,N$6,P$6,P$7),'SHIP CURVES'!$A$9:$Z$9,0)))-(INDEX(terminal_curves,MATCH(L238,'TERMINAL CURVES'!$A$4:$A$313,0),MATCH(P$5,'TERMINAL CURVES'!$A$4:$N$4,0))-INDEX(terminal_curves,MATCH(L238,'TERMINAL CURVES'!$A$4:$A$313,0),MATCH(N$6,'TERMINAL CURVES'!$A$4:$N$4,0)))*IF(F238=0,0,H238/F238)))*-F238</f>
        <v>0</v>
      </c>
      <c r="Q238" s="403">
        <f t="shared" si="101"/>
        <v>0</v>
      </c>
      <c r="R238" s="338">
        <f>(-H238/((HLOOKUP(P$5,port_specs,2,0)/(365.25))*(L239-L238)))*(INDEX(fixed_capacity_charge,MATCH(L238,PORTS!$H$11:$H$317,0),MATCH(P$5,PORTS!$H$11:$N$11,0))+INDEX(variable_om_charge,MATCH(L238,PORTS!$H$318:$H$625,0),MATCH(P$5,PORTS!$H$318:$N$318,0)))</f>
        <v>0</v>
      </c>
      <c r="S238" s="232">
        <f t="shared" si="102"/>
        <v>0</v>
      </c>
      <c r="T238" s="241">
        <f t="shared" si="103"/>
        <v>0</v>
      </c>
      <c r="V238" s="186">
        <f t="shared" si="118"/>
        <v>43405</v>
      </c>
      <c r="W238" s="215">
        <f t="shared" si="104"/>
        <v>0</v>
      </c>
      <c r="X238" s="191">
        <f t="shared" si="105"/>
        <v>0</v>
      </c>
      <c r="Y238" s="218">
        <f>+IF(AND(X$8&lt;=V238,X$9&gt;=V238),+MIN($B238-SUMIF($H$17:X$17,Y$17,$H238:X238),((INDEX(ROUTE_PER_DAY_BY_SHIP,MATCH(CONCATENATE(X$4,X$5,X$7),ROUTE_PER_DAY_ROUTES,0),MATCH(X$6,ROUTE_PER_DAY_SHIPS,0))*(V239-V238))-(INDEX(ROUTE_PER_DAY_BY_SHIP,MATCH(CONCATENATE(X$4,X$5,X$7),ROUTE_PER_DAY_ROUTES,0),MATCH(X$6,ROUTE_PER_DAY_SHIPS,0))*(V239-V238))*HLOOKUP(X$6,SHIPS,7,0)*INDEX(LADEN_VOYAGE_DAYS,MATCH(CONCATENATE(X$4,X$5,X$7),LADEN_VOYAGE_ROUTES,0),MATCH(X$6,LADEN_VOYAGE_SHIPS,0)))),0)</f>
        <v>0</v>
      </c>
      <c r="Z238" s="118">
        <f t="shared" si="106"/>
        <v>0</v>
      </c>
      <c r="AA238" s="215">
        <f t="shared" si="92"/>
        <v>0</v>
      </c>
      <c r="AB238" s="202"/>
      <c r="AC238" s="186">
        <f t="shared" si="119"/>
        <v>43405</v>
      </c>
      <c r="AD238" s="232">
        <f>+AA238*(VLOOKUP(AC238,CURVECALC!$C$6:$J$312,4,0)+AE$5)</f>
        <v>0</v>
      </c>
      <c r="AE238" s="208">
        <f>-W238*INDEX(ship_curves,MATCH(AC238,'SHIP CURVES'!$A$9:$A$316,0),MATCH(CONCATENATE(AG$4,AG$5,AG$6,AG$7),'SHIP CURVES'!$A$9:$AZ$9,0))</f>
        <v>0</v>
      </c>
      <c r="AF238" s="209">
        <f>-Y238*INDEX(port_processing_fee,MATCH(AC238,PORTS!$H$626:$H$933,0),MATCH(AG$5,PORTS!$H$626:$Z$626,0))</f>
        <v>0</v>
      </c>
      <c r="AG238" s="405">
        <f>(((VLOOKUP(AC238,curvecalc,4,0))*IF(W238=0,0,AA238/W238)-INDEX(ship_curves,MATCH(AC238,'SHIP CURVES'!$A$9:$A$316,0),MATCH(CONCATENATE(AG$4,AG$5,AG$6,AG$7),'SHIP CURVES'!$A$9:$Z$9,0))-INDEX(terminal_curves,MATCH(AC238,'TERMINAL CURVES'!$A$4:$A$313,0),MATCH(AG$5,'TERMINAL CURVES'!$A$4:$N$4,0))*IF(W238=0,0,Y238/W238))-(AE$8)*((AE$7-$N$5)-(INDEX(ship_curves,MATCH(AC238,'SHIP CURVES'!$A$9:$A$316,0),MATCH(CONCATENATE(AG$4,AG$5,AG$6,AG$7),'SHIP CURVES'!$A$9:$Z$9,0))-INDEX(ship_curves,MATCH(AC238,'SHIP CURVES'!$A$9:$A$316,0),MATCH(CONCATENATE(AG$4,AE$6,AG$6,AG$7),'SHIP CURVES'!$A$9:$Z$9,0)))-(INDEX(terminal_curves,MATCH(AC238,'TERMINAL CURVES'!$A$4:$A$313,0),MATCH(AG$5,'TERMINAL CURVES'!$A$4:$N$4,0))-INDEX(terminal_curves,MATCH(AC238,'TERMINAL CURVES'!$A$4:$A$313,0),MATCH(AE$6,'TERMINAL CURVES'!$A$4:$N$4,0)))*IF(W238=0,0,Y238/W238)))*-W238</f>
        <v>0</v>
      </c>
      <c r="AH238" s="343">
        <f t="shared" si="107"/>
        <v>0</v>
      </c>
      <c r="AI238" s="338">
        <f>(-Y238/((HLOOKUP(AG$5,port_specs,2,0)/(365.25))*(AC239-AC238)))*(INDEX(fixed_capacity_charge,MATCH(AC238,PORTS!$H$11:$H$317,0),MATCH(AG$5,PORTS!$H$11:$N$11,0))+INDEX(variable_om_charge,MATCH(AC238,PORTS!$H$318:$H$625,0),MATCH(AG$5,PORTS!$H$318:$N$318,0)))</f>
        <v>0</v>
      </c>
      <c r="AJ238" s="232">
        <f t="shared" si="108"/>
        <v>0</v>
      </c>
      <c r="AK238" s="241">
        <f t="shared" si="109"/>
        <v>0</v>
      </c>
      <c r="AM238" s="186">
        <f t="shared" si="120"/>
        <v>43405</v>
      </c>
      <c r="AN238" s="215">
        <f t="shared" si="110"/>
        <v>5221704.655509592</v>
      </c>
      <c r="AO238" s="191">
        <f t="shared" si="111"/>
        <v>-54827.898882850073</v>
      </c>
      <c r="AP238" s="218">
        <f>+IF(AND(AO$8&lt;=AM238,AO$9&gt;=AM238),+MIN($B238-SUMIF($H$17:AO$17,AP$17,$H238:AO238),((INDEX(ROUTE_PER_DAY_BY_SHIP,MATCH(CONCATENATE(AO$4,AO$5,AO$7),ROUTE_PER_DAY_ROUTES,0),MATCH(AO$6,ROUTE_PER_DAY_SHIPS,0))*(AM239-AM238))-(INDEX(ROUTE_PER_DAY_BY_SHIP,MATCH(CONCATENATE(AO$4,AO$5,AO$7),ROUTE_PER_DAY_ROUTES,0),MATCH(AO$6,ROUTE_PER_DAY_SHIPS,0))*(AM239-AM238))*HLOOKUP(AO$6,SHIPS,7,0)*INDEX(LADEN_VOYAGE_DAYS,MATCH(CONCATENATE(AO$4,AO$5,AO$7),LADEN_VOYAGE_ROUTES,0),MATCH(AO$6,LADEN_VOYAGE_SHIPS,0)))),0)</f>
        <v>5166876.756626742</v>
      </c>
      <c r="AQ238" s="118">
        <f>-(AP238)*PORTS!$I$6</f>
        <v>-129171.91891566856</v>
      </c>
      <c r="AR238" s="215">
        <f t="shared" si="93"/>
        <v>5037704.8377110735</v>
      </c>
      <c r="AS238" s="202"/>
      <c r="AT238" s="186">
        <f t="shared" si="121"/>
        <v>43405</v>
      </c>
      <c r="AU238" s="232">
        <f>+AR238*(VLOOKUP(AT238,CURVECALC!$C$6:$J$312,4,0)+AV$5)</f>
        <v>21480773.428000018</v>
      </c>
      <c r="AV238" s="208">
        <f>-AN238*INDEX(ship_curves,MATCH(AT238,'SHIP CURVES'!$A$9:$A$316,0),MATCH(CONCATENATE(AX$4,AX$5,AX$6,AX$7),'SHIP CURVES'!$A$9:$AZ$9,0))</f>
        <v>-1796701.1844040486</v>
      </c>
      <c r="AW238" s="209">
        <f>-AP238*INDEX(port_processing_fee,MATCH(AT238,PORTS!$H$626:$H$933,0),MATCH(AX$5,PORTS!$H$626:$Z$626,0))</f>
        <v>-172097.72887842858</v>
      </c>
      <c r="AX238" s="405">
        <f>(((VLOOKUP(AT238,curvecalc,4,0))*IF(AN238=0,0,AR238/AN238)-INDEX(ship_curves,MATCH(AT238,'SHIP CURVES'!$A$9:$A$316,0),MATCH(CONCATENATE(AX$4,AX$5,AX$6,AX$7),'SHIP CURVES'!$A$9:$Z$9,0))-INDEX(terminal_curves,MATCH(AT238,'TERMINAL CURVES'!$A$4:$A$313,0),MATCH(AX$5,'TERMINAL CURVES'!$A$4:$N$4,0))*IF(AN238=0,0,AP238/AN238))-(AV$8)*((AV$7-$N$5)-(INDEX(ship_curves,MATCH(AT238,'SHIP CURVES'!$A$9:$A$316,0),MATCH(CONCATENATE(AX$4,AX$5,AX$6,AX$7),'SHIP CURVES'!$A$9:$Z$9,0))-INDEX(ship_curves,MATCH(AT238,'SHIP CURVES'!$A$9:$A$316,0),MATCH(CONCATENATE(AX$4,AV$6,AX$6,AX$7),'SHIP CURVES'!$A$9:$Z$9,0)))-(INDEX(terminal_curves,MATCH(AT238,'TERMINAL CURVES'!$A$4:$A$313,0),MATCH(AX$5,'TERMINAL CURVES'!$A$4:$N$4,0))-INDEX(terminal_curves,MATCH(AT238,'TERMINAL CURVES'!$A$4:$A$313,0),MATCH(AV$6,'TERMINAL CURVES'!$A$4:$N$4,0)))*IF(AN238=0,0,AP238/AN238)))*-AN238</f>
        <v>-18353123.936302699</v>
      </c>
      <c r="AY238" s="343">
        <f t="shared" si="112"/>
        <v>-20321922.849585176</v>
      </c>
      <c r="AZ238" s="338">
        <f>(-AP238/((HLOOKUP(AX$5,port_specs,2,0)/(365.25))*(AT239-AT238)))*(INDEX(fixed_capacity_charge,MATCH(AT238,PORTS!$H$11:$H$317,0),MATCH(AX$5,PORTS!$H$11:$N$11,0))+INDEX(variable_om_charge,MATCH(AT238,PORTS!$H$318:$H$625,0),MATCH(AX$5,PORTS!$H$318:$N$318,0)))</f>
        <v>-1058096.4816606243</v>
      </c>
      <c r="BA238" s="232">
        <f t="shared" si="113"/>
        <v>-21380019.331245799</v>
      </c>
      <c r="BB238" s="241">
        <f t="shared" si="114"/>
        <v>100754.09675421938</v>
      </c>
      <c r="BC238" s="408"/>
      <c r="BD238" s="338">
        <f>+PORTS!I232+PORTS!I540</f>
        <v>1058096.4816606243</v>
      </c>
    </row>
    <row r="239" spans="1:56" x14ac:dyDescent="0.2">
      <c r="A239" s="186">
        <f t="shared" si="115"/>
        <v>43435</v>
      </c>
      <c r="B239" s="215">
        <f>+IF(AND($A239&gt;=$C$8,$A239&lt;=$C$9),1,0)*PORTS!$I$5/(365.25)*(A240-A239)</f>
        <v>5339105.9818476336</v>
      </c>
      <c r="C239" s="351">
        <f t="shared" si="94"/>
        <v>0</v>
      </c>
      <c r="D239">
        <f t="shared" si="95"/>
        <v>2018</v>
      </c>
      <c r="E239" s="186">
        <f t="shared" si="116"/>
        <v>43435</v>
      </c>
      <c r="F239" s="215">
        <f t="shared" si="96"/>
        <v>0</v>
      </c>
      <c r="G239" s="191">
        <f t="shared" si="97"/>
        <v>0</v>
      </c>
      <c r="H239" s="218">
        <f t="shared" si="98"/>
        <v>0</v>
      </c>
      <c r="I239" s="118">
        <f t="shared" si="99"/>
        <v>0</v>
      </c>
      <c r="J239" s="215">
        <f t="shared" si="100"/>
        <v>0</v>
      </c>
      <c r="K239" s="202"/>
      <c r="L239" s="186">
        <f t="shared" si="117"/>
        <v>43435</v>
      </c>
      <c r="M239" s="400">
        <f>+J239*(VLOOKUP(L239,CURVECALC!$C$6:$J$312,4,0)+N$5)</f>
        <v>0</v>
      </c>
      <c r="N239" s="208">
        <f>-F239*INDEX(ship_curves,MATCH(L239,'SHIP CURVES'!$A$9:$A$316,0),MATCH(CONCATENATE(P$4,P$5,P$6,P$7),'SHIP CURVES'!$A$9:$AZ$9,0))</f>
        <v>0</v>
      </c>
      <c r="O239" s="209">
        <f>-H239*INDEX(port_processing_fee,MATCH(L239,PORTS!$H$626:$H$933,0),MATCH(P$5,PORTS!$H$626:$Z$626,0))</f>
        <v>0</v>
      </c>
      <c r="P239" s="405">
        <f>(((VLOOKUP(L239,curvecalc,4,0))*IF(F239=0,0,J239/F239)-INDEX(ship_curves,MATCH(L239,'SHIP CURVES'!$A$9:$A$316,0),MATCH(CONCATENATE(P$4,P$5,P$6,P$7),'SHIP CURVES'!$A$9:$Z$9,0))-INDEX(terminal_curves,MATCH(L239,'TERMINAL CURVES'!$A$4:$A$313,0),MATCH(P$5,'TERMINAL CURVES'!$A$4:$N$4,0))*IF(F239=0,0,H239/F239))-(N$8)*((N$7-$N$5)-(INDEX(ship_curves,MATCH(L239,'SHIP CURVES'!$A$9:$A$316,0),MATCH(CONCATENATE(P$4,P$5,P$6,P$7),'SHIP CURVES'!$A$9:$Z$9,0))-INDEX(ship_curves,MATCH(L239,'SHIP CURVES'!$A$9:$A$316,0),MATCH(CONCATENATE(P$4,N$6,P$6,P$7),'SHIP CURVES'!$A$9:$Z$9,0)))-(INDEX(terminal_curves,MATCH(L239,'TERMINAL CURVES'!$A$4:$A$313,0),MATCH(P$5,'TERMINAL CURVES'!$A$4:$N$4,0))-INDEX(terminal_curves,MATCH(L239,'TERMINAL CURVES'!$A$4:$A$313,0),MATCH(N$6,'TERMINAL CURVES'!$A$4:$N$4,0)))*IF(F239=0,0,H239/F239)))*-F239</f>
        <v>0</v>
      </c>
      <c r="Q239" s="403">
        <f t="shared" si="101"/>
        <v>0</v>
      </c>
      <c r="R239" s="338">
        <f>(-H239/((HLOOKUP(P$5,port_specs,2,0)/(365.25))*(L240-L239)))*(INDEX(fixed_capacity_charge,MATCH(L239,PORTS!$H$11:$H$317,0),MATCH(P$5,PORTS!$H$11:$N$11,0))+INDEX(variable_om_charge,MATCH(L239,PORTS!$H$318:$H$625,0),MATCH(P$5,PORTS!$H$318:$N$318,0)))</f>
        <v>0</v>
      </c>
      <c r="S239" s="232">
        <f t="shared" si="102"/>
        <v>0</v>
      </c>
      <c r="T239" s="241">
        <f t="shared" si="103"/>
        <v>0</v>
      </c>
      <c r="V239" s="186">
        <f t="shared" si="118"/>
        <v>43435</v>
      </c>
      <c r="W239" s="215">
        <f t="shared" si="104"/>
        <v>0</v>
      </c>
      <c r="X239" s="191">
        <f t="shared" si="105"/>
        <v>0</v>
      </c>
      <c r="Y239" s="218">
        <f>+IF(AND(X$8&lt;=V239,X$9&gt;=V239),+MIN($B239-SUMIF($H$17:X$17,Y$17,$H239:X239),((INDEX(ROUTE_PER_DAY_BY_SHIP,MATCH(CONCATENATE(X$4,X$5,X$7),ROUTE_PER_DAY_ROUTES,0),MATCH(X$6,ROUTE_PER_DAY_SHIPS,0))*(V240-V239))-(INDEX(ROUTE_PER_DAY_BY_SHIP,MATCH(CONCATENATE(X$4,X$5,X$7),ROUTE_PER_DAY_ROUTES,0),MATCH(X$6,ROUTE_PER_DAY_SHIPS,0))*(V240-V239))*HLOOKUP(X$6,SHIPS,7,0)*INDEX(LADEN_VOYAGE_DAYS,MATCH(CONCATENATE(X$4,X$5,X$7),LADEN_VOYAGE_ROUTES,0),MATCH(X$6,LADEN_VOYAGE_SHIPS,0)))),0)</f>
        <v>0</v>
      </c>
      <c r="Z239" s="118">
        <f t="shared" si="106"/>
        <v>0</v>
      </c>
      <c r="AA239" s="215">
        <f t="shared" si="92"/>
        <v>0</v>
      </c>
      <c r="AB239" s="202"/>
      <c r="AC239" s="186">
        <f t="shared" si="119"/>
        <v>43435</v>
      </c>
      <c r="AD239" s="232">
        <f>+AA239*(VLOOKUP(AC239,CURVECALC!$C$6:$J$312,4,0)+AE$5)</f>
        <v>0</v>
      </c>
      <c r="AE239" s="208">
        <f>-W239*INDEX(ship_curves,MATCH(AC239,'SHIP CURVES'!$A$9:$A$316,0),MATCH(CONCATENATE(AG$4,AG$5,AG$6,AG$7),'SHIP CURVES'!$A$9:$AZ$9,0))</f>
        <v>0</v>
      </c>
      <c r="AF239" s="209">
        <f>-Y239*INDEX(port_processing_fee,MATCH(AC239,PORTS!$H$626:$H$933,0),MATCH(AG$5,PORTS!$H$626:$Z$626,0))</f>
        <v>0</v>
      </c>
      <c r="AG239" s="405">
        <f>(((VLOOKUP(AC239,curvecalc,4,0))*IF(W239=0,0,AA239/W239)-INDEX(ship_curves,MATCH(AC239,'SHIP CURVES'!$A$9:$A$316,0),MATCH(CONCATENATE(AG$4,AG$5,AG$6,AG$7),'SHIP CURVES'!$A$9:$Z$9,0))-INDEX(terminal_curves,MATCH(AC239,'TERMINAL CURVES'!$A$4:$A$313,0),MATCH(AG$5,'TERMINAL CURVES'!$A$4:$N$4,0))*IF(W239=0,0,Y239/W239))-(AE$8)*((AE$7-$N$5)-(INDEX(ship_curves,MATCH(AC239,'SHIP CURVES'!$A$9:$A$316,0),MATCH(CONCATENATE(AG$4,AG$5,AG$6,AG$7),'SHIP CURVES'!$A$9:$Z$9,0))-INDEX(ship_curves,MATCH(AC239,'SHIP CURVES'!$A$9:$A$316,0),MATCH(CONCATENATE(AG$4,AE$6,AG$6,AG$7),'SHIP CURVES'!$A$9:$Z$9,0)))-(INDEX(terminal_curves,MATCH(AC239,'TERMINAL CURVES'!$A$4:$A$313,0),MATCH(AG$5,'TERMINAL CURVES'!$A$4:$N$4,0))-INDEX(terminal_curves,MATCH(AC239,'TERMINAL CURVES'!$A$4:$A$313,0),MATCH(AE$6,'TERMINAL CURVES'!$A$4:$N$4,0)))*IF(W239=0,0,Y239/W239)))*-W239</f>
        <v>0</v>
      </c>
      <c r="AH239" s="343">
        <f t="shared" si="107"/>
        <v>0</v>
      </c>
      <c r="AI239" s="338">
        <f>(-Y239/((HLOOKUP(AG$5,port_specs,2,0)/(365.25))*(AC240-AC239)))*(INDEX(fixed_capacity_charge,MATCH(AC239,PORTS!$H$11:$H$317,0),MATCH(AG$5,PORTS!$H$11:$N$11,0))+INDEX(variable_om_charge,MATCH(AC239,PORTS!$H$318:$H$625,0),MATCH(AG$5,PORTS!$H$318:$N$318,0)))</f>
        <v>0</v>
      </c>
      <c r="AJ239" s="232">
        <f t="shared" si="108"/>
        <v>0</v>
      </c>
      <c r="AK239" s="241">
        <f t="shared" si="109"/>
        <v>0</v>
      </c>
      <c r="AM239" s="186">
        <f t="shared" si="120"/>
        <v>43435</v>
      </c>
      <c r="AN239" s="215">
        <f t="shared" si="110"/>
        <v>5395761.4773599124</v>
      </c>
      <c r="AO239" s="191">
        <f t="shared" si="111"/>
        <v>-56655.495512278751</v>
      </c>
      <c r="AP239" s="218">
        <f>+IF(AND(AO$8&lt;=AM239,AO$9&gt;=AM239),+MIN($B239-SUMIF($H$17:AO$17,AP$17,$H239:AO239),((INDEX(ROUTE_PER_DAY_BY_SHIP,MATCH(CONCATENATE(AO$4,AO$5,AO$7),ROUTE_PER_DAY_ROUTES,0),MATCH(AO$6,ROUTE_PER_DAY_SHIPS,0))*(AM240-AM239))-(INDEX(ROUTE_PER_DAY_BY_SHIP,MATCH(CONCATENATE(AO$4,AO$5,AO$7),ROUTE_PER_DAY_ROUTES,0),MATCH(AO$6,ROUTE_PER_DAY_SHIPS,0))*(AM240-AM239))*HLOOKUP(AO$6,SHIPS,7,0)*INDEX(LADEN_VOYAGE_DAYS,MATCH(CONCATENATE(AO$4,AO$5,AO$7),LADEN_VOYAGE_ROUTES,0),MATCH(AO$6,LADEN_VOYAGE_SHIPS,0)))),0)</f>
        <v>5339105.9818476336</v>
      </c>
      <c r="AQ239" s="118">
        <f>-(AP239)*PORTS!$I$6</f>
        <v>-133477.64954619083</v>
      </c>
      <c r="AR239" s="215">
        <f t="shared" si="93"/>
        <v>5205628.3323014425</v>
      </c>
      <c r="AS239" s="202"/>
      <c r="AT239" s="186">
        <f t="shared" si="121"/>
        <v>43435</v>
      </c>
      <c r="AU239" s="232">
        <f>+AR239*(VLOOKUP(AT239,CURVECALC!$C$6:$J$312,4,0)+AV$5)</f>
        <v>22509136.908871438</v>
      </c>
      <c r="AV239" s="208">
        <f>-AN239*INDEX(ship_curves,MATCH(AT239,'SHIP CURVES'!$A$9:$A$316,0),MATCH(CONCATENATE(AX$4,AX$5,AX$6,AX$7),'SHIP CURVES'!$A$9:$AZ$9,0))</f>
        <v>-1857263.4395026586</v>
      </c>
      <c r="AW239" s="209">
        <f>-AP239*INDEX(port_processing_fee,MATCH(AT239,PORTS!$H$626:$H$933,0),MATCH(AX$5,PORTS!$H$626:$Z$626,0))</f>
        <v>-178019.56392421058</v>
      </c>
      <c r="AX239" s="405">
        <f>(((VLOOKUP(AT239,curvecalc,4,0))*IF(AN239=0,0,AR239/AN239)-INDEX(ship_curves,MATCH(AT239,'SHIP CURVES'!$A$9:$A$316,0),MATCH(CONCATENATE(AX$4,AX$5,AX$6,AX$7),'SHIP CURVES'!$A$9:$Z$9,0))-INDEX(terminal_curves,MATCH(AT239,'TERMINAL CURVES'!$A$4:$A$313,0),MATCH(AX$5,'TERMINAL CURVES'!$A$4:$N$4,0))*IF(AN239=0,0,AP239/AN239))-(AV$8)*((AV$7-$N$5)-(INDEX(ship_curves,MATCH(AT239,'SHIP CURVES'!$A$9:$A$316,0),MATCH(CONCATENATE(AX$4,AX$5,AX$6,AX$7),'SHIP CURVES'!$A$9:$Z$9,0))-INDEX(ship_curves,MATCH(AT239,'SHIP CURVES'!$A$9:$A$316,0),MATCH(CONCATENATE(AX$4,AV$6,AX$6,AX$7),'SHIP CURVES'!$A$9:$Z$9,0)))-(INDEX(terminal_curves,MATCH(AT239,'TERMINAL CURVES'!$A$4:$A$313,0),MATCH(AX$5,'TERMINAL CURVES'!$A$4:$N$4,0))-INDEX(terminal_curves,MATCH(AT239,'TERMINAL CURVES'!$A$4:$A$313,0),MATCH(AV$6,'TERMINAL CURVES'!$A$4:$N$4,0)))*IF(AN239=0,0,AP239/AN239)))*-AN239</f>
        <v>-19311048.075980879</v>
      </c>
      <c r="AY239" s="343">
        <f t="shared" si="112"/>
        <v>-21346331.079407748</v>
      </c>
      <c r="AZ239" s="338">
        <f>(-AP239/((HLOOKUP(AX$5,port_specs,2,0)/(365.25))*(AT240-AT239)))*(INDEX(fixed_capacity_charge,MATCH(AT239,PORTS!$H$11:$H$317,0),MATCH(AX$5,PORTS!$H$11:$N$11,0))+INDEX(variable_om_charge,MATCH(AT239,PORTS!$H$318:$H$625,0),MATCH(AX$5,PORTS!$H$318:$N$318,0)))</f>
        <v>-1058693.2628176578</v>
      </c>
      <c r="BA239" s="232">
        <f t="shared" si="113"/>
        <v>-22405024.342225406</v>
      </c>
      <c r="BB239" s="241">
        <f t="shared" si="114"/>
        <v>104112.56664603204</v>
      </c>
      <c r="BC239" s="408"/>
      <c r="BD239" s="338">
        <f>+PORTS!I233+PORTS!I541</f>
        <v>1058693.2628176578</v>
      </c>
    </row>
    <row r="240" spans="1:56" x14ac:dyDescent="0.2">
      <c r="A240" s="186">
        <f t="shared" si="115"/>
        <v>43466</v>
      </c>
      <c r="B240" s="215">
        <f>+IF(AND($A240&gt;=$C$8,$A240&lt;=$C$9),1,0)*PORTS!$I$5/(365.25)*(A241-A240)</f>
        <v>5339105.9818476336</v>
      </c>
      <c r="C240" s="351">
        <f t="shared" si="94"/>
        <v>0</v>
      </c>
      <c r="D240">
        <f t="shared" si="95"/>
        <v>2019</v>
      </c>
      <c r="E240" s="186">
        <f t="shared" si="116"/>
        <v>43466</v>
      </c>
      <c r="F240" s="215">
        <f t="shared" si="96"/>
        <v>0</v>
      </c>
      <c r="G240" s="191">
        <f t="shared" si="97"/>
        <v>0</v>
      </c>
      <c r="H240" s="218">
        <f t="shared" si="98"/>
        <v>0</v>
      </c>
      <c r="I240" s="118">
        <f t="shared" si="99"/>
        <v>0</v>
      </c>
      <c r="J240" s="215">
        <f t="shared" si="100"/>
        <v>0</v>
      </c>
      <c r="K240" s="202"/>
      <c r="L240" s="186">
        <f t="shared" si="117"/>
        <v>43466</v>
      </c>
      <c r="M240" s="400">
        <f>+J240*(VLOOKUP(L240,CURVECALC!$C$6:$J$312,4,0)+N$5)</f>
        <v>0</v>
      </c>
      <c r="N240" s="208">
        <f>-F240*INDEX(ship_curves,MATCH(L240,'SHIP CURVES'!$A$9:$A$316,0),MATCH(CONCATENATE(P$4,P$5,P$6,P$7),'SHIP CURVES'!$A$9:$AZ$9,0))</f>
        <v>0</v>
      </c>
      <c r="O240" s="209">
        <f>-H240*INDEX(port_processing_fee,MATCH(L240,PORTS!$H$626:$H$933,0),MATCH(P$5,PORTS!$H$626:$Z$626,0))</f>
        <v>0</v>
      </c>
      <c r="P240" s="405">
        <f>(((VLOOKUP(L240,curvecalc,4,0))*IF(F240=0,0,J240/F240)-INDEX(ship_curves,MATCH(L240,'SHIP CURVES'!$A$9:$A$316,0),MATCH(CONCATENATE(P$4,P$5,P$6,P$7),'SHIP CURVES'!$A$9:$Z$9,0))-INDEX(terminal_curves,MATCH(L240,'TERMINAL CURVES'!$A$4:$A$313,0),MATCH(P$5,'TERMINAL CURVES'!$A$4:$N$4,0))*IF(F240=0,0,H240/F240))-(N$8)*((N$7-$N$5)-(INDEX(ship_curves,MATCH(L240,'SHIP CURVES'!$A$9:$A$316,0),MATCH(CONCATENATE(P$4,P$5,P$6,P$7),'SHIP CURVES'!$A$9:$Z$9,0))-INDEX(ship_curves,MATCH(L240,'SHIP CURVES'!$A$9:$A$316,0),MATCH(CONCATENATE(P$4,N$6,P$6,P$7),'SHIP CURVES'!$A$9:$Z$9,0)))-(INDEX(terminal_curves,MATCH(L240,'TERMINAL CURVES'!$A$4:$A$313,0),MATCH(P$5,'TERMINAL CURVES'!$A$4:$N$4,0))-INDEX(terminal_curves,MATCH(L240,'TERMINAL CURVES'!$A$4:$A$313,0),MATCH(N$6,'TERMINAL CURVES'!$A$4:$N$4,0)))*IF(F240=0,0,H240/F240)))*-F240</f>
        <v>0</v>
      </c>
      <c r="Q240" s="403">
        <f t="shared" si="101"/>
        <v>0</v>
      </c>
      <c r="R240" s="338">
        <f>(-H240/((HLOOKUP(P$5,port_specs,2,0)/(365.25))*(L241-L240)))*(INDEX(fixed_capacity_charge,MATCH(L240,PORTS!$H$11:$H$317,0),MATCH(P$5,PORTS!$H$11:$N$11,0))+INDEX(variable_om_charge,MATCH(L240,PORTS!$H$318:$H$625,0),MATCH(P$5,PORTS!$H$318:$N$318,0)))</f>
        <v>0</v>
      </c>
      <c r="S240" s="232">
        <f t="shared" si="102"/>
        <v>0</v>
      </c>
      <c r="T240" s="241">
        <f t="shared" si="103"/>
        <v>0</v>
      </c>
      <c r="V240" s="186">
        <f t="shared" si="118"/>
        <v>43466</v>
      </c>
      <c r="W240" s="215">
        <f t="shared" si="104"/>
        <v>0</v>
      </c>
      <c r="X240" s="191">
        <f t="shared" si="105"/>
        <v>0</v>
      </c>
      <c r="Y240" s="218">
        <f>+IF(AND(X$8&lt;=V240,X$9&gt;=V240),+MIN($B240-SUMIF($H$17:X$17,Y$17,$H240:X240),((INDEX(ROUTE_PER_DAY_BY_SHIP,MATCH(CONCATENATE(X$4,X$5,X$7),ROUTE_PER_DAY_ROUTES,0),MATCH(X$6,ROUTE_PER_DAY_SHIPS,0))*(V241-V240))-(INDEX(ROUTE_PER_DAY_BY_SHIP,MATCH(CONCATENATE(X$4,X$5,X$7),ROUTE_PER_DAY_ROUTES,0),MATCH(X$6,ROUTE_PER_DAY_SHIPS,0))*(V241-V240))*HLOOKUP(X$6,SHIPS,7,0)*INDEX(LADEN_VOYAGE_DAYS,MATCH(CONCATENATE(X$4,X$5,X$7),LADEN_VOYAGE_ROUTES,0),MATCH(X$6,LADEN_VOYAGE_SHIPS,0)))),0)</f>
        <v>0</v>
      </c>
      <c r="Z240" s="118">
        <f t="shared" si="106"/>
        <v>0</v>
      </c>
      <c r="AA240" s="215">
        <f t="shared" si="92"/>
        <v>0</v>
      </c>
      <c r="AB240" s="202"/>
      <c r="AC240" s="186">
        <f t="shared" si="119"/>
        <v>43466</v>
      </c>
      <c r="AD240" s="232">
        <f>+AA240*(VLOOKUP(AC240,CURVECALC!$C$6:$J$312,4,0)+AE$5)</f>
        <v>0</v>
      </c>
      <c r="AE240" s="208">
        <f>-W240*INDEX(ship_curves,MATCH(AC240,'SHIP CURVES'!$A$9:$A$316,0),MATCH(CONCATENATE(AG$4,AG$5,AG$6,AG$7),'SHIP CURVES'!$A$9:$AZ$9,0))</f>
        <v>0</v>
      </c>
      <c r="AF240" s="209">
        <f>-Y240*INDEX(port_processing_fee,MATCH(AC240,PORTS!$H$626:$H$933,0),MATCH(AG$5,PORTS!$H$626:$Z$626,0))</f>
        <v>0</v>
      </c>
      <c r="AG240" s="405">
        <f>(((VLOOKUP(AC240,curvecalc,4,0))*IF(W240=0,0,AA240/W240)-INDEX(ship_curves,MATCH(AC240,'SHIP CURVES'!$A$9:$A$316,0),MATCH(CONCATENATE(AG$4,AG$5,AG$6,AG$7),'SHIP CURVES'!$A$9:$Z$9,0))-INDEX(terminal_curves,MATCH(AC240,'TERMINAL CURVES'!$A$4:$A$313,0),MATCH(AG$5,'TERMINAL CURVES'!$A$4:$N$4,0))*IF(W240=0,0,Y240/W240))-(AE$8)*((AE$7-$N$5)-(INDEX(ship_curves,MATCH(AC240,'SHIP CURVES'!$A$9:$A$316,0),MATCH(CONCATENATE(AG$4,AG$5,AG$6,AG$7),'SHIP CURVES'!$A$9:$Z$9,0))-INDEX(ship_curves,MATCH(AC240,'SHIP CURVES'!$A$9:$A$316,0),MATCH(CONCATENATE(AG$4,AE$6,AG$6,AG$7),'SHIP CURVES'!$A$9:$Z$9,0)))-(INDEX(terminal_curves,MATCH(AC240,'TERMINAL CURVES'!$A$4:$A$313,0),MATCH(AG$5,'TERMINAL CURVES'!$A$4:$N$4,0))-INDEX(terminal_curves,MATCH(AC240,'TERMINAL CURVES'!$A$4:$A$313,0),MATCH(AE$6,'TERMINAL CURVES'!$A$4:$N$4,0)))*IF(W240=0,0,Y240/W240)))*-W240</f>
        <v>0</v>
      </c>
      <c r="AH240" s="343">
        <f t="shared" si="107"/>
        <v>0</v>
      </c>
      <c r="AI240" s="338">
        <f>(-Y240/((HLOOKUP(AG$5,port_specs,2,0)/(365.25))*(AC241-AC240)))*(INDEX(fixed_capacity_charge,MATCH(AC240,PORTS!$H$11:$H$317,0),MATCH(AG$5,PORTS!$H$11:$N$11,0))+INDEX(variable_om_charge,MATCH(AC240,PORTS!$H$318:$H$625,0),MATCH(AG$5,PORTS!$H$318:$N$318,0)))</f>
        <v>0</v>
      </c>
      <c r="AJ240" s="232">
        <f t="shared" si="108"/>
        <v>0</v>
      </c>
      <c r="AK240" s="241">
        <f t="shared" si="109"/>
        <v>0</v>
      </c>
      <c r="AM240" s="186">
        <f t="shared" si="120"/>
        <v>43466</v>
      </c>
      <c r="AN240" s="215">
        <f t="shared" si="110"/>
        <v>5395761.4773599124</v>
      </c>
      <c r="AO240" s="191">
        <f t="shared" si="111"/>
        <v>-56655.495512278751</v>
      </c>
      <c r="AP240" s="218">
        <f>+IF(AND(AO$8&lt;=AM240,AO$9&gt;=AM240),+MIN($B240-SUMIF($H$17:AO$17,AP$17,$H240:AO240),((INDEX(ROUTE_PER_DAY_BY_SHIP,MATCH(CONCATENATE(AO$4,AO$5,AO$7),ROUTE_PER_DAY_ROUTES,0),MATCH(AO$6,ROUTE_PER_DAY_SHIPS,0))*(AM241-AM240))-(INDEX(ROUTE_PER_DAY_BY_SHIP,MATCH(CONCATENATE(AO$4,AO$5,AO$7),ROUTE_PER_DAY_ROUTES,0),MATCH(AO$6,ROUTE_PER_DAY_SHIPS,0))*(AM241-AM240))*HLOOKUP(AO$6,SHIPS,7,0)*INDEX(LADEN_VOYAGE_DAYS,MATCH(CONCATENATE(AO$4,AO$5,AO$7),LADEN_VOYAGE_ROUTES,0),MATCH(AO$6,LADEN_VOYAGE_SHIPS,0)))),0)</f>
        <v>5339105.9818476336</v>
      </c>
      <c r="AQ240" s="118">
        <f>-(AP240)*PORTS!$I$6</f>
        <v>-133477.64954619083</v>
      </c>
      <c r="AR240" s="215">
        <f t="shared" si="93"/>
        <v>5205628.3323014425</v>
      </c>
      <c r="AS240" s="202"/>
      <c r="AT240" s="186">
        <f t="shared" si="121"/>
        <v>43466</v>
      </c>
      <c r="AU240" s="232">
        <f>+AR240*(VLOOKUP(AT240,CURVECALC!$C$6:$J$312,4,0)+AV$5)</f>
        <v>23565879.460328627</v>
      </c>
      <c r="AV240" s="208">
        <f>-AN240*INDEX(ship_curves,MATCH(AT240,'SHIP CURVES'!$A$9:$A$316,0),MATCH(CONCATENATE(AX$4,AX$5,AX$6,AX$7),'SHIP CURVES'!$A$9:$AZ$9,0))</f>
        <v>-1857937.0555703386</v>
      </c>
      <c r="AW240" s="209">
        <f>-AP240*INDEX(port_processing_fee,MATCH(AT240,PORTS!$H$626:$H$933,0),MATCH(AX$5,PORTS!$H$626:$Z$626,0))</f>
        <v>-178205.00096996498</v>
      </c>
      <c r="AX240" s="405">
        <f>(((VLOOKUP(AT240,curvecalc,4,0))*IF(AN240=0,0,AR240/AN240)-INDEX(ship_curves,MATCH(AT240,'SHIP CURVES'!$A$9:$A$316,0),MATCH(CONCATENATE(AX$4,AX$5,AX$6,AX$7),'SHIP CURVES'!$A$9:$Z$9,0))-INDEX(terminal_curves,MATCH(AT240,'TERMINAL CURVES'!$A$4:$A$313,0),MATCH(AX$5,'TERMINAL CURVES'!$A$4:$N$4,0))*IF(AN240=0,0,AP240/AN240))-(AV$8)*((AV$7-$N$5)-(INDEX(ship_curves,MATCH(AT240,'SHIP CURVES'!$A$9:$A$316,0),MATCH(CONCATENATE(AX$4,AX$5,AX$6,AX$7),'SHIP CURVES'!$A$9:$Z$9,0))-INDEX(ship_curves,MATCH(AT240,'SHIP CURVES'!$A$9:$A$316,0),MATCH(CONCATENATE(AX$4,AV$6,AX$6,AX$7),'SHIP CURVES'!$A$9:$Z$9,0)))-(INDEX(terminal_curves,MATCH(AT240,'TERMINAL CURVES'!$A$4:$A$313,0),MATCH(AX$5,'TERMINAL CURVES'!$A$4:$N$4,0))-INDEX(terminal_curves,MATCH(AT240,'TERMINAL CURVES'!$A$4:$A$313,0),MATCH(AV$6,'TERMINAL CURVES'!$A$4:$N$4,0)))*IF(AN240=0,0,AP240/AN240)))*-AN240</f>
        <v>-20366334.171520565</v>
      </c>
      <c r="AY240" s="343">
        <f t="shared" si="112"/>
        <v>-22402476.228060868</v>
      </c>
      <c r="AZ240" s="338">
        <f>(-AP240/((HLOOKUP(AX$5,port_specs,2,0)/(365.25))*(AT241-AT240)))*(INDEX(fixed_capacity_charge,MATCH(AT240,PORTS!$H$11:$H$317,0),MATCH(AX$5,PORTS!$H$11:$N$11,0))+INDEX(variable_om_charge,MATCH(AT240,PORTS!$H$318:$H$625,0),MATCH(AX$5,PORTS!$H$318:$N$318,0)))</f>
        <v>-1059290.66562173</v>
      </c>
      <c r="BA240" s="232">
        <f t="shared" si="113"/>
        <v>-23461766.893682599</v>
      </c>
      <c r="BB240" s="241">
        <f t="shared" si="114"/>
        <v>104112.56664602831</v>
      </c>
      <c r="BC240" s="408"/>
      <c r="BD240" s="338">
        <f>+PORTS!I234+PORTS!I542</f>
        <v>1059290.66562173</v>
      </c>
    </row>
    <row r="241" spans="1:56" x14ac:dyDescent="0.2">
      <c r="A241" s="186">
        <f t="shared" si="115"/>
        <v>43497</v>
      </c>
      <c r="B241" s="215">
        <f>+IF(AND($A241&gt;=$C$8,$A241&lt;=$C$9),1,0)*PORTS!$I$5/(365.25)*(A242-A241)</f>
        <v>4822418.3061849596</v>
      </c>
      <c r="C241" s="351">
        <f t="shared" si="94"/>
        <v>0</v>
      </c>
      <c r="D241">
        <f t="shared" si="95"/>
        <v>2019</v>
      </c>
      <c r="E241" s="186">
        <f t="shared" si="116"/>
        <v>43497</v>
      </c>
      <c r="F241" s="215">
        <f t="shared" si="96"/>
        <v>0</v>
      </c>
      <c r="G241" s="191">
        <f t="shared" si="97"/>
        <v>0</v>
      </c>
      <c r="H241" s="218">
        <f t="shared" si="98"/>
        <v>0</v>
      </c>
      <c r="I241" s="118">
        <f t="shared" si="99"/>
        <v>0</v>
      </c>
      <c r="J241" s="215">
        <f t="shared" si="100"/>
        <v>0</v>
      </c>
      <c r="K241" s="202"/>
      <c r="L241" s="186">
        <f t="shared" si="117"/>
        <v>43497</v>
      </c>
      <c r="M241" s="400">
        <f>+J241*(VLOOKUP(L241,CURVECALC!$C$6:$J$312,4,0)+N$5)</f>
        <v>0</v>
      </c>
      <c r="N241" s="208">
        <f>-F241*INDEX(ship_curves,MATCH(L241,'SHIP CURVES'!$A$9:$A$316,0),MATCH(CONCATENATE(P$4,P$5,P$6,P$7),'SHIP CURVES'!$A$9:$AZ$9,0))</f>
        <v>0</v>
      </c>
      <c r="O241" s="209">
        <f>-H241*INDEX(port_processing_fee,MATCH(L241,PORTS!$H$626:$H$933,0),MATCH(P$5,PORTS!$H$626:$Z$626,0))</f>
        <v>0</v>
      </c>
      <c r="P241" s="405">
        <f>(((VLOOKUP(L241,curvecalc,4,0))*IF(F241=0,0,J241/F241)-INDEX(ship_curves,MATCH(L241,'SHIP CURVES'!$A$9:$A$316,0),MATCH(CONCATENATE(P$4,P$5,P$6,P$7),'SHIP CURVES'!$A$9:$Z$9,0))-INDEX(terminal_curves,MATCH(L241,'TERMINAL CURVES'!$A$4:$A$313,0),MATCH(P$5,'TERMINAL CURVES'!$A$4:$N$4,0))*IF(F241=0,0,H241/F241))-(N$8)*((N$7-$N$5)-(INDEX(ship_curves,MATCH(L241,'SHIP CURVES'!$A$9:$A$316,0),MATCH(CONCATENATE(P$4,P$5,P$6,P$7),'SHIP CURVES'!$A$9:$Z$9,0))-INDEX(ship_curves,MATCH(L241,'SHIP CURVES'!$A$9:$A$316,0),MATCH(CONCATENATE(P$4,N$6,P$6,P$7),'SHIP CURVES'!$A$9:$Z$9,0)))-(INDEX(terminal_curves,MATCH(L241,'TERMINAL CURVES'!$A$4:$A$313,0),MATCH(P$5,'TERMINAL CURVES'!$A$4:$N$4,0))-INDEX(terminal_curves,MATCH(L241,'TERMINAL CURVES'!$A$4:$A$313,0),MATCH(N$6,'TERMINAL CURVES'!$A$4:$N$4,0)))*IF(F241=0,0,H241/F241)))*-F241</f>
        <v>0</v>
      </c>
      <c r="Q241" s="403">
        <f t="shared" si="101"/>
        <v>0</v>
      </c>
      <c r="R241" s="338">
        <f>(-H241/((HLOOKUP(P$5,port_specs,2,0)/(365.25))*(L242-L241)))*(INDEX(fixed_capacity_charge,MATCH(L241,PORTS!$H$11:$H$317,0),MATCH(P$5,PORTS!$H$11:$N$11,0))+INDEX(variable_om_charge,MATCH(L241,PORTS!$H$318:$H$625,0),MATCH(P$5,PORTS!$H$318:$N$318,0)))</f>
        <v>0</v>
      </c>
      <c r="S241" s="232">
        <f t="shared" si="102"/>
        <v>0</v>
      </c>
      <c r="T241" s="241">
        <f t="shared" si="103"/>
        <v>0</v>
      </c>
      <c r="V241" s="186">
        <f t="shared" si="118"/>
        <v>43497</v>
      </c>
      <c r="W241" s="215">
        <f t="shared" si="104"/>
        <v>0</v>
      </c>
      <c r="X241" s="191">
        <f t="shared" si="105"/>
        <v>0</v>
      </c>
      <c r="Y241" s="218">
        <f>+IF(AND(X$8&lt;=V241,X$9&gt;=V241),+MIN($B241-SUMIF($H$17:X$17,Y$17,$H241:X241),((INDEX(ROUTE_PER_DAY_BY_SHIP,MATCH(CONCATENATE(X$4,X$5,X$7),ROUTE_PER_DAY_ROUTES,0),MATCH(X$6,ROUTE_PER_DAY_SHIPS,0))*(V242-V241))-(INDEX(ROUTE_PER_DAY_BY_SHIP,MATCH(CONCATENATE(X$4,X$5,X$7),ROUTE_PER_DAY_ROUTES,0),MATCH(X$6,ROUTE_PER_DAY_SHIPS,0))*(V242-V241))*HLOOKUP(X$6,SHIPS,7,0)*INDEX(LADEN_VOYAGE_DAYS,MATCH(CONCATENATE(X$4,X$5,X$7),LADEN_VOYAGE_ROUTES,0),MATCH(X$6,LADEN_VOYAGE_SHIPS,0)))),0)</f>
        <v>0</v>
      </c>
      <c r="Z241" s="118">
        <f t="shared" si="106"/>
        <v>0</v>
      </c>
      <c r="AA241" s="215">
        <f t="shared" si="92"/>
        <v>0</v>
      </c>
      <c r="AB241" s="202"/>
      <c r="AC241" s="186">
        <f t="shared" si="119"/>
        <v>43497</v>
      </c>
      <c r="AD241" s="232">
        <f>+AA241*(VLOOKUP(AC241,CURVECALC!$C$6:$J$312,4,0)+AE$5)</f>
        <v>0</v>
      </c>
      <c r="AE241" s="208">
        <f>-W241*INDEX(ship_curves,MATCH(AC241,'SHIP CURVES'!$A$9:$A$316,0),MATCH(CONCATENATE(AG$4,AG$5,AG$6,AG$7),'SHIP CURVES'!$A$9:$AZ$9,0))</f>
        <v>0</v>
      </c>
      <c r="AF241" s="209">
        <f>-Y241*INDEX(port_processing_fee,MATCH(AC241,PORTS!$H$626:$H$933,0),MATCH(AG$5,PORTS!$H$626:$Z$626,0))</f>
        <v>0</v>
      </c>
      <c r="AG241" s="405">
        <f>(((VLOOKUP(AC241,curvecalc,4,0))*IF(W241=0,0,AA241/W241)-INDEX(ship_curves,MATCH(AC241,'SHIP CURVES'!$A$9:$A$316,0),MATCH(CONCATENATE(AG$4,AG$5,AG$6,AG$7),'SHIP CURVES'!$A$9:$Z$9,0))-INDEX(terminal_curves,MATCH(AC241,'TERMINAL CURVES'!$A$4:$A$313,0),MATCH(AG$5,'TERMINAL CURVES'!$A$4:$N$4,0))*IF(W241=0,0,Y241/W241))-(AE$8)*((AE$7-$N$5)-(INDEX(ship_curves,MATCH(AC241,'SHIP CURVES'!$A$9:$A$316,0),MATCH(CONCATENATE(AG$4,AG$5,AG$6,AG$7),'SHIP CURVES'!$A$9:$Z$9,0))-INDEX(ship_curves,MATCH(AC241,'SHIP CURVES'!$A$9:$A$316,0),MATCH(CONCATENATE(AG$4,AE$6,AG$6,AG$7),'SHIP CURVES'!$A$9:$Z$9,0)))-(INDEX(terminal_curves,MATCH(AC241,'TERMINAL CURVES'!$A$4:$A$313,0),MATCH(AG$5,'TERMINAL CURVES'!$A$4:$N$4,0))-INDEX(terminal_curves,MATCH(AC241,'TERMINAL CURVES'!$A$4:$A$313,0),MATCH(AE$6,'TERMINAL CURVES'!$A$4:$N$4,0)))*IF(W241=0,0,Y241/W241)))*-W241</f>
        <v>0</v>
      </c>
      <c r="AH241" s="343">
        <f t="shared" si="107"/>
        <v>0</v>
      </c>
      <c r="AI241" s="338">
        <f>(-Y241/((HLOOKUP(AG$5,port_specs,2,0)/(365.25))*(AC242-AC241)))*(INDEX(fixed_capacity_charge,MATCH(AC241,PORTS!$H$11:$H$317,0),MATCH(AG$5,PORTS!$H$11:$N$11,0))+INDEX(variable_om_charge,MATCH(AC241,PORTS!$H$318:$H$625,0),MATCH(AG$5,PORTS!$H$318:$N$318,0)))</f>
        <v>0</v>
      </c>
      <c r="AJ241" s="232">
        <f t="shared" si="108"/>
        <v>0</v>
      </c>
      <c r="AK241" s="241">
        <f t="shared" si="109"/>
        <v>0</v>
      </c>
      <c r="AM241" s="186">
        <f t="shared" si="120"/>
        <v>43497</v>
      </c>
      <c r="AN241" s="215">
        <f t="shared" si="110"/>
        <v>4873591.0118089532</v>
      </c>
      <c r="AO241" s="191">
        <f t="shared" si="111"/>
        <v>-51172.70562399365</v>
      </c>
      <c r="AP241" s="218">
        <f>+IF(AND(AO$8&lt;=AM241,AO$9&gt;=AM241),+MIN($B241-SUMIF($H$17:AO$17,AP$17,$H241:AO241),((INDEX(ROUTE_PER_DAY_BY_SHIP,MATCH(CONCATENATE(AO$4,AO$5,AO$7),ROUTE_PER_DAY_ROUTES,0),MATCH(AO$6,ROUTE_PER_DAY_SHIPS,0))*(AM242-AM241))-(INDEX(ROUTE_PER_DAY_BY_SHIP,MATCH(CONCATENATE(AO$4,AO$5,AO$7),ROUTE_PER_DAY_ROUTES,0),MATCH(AO$6,ROUTE_PER_DAY_SHIPS,0))*(AM242-AM241))*HLOOKUP(AO$6,SHIPS,7,0)*INDEX(LADEN_VOYAGE_DAYS,MATCH(CONCATENATE(AO$4,AO$5,AO$7),LADEN_VOYAGE_ROUTES,0),MATCH(AO$6,LADEN_VOYAGE_SHIPS,0)))),0)</f>
        <v>4822418.3061849596</v>
      </c>
      <c r="AQ241" s="118">
        <f>-(AP241)*PORTS!$I$6</f>
        <v>-120560.457654624</v>
      </c>
      <c r="AR241" s="215">
        <f t="shared" si="93"/>
        <v>4701857.8485303354</v>
      </c>
      <c r="AS241" s="202"/>
      <c r="AT241" s="186">
        <f t="shared" si="121"/>
        <v>43497</v>
      </c>
      <c r="AU241" s="232">
        <f>+AR241*(VLOOKUP(AT241,CURVECALC!$C$6:$J$312,4,0)+AV$5)</f>
        <v>20974987.862293828</v>
      </c>
      <c r="AV241" s="208">
        <f>-AN241*INDEX(ship_curves,MATCH(AT241,'SHIP CURVES'!$A$9:$A$316,0),MATCH(CONCATENATE(AX$4,AX$5,AX$6,AX$7),'SHIP CURVES'!$A$9:$AZ$9,0))</f>
        <v>-1678746.39032694</v>
      </c>
      <c r="AW241" s="209">
        <f>-AP241*INDEX(port_processing_fee,MATCH(AT241,PORTS!$H$626:$H$933,0),MATCH(AX$5,PORTS!$H$626:$Z$626,0))</f>
        <v>-161127.02171034331</v>
      </c>
      <c r="AX241" s="405">
        <f>(((VLOOKUP(AT241,curvecalc,4,0))*IF(AN241=0,0,AR241/AN241)-INDEX(ship_curves,MATCH(AT241,'SHIP CURVES'!$A$9:$A$316,0),MATCH(CONCATENATE(AX$4,AX$5,AX$6,AX$7),'SHIP CURVES'!$A$9:$Z$9,0))-INDEX(terminal_curves,MATCH(AT241,'TERMINAL CURVES'!$A$4:$A$313,0),MATCH(AX$5,'TERMINAL CURVES'!$A$4:$N$4,0))*IF(AN241=0,0,AP241/AN241))-(AV$8)*((AV$7-$N$5)-(INDEX(ship_curves,MATCH(AT241,'SHIP CURVES'!$A$9:$A$316,0),MATCH(CONCATENATE(AX$4,AX$5,AX$6,AX$7),'SHIP CURVES'!$A$9:$Z$9,0))-INDEX(ship_curves,MATCH(AT241,'SHIP CURVES'!$A$9:$A$316,0),MATCH(CONCATENATE(AX$4,AV$6,AX$6,AX$7),'SHIP CURVES'!$A$9:$Z$9,0)))-(INDEX(terminal_curves,MATCH(AT241,'TERMINAL CURVES'!$A$4:$A$313,0),MATCH(AX$5,'TERMINAL CURVES'!$A$4:$N$4,0))-INDEX(terminal_curves,MATCH(AT241,'TERMINAL CURVES'!$A$4:$A$313,0),MATCH(AV$6,'TERMINAL CURVES'!$A$4:$N$4,0)))*IF(AN241=0,0,AP241/AN241)))*-AN241</f>
        <v>-17981188.602565549</v>
      </c>
      <c r="AY241" s="343">
        <f t="shared" si="112"/>
        <v>-19821062.014602832</v>
      </c>
      <c r="AZ241" s="338">
        <f>(-AP241/((HLOOKUP(AX$5,port_specs,2,0)/(365.25))*(AT242-AT241)))*(INDEX(fixed_capacity_charge,MATCH(AT241,PORTS!$H$11:$H$317,0),MATCH(AX$5,PORTS!$H$11:$N$11,0))+INDEX(variable_om_charge,MATCH(AT241,PORTS!$H$318:$H$625,0),MATCH(AX$5,PORTS!$H$318:$N$318,0)))</f>
        <v>-1059888.6907203898</v>
      </c>
      <c r="BA241" s="232">
        <f t="shared" si="113"/>
        <v>-20880950.705323223</v>
      </c>
      <c r="BB241" s="241">
        <f t="shared" si="114"/>
        <v>94037.156970605254</v>
      </c>
      <c r="BC241" s="408"/>
      <c r="BD241" s="338">
        <f>+PORTS!I235+PORTS!I543</f>
        <v>1059888.6907203898</v>
      </c>
    </row>
    <row r="242" spans="1:56" x14ac:dyDescent="0.2">
      <c r="A242" s="186">
        <f t="shared" si="115"/>
        <v>43525</v>
      </c>
      <c r="B242" s="215">
        <f>+IF(AND($A242&gt;=$C$8,$A242&lt;=$C$9),1,0)*PORTS!$I$5/(365.25)*(A243-A242)</f>
        <v>5339105.9818476336</v>
      </c>
      <c r="C242" s="351">
        <f t="shared" si="94"/>
        <v>0</v>
      </c>
      <c r="D242">
        <f t="shared" si="95"/>
        <v>2019</v>
      </c>
      <c r="E242" s="186">
        <f t="shared" si="116"/>
        <v>43525</v>
      </c>
      <c r="F242" s="215">
        <f t="shared" si="96"/>
        <v>0</v>
      </c>
      <c r="G242" s="191">
        <f t="shared" si="97"/>
        <v>0</v>
      </c>
      <c r="H242" s="218">
        <f t="shared" si="98"/>
        <v>0</v>
      </c>
      <c r="I242" s="118">
        <f t="shared" si="99"/>
        <v>0</v>
      </c>
      <c r="J242" s="215">
        <f t="shared" si="100"/>
        <v>0</v>
      </c>
      <c r="K242" s="202"/>
      <c r="L242" s="186">
        <f t="shared" si="117"/>
        <v>43525</v>
      </c>
      <c r="M242" s="400">
        <f>+J242*(VLOOKUP(L242,CURVECALC!$C$6:$J$312,4,0)+N$5)</f>
        <v>0</v>
      </c>
      <c r="N242" s="208">
        <f>-F242*INDEX(ship_curves,MATCH(L242,'SHIP CURVES'!$A$9:$A$316,0),MATCH(CONCATENATE(P$4,P$5,P$6,P$7),'SHIP CURVES'!$A$9:$AZ$9,0))</f>
        <v>0</v>
      </c>
      <c r="O242" s="209">
        <f>-H242*INDEX(port_processing_fee,MATCH(L242,PORTS!$H$626:$H$933,0),MATCH(P$5,PORTS!$H$626:$Z$626,0))</f>
        <v>0</v>
      </c>
      <c r="P242" s="405">
        <f>(((VLOOKUP(L242,curvecalc,4,0))*IF(F242=0,0,J242/F242)-INDEX(ship_curves,MATCH(L242,'SHIP CURVES'!$A$9:$A$316,0),MATCH(CONCATENATE(P$4,P$5,P$6,P$7),'SHIP CURVES'!$A$9:$Z$9,0))-INDEX(terminal_curves,MATCH(L242,'TERMINAL CURVES'!$A$4:$A$313,0),MATCH(P$5,'TERMINAL CURVES'!$A$4:$N$4,0))*IF(F242=0,0,H242/F242))-(N$8)*((N$7-$N$5)-(INDEX(ship_curves,MATCH(L242,'SHIP CURVES'!$A$9:$A$316,0),MATCH(CONCATENATE(P$4,P$5,P$6,P$7),'SHIP CURVES'!$A$9:$Z$9,0))-INDEX(ship_curves,MATCH(L242,'SHIP CURVES'!$A$9:$A$316,0),MATCH(CONCATENATE(P$4,N$6,P$6,P$7),'SHIP CURVES'!$A$9:$Z$9,0)))-(INDEX(terminal_curves,MATCH(L242,'TERMINAL CURVES'!$A$4:$A$313,0),MATCH(P$5,'TERMINAL CURVES'!$A$4:$N$4,0))-INDEX(terminal_curves,MATCH(L242,'TERMINAL CURVES'!$A$4:$A$313,0),MATCH(N$6,'TERMINAL CURVES'!$A$4:$N$4,0)))*IF(F242=0,0,H242/F242)))*-F242</f>
        <v>0</v>
      </c>
      <c r="Q242" s="403">
        <f t="shared" si="101"/>
        <v>0</v>
      </c>
      <c r="R242" s="338">
        <f>(-H242/((HLOOKUP(P$5,port_specs,2,0)/(365.25))*(L243-L242)))*(INDEX(fixed_capacity_charge,MATCH(L242,PORTS!$H$11:$H$317,0),MATCH(P$5,PORTS!$H$11:$N$11,0))+INDEX(variable_om_charge,MATCH(L242,PORTS!$H$318:$H$625,0),MATCH(P$5,PORTS!$H$318:$N$318,0)))</f>
        <v>0</v>
      </c>
      <c r="S242" s="232">
        <f t="shared" si="102"/>
        <v>0</v>
      </c>
      <c r="T242" s="241">
        <f t="shared" si="103"/>
        <v>0</v>
      </c>
      <c r="V242" s="186">
        <f t="shared" si="118"/>
        <v>43525</v>
      </c>
      <c r="W242" s="215">
        <f t="shared" si="104"/>
        <v>0</v>
      </c>
      <c r="X242" s="191">
        <f t="shared" si="105"/>
        <v>0</v>
      </c>
      <c r="Y242" s="218">
        <f>+IF(AND(X$8&lt;=V242,X$9&gt;=V242),+MIN($B242-SUMIF($H$17:X$17,Y$17,$H242:X242),((INDEX(ROUTE_PER_DAY_BY_SHIP,MATCH(CONCATENATE(X$4,X$5,X$7),ROUTE_PER_DAY_ROUTES,0),MATCH(X$6,ROUTE_PER_DAY_SHIPS,0))*(V243-V242))-(INDEX(ROUTE_PER_DAY_BY_SHIP,MATCH(CONCATENATE(X$4,X$5,X$7),ROUTE_PER_DAY_ROUTES,0),MATCH(X$6,ROUTE_PER_DAY_SHIPS,0))*(V243-V242))*HLOOKUP(X$6,SHIPS,7,0)*INDEX(LADEN_VOYAGE_DAYS,MATCH(CONCATENATE(X$4,X$5,X$7),LADEN_VOYAGE_ROUTES,0),MATCH(X$6,LADEN_VOYAGE_SHIPS,0)))),0)</f>
        <v>0</v>
      </c>
      <c r="Z242" s="118">
        <f t="shared" si="106"/>
        <v>0</v>
      </c>
      <c r="AA242" s="215">
        <f t="shared" si="92"/>
        <v>0</v>
      </c>
      <c r="AB242" s="202"/>
      <c r="AC242" s="186">
        <f t="shared" si="119"/>
        <v>43525</v>
      </c>
      <c r="AD242" s="232">
        <f>+AA242*(VLOOKUP(AC242,CURVECALC!$C$6:$J$312,4,0)+AE$5)</f>
        <v>0</v>
      </c>
      <c r="AE242" s="208">
        <f>-W242*INDEX(ship_curves,MATCH(AC242,'SHIP CURVES'!$A$9:$A$316,0),MATCH(CONCATENATE(AG$4,AG$5,AG$6,AG$7),'SHIP CURVES'!$A$9:$AZ$9,0))</f>
        <v>0</v>
      </c>
      <c r="AF242" s="209">
        <f>-Y242*INDEX(port_processing_fee,MATCH(AC242,PORTS!$H$626:$H$933,0),MATCH(AG$5,PORTS!$H$626:$Z$626,0))</f>
        <v>0</v>
      </c>
      <c r="AG242" s="405">
        <f>(((VLOOKUP(AC242,curvecalc,4,0))*IF(W242=0,0,AA242/W242)-INDEX(ship_curves,MATCH(AC242,'SHIP CURVES'!$A$9:$A$316,0),MATCH(CONCATENATE(AG$4,AG$5,AG$6,AG$7),'SHIP CURVES'!$A$9:$Z$9,0))-INDEX(terminal_curves,MATCH(AC242,'TERMINAL CURVES'!$A$4:$A$313,0),MATCH(AG$5,'TERMINAL CURVES'!$A$4:$N$4,0))*IF(W242=0,0,Y242/W242))-(AE$8)*((AE$7-$N$5)-(INDEX(ship_curves,MATCH(AC242,'SHIP CURVES'!$A$9:$A$316,0),MATCH(CONCATENATE(AG$4,AG$5,AG$6,AG$7),'SHIP CURVES'!$A$9:$Z$9,0))-INDEX(ship_curves,MATCH(AC242,'SHIP CURVES'!$A$9:$A$316,0),MATCH(CONCATENATE(AG$4,AE$6,AG$6,AG$7),'SHIP CURVES'!$A$9:$Z$9,0)))-(INDEX(terminal_curves,MATCH(AC242,'TERMINAL CURVES'!$A$4:$A$313,0),MATCH(AG$5,'TERMINAL CURVES'!$A$4:$N$4,0))-INDEX(terminal_curves,MATCH(AC242,'TERMINAL CURVES'!$A$4:$A$313,0),MATCH(AE$6,'TERMINAL CURVES'!$A$4:$N$4,0)))*IF(W242=0,0,Y242/W242)))*-W242</f>
        <v>0</v>
      </c>
      <c r="AH242" s="343">
        <f t="shared" si="107"/>
        <v>0</v>
      </c>
      <c r="AI242" s="338">
        <f>(-Y242/((HLOOKUP(AG$5,port_specs,2,0)/(365.25))*(AC243-AC242)))*(INDEX(fixed_capacity_charge,MATCH(AC242,PORTS!$H$11:$H$317,0),MATCH(AG$5,PORTS!$H$11:$N$11,0))+INDEX(variable_om_charge,MATCH(AC242,PORTS!$H$318:$H$625,0),MATCH(AG$5,PORTS!$H$318:$N$318,0)))</f>
        <v>0</v>
      </c>
      <c r="AJ242" s="232">
        <f t="shared" si="108"/>
        <v>0</v>
      </c>
      <c r="AK242" s="241">
        <f t="shared" si="109"/>
        <v>0</v>
      </c>
      <c r="AM242" s="186">
        <f t="shared" si="120"/>
        <v>43525</v>
      </c>
      <c r="AN242" s="215">
        <f t="shared" si="110"/>
        <v>5395761.4773599124</v>
      </c>
      <c r="AO242" s="191">
        <f t="shared" si="111"/>
        <v>-56655.495512278751</v>
      </c>
      <c r="AP242" s="218">
        <f>+IF(AND(AO$8&lt;=AM242,AO$9&gt;=AM242),+MIN($B242-SUMIF($H$17:AO$17,AP$17,$H242:AO242),((INDEX(ROUTE_PER_DAY_BY_SHIP,MATCH(CONCATENATE(AO$4,AO$5,AO$7),ROUTE_PER_DAY_ROUTES,0),MATCH(AO$6,ROUTE_PER_DAY_SHIPS,0))*(AM243-AM242))-(INDEX(ROUTE_PER_DAY_BY_SHIP,MATCH(CONCATENATE(AO$4,AO$5,AO$7),ROUTE_PER_DAY_ROUTES,0),MATCH(AO$6,ROUTE_PER_DAY_SHIPS,0))*(AM243-AM242))*HLOOKUP(AO$6,SHIPS,7,0)*INDEX(LADEN_VOYAGE_DAYS,MATCH(CONCATENATE(AO$4,AO$5,AO$7),LADEN_VOYAGE_ROUTES,0),MATCH(AO$6,LADEN_VOYAGE_SHIPS,0)))),0)</f>
        <v>5339105.9818476336</v>
      </c>
      <c r="AQ242" s="118">
        <f>-(AP242)*PORTS!$I$6</f>
        <v>-133477.64954619083</v>
      </c>
      <c r="AR242" s="215">
        <f t="shared" si="93"/>
        <v>5205628.3323014425</v>
      </c>
      <c r="AS242" s="202"/>
      <c r="AT242" s="186">
        <f t="shared" si="121"/>
        <v>43525</v>
      </c>
      <c r="AU242" s="232">
        <f>+AR242*(VLOOKUP(AT242,CURVECALC!$C$6:$J$312,4,0)+AV$5)</f>
        <v>22743390.183825001</v>
      </c>
      <c r="AV242" s="208">
        <f>-AN242*INDEX(ship_curves,MATCH(AT242,'SHIP CURVES'!$A$9:$A$316,0),MATCH(CONCATENATE(AX$4,AX$5,AX$6,AX$7),'SHIP CURVES'!$A$9:$AZ$9,0))</f>
        <v>-1859288.5007298023</v>
      </c>
      <c r="AW242" s="209">
        <f>-AP242*INDEX(port_processing_fee,MATCH(AT242,PORTS!$H$626:$H$933,0),MATCH(AX$5,PORTS!$H$626:$Z$626,0))</f>
        <v>-178576.45475345376</v>
      </c>
      <c r="AX242" s="405">
        <f>(((VLOOKUP(AT242,curvecalc,4,0))*IF(AN242=0,0,AR242/AN242)-INDEX(ship_curves,MATCH(AT242,'SHIP CURVES'!$A$9:$A$316,0),MATCH(CONCATENATE(AX$4,AX$5,AX$6,AX$7),'SHIP CURVES'!$A$9:$Z$9,0))-INDEX(terminal_curves,MATCH(AT242,'TERMINAL CURVES'!$A$4:$A$313,0),MATCH(AX$5,'TERMINAL CURVES'!$A$4:$N$4,0))*IF(AN242=0,0,AP242/AN242))-(AV$8)*((AV$7-$N$5)-(INDEX(ship_curves,MATCH(AT242,'SHIP CURVES'!$A$9:$A$316,0),MATCH(CONCATENATE(AX$4,AX$5,AX$6,AX$7),'SHIP CURVES'!$A$9:$Z$9,0))-INDEX(ship_curves,MATCH(AT242,'SHIP CURVES'!$A$9:$A$316,0),MATCH(CONCATENATE(AX$4,AV$6,AX$6,AX$7),'SHIP CURVES'!$A$9:$Z$9,0)))-(INDEX(terminal_curves,MATCH(AT242,'TERMINAL CURVES'!$A$4:$A$313,0),MATCH(AX$5,'TERMINAL CURVES'!$A$4:$N$4,0))-INDEX(terminal_curves,MATCH(AT242,'TERMINAL CURVES'!$A$4:$A$313,0),MATCH(AV$6,'TERMINAL CURVES'!$A$4:$N$4,0)))*IF(AN242=0,0,AP242/AN242)))*-AN242</f>
        <v>-19540925.322933856</v>
      </c>
      <c r="AY242" s="343">
        <f t="shared" si="112"/>
        <v>-21578790.278417114</v>
      </c>
      <c r="AZ242" s="338">
        <f>(-AP242/((HLOOKUP(AX$5,port_specs,2,0)/(365.25))*(AT243-AT242)))*(INDEX(fixed_capacity_charge,MATCH(AT242,PORTS!$H$11:$H$317,0),MATCH(AX$5,PORTS!$H$11:$N$11,0))+INDEX(variable_om_charge,MATCH(AT242,PORTS!$H$318:$H$625,0),MATCH(AX$5,PORTS!$H$318:$N$318,0)))</f>
        <v>-1060487.3387618607</v>
      </c>
      <c r="BA242" s="232">
        <f t="shared" si="113"/>
        <v>-22639277.617178977</v>
      </c>
      <c r="BB242" s="241">
        <f t="shared" si="114"/>
        <v>104112.56664602458</v>
      </c>
      <c r="BC242" s="408"/>
      <c r="BD242" s="338">
        <f>+PORTS!I236+PORTS!I544</f>
        <v>1060487.3387618607</v>
      </c>
    </row>
    <row r="243" spans="1:56" x14ac:dyDescent="0.2">
      <c r="A243" s="186">
        <f t="shared" si="115"/>
        <v>43556</v>
      </c>
      <c r="B243" s="215">
        <f>+IF(AND($A243&gt;=$C$8,$A243&lt;=$C$9),1,0)*PORTS!$I$5/(365.25)*(A244-A243)</f>
        <v>0</v>
      </c>
      <c r="C243" s="351">
        <f t="shared" si="94"/>
        <v>0</v>
      </c>
      <c r="D243">
        <f t="shared" si="95"/>
        <v>2019</v>
      </c>
      <c r="E243" s="186">
        <f t="shared" si="116"/>
        <v>43556</v>
      </c>
      <c r="F243" s="215">
        <f t="shared" si="96"/>
        <v>0</v>
      </c>
      <c r="G243" s="191">
        <f t="shared" si="97"/>
        <v>0</v>
      </c>
      <c r="H243" s="218">
        <f t="shared" si="98"/>
        <v>0</v>
      </c>
      <c r="I243" s="118">
        <f t="shared" si="99"/>
        <v>0</v>
      </c>
      <c r="J243" s="215">
        <f t="shared" si="100"/>
        <v>0</v>
      </c>
      <c r="K243" s="202"/>
      <c r="L243" s="186">
        <f t="shared" si="117"/>
        <v>43556</v>
      </c>
      <c r="M243" s="400">
        <f>+J243*(VLOOKUP(L243,CURVECALC!$C$6:$J$312,4,0)+N$5)</f>
        <v>0</v>
      </c>
      <c r="N243" s="208">
        <f>-F243*INDEX(ship_curves,MATCH(L243,'SHIP CURVES'!$A$9:$A$316,0),MATCH(CONCATENATE(P$4,P$5,P$6,P$7),'SHIP CURVES'!$A$9:$AZ$9,0))</f>
        <v>0</v>
      </c>
      <c r="O243" s="209">
        <f>-H243*INDEX(port_processing_fee,MATCH(L243,PORTS!$H$626:$H$933,0),MATCH(P$5,PORTS!$H$626:$Z$626,0))</f>
        <v>0</v>
      </c>
      <c r="P243" s="405">
        <f>(((VLOOKUP(L243,curvecalc,4,0))*IF(F243=0,0,J243/F243)-INDEX(ship_curves,MATCH(L243,'SHIP CURVES'!$A$9:$A$316,0),MATCH(CONCATENATE(P$4,P$5,P$6,P$7),'SHIP CURVES'!$A$9:$Z$9,0))-INDEX(terminal_curves,MATCH(L243,'TERMINAL CURVES'!$A$4:$A$313,0),MATCH(P$5,'TERMINAL CURVES'!$A$4:$N$4,0))*IF(F243=0,0,H243/F243))-(N$8)*((N$7-$N$5)-(INDEX(ship_curves,MATCH(L243,'SHIP CURVES'!$A$9:$A$316,0),MATCH(CONCATENATE(P$4,P$5,P$6,P$7),'SHIP CURVES'!$A$9:$Z$9,0))-INDEX(ship_curves,MATCH(L243,'SHIP CURVES'!$A$9:$A$316,0),MATCH(CONCATENATE(P$4,N$6,P$6,P$7),'SHIP CURVES'!$A$9:$Z$9,0)))-(INDEX(terminal_curves,MATCH(L243,'TERMINAL CURVES'!$A$4:$A$313,0),MATCH(P$5,'TERMINAL CURVES'!$A$4:$N$4,0))-INDEX(terminal_curves,MATCH(L243,'TERMINAL CURVES'!$A$4:$A$313,0),MATCH(N$6,'TERMINAL CURVES'!$A$4:$N$4,0)))*IF(F243=0,0,H243/F243)))*-F243</f>
        <v>0</v>
      </c>
      <c r="Q243" s="403">
        <f t="shared" si="101"/>
        <v>0</v>
      </c>
      <c r="R243" s="338">
        <f>(-H243/((HLOOKUP(P$5,port_specs,2,0)/(365.25))*(L244-L243)))*(INDEX(fixed_capacity_charge,MATCH(L243,PORTS!$H$11:$H$317,0),MATCH(P$5,PORTS!$H$11:$N$11,0))+INDEX(variable_om_charge,MATCH(L243,PORTS!$H$318:$H$625,0),MATCH(P$5,PORTS!$H$318:$N$318,0)))</f>
        <v>0</v>
      </c>
      <c r="S243" s="232">
        <f t="shared" si="102"/>
        <v>0</v>
      </c>
      <c r="T243" s="241">
        <f t="shared" si="103"/>
        <v>0</v>
      </c>
      <c r="V243" s="186">
        <f t="shared" si="118"/>
        <v>43556</v>
      </c>
      <c r="W243" s="215">
        <f t="shared" si="104"/>
        <v>0</v>
      </c>
      <c r="X243" s="191">
        <f t="shared" si="105"/>
        <v>0</v>
      </c>
      <c r="Y243" s="218">
        <f>+IF(AND(X$8&lt;=V243,X$9&gt;=V243),+MIN($B243-SUMIF($H$17:X$17,Y$17,$H243:X243),((INDEX(ROUTE_PER_DAY_BY_SHIP,MATCH(CONCATENATE(X$4,X$5,X$7),ROUTE_PER_DAY_ROUTES,0),MATCH(X$6,ROUTE_PER_DAY_SHIPS,0))*(V244-V243))-(INDEX(ROUTE_PER_DAY_BY_SHIP,MATCH(CONCATENATE(X$4,X$5,X$7),ROUTE_PER_DAY_ROUTES,0),MATCH(X$6,ROUTE_PER_DAY_SHIPS,0))*(V244-V243))*HLOOKUP(X$6,SHIPS,7,0)*INDEX(LADEN_VOYAGE_DAYS,MATCH(CONCATENATE(X$4,X$5,X$7),LADEN_VOYAGE_ROUTES,0),MATCH(X$6,LADEN_VOYAGE_SHIPS,0)))),0)</f>
        <v>0</v>
      </c>
      <c r="Z243" s="118">
        <f t="shared" si="106"/>
        <v>0</v>
      </c>
      <c r="AA243" s="215">
        <f t="shared" si="92"/>
        <v>0</v>
      </c>
      <c r="AB243" s="202"/>
      <c r="AC243" s="186">
        <f t="shared" si="119"/>
        <v>43556</v>
      </c>
      <c r="AD243" s="232">
        <f>+AA243*(VLOOKUP(AC243,CURVECALC!$C$6:$J$312,4,0)+AE$5)</f>
        <v>0</v>
      </c>
      <c r="AE243" s="208">
        <f>-W243*INDEX(ship_curves,MATCH(AC243,'SHIP CURVES'!$A$9:$A$316,0),MATCH(CONCATENATE(AG$4,AG$5,AG$6,AG$7),'SHIP CURVES'!$A$9:$AZ$9,0))</f>
        <v>0</v>
      </c>
      <c r="AF243" s="209">
        <f>-Y243*INDEX(port_processing_fee,MATCH(AC243,PORTS!$H$626:$H$933,0),MATCH(AG$5,PORTS!$H$626:$Z$626,0))</f>
        <v>0</v>
      </c>
      <c r="AG243" s="405">
        <f>(((VLOOKUP(AC243,curvecalc,4,0))*IF(W243=0,0,AA243/W243)-INDEX(ship_curves,MATCH(AC243,'SHIP CURVES'!$A$9:$A$316,0),MATCH(CONCATENATE(AG$4,AG$5,AG$6,AG$7),'SHIP CURVES'!$A$9:$Z$9,0))-INDEX(terminal_curves,MATCH(AC243,'TERMINAL CURVES'!$A$4:$A$313,0),MATCH(AG$5,'TERMINAL CURVES'!$A$4:$N$4,0))*IF(W243=0,0,Y243/W243))-(AE$8)*((AE$7-$N$5)-(INDEX(ship_curves,MATCH(AC243,'SHIP CURVES'!$A$9:$A$316,0),MATCH(CONCATENATE(AG$4,AG$5,AG$6,AG$7),'SHIP CURVES'!$A$9:$Z$9,0))-INDEX(ship_curves,MATCH(AC243,'SHIP CURVES'!$A$9:$A$316,0),MATCH(CONCATENATE(AG$4,AE$6,AG$6,AG$7),'SHIP CURVES'!$A$9:$Z$9,0)))-(INDEX(terminal_curves,MATCH(AC243,'TERMINAL CURVES'!$A$4:$A$313,0),MATCH(AG$5,'TERMINAL CURVES'!$A$4:$N$4,0))-INDEX(terminal_curves,MATCH(AC243,'TERMINAL CURVES'!$A$4:$A$313,0),MATCH(AE$6,'TERMINAL CURVES'!$A$4:$N$4,0)))*IF(W243=0,0,Y243/W243)))*-W243</f>
        <v>0</v>
      </c>
      <c r="AH243" s="343">
        <f t="shared" si="107"/>
        <v>0</v>
      </c>
      <c r="AI243" s="338">
        <f>(-Y243/((HLOOKUP(AG$5,port_specs,2,0)/(365.25))*(AC244-AC243)))*(INDEX(fixed_capacity_charge,MATCH(AC243,PORTS!$H$11:$H$317,0),MATCH(AG$5,PORTS!$H$11:$N$11,0))+INDEX(variable_om_charge,MATCH(AC243,PORTS!$H$318:$H$625,0),MATCH(AG$5,PORTS!$H$318:$N$318,0)))</f>
        <v>0</v>
      </c>
      <c r="AJ243" s="232">
        <f t="shared" si="108"/>
        <v>0</v>
      </c>
      <c r="AK243" s="241">
        <f t="shared" si="109"/>
        <v>0</v>
      </c>
      <c r="AM243" s="186">
        <f t="shared" si="120"/>
        <v>43556</v>
      </c>
      <c r="AN243" s="215">
        <f t="shared" si="110"/>
        <v>0</v>
      </c>
      <c r="AO243" s="191">
        <f t="shared" si="111"/>
        <v>0</v>
      </c>
      <c r="AP243" s="218">
        <f>+IF(AND(AO$8&lt;=AM243,AO$9&gt;=AM243),+MIN($B243-SUMIF($H$17:AO$17,AP$17,$H243:AO243),((INDEX(ROUTE_PER_DAY_BY_SHIP,MATCH(CONCATENATE(AO$4,AO$5,AO$7),ROUTE_PER_DAY_ROUTES,0),MATCH(AO$6,ROUTE_PER_DAY_SHIPS,0))*(AM244-AM243))-(INDEX(ROUTE_PER_DAY_BY_SHIP,MATCH(CONCATENATE(AO$4,AO$5,AO$7),ROUTE_PER_DAY_ROUTES,0),MATCH(AO$6,ROUTE_PER_DAY_SHIPS,0))*(AM244-AM243))*HLOOKUP(AO$6,SHIPS,7,0)*INDEX(LADEN_VOYAGE_DAYS,MATCH(CONCATENATE(AO$4,AO$5,AO$7),LADEN_VOYAGE_ROUTES,0),MATCH(AO$6,LADEN_VOYAGE_SHIPS,0)))),0)</f>
        <v>0</v>
      </c>
      <c r="AQ243" s="118">
        <f>-(AP243)*PORTS!$I$6</f>
        <v>0</v>
      </c>
      <c r="AR243" s="215">
        <f t="shared" si="93"/>
        <v>0</v>
      </c>
      <c r="AS243" s="202"/>
      <c r="AT243" s="186">
        <f t="shared" si="121"/>
        <v>43556</v>
      </c>
      <c r="AU243" s="232">
        <f>+AR243*(VLOOKUP(AT243,CURVECALC!$C$6:$J$312,4,0)+AV$5)</f>
        <v>0</v>
      </c>
      <c r="AV243" s="208">
        <f>-AN243*INDEX(ship_curves,MATCH(AT243,'SHIP CURVES'!$A$9:$A$316,0),MATCH(CONCATENATE(AX$4,AX$5,AX$6,AX$7),'SHIP CURVES'!$A$9:$AZ$9,0))</f>
        <v>0</v>
      </c>
      <c r="AW243" s="209">
        <f>-AP243*INDEX(port_processing_fee,MATCH(AT243,PORTS!$H$626:$H$933,0),MATCH(AX$5,PORTS!$H$626:$Z$626,0))</f>
        <v>0</v>
      </c>
      <c r="AX243" s="405">
        <f>(((VLOOKUP(AT243,curvecalc,4,0))*IF(AN243=0,0,AR243/AN243)-INDEX(ship_curves,MATCH(AT243,'SHIP CURVES'!$A$9:$A$316,0),MATCH(CONCATENATE(AX$4,AX$5,AX$6,AX$7),'SHIP CURVES'!$A$9:$Z$9,0))-INDEX(terminal_curves,MATCH(AT243,'TERMINAL CURVES'!$A$4:$A$313,0),MATCH(AX$5,'TERMINAL CURVES'!$A$4:$N$4,0))*IF(AN243=0,0,AP243/AN243))-(AV$8)*((AV$7-$N$5)-(INDEX(ship_curves,MATCH(AT243,'SHIP CURVES'!$A$9:$A$316,0),MATCH(CONCATENATE(AX$4,AX$5,AX$6,AX$7),'SHIP CURVES'!$A$9:$Z$9,0))-INDEX(ship_curves,MATCH(AT243,'SHIP CURVES'!$A$9:$A$316,0),MATCH(CONCATENATE(AX$4,AV$6,AX$6,AX$7),'SHIP CURVES'!$A$9:$Z$9,0)))-(INDEX(terminal_curves,MATCH(AT243,'TERMINAL CURVES'!$A$4:$A$313,0),MATCH(AX$5,'TERMINAL CURVES'!$A$4:$N$4,0))-INDEX(terminal_curves,MATCH(AT243,'TERMINAL CURVES'!$A$4:$A$313,0),MATCH(AV$6,'TERMINAL CURVES'!$A$4:$N$4,0)))*IF(AN243=0,0,AP243/AN243)))*-AN243</f>
        <v>0</v>
      </c>
      <c r="AY243" s="343">
        <f t="shared" si="112"/>
        <v>0</v>
      </c>
      <c r="AZ243" s="338">
        <f>(-AP243/((HLOOKUP(AX$5,port_specs,2,0)/(365.25))*(AT244-AT243)))*(INDEX(fixed_capacity_charge,MATCH(AT243,PORTS!$H$11:$H$317,0),MATCH(AX$5,PORTS!$H$11:$N$11,0))+INDEX(variable_om_charge,MATCH(AT243,PORTS!$H$318:$H$625,0),MATCH(AX$5,PORTS!$H$318:$N$318,0)))</f>
        <v>0</v>
      </c>
      <c r="BA243" s="232">
        <f t="shared" si="113"/>
        <v>0</v>
      </c>
      <c r="BB243" s="241">
        <f t="shared" si="114"/>
        <v>0</v>
      </c>
      <c r="BC243" s="408"/>
      <c r="BD243" s="338">
        <f>+PORTS!I237+PORTS!I545</f>
        <v>0</v>
      </c>
    </row>
    <row r="244" spans="1:56" x14ac:dyDescent="0.2">
      <c r="A244" s="186">
        <f t="shared" si="115"/>
        <v>43586</v>
      </c>
      <c r="B244" s="215">
        <f>+IF(AND($A244&gt;=$C$8,$A244&lt;=$C$9),1,0)*PORTS!$I$5/(365.25)*(A245-A244)</f>
        <v>0</v>
      </c>
      <c r="C244" s="351">
        <f t="shared" si="94"/>
        <v>0</v>
      </c>
      <c r="D244">
        <f t="shared" si="95"/>
        <v>2019</v>
      </c>
      <c r="E244" s="186">
        <f t="shared" si="116"/>
        <v>43586</v>
      </c>
      <c r="F244" s="215">
        <f t="shared" si="96"/>
        <v>0</v>
      </c>
      <c r="G244" s="191">
        <f t="shared" si="97"/>
        <v>0</v>
      </c>
      <c r="H244" s="218">
        <f t="shared" si="98"/>
        <v>0</v>
      </c>
      <c r="I244" s="118">
        <f t="shared" si="99"/>
        <v>0</v>
      </c>
      <c r="J244" s="215">
        <f t="shared" si="100"/>
        <v>0</v>
      </c>
      <c r="K244" s="202"/>
      <c r="L244" s="186">
        <f t="shared" si="117"/>
        <v>43586</v>
      </c>
      <c r="M244" s="400">
        <f>+J244*(VLOOKUP(L244,CURVECALC!$C$6:$J$312,4,0)+N$5)</f>
        <v>0</v>
      </c>
      <c r="N244" s="208">
        <f>-F244*INDEX(ship_curves,MATCH(L244,'SHIP CURVES'!$A$9:$A$316,0),MATCH(CONCATENATE(P$4,P$5,P$6,P$7),'SHIP CURVES'!$A$9:$AZ$9,0))</f>
        <v>0</v>
      </c>
      <c r="O244" s="209">
        <f>-H244*INDEX(port_processing_fee,MATCH(L244,PORTS!$H$626:$H$933,0),MATCH(P$5,PORTS!$H$626:$Z$626,0))</f>
        <v>0</v>
      </c>
      <c r="P244" s="405">
        <f>(((VLOOKUP(L244,curvecalc,4,0))*IF(F244=0,0,J244/F244)-INDEX(ship_curves,MATCH(L244,'SHIP CURVES'!$A$9:$A$316,0),MATCH(CONCATENATE(P$4,P$5,P$6,P$7),'SHIP CURVES'!$A$9:$Z$9,0))-INDEX(terminal_curves,MATCH(L244,'TERMINAL CURVES'!$A$4:$A$313,0),MATCH(P$5,'TERMINAL CURVES'!$A$4:$N$4,0))*IF(F244=0,0,H244/F244))-(N$8)*((N$7-$N$5)-(INDEX(ship_curves,MATCH(L244,'SHIP CURVES'!$A$9:$A$316,0),MATCH(CONCATENATE(P$4,P$5,P$6,P$7),'SHIP CURVES'!$A$9:$Z$9,0))-INDEX(ship_curves,MATCH(L244,'SHIP CURVES'!$A$9:$A$316,0),MATCH(CONCATENATE(P$4,N$6,P$6,P$7),'SHIP CURVES'!$A$9:$Z$9,0)))-(INDEX(terminal_curves,MATCH(L244,'TERMINAL CURVES'!$A$4:$A$313,0),MATCH(P$5,'TERMINAL CURVES'!$A$4:$N$4,0))-INDEX(terminal_curves,MATCH(L244,'TERMINAL CURVES'!$A$4:$A$313,0),MATCH(N$6,'TERMINAL CURVES'!$A$4:$N$4,0)))*IF(F244=0,0,H244/F244)))*-F244</f>
        <v>0</v>
      </c>
      <c r="Q244" s="403">
        <f t="shared" si="101"/>
        <v>0</v>
      </c>
      <c r="R244" s="338">
        <f>(-H244/((HLOOKUP(P$5,port_specs,2,0)/(365.25))*(L245-L244)))*(INDEX(fixed_capacity_charge,MATCH(L244,PORTS!$H$11:$H$317,0),MATCH(P$5,PORTS!$H$11:$N$11,0))+INDEX(variable_om_charge,MATCH(L244,PORTS!$H$318:$H$625,0),MATCH(P$5,PORTS!$H$318:$N$318,0)))</f>
        <v>0</v>
      </c>
      <c r="S244" s="232">
        <f t="shared" si="102"/>
        <v>0</v>
      </c>
      <c r="T244" s="241">
        <f t="shared" si="103"/>
        <v>0</v>
      </c>
      <c r="V244" s="186">
        <f t="shared" si="118"/>
        <v>43586</v>
      </c>
      <c r="W244" s="215">
        <f t="shared" si="104"/>
        <v>0</v>
      </c>
      <c r="X244" s="191">
        <f t="shared" si="105"/>
        <v>0</v>
      </c>
      <c r="Y244" s="218">
        <f>+IF(AND(X$8&lt;=V244,X$9&gt;=V244),+MIN($B244-SUMIF($H$17:X$17,Y$17,$H244:X244),((INDEX(ROUTE_PER_DAY_BY_SHIP,MATCH(CONCATENATE(X$4,X$5,X$7),ROUTE_PER_DAY_ROUTES,0),MATCH(X$6,ROUTE_PER_DAY_SHIPS,0))*(V245-V244))-(INDEX(ROUTE_PER_DAY_BY_SHIP,MATCH(CONCATENATE(X$4,X$5,X$7),ROUTE_PER_DAY_ROUTES,0),MATCH(X$6,ROUTE_PER_DAY_SHIPS,0))*(V245-V244))*HLOOKUP(X$6,SHIPS,7,0)*INDEX(LADEN_VOYAGE_DAYS,MATCH(CONCATENATE(X$4,X$5,X$7),LADEN_VOYAGE_ROUTES,0),MATCH(X$6,LADEN_VOYAGE_SHIPS,0)))),0)</f>
        <v>0</v>
      </c>
      <c r="Z244" s="118">
        <f t="shared" si="106"/>
        <v>0</v>
      </c>
      <c r="AA244" s="215">
        <f t="shared" si="92"/>
        <v>0</v>
      </c>
      <c r="AB244" s="202"/>
      <c r="AC244" s="186">
        <f t="shared" si="119"/>
        <v>43586</v>
      </c>
      <c r="AD244" s="232">
        <f>+AA244*(VLOOKUP(AC244,CURVECALC!$C$6:$J$312,4,0)+AE$5)</f>
        <v>0</v>
      </c>
      <c r="AE244" s="208">
        <f>-W244*INDEX(ship_curves,MATCH(AC244,'SHIP CURVES'!$A$9:$A$316,0),MATCH(CONCATENATE(AG$4,AG$5,AG$6,AG$7),'SHIP CURVES'!$A$9:$AZ$9,0))</f>
        <v>0</v>
      </c>
      <c r="AF244" s="209">
        <f>-Y244*INDEX(port_processing_fee,MATCH(AC244,PORTS!$H$626:$H$933,0),MATCH(AG$5,PORTS!$H$626:$Z$626,0))</f>
        <v>0</v>
      </c>
      <c r="AG244" s="405">
        <f>(((VLOOKUP(AC244,curvecalc,4,0))*IF(W244=0,0,AA244/W244)-INDEX(ship_curves,MATCH(AC244,'SHIP CURVES'!$A$9:$A$316,0),MATCH(CONCATENATE(AG$4,AG$5,AG$6,AG$7),'SHIP CURVES'!$A$9:$Z$9,0))-INDEX(terminal_curves,MATCH(AC244,'TERMINAL CURVES'!$A$4:$A$313,0),MATCH(AG$5,'TERMINAL CURVES'!$A$4:$N$4,0))*IF(W244=0,0,Y244/W244))-(AE$8)*((AE$7-$N$5)-(INDEX(ship_curves,MATCH(AC244,'SHIP CURVES'!$A$9:$A$316,0),MATCH(CONCATENATE(AG$4,AG$5,AG$6,AG$7),'SHIP CURVES'!$A$9:$Z$9,0))-INDEX(ship_curves,MATCH(AC244,'SHIP CURVES'!$A$9:$A$316,0),MATCH(CONCATENATE(AG$4,AE$6,AG$6,AG$7),'SHIP CURVES'!$A$9:$Z$9,0)))-(INDEX(terminal_curves,MATCH(AC244,'TERMINAL CURVES'!$A$4:$A$313,0),MATCH(AG$5,'TERMINAL CURVES'!$A$4:$N$4,0))-INDEX(terminal_curves,MATCH(AC244,'TERMINAL CURVES'!$A$4:$A$313,0),MATCH(AE$6,'TERMINAL CURVES'!$A$4:$N$4,0)))*IF(W244=0,0,Y244/W244)))*-W244</f>
        <v>0</v>
      </c>
      <c r="AH244" s="343">
        <f t="shared" si="107"/>
        <v>0</v>
      </c>
      <c r="AI244" s="338">
        <f>(-Y244/((HLOOKUP(AG$5,port_specs,2,0)/(365.25))*(AC245-AC244)))*(INDEX(fixed_capacity_charge,MATCH(AC244,PORTS!$H$11:$H$317,0),MATCH(AG$5,PORTS!$H$11:$N$11,0))+INDEX(variable_om_charge,MATCH(AC244,PORTS!$H$318:$H$625,0),MATCH(AG$5,PORTS!$H$318:$N$318,0)))</f>
        <v>0</v>
      </c>
      <c r="AJ244" s="232">
        <f t="shared" si="108"/>
        <v>0</v>
      </c>
      <c r="AK244" s="241">
        <f t="shared" si="109"/>
        <v>0</v>
      </c>
      <c r="AM244" s="186">
        <f t="shared" si="120"/>
        <v>43586</v>
      </c>
      <c r="AN244" s="215">
        <f t="shared" si="110"/>
        <v>0</v>
      </c>
      <c r="AO244" s="191">
        <f t="shared" si="111"/>
        <v>0</v>
      </c>
      <c r="AP244" s="218">
        <f>+IF(AND(AO$8&lt;=AM244,AO$9&gt;=AM244),+MIN($B244-SUMIF($H$17:AO$17,AP$17,$H244:AO244),((INDEX(ROUTE_PER_DAY_BY_SHIP,MATCH(CONCATENATE(AO$4,AO$5,AO$7),ROUTE_PER_DAY_ROUTES,0),MATCH(AO$6,ROUTE_PER_DAY_SHIPS,0))*(AM245-AM244))-(INDEX(ROUTE_PER_DAY_BY_SHIP,MATCH(CONCATENATE(AO$4,AO$5,AO$7),ROUTE_PER_DAY_ROUTES,0),MATCH(AO$6,ROUTE_PER_DAY_SHIPS,0))*(AM245-AM244))*HLOOKUP(AO$6,SHIPS,7,0)*INDEX(LADEN_VOYAGE_DAYS,MATCH(CONCATENATE(AO$4,AO$5,AO$7),LADEN_VOYAGE_ROUTES,0),MATCH(AO$6,LADEN_VOYAGE_SHIPS,0)))),0)</f>
        <v>0</v>
      </c>
      <c r="AQ244" s="118">
        <f>-(AP244)*PORTS!$I$6</f>
        <v>0</v>
      </c>
      <c r="AR244" s="215">
        <f t="shared" si="93"/>
        <v>0</v>
      </c>
      <c r="AS244" s="202"/>
      <c r="AT244" s="186">
        <f t="shared" si="121"/>
        <v>43586</v>
      </c>
      <c r="AU244" s="232">
        <f>+AR244*(VLOOKUP(AT244,CURVECALC!$C$6:$J$312,4,0)+AV$5)</f>
        <v>0</v>
      </c>
      <c r="AV244" s="208">
        <f>-AN244*INDEX(ship_curves,MATCH(AT244,'SHIP CURVES'!$A$9:$A$316,0),MATCH(CONCATENATE(AX$4,AX$5,AX$6,AX$7),'SHIP CURVES'!$A$9:$AZ$9,0))</f>
        <v>0</v>
      </c>
      <c r="AW244" s="209">
        <f>-AP244*INDEX(port_processing_fee,MATCH(AT244,PORTS!$H$626:$H$933,0),MATCH(AX$5,PORTS!$H$626:$Z$626,0))</f>
        <v>0</v>
      </c>
      <c r="AX244" s="405">
        <f>(((VLOOKUP(AT244,curvecalc,4,0))*IF(AN244=0,0,AR244/AN244)-INDEX(ship_curves,MATCH(AT244,'SHIP CURVES'!$A$9:$A$316,0),MATCH(CONCATENATE(AX$4,AX$5,AX$6,AX$7),'SHIP CURVES'!$A$9:$Z$9,0))-INDEX(terminal_curves,MATCH(AT244,'TERMINAL CURVES'!$A$4:$A$313,0),MATCH(AX$5,'TERMINAL CURVES'!$A$4:$N$4,0))*IF(AN244=0,0,AP244/AN244))-(AV$8)*((AV$7-$N$5)-(INDEX(ship_curves,MATCH(AT244,'SHIP CURVES'!$A$9:$A$316,0),MATCH(CONCATENATE(AX$4,AX$5,AX$6,AX$7),'SHIP CURVES'!$A$9:$Z$9,0))-INDEX(ship_curves,MATCH(AT244,'SHIP CURVES'!$A$9:$A$316,0),MATCH(CONCATENATE(AX$4,AV$6,AX$6,AX$7),'SHIP CURVES'!$A$9:$Z$9,0)))-(INDEX(terminal_curves,MATCH(AT244,'TERMINAL CURVES'!$A$4:$A$313,0),MATCH(AX$5,'TERMINAL CURVES'!$A$4:$N$4,0))-INDEX(terminal_curves,MATCH(AT244,'TERMINAL CURVES'!$A$4:$A$313,0),MATCH(AV$6,'TERMINAL CURVES'!$A$4:$N$4,0)))*IF(AN244=0,0,AP244/AN244)))*-AN244</f>
        <v>0</v>
      </c>
      <c r="AY244" s="343">
        <f t="shared" si="112"/>
        <v>0</v>
      </c>
      <c r="AZ244" s="338">
        <f>(-AP244/((HLOOKUP(AX$5,port_specs,2,0)/(365.25))*(AT245-AT244)))*(INDEX(fixed_capacity_charge,MATCH(AT244,PORTS!$H$11:$H$317,0),MATCH(AX$5,PORTS!$H$11:$N$11,0))+INDEX(variable_om_charge,MATCH(AT244,PORTS!$H$318:$H$625,0),MATCH(AX$5,PORTS!$H$318:$N$318,0)))</f>
        <v>0</v>
      </c>
      <c r="BA244" s="232">
        <f t="shared" si="113"/>
        <v>0</v>
      </c>
      <c r="BB244" s="241">
        <f t="shared" si="114"/>
        <v>0</v>
      </c>
      <c r="BC244" s="408"/>
      <c r="BD244" s="338">
        <f>+PORTS!I238+PORTS!I546</f>
        <v>0</v>
      </c>
    </row>
    <row r="245" spans="1:56" x14ac:dyDescent="0.2">
      <c r="A245" s="186">
        <f t="shared" si="115"/>
        <v>43617</v>
      </c>
      <c r="B245" s="215">
        <f>+IF(AND($A245&gt;=$C$8,$A245&lt;=$C$9),1,0)*PORTS!$I$5/(365.25)*(A246-A245)</f>
        <v>0</v>
      </c>
      <c r="C245" s="351">
        <f t="shared" si="94"/>
        <v>0</v>
      </c>
      <c r="D245">
        <f t="shared" si="95"/>
        <v>2019</v>
      </c>
      <c r="E245" s="186">
        <f t="shared" si="116"/>
        <v>43617</v>
      </c>
      <c r="F245" s="215">
        <f t="shared" si="96"/>
        <v>0</v>
      </c>
      <c r="G245" s="191">
        <f t="shared" si="97"/>
        <v>0</v>
      </c>
      <c r="H245" s="218">
        <f t="shared" si="98"/>
        <v>0</v>
      </c>
      <c r="I245" s="118">
        <f t="shared" si="99"/>
        <v>0</v>
      </c>
      <c r="J245" s="215">
        <f t="shared" si="100"/>
        <v>0</v>
      </c>
      <c r="K245" s="202"/>
      <c r="L245" s="186">
        <f t="shared" si="117"/>
        <v>43617</v>
      </c>
      <c r="M245" s="400">
        <f>+J245*(VLOOKUP(L245,CURVECALC!$C$6:$J$312,4,0)+N$5)</f>
        <v>0</v>
      </c>
      <c r="N245" s="208">
        <f>-F245*INDEX(ship_curves,MATCH(L245,'SHIP CURVES'!$A$9:$A$316,0),MATCH(CONCATENATE(P$4,P$5,P$6,P$7),'SHIP CURVES'!$A$9:$AZ$9,0))</f>
        <v>0</v>
      </c>
      <c r="O245" s="209">
        <f>-H245*INDEX(port_processing_fee,MATCH(L245,PORTS!$H$626:$H$933,0),MATCH(P$5,PORTS!$H$626:$Z$626,0))</f>
        <v>0</v>
      </c>
      <c r="P245" s="405">
        <f>(((VLOOKUP(L245,curvecalc,4,0))*IF(F245=0,0,J245/F245)-INDEX(ship_curves,MATCH(L245,'SHIP CURVES'!$A$9:$A$316,0),MATCH(CONCATENATE(P$4,P$5,P$6,P$7),'SHIP CURVES'!$A$9:$Z$9,0))-INDEX(terminal_curves,MATCH(L245,'TERMINAL CURVES'!$A$4:$A$313,0),MATCH(P$5,'TERMINAL CURVES'!$A$4:$N$4,0))*IF(F245=0,0,H245/F245))-(N$8)*((N$7-$N$5)-(INDEX(ship_curves,MATCH(L245,'SHIP CURVES'!$A$9:$A$316,0),MATCH(CONCATENATE(P$4,P$5,P$6,P$7),'SHIP CURVES'!$A$9:$Z$9,0))-INDEX(ship_curves,MATCH(L245,'SHIP CURVES'!$A$9:$A$316,0),MATCH(CONCATENATE(P$4,N$6,P$6,P$7),'SHIP CURVES'!$A$9:$Z$9,0)))-(INDEX(terminal_curves,MATCH(L245,'TERMINAL CURVES'!$A$4:$A$313,0),MATCH(P$5,'TERMINAL CURVES'!$A$4:$N$4,0))-INDEX(terminal_curves,MATCH(L245,'TERMINAL CURVES'!$A$4:$A$313,0),MATCH(N$6,'TERMINAL CURVES'!$A$4:$N$4,0)))*IF(F245=0,0,H245/F245)))*-F245</f>
        <v>0</v>
      </c>
      <c r="Q245" s="403">
        <f t="shared" si="101"/>
        <v>0</v>
      </c>
      <c r="R245" s="338">
        <f>(-H245/((HLOOKUP(P$5,port_specs,2,0)/(365.25))*(L246-L245)))*(INDEX(fixed_capacity_charge,MATCH(L245,PORTS!$H$11:$H$317,0),MATCH(P$5,PORTS!$H$11:$N$11,0))+INDEX(variable_om_charge,MATCH(L245,PORTS!$H$318:$H$625,0),MATCH(P$5,PORTS!$H$318:$N$318,0)))</f>
        <v>0</v>
      </c>
      <c r="S245" s="232">
        <f t="shared" si="102"/>
        <v>0</v>
      </c>
      <c r="T245" s="241">
        <f t="shared" si="103"/>
        <v>0</v>
      </c>
      <c r="V245" s="186">
        <f t="shared" si="118"/>
        <v>43617</v>
      </c>
      <c r="W245" s="215">
        <f t="shared" si="104"/>
        <v>0</v>
      </c>
      <c r="X245" s="191">
        <f t="shared" si="105"/>
        <v>0</v>
      </c>
      <c r="Y245" s="218">
        <f>+IF(AND(X$8&lt;=V245,X$9&gt;=V245),+MIN($B245-SUMIF($H$17:X$17,Y$17,$H245:X245),((INDEX(ROUTE_PER_DAY_BY_SHIP,MATCH(CONCATENATE(X$4,X$5,X$7),ROUTE_PER_DAY_ROUTES,0),MATCH(X$6,ROUTE_PER_DAY_SHIPS,0))*(V246-V245))-(INDEX(ROUTE_PER_DAY_BY_SHIP,MATCH(CONCATENATE(X$4,X$5,X$7),ROUTE_PER_DAY_ROUTES,0),MATCH(X$6,ROUTE_PER_DAY_SHIPS,0))*(V246-V245))*HLOOKUP(X$6,SHIPS,7,0)*INDEX(LADEN_VOYAGE_DAYS,MATCH(CONCATENATE(X$4,X$5,X$7),LADEN_VOYAGE_ROUTES,0),MATCH(X$6,LADEN_VOYAGE_SHIPS,0)))),0)</f>
        <v>0</v>
      </c>
      <c r="Z245" s="118">
        <f t="shared" si="106"/>
        <v>0</v>
      </c>
      <c r="AA245" s="215">
        <f t="shared" si="92"/>
        <v>0</v>
      </c>
      <c r="AB245" s="202"/>
      <c r="AC245" s="186">
        <f t="shared" si="119"/>
        <v>43617</v>
      </c>
      <c r="AD245" s="232">
        <f>+AA245*(VLOOKUP(AC245,CURVECALC!$C$6:$J$312,4,0)+AE$5)</f>
        <v>0</v>
      </c>
      <c r="AE245" s="208">
        <f>-W245*INDEX(ship_curves,MATCH(AC245,'SHIP CURVES'!$A$9:$A$316,0),MATCH(CONCATENATE(AG$4,AG$5,AG$6,AG$7),'SHIP CURVES'!$A$9:$AZ$9,0))</f>
        <v>0</v>
      </c>
      <c r="AF245" s="209">
        <f>-Y245*INDEX(port_processing_fee,MATCH(AC245,PORTS!$H$626:$H$933,0),MATCH(AG$5,PORTS!$H$626:$Z$626,0))</f>
        <v>0</v>
      </c>
      <c r="AG245" s="405">
        <f>(((VLOOKUP(AC245,curvecalc,4,0))*IF(W245=0,0,AA245/W245)-INDEX(ship_curves,MATCH(AC245,'SHIP CURVES'!$A$9:$A$316,0),MATCH(CONCATENATE(AG$4,AG$5,AG$6,AG$7),'SHIP CURVES'!$A$9:$Z$9,0))-INDEX(terminal_curves,MATCH(AC245,'TERMINAL CURVES'!$A$4:$A$313,0),MATCH(AG$5,'TERMINAL CURVES'!$A$4:$N$4,0))*IF(W245=0,0,Y245/W245))-(AE$8)*((AE$7-$N$5)-(INDEX(ship_curves,MATCH(AC245,'SHIP CURVES'!$A$9:$A$316,0),MATCH(CONCATENATE(AG$4,AG$5,AG$6,AG$7),'SHIP CURVES'!$A$9:$Z$9,0))-INDEX(ship_curves,MATCH(AC245,'SHIP CURVES'!$A$9:$A$316,0),MATCH(CONCATENATE(AG$4,AE$6,AG$6,AG$7),'SHIP CURVES'!$A$9:$Z$9,0)))-(INDEX(terminal_curves,MATCH(AC245,'TERMINAL CURVES'!$A$4:$A$313,0),MATCH(AG$5,'TERMINAL CURVES'!$A$4:$N$4,0))-INDEX(terminal_curves,MATCH(AC245,'TERMINAL CURVES'!$A$4:$A$313,0),MATCH(AE$6,'TERMINAL CURVES'!$A$4:$N$4,0)))*IF(W245=0,0,Y245/W245)))*-W245</f>
        <v>0</v>
      </c>
      <c r="AH245" s="343">
        <f t="shared" si="107"/>
        <v>0</v>
      </c>
      <c r="AI245" s="338">
        <f>(-Y245/((HLOOKUP(AG$5,port_specs,2,0)/(365.25))*(AC246-AC245)))*(INDEX(fixed_capacity_charge,MATCH(AC245,PORTS!$H$11:$H$317,0),MATCH(AG$5,PORTS!$H$11:$N$11,0))+INDEX(variable_om_charge,MATCH(AC245,PORTS!$H$318:$H$625,0),MATCH(AG$5,PORTS!$H$318:$N$318,0)))</f>
        <v>0</v>
      </c>
      <c r="AJ245" s="232">
        <f t="shared" si="108"/>
        <v>0</v>
      </c>
      <c r="AK245" s="241">
        <f t="shared" si="109"/>
        <v>0</v>
      </c>
      <c r="AM245" s="186">
        <f t="shared" si="120"/>
        <v>43617</v>
      </c>
      <c r="AN245" s="215">
        <f t="shared" si="110"/>
        <v>0</v>
      </c>
      <c r="AO245" s="191">
        <f t="shared" si="111"/>
        <v>0</v>
      </c>
      <c r="AP245" s="218">
        <f>+IF(AND(AO$8&lt;=AM245,AO$9&gt;=AM245),+MIN($B245-SUMIF($H$17:AO$17,AP$17,$H245:AO245),((INDEX(ROUTE_PER_DAY_BY_SHIP,MATCH(CONCATENATE(AO$4,AO$5,AO$7),ROUTE_PER_DAY_ROUTES,0),MATCH(AO$6,ROUTE_PER_DAY_SHIPS,0))*(AM246-AM245))-(INDEX(ROUTE_PER_DAY_BY_SHIP,MATCH(CONCATENATE(AO$4,AO$5,AO$7),ROUTE_PER_DAY_ROUTES,0),MATCH(AO$6,ROUTE_PER_DAY_SHIPS,0))*(AM246-AM245))*HLOOKUP(AO$6,SHIPS,7,0)*INDEX(LADEN_VOYAGE_DAYS,MATCH(CONCATENATE(AO$4,AO$5,AO$7),LADEN_VOYAGE_ROUTES,0),MATCH(AO$6,LADEN_VOYAGE_SHIPS,0)))),0)</f>
        <v>0</v>
      </c>
      <c r="AQ245" s="118">
        <f>-(AP245)*PORTS!$I$6</f>
        <v>0</v>
      </c>
      <c r="AR245" s="215">
        <f t="shared" si="93"/>
        <v>0</v>
      </c>
      <c r="AS245" s="202"/>
      <c r="AT245" s="186">
        <f t="shared" si="121"/>
        <v>43617</v>
      </c>
      <c r="AU245" s="232">
        <f>+AR245*(VLOOKUP(AT245,CURVECALC!$C$6:$J$312,4,0)+AV$5)</f>
        <v>0</v>
      </c>
      <c r="AV245" s="208">
        <f>-AN245*INDEX(ship_curves,MATCH(AT245,'SHIP CURVES'!$A$9:$A$316,0),MATCH(CONCATENATE(AX$4,AX$5,AX$6,AX$7),'SHIP CURVES'!$A$9:$AZ$9,0))</f>
        <v>0</v>
      </c>
      <c r="AW245" s="209">
        <f>-AP245*INDEX(port_processing_fee,MATCH(AT245,PORTS!$H$626:$H$933,0),MATCH(AX$5,PORTS!$H$626:$Z$626,0))</f>
        <v>0</v>
      </c>
      <c r="AX245" s="405">
        <f>(((VLOOKUP(AT245,curvecalc,4,0))*IF(AN245=0,0,AR245/AN245)-INDEX(ship_curves,MATCH(AT245,'SHIP CURVES'!$A$9:$A$316,0),MATCH(CONCATENATE(AX$4,AX$5,AX$6,AX$7),'SHIP CURVES'!$A$9:$Z$9,0))-INDEX(terminal_curves,MATCH(AT245,'TERMINAL CURVES'!$A$4:$A$313,0),MATCH(AX$5,'TERMINAL CURVES'!$A$4:$N$4,0))*IF(AN245=0,0,AP245/AN245))-(AV$8)*((AV$7-$N$5)-(INDEX(ship_curves,MATCH(AT245,'SHIP CURVES'!$A$9:$A$316,0),MATCH(CONCATENATE(AX$4,AX$5,AX$6,AX$7),'SHIP CURVES'!$A$9:$Z$9,0))-INDEX(ship_curves,MATCH(AT245,'SHIP CURVES'!$A$9:$A$316,0),MATCH(CONCATENATE(AX$4,AV$6,AX$6,AX$7),'SHIP CURVES'!$A$9:$Z$9,0)))-(INDEX(terminal_curves,MATCH(AT245,'TERMINAL CURVES'!$A$4:$A$313,0),MATCH(AX$5,'TERMINAL CURVES'!$A$4:$N$4,0))-INDEX(terminal_curves,MATCH(AT245,'TERMINAL CURVES'!$A$4:$A$313,0),MATCH(AV$6,'TERMINAL CURVES'!$A$4:$N$4,0)))*IF(AN245=0,0,AP245/AN245)))*-AN245</f>
        <v>0</v>
      </c>
      <c r="AY245" s="343">
        <f t="shared" si="112"/>
        <v>0</v>
      </c>
      <c r="AZ245" s="338">
        <f>(-AP245/((HLOOKUP(AX$5,port_specs,2,0)/(365.25))*(AT246-AT245)))*(INDEX(fixed_capacity_charge,MATCH(AT245,PORTS!$H$11:$H$317,0),MATCH(AX$5,PORTS!$H$11:$N$11,0))+INDEX(variable_om_charge,MATCH(AT245,PORTS!$H$318:$H$625,0),MATCH(AX$5,PORTS!$H$318:$N$318,0)))</f>
        <v>0</v>
      </c>
      <c r="BA245" s="232">
        <f t="shared" si="113"/>
        <v>0</v>
      </c>
      <c r="BB245" s="241">
        <f t="shared" si="114"/>
        <v>0</v>
      </c>
      <c r="BC245" s="408"/>
      <c r="BD245" s="338">
        <f>+PORTS!I239+PORTS!I547</f>
        <v>0</v>
      </c>
    </row>
    <row r="246" spans="1:56" x14ac:dyDescent="0.2">
      <c r="A246" s="186">
        <f t="shared" si="115"/>
        <v>43647</v>
      </c>
      <c r="B246" s="215">
        <f>+IF(AND($A246&gt;=$C$8,$A246&lt;=$C$9),1,0)*PORTS!$I$5/(365.25)*(A247-A246)</f>
        <v>0</v>
      </c>
      <c r="C246" s="351">
        <f t="shared" si="94"/>
        <v>0</v>
      </c>
      <c r="D246">
        <f t="shared" si="95"/>
        <v>2019</v>
      </c>
      <c r="E246" s="186">
        <f t="shared" si="116"/>
        <v>43647</v>
      </c>
      <c r="F246" s="215">
        <f t="shared" si="96"/>
        <v>0</v>
      </c>
      <c r="G246" s="191">
        <f t="shared" si="97"/>
        <v>0</v>
      </c>
      <c r="H246" s="218">
        <f t="shared" si="98"/>
        <v>0</v>
      </c>
      <c r="I246" s="118">
        <f t="shared" si="99"/>
        <v>0</v>
      </c>
      <c r="J246" s="215">
        <f t="shared" si="100"/>
        <v>0</v>
      </c>
      <c r="K246" s="202"/>
      <c r="L246" s="186">
        <f t="shared" si="117"/>
        <v>43647</v>
      </c>
      <c r="M246" s="400">
        <f>+J246*(VLOOKUP(L246,CURVECALC!$C$6:$J$312,4,0)+N$5)</f>
        <v>0</v>
      </c>
      <c r="N246" s="208">
        <f>-F246*INDEX(ship_curves,MATCH(L246,'SHIP CURVES'!$A$9:$A$316,0),MATCH(CONCATENATE(P$4,P$5,P$6,P$7),'SHIP CURVES'!$A$9:$AZ$9,0))</f>
        <v>0</v>
      </c>
      <c r="O246" s="209">
        <f>-H246*INDEX(port_processing_fee,MATCH(L246,PORTS!$H$626:$H$933,0),MATCH(P$5,PORTS!$H$626:$Z$626,0))</f>
        <v>0</v>
      </c>
      <c r="P246" s="405">
        <f>(((VLOOKUP(L246,curvecalc,4,0))*IF(F246=0,0,J246/F246)-INDEX(ship_curves,MATCH(L246,'SHIP CURVES'!$A$9:$A$316,0),MATCH(CONCATENATE(P$4,P$5,P$6,P$7),'SHIP CURVES'!$A$9:$Z$9,0))-INDEX(terminal_curves,MATCH(L246,'TERMINAL CURVES'!$A$4:$A$313,0),MATCH(P$5,'TERMINAL CURVES'!$A$4:$N$4,0))*IF(F246=0,0,H246/F246))-(N$8)*((N$7-$N$5)-(INDEX(ship_curves,MATCH(L246,'SHIP CURVES'!$A$9:$A$316,0),MATCH(CONCATENATE(P$4,P$5,P$6,P$7),'SHIP CURVES'!$A$9:$Z$9,0))-INDEX(ship_curves,MATCH(L246,'SHIP CURVES'!$A$9:$A$316,0),MATCH(CONCATENATE(P$4,N$6,P$6,P$7),'SHIP CURVES'!$A$9:$Z$9,0)))-(INDEX(terminal_curves,MATCH(L246,'TERMINAL CURVES'!$A$4:$A$313,0),MATCH(P$5,'TERMINAL CURVES'!$A$4:$N$4,0))-INDEX(terminal_curves,MATCH(L246,'TERMINAL CURVES'!$A$4:$A$313,0),MATCH(N$6,'TERMINAL CURVES'!$A$4:$N$4,0)))*IF(F246=0,0,H246/F246)))*-F246</f>
        <v>0</v>
      </c>
      <c r="Q246" s="403">
        <f t="shared" si="101"/>
        <v>0</v>
      </c>
      <c r="R246" s="338">
        <f>(-H246/((HLOOKUP(P$5,port_specs,2,0)/(365.25))*(L247-L246)))*(INDEX(fixed_capacity_charge,MATCH(L246,PORTS!$H$11:$H$317,0),MATCH(P$5,PORTS!$H$11:$N$11,0))+INDEX(variable_om_charge,MATCH(L246,PORTS!$H$318:$H$625,0),MATCH(P$5,PORTS!$H$318:$N$318,0)))</f>
        <v>0</v>
      </c>
      <c r="S246" s="232">
        <f t="shared" si="102"/>
        <v>0</v>
      </c>
      <c r="T246" s="241">
        <f t="shared" si="103"/>
        <v>0</v>
      </c>
      <c r="V246" s="186">
        <f t="shared" si="118"/>
        <v>43647</v>
      </c>
      <c r="W246" s="215">
        <f t="shared" si="104"/>
        <v>0</v>
      </c>
      <c r="X246" s="191">
        <f t="shared" si="105"/>
        <v>0</v>
      </c>
      <c r="Y246" s="218">
        <f>+IF(AND(X$8&lt;=V246,X$9&gt;=V246),+MIN($B246-SUMIF($H$17:X$17,Y$17,$H246:X246),((INDEX(ROUTE_PER_DAY_BY_SHIP,MATCH(CONCATENATE(X$4,X$5,X$7),ROUTE_PER_DAY_ROUTES,0),MATCH(X$6,ROUTE_PER_DAY_SHIPS,0))*(V247-V246))-(INDEX(ROUTE_PER_DAY_BY_SHIP,MATCH(CONCATENATE(X$4,X$5,X$7),ROUTE_PER_DAY_ROUTES,0),MATCH(X$6,ROUTE_PER_DAY_SHIPS,0))*(V247-V246))*HLOOKUP(X$6,SHIPS,7,0)*INDEX(LADEN_VOYAGE_DAYS,MATCH(CONCATENATE(X$4,X$5,X$7),LADEN_VOYAGE_ROUTES,0),MATCH(X$6,LADEN_VOYAGE_SHIPS,0)))),0)</f>
        <v>0</v>
      </c>
      <c r="Z246" s="118">
        <f t="shared" si="106"/>
        <v>0</v>
      </c>
      <c r="AA246" s="215">
        <f t="shared" si="92"/>
        <v>0</v>
      </c>
      <c r="AB246" s="202"/>
      <c r="AC246" s="186">
        <f t="shared" si="119"/>
        <v>43647</v>
      </c>
      <c r="AD246" s="232">
        <f>+AA246*(VLOOKUP(AC246,CURVECALC!$C$6:$J$312,4,0)+AE$5)</f>
        <v>0</v>
      </c>
      <c r="AE246" s="208">
        <f>-W246*INDEX(ship_curves,MATCH(AC246,'SHIP CURVES'!$A$9:$A$316,0),MATCH(CONCATENATE(AG$4,AG$5,AG$6,AG$7),'SHIP CURVES'!$A$9:$AZ$9,0))</f>
        <v>0</v>
      </c>
      <c r="AF246" s="209">
        <f>-Y246*INDEX(port_processing_fee,MATCH(AC246,PORTS!$H$626:$H$933,0),MATCH(AG$5,PORTS!$H$626:$Z$626,0))</f>
        <v>0</v>
      </c>
      <c r="AG246" s="405">
        <f>(((VLOOKUP(AC246,curvecalc,4,0))*IF(W246=0,0,AA246/W246)-INDEX(ship_curves,MATCH(AC246,'SHIP CURVES'!$A$9:$A$316,0),MATCH(CONCATENATE(AG$4,AG$5,AG$6,AG$7),'SHIP CURVES'!$A$9:$Z$9,0))-INDEX(terminal_curves,MATCH(AC246,'TERMINAL CURVES'!$A$4:$A$313,0),MATCH(AG$5,'TERMINAL CURVES'!$A$4:$N$4,0))*IF(W246=0,0,Y246/W246))-(AE$8)*((AE$7-$N$5)-(INDEX(ship_curves,MATCH(AC246,'SHIP CURVES'!$A$9:$A$316,0),MATCH(CONCATENATE(AG$4,AG$5,AG$6,AG$7),'SHIP CURVES'!$A$9:$Z$9,0))-INDEX(ship_curves,MATCH(AC246,'SHIP CURVES'!$A$9:$A$316,0),MATCH(CONCATENATE(AG$4,AE$6,AG$6,AG$7),'SHIP CURVES'!$A$9:$Z$9,0)))-(INDEX(terminal_curves,MATCH(AC246,'TERMINAL CURVES'!$A$4:$A$313,0),MATCH(AG$5,'TERMINAL CURVES'!$A$4:$N$4,0))-INDEX(terminal_curves,MATCH(AC246,'TERMINAL CURVES'!$A$4:$A$313,0),MATCH(AE$6,'TERMINAL CURVES'!$A$4:$N$4,0)))*IF(W246=0,0,Y246/W246)))*-W246</f>
        <v>0</v>
      </c>
      <c r="AH246" s="343">
        <f t="shared" si="107"/>
        <v>0</v>
      </c>
      <c r="AI246" s="338">
        <f>(-Y246/((HLOOKUP(AG$5,port_specs,2,0)/(365.25))*(AC247-AC246)))*(INDEX(fixed_capacity_charge,MATCH(AC246,PORTS!$H$11:$H$317,0),MATCH(AG$5,PORTS!$H$11:$N$11,0))+INDEX(variable_om_charge,MATCH(AC246,PORTS!$H$318:$H$625,0),MATCH(AG$5,PORTS!$H$318:$N$318,0)))</f>
        <v>0</v>
      </c>
      <c r="AJ246" s="232">
        <f t="shared" si="108"/>
        <v>0</v>
      </c>
      <c r="AK246" s="241">
        <f t="shared" si="109"/>
        <v>0</v>
      </c>
      <c r="AM246" s="186">
        <f t="shared" si="120"/>
        <v>43647</v>
      </c>
      <c r="AN246" s="215">
        <f t="shared" si="110"/>
        <v>0</v>
      </c>
      <c r="AO246" s="191">
        <f t="shared" si="111"/>
        <v>0</v>
      </c>
      <c r="AP246" s="218">
        <f>+IF(AND(AO$8&lt;=AM246,AO$9&gt;=AM246),+MIN($B246-SUMIF($H$17:AO$17,AP$17,$H246:AO246),((INDEX(ROUTE_PER_DAY_BY_SHIP,MATCH(CONCATENATE(AO$4,AO$5,AO$7),ROUTE_PER_DAY_ROUTES,0),MATCH(AO$6,ROUTE_PER_DAY_SHIPS,0))*(AM247-AM246))-(INDEX(ROUTE_PER_DAY_BY_SHIP,MATCH(CONCATENATE(AO$4,AO$5,AO$7),ROUTE_PER_DAY_ROUTES,0),MATCH(AO$6,ROUTE_PER_DAY_SHIPS,0))*(AM247-AM246))*HLOOKUP(AO$6,SHIPS,7,0)*INDEX(LADEN_VOYAGE_DAYS,MATCH(CONCATENATE(AO$4,AO$5,AO$7),LADEN_VOYAGE_ROUTES,0),MATCH(AO$6,LADEN_VOYAGE_SHIPS,0)))),0)</f>
        <v>0</v>
      </c>
      <c r="AQ246" s="118">
        <f>-(AP246)*PORTS!$I$6</f>
        <v>0</v>
      </c>
      <c r="AR246" s="215">
        <f t="shared" si="93"/>
        <v>0</v>
      </c>
      <c r="AS246" s="202"/>
      <c r="AT246" s="186">
        <f t="shared" si="121"/>
        <v>43647</v>
      </c>
      <c r="AU246" s="232">
        <f>+AR246*(VLOOKUP(AT246,CURVECALC!$C$6:$J$312,4,0)+AV$5)</f>
        <v>0</v>
      </c>
      <c r="AV246" s="208">
        <f>-AN246*INDEX(ship_curves,MATCH(AT246,'SHIP CURVES'!$A$9:$A$316,0),MATCH(CONCATENATE(AX$4,AX$5,AX$6,AX$7),'SHIP CURVES'!$A$9:$AZ$9,0))</f>
        <v>0</v>
      </c>
      <c r="AW246" s="209">
        <f>-AP246*INDEX(port_processing_fee,MATCH(AT246,PORTS!$H$626:$H$933,0),MATCH(AX$5,PORTS!$H$626:$Z$626,0))</f>
        <v>0</v>
      </c>
      <c r="AX246" s="405">
        <f>(((VLOOKUP(AT246,curvecalc,4,0))*IF(AN246=0,0,AR246/AN246)-INDEX(ship_curves,MATCH(AT246,'SHIP CURVES'!$A$9:$A$316,0),MATCH(CONCATENATE(AX$4,AX$5,AX$6,AX$7),'SHIP CURVES'!$A$9:$Z$9,0))-INDEX(terminal_curves,MATCH(AT246,'TERMINAL CURVES'!$A$4:$A$313,0),MATCH(AX$5,'TERMINAL CURVES'!$A$4:$N$4,0))*IF(AN246=0,0,AP246/AN246))-(AV$8)*((AV$7-$N$5)-(INDEX(ship_curves,MATCH(AT246,'SHIP CURVES'!$A$9:$A$316,0),MATCH(CONCATENATE(AX$4,AX$5,AX$6,AX$7),'SHIP CURVES'!$A$9:$Z$9,0))-INDEX(ship_curves,MATCH(AT246,'SHIP CURVES'!$A$9:$A$316,0),MATCH(CONCATENATE(AX$4,AV$6,AX$6,AX$7),'SHIP CURVES'!$A$9:$Z$9,0)))-(INDEX(terminal_curves,MATCH(AT246,'TERMINAL CURVES'!$A$4:$A$313,0),MATCH(AX$5,'TERMINAL CURVES'!$A$4:$N$4,0))-INDEX(terminal_curves,MATCH(AT246,'TERMINAL CURVES'!$A$4:$A$313,0),MATCH(AV$6,'TERMINAL CURVES'!$A$4:$N$4,0)))*IF(AN246=0,0,AP246/AN246)))*-AN246</f>
        <v>0</v>
      </c>
      <c r="AY246" s="343">
        <f t="shared" si="112"/>
        <v>0</v>
      </c>
      <c r="AZ246" s="338">
        <f>(-AP246/((HLOOKUP(AX$5,port_specs,2,0)/(365.25))*(AT247-AT246)))*(INDEX(fixed_capacity_charge,MATCH(AT246,PORTS!$H$11:$H$317,0),MATCH(AX$5,PORTS!$H$11:$N$11,0))+INDEX(variable_om_charge,MATCH(AT246,PORTS!$H$318:$H$625,0),MATCH(AX$5,PORTS!$H$318:$N$318,0)))</f>
        <v>0</v>
      </c>
      <c r="BA246" s="232">
        <f t="shared" si="113"/>
        <v>0</v>
      </c>
      <c r="BB246" s="241">
        <f t="shared" si="114"/>
        <v>0</v>
      </c>
      <c r="BC246" s="408"/>
      <c r="BD246" s="338">
        <f>+PORTS!I240+PORTS!I548</f>
        <v>0</v>
      </c>
    </row>
    <row r="247" spans="1:56" x14ac:dyDescent="0.2">
      <c r="A247" s="186">
        <f t="shared" si="115"/>
        <v>43678</v>
      </c>
      <c r="B247" s="215">
        <f>+IF(AND($A247&gt;=$C$8,$A247&lt;=$C$9),1,0)*PORTS!$I$5/(365.25)*(A248-A247)</f>
        <v>0</v>
      </c>
      <c r="C247" s="351">
        <f t="shared" si="94"/>
        <v>0</v>
      </c>
      <c r="D247">
        <f t="shared" si="95"/>
        <v>2019</v>
      </c>
      <c r="E247" s="186">
        <f t="shared" si="116"/>
        <v>43678</v>
      </c>
      <c r="F247" s="215">
        <f t="shared" si="96"/>
        <v>0</v>
      </c>
      <c r="G247" s="191">
        <f t="shared" si="97"/>
        <v>0</v>
      </c>
      <c r="H247" s="218">
        <f t="shared" si="98"/>
        <v>0</v>
      </c>
      <c r="I247" s="118">
        <f t="shared" si="99"/>
        <v>0</v>
      </c>
      <c r="J247" s="215">
        <f t="shared" si="100"/>
        <v>0</v>
      </c>
      <c r="K247" s="202"/>
      <c r="L247" s="186">
        <f t="shared" si="117"/>
        <v>43678</v>
      </c>
      <c r="M247" s="400">
        <f>+J247*(VLOOKUP(L247,CURVECALC!$C$6:$J$312,4,0)+N$5)</f>
        <v>0</v>
      </c>
      <c r="N247" s="208">
        <f>-F247*INDEX(ship_curves,MATCH(L247,'SHIP CURVES'!$A$9:$A$316,0),MATCH(CONCATENATE(P$4,P$5,P$6,P$7),'SHIP CURVES'!$A$9:$AZ$9,0))</f>
        <v>0</v>
      </c>
      <c r="O247" s="209">
        <f>-H247*INDEX(port_processing_fee,MATCH(L247,PORTS!$H$626:$H$933,0),MATCH(P$5,PORTS!$H$626:$Z$626,0))</f>
        <v>0</v>
      </c>
      <c r="P247" s="405">
        <f>(((VLOOKUP(L247,curvecalc,4,0))*IF(F247=0,0,J247/F247)-INDEX(ship_curves,MATCH(L247,'SHIP CURVES'!$A$9:$A$316,0),MATCH(CONCATENATE(P$4,P$5,P$6,P$7),'SHIP CURVES'!$A$9:$Z$9,0))-INDEX(terminal_curves,MATCH(L247,'TERMINAL CURVES'!$A$4:$A$313,0),MATCH(P$5,'TERMINAL CURVES'!$A$4:$N$4,0))*IF(F247=0,0,H247/F247))-(N$8)*((N$7-$N$5)-(INDEX(ship_curves,MATCH(L247,'SHIP CURVES'!$A$9:$A$316,0),MATCH(CONCATENATE(P$4,P$5,P$6,P$7),'SHIP CURVES'!$A$9:$Z$9,0))-INDEX(ship_curves,MATCH(L247,'SHIP CURVES'!$A$9:$A$316,0),MATCH(CONCATENATE(P$4,N$6,P$6,P$7),'SHIP CURVES'!$A$9:$Z$9,0)))-(INDEX(terminal_curves,MATCH(L247,'TERMINAL CURVES'!$A$4:$A$313,0),MATCH(P$5,'TERMINAL CURVES'!$A$4:$N$4,0))-INDEX(terminal_curves,MATCH(L247,'TERMINAL CURVES'!$A$4:$A$313,0),MATCH(N$6,'TERMINAL CURVES'!$A$4:$N$4,0)))*IF(F247=0,0,H247/F247)))*-F247</f>
        <v>0</v>
      </c>
      <c r="Q247" s="403">
        <f t="shared" si="101"/>
        <v>0</v>
      </c>
      <c r="R247" s="338">
        <f>(-H247/((HLOOKUP(P$5,port_specs,2,0)/(365.25))*(L248-L247)))*(INDEX(fixed_capacity_charge,MATCH(L247,PORTS!$H$11:$H$317,0),MATCH(P$5,PORTS!$H$11:$N$11,0))+INDEX(variable_om_charge,MATCH(L247,PORTS!$H$318:$H$625,0),MATCH(P$5,PORTS!$H$318:$N$318,0)))</f>
        <v>0</v>
      </c>
      <c r="S247" s="232">
        <f t="shared" si="102"/>
        <v>0</v>
      </c>
      <c r="T247" s="241">
        <f t="shared" si="103"/>
        <v>0</v>
      </c>
      <c r="V247" s="186">
        <f t="shared" si="118"/>
        <v>43678</v>
      </c>
      <c r="W247" s="215">
        <f t="shared" si="104"/>
        <v>0</v>
      </c>
      <c r="X247" s="191">
        <f t="shared" si="105"/>
        <v>0</v>
      </c>
      <c r="Y247" s="218">
        <f>+IF(AND(X$8&lt;=V247,X$9&gt;=V247),+MIN($B247-SUMIF($H$17:X$17,Y$17,$H247:X247),((INDEX(ROUTE_PER_DAY_BY_SHIP,MATCH(CONCATENATE(X$4,X$5,X$7),ROUTE_PER_DAY_ROUTES,0),MATCH(X$6,ROUTE_PER_DAY_SHIPS,0))*(V248-V247))-(INDEX(ROUTE_PER_DAY_BY_SHIP,MATCH(CONCATENATE(X$4,X$5,X$7),ROUTE_PER_DAY_ROUTES,0),MATCH(X$6,ROUTE_PER_DAY_SHIPS,0))*(V248-V247))*HLOOKUP(X$6,SHIPS,7,0)*INDEX(LADEN_VOYAGE_DAYS,MATCH(CONCATENATE(X$4,X$5,X$7),LADEN_VOYAGE_ROUTES,0),MATCH(X$6,LADEN_VOYAGE_SHIPS,0)))),0)</f>
        <v>0</v>
      </c>
      <c r="Z247" s="118">
        <f t="shared" si="106"/>
        <v>0</v>
      </c>
      <c r="AA247" s="215">
        <f t="shared" si="92"/>
        <v>0</v>
      </c>
      <c r="AB247" s="202"/>
      <c r="AC247" s="186">
        <f t="shared" si="119"/>
        <v>43678</v>
      </c>
      <c r="AD247" s="232">
        <f>+AA247*(VLOOKUP(AC247,CURVECALC!$C$6:$J$312,4,0)+AE$5)</f>
        <v>0</v>
      </c>
      <c r="AE247" s="208">
        <f>-W247*INDEX(ship_curves,MATCH(AC247,'SHIP CURVES'!$A$9:$A$316,0),MATCH(CONCATENATE(AG$4,AG$5,AG$6,AG$7),'SHIP CURVES'!$A$9:$AZ$9,0))</f>
        <v>0</v>
      </c>
      <c r="AF247" s="209">
        <f>-Y247*INDEX(port_processing_fee,MATCH(AC247,PORTS!$H$626:$H$933,0),MATCH(AG$5,PORTS!$H$626:$Z$626,0))</f>
        <v>0</v>
      </c>
      <c r="AG247" s="405">
        <f>(((VLOOKUP(AC247,curvecalc,4,0))*IF(W247=0,0,AA247/W247)-INDEX(ship_curves,MATCH(AC247,'SHIP CURVES'!$A$9:$A$316,0),MATCH(CONCATENATE(AG$4,AG$5,AG$6,AG$7),'SHIP CURVES'!$A$9:$Z$9,0))-INDEX(terminal_curves,MATCH(AC247,'TERMINAL CURVES'!$A$4:$A$313,0),MATCH(AG$5,'TERMINAL CURVES'!$A$4:$N$4,0))*IF(W247=0,0,Y247/W247))-(AE$8)*((AE$7-$N$5)-(INDEX(ship_curves,MATCH(AC247,'SHIP CURVES'!$A$9:$A$316,0),MATCH(CONCATENATE(AG$4,AG$5,AG$6,AG$7),'SHIP CURVES'!$A$9:$Z$9,0))-INDEX(ship_curves,MATCH(AC247,'SHIP CURVES'!$A$9:$A$316,0),MATCH(CONCATENATE(AG$4,AE$6,AG$6,AG$7),'SHIP CURVES'!$A$9:$Z$9,0)))-(INDEX(terminal_curves,MATCH(AC247,'TERMINAL CURVES'!$A$4:$A$313,0),MATCH(AG$5,'TERMINAL CURVES'!$A$4:$N$4,0))-INDEX(terminal_curves,MATCH(AC247,'TERMINAL CURVES'!$A$4:$A$313,0),MATCH(AE$6,'TERMINAL CURVES'!$A$4:$N$4,0)))*IF(W247=0,0,Y247/W247)))*-W247</f>
        <v>0</v>
      </c>
      <c r="AH247" s="343">
        <f t="shared" si="107"/>
        <v>0</v>
      </c>
      <c r="AI247" s="338">
        <f>(-Y247/((HLOOKUP(AG$5,port_specs,2,0)/(365.25))*(AC248-AC247)))*(INDEX(fixed_capacity_charge,MATCH(AC247,PORTS!$H$11:$H$317,0),MATCH(AG$5,PORTS!$H$11:$N$11,0))+INDEX(variable_om_charge,MATCH(AC247,PORTS!$H$318:$H$625,0),MATCH(AG$5,PORTS!$H$318:$N$318,0)))</f>
        <v>0</v>
      </c>
      <c r="AJ247" s="232">
        <f t="shared" si="108"/>
        <v>0</v>
      </c>
      <c r="AK247" s="241">
        <f t="shared" si="109"/>
        <v>0</v>
      </c>
      <c r="AM247" s="186">
        <f t="shared" si="120"/>
        <v>43678</v>
      </c>
      <c r="AN247" s="215">
        <f t="shared" si="110"/>
        <v>0</v>
      </c>
      <c r="AO247" s="191">
        <f t="shared" si="111"/>
        <v>0</v>
      </c>
      <c r="AP247" s="218">
        <f>+IF(AND(AO$8&lt;=AM247,AO$9&gt;=AM247),+MIN($B247-SUMIF($H$17:AO$17,AP$17,$H247:AO247),((INDEX(ROUTE_PER_DAY_BY_SHIP,MATCH(CONCATENATE(AO$4,AO$5,AO$7),ROUTE_PER_DAY_ROUTES,0),MATCH(AO$6,ROUTE_PER_DAY_SHIPS,0))*(AM248-AM247))-(INDEX(ROUTE_PER_DAY_BY_SHIP,MATCH(CONCATENATE(AO$4,AO$5,AO$7),ROUTE_PER_DAY_ROUTES,0),MATCH(AO$6,ROUTE_PER_DAY_SHIPS,0))*(AM248-AM247))*HLOOKUP(AO$6,SHIPS,7,0)*INDEX(LADEN_VOYAGE_DAYS,MATCH(CONCATENATE(AO$4,AO$5,AO$7),LADEN_VOYAGE_ROUTES,0),MATCH(AO$6,LADEN_VOYAGE_SHIPS,0)))),0)</f>
        <v>0</v>
      </c>
      <c r="AQ247" s="118">
        <f>-(AP247)*PORTS!$I$6</f>
        <v>0</v>
      </c>
      <c r="AR247" s="215">
        <f t="shared" si="93"/>
        <v>0</v>
      </c>
      <c r="AS247" s="202"/>
      <c r="AT247" s="186">
        <f t="shared" si="121"/>
        <v>43678</v>
      </c>
      <c r="AU247" s="232">
        <f>+AR247*(VLOOKUP(AT247,CURVECALC!$C$6:$J$312,4,0)+AV$5)</f>
        <v>0</v>
      </c>
      <c r="AV247" s="208">
        <f>-AN247*INDEX(ship_curves,MATCH(AT247,'SHIP CURVES'!$A$9:$A$316,0),MATCH(CONCATENATE(AX$4,AX$5,AX$6,AX$7),'SHIP CURVES'!$A$9:$AZ$9,0))</f>
        <v>0</v>
      </c>
      <c r="AW247" s="209">
        <f>-AP247*INDEX(port_processing_fee,MATCH(AT247,PORTS!$H$626:$H$933,0),MATCH(AX$5,PORTS!$H$626:$Z$626,0))</f>
        <v>0</v>
      </c>
      <c r="AX247" s="405">
        <f>(((VLOOKUP(AT247,curvecalc,4,0))*IF(AN247=0,0,AR247/AN247)-INDEX(ship_curves,MATCH(AT247,'SHIP CURVES'!$A$9:$A$316,0),MATCH(CONCATENATE(AX$4,AX$5,AX$6,AX$7),'SHIP CURVES'!$A$9:$Z$9,0))-INDEX(terminal_curves,MATCH(AT247,'TERMINAL CURVES'!$A$4:$A$313,0),MATCH(AX$5,'TERMINAL CURVES'!$A$4:$N$4,0))*IF(AN247=0,0,AP247/AN247))-(AV$8)*((AV$7-$N$5)-(INDEX(ship_curves,MATCH(AT247,'SHIP CURVES'!$A$9:$A$316,0),MATCH(CONCATENATE(AX$4,AX$5,AX$6,AX$7),'SHIP CURVES'!$A$9:$Z$9,0))-INDEX(ship_curves,MATCH(AT247,'SHIP CURVES'!$A$9:$A$316,0),MATCH(CONCATENATE(AX$4,AV$6,AX$6,AX$7),'SHIP CURVES'!$A$9:$Z$9,0)))-(INDEX(terminal_curves,MATCH(AT247,'TERMINAL CURVES'!$A$4:$A$313,0),MATCH(AX$5,'TERMINAL CURVES'!$A$4:$N$4,0))-INDEX(terminal_curves,MATCH(AT247,'TERMINAL CURVES'!$A$4:$A$313,0),MATCH(AV$6,'TERMINAL CURVES'!$A$4:$N$4,0)))*IF(AN247=0,0,AP247/AN247)))*-AN247</f>
        <v>0</v>
      </c>
      <c r="AY247" s="343">
        <f t="shared" si="112"/>
        <v>0</v>
      </c>
      <c r="AZ247" s="338">
        <f>(-AP247/((HLOOKUP(AX$5,port_specs,2,0)/(365.25))*(AT248-AT247)))*(INDEX(fixed_capacity_charge,MATCH(AT247,PORTS!$H$11:$H$317,0),MATCH(AX$5,PORTS!$H$11:$N$11,0))+INDEX(variable_om_charge,MATCH(AT247,PORTS!$H$318:$H$625,0),MATCH(AX$5,PORTS!$H$318:$N$318,0)))</f>
        <v>0</v>
      </c>
      <c r="BA247" s="232">
        <f t="shared" si="113"/>
        <v>0</v>
      </c>
      <c r="BB247" s="241">
        <f t="shared" si="114"/>
        <v>0</v>
      </c>
      <c r="BC247" s="408"/>
      <c r="BD247" s="338">
        <f>+PORTS!I241+PORTS!I549</f>
        <v>0</v>
      </c>
    </row>
    <row r="248" spans="1:56" x14ac:dyDescent="0.2">
      <c r="A248" s="186">
        <f t="shared" si="115"/>
        <v>43709</v>
      </c>
      <c r="B248" s="215">
        <f>+IF(AND($A248&gt;=$C$8,$A248&lt;=$C$9),1,0)*PORTS!$I$5/(365.25)*(A249-A248)</f>
        <v>0</v>
      </c>
      <c r="C248" s="351">
        <f t="shared" si="94"/>
        <v>0</v>
      </c>
      <c r="D248">
        <f t="shared" si="95"/>
        <v>2019</v>
      </c>
      <c r="E248" s="186">
        <f t="shared" si="116"/>
        <v>43709</v>
      </c>
      <c r="F248" s="215">
        <f t="shared" si="96"/>
        <v>0</v>
      </c>
      <c r="G248" s="191">
        <f t="shared" si="97"/>
        <v>0</v>
      </c>
      <c r="H248" s="218">
        <f t="shared" si="98"/>
        <v>0</v>
      </c>
      <c r="I248" s="118">
        <f t="shared" si="99"/>
        <v>0</v>
      </c>
      <c r="J248" s="215">
        <f t="shared" si="100"/>
        <v>0</v>
      </c>
      <c r="K248" s="202"/>
      <c r="L248" s="186">
        <f t="shared" si="117"/>
        <v>43709</v>
      </c>
      <c r="M248" s="400">
        <f>+J248*(VLOOKUP(L248,CURVECALC!$C$6:$J$312,4,0)+N$5)</f>
        <v>0</v>
      </c>
      <c r="N248" s="208">
        <f>-F248*INDEX(ship_curves,MATCH(L248,'SHIP CURVES'!$A$9:$A$316,0),MATCH(CONCATENATE(P$4,P$5,P$6,P$7),'SHIP CURVES'!$A$9:$AZ$9,0))</f>
        <v>0</v>
      </c>
      <c r="O248" s="209">
        <f>-H248*INDEX(port_processing_fee,MATCH(L248,PORTS!$H$626:$H$933,0),MATCH(P$5,PORTS!$H$626:$Z$626,0))</f>
        <v>0</v>
      </c>
      <c r="P248" s="405">
        <f>(((VLOOKUP(L248,curvecalc,4,0))*IF(F248=0,0,J248/F248)-INDEX(ship_curves,MATCH(L248,'SHIP CURVES'!$A$9:$A$316,0),MATCH(CONCATENATE(P$4,P$5,P$6,P$7),'SHIP CURVES'!$A$9:$Z$9,0))-INDEX(terminal_curves,MATCH(L248,'TERMINAL CURVES'!$A$4:$A$313,0),MATCH(P$5,'TERMINAL CURVES'!$A$4:$N$4,0))*IF(F248=0,0,H248/F248))-(N$8)*((N$7-$N$5)-(INDEX(ship_curves,MATCH(L248,'SHIP CURVES'!$A$9:$A$316,0),MATCH(CONCATENATE(P$4,P$5,P$6,P$7),'SHIP CURVES'!$A$9:$Z$9,0))-INDEX(ship_curves,MATCH(L248,'SHIP CURVES'!$A$9:$A$316,0),MATCH(CONCATENATE(P$4,N$6,P$6,P$7),'SHIP CURVES'!$A$9:$Z$9,0)))-(INDEX(terminal_curves,MATCH(L248,'TERMINAL CURVES'!$A$4:$A$313,0),MATCH(P$5,'TERMINAL CURVES'!$A$4:$N$4,0))-INDEX(terminal_curves,MATCH(L248,'TERMINAL CURVES'!$A$4:$A$313,0),MATCH(N$6,'TERMINAL CURVES'!$A$4:$N$4,0)))*IF(F248=0,0,H248/F248)))*-F248</f>
        <v>0</v>
      </c>
      <c r="Q248" s="403">
        <f t="shared" si="101"/>
        <v>0</v>
      </c>
      <c r="R248" s="338">
        <f>(-H248/((HLOOKUP(P$5,port_specs,2,0)/(365.25))*(L249-L248)))*(INDEX(fixed_capacity_charge,MATCH(L248,PORTS!$H$11:$H$317,0),MATCH(P$5,PORTS!$H$11:$N$11,0))+INDEX(variable_om_charge,MATCH(L248,PORTS!$H$318:$H$625,0),MATCH(P$5,PORTS!$H$318:$N$318,0)))</f>
        <v>0</v>
      </c>
      <c r="S248" s="232">
        <f t="shared" si="102"/>
        <v>0</v>
      </c>
      <c r="T248" s="241">
        <f t="shared" si="103"/>
        <v>0</v>
      </c>
      <c r="V248" s="186">
        <f t="shared" si="118"/>
        <v>43709</v>
      </c>
      <c r="W248" s="215">
        <f t="shared" si="104"/>
        <v>0</v>
      </c>
      <c r="X248" s="191">
        <f t="shared" si="105"/>
        <v>0</v>
      </c>
      <c r="Y248" s="218">
        <f>+IF(AND(X$8&lt;=V248,X$9&gt;=V248),+MIN($B248-SUMIF($H$17:X$17,Y$17,$H248:X248),((INDEX(ROUTE_PER_DAY_BY_SHIP,MATCH(CONCATENATE(X$4,X$5,X$7),ROUTE_PER_DAY_ROUTES,0),MATCH(X$6,ROUTE_PER_DAY_SHIPS,0))*(V249-V248))-(INDEX(ROUTE_PER_DAY_BY_SHIP,MATCH(CONCATENATE(X$4,X$5,X$7),ROUTE_PER_DAY_ROUTES,0),MATCH(X$6,ROUTE_PER_DAY_SHIPS,0))*(V249-V248))*HLOOKUP(X$6,SHIPS,7,0)*INDEX(LADEN_VOYAGE_DAYS,MATCH(CONCATENATE(X$4,X$5,X$7),LADEN_VOYAGE_ROUTES,0),MATCH(X$6,LADEN_VOYAGE_SHIPS,0)))),0)</f>
        <v>0</v>
      </c>
      <c r="Z248" s="118">
        <f t="shared" si="106"/>
        <v>0</v>
      </c>
      <c r="AA248" s="215">
        <f t="shared" si="92"/>
        <v>0</v>
      </c>
      <c r="AB248" s="202"/>
      <c r="AC248" s="186">
        <f t="shared" si="119"/>
        <v>43709</v>
      </c>
      <c r="AD248" s="232">
        <f>+AA248*(VLOOKUP(AC248,CURVECALC!$C$6:$J$312,4,0)+AE$5)</f>
        <v>0</v>
      </c>
      <c r="AE248" s="208">
        <f>-W248*INDEX(ship_curves,MATCH(AC248,'SHIP CURVES'!$A$9:$A$316,0),MATCH(CONCATENATE(AG$4,AG$5,AG$6,AG$7),'SHIP CURVES'!$A$9:$AZ$9,0))</f>
        <v>0</v>
      </c>
      <c r="AF248" s="209">
        <f>-Y248*INDEX(port_processing_fee,MATCH(AC248,PORTS!$H$626:$H$933,0),MATCH(AG$5,PORTS!$H$626:$Z$626,0))</f>
        <v>0</v>
      </c>
      <c r="AG248" s="405">
        <f>(((VLOOKUP(AC248,curvecalc,4,0))*IF(W248=0,0,AA248/W248)-INDEX(ship_curves,MATCH(AC248,'SHIP CURVES'!$A$9:$A$316,0),MATCH(CONCATENATE(AG$4,AG$5,AG$6,AG$7),'SHIP CURVES'!$A$9:$Z$9,0))-INDEX(terminal_curves,MATCH(AC248,'TERMINAL CURVES'!$A$4:$A$313,0),MATCH(AG$5,'TERMINAL CURVES'!$A$4:$N$4,0))*IF(W248=0,0,Y248/W248))-(AE$8)*((AE$7-$N$5)-(INDEX(ship_curves,MATCH(AC248,'SHIP CURVES'!$A$9:$A$316,0),MATCH(CONCATENATE(AG$4,AG$5,AG$6,AG$7),'SHIP CURVES'!$A$9:$Z$9,0))-INDEX(ship_curves,MATCH(AC248,'SHIP CURVES'!$A$9:$A$316,0),MATCH(CONCATENATE(AG$4,AE$6,AG$6,AG$7),'SHIP CURVES'!$A$9:$Z$9,0)))-(INDEX(terminal_curves,MATCH(AC248,'TERMINAL CURVES'!$A$4:$A$313,0),MATCH(AG$5,'TERMINAL CURVES'!$A$4:$N$4,0))-INDEX(terminal_curves,MATCH(AC248,'TERMINAL CURVES'!$A$4:$A$313,0),MATCH(AE$6,'TERMINAL CURVES'!$A$4:$N$4,0)))*IF(W248=0,0,Y248/W248)))*-W248</f>
        <v>0</v>
      </c>
      <c r="AH248" s="343">
        <f t="shared" si="107"/>
        <v>0</v>
      </c>
      <c r="AI248" s="338">
        <f>(-Y248/((HLOOKUP(AG$5,port_specs,2,0)/(365.25))*(AC249-AC248)))*(INDEX(fixed_capacity_charge,MATCH(AC248,PORTS!$H$11:$H$317,0),MATCH(AG$5,PORTS!$H$11:$N$11,0))+INDEX(variable_om_charge,MATCH(AC248,PORTS!$H$318:$H$625,0),MATCH(AG$5,PORTS!$H$318:$N$318,0)))</f>
        <v>0</v>
      </c>
      <c r="AJ248" s="232">
        <f t="shared" si="108"/>
        <v>0</v>
      </c>
      <c r="AK248" s="241">
        <f t="shared" si="109"/>
        <v>0</v>
      </c>
      <c r="AM248" s="186">
        <f t="shared" si="120"/>
        <v>43709</v>
      </c>
      <c r="AN248" s="215">
        <f t="shared" si="110"/>
        <v>0</v>
      </c>
      <c r="AO248" s="191">
        <f t="shared" si="111"/>
        <v>0</v>
      </c>
      <c r="AP248" s="218">
        <f>+IF(AND(AO$8&lt;=AM248,AO$9&gt;=AM248),+MIN($B248-SUMIF($H$17:AO$17,AP$17,$H248:AO248),((INDEX(ROUTE_PER_DAY_BY_SHIP,MATCH(CONCATENATE(AO$4,AO$5,AO$7),ROUTE_PER_DAY_ROUTES,0),MATCH(AO$6,ROUTE_PER_DAY_SHIPS,0))*(AM249-AM248))-(INDEX(ROUTE_PER_DAY_BY_SHIP,MATCH(CONCATENATE(AO$4,AO$5,AO$7),ROUTE_PER_DAY_ROUTES,0),MATCH(AO$6,ROUTE_PER_DAY_SHIPS,0))*(AM249-AM248))*HLOOKUP(AO$6,SHIPS,7,0)*INDEX(LADEN_VOYAGE_DAYS,MATCH(CONCATENATE(AO$4,AO$5,AO$7),LADEN_VOYAGE_ROUTES,0),MATCH(AO$6,LADEN_VOYAGE_SHIPS,0)))),0)</f>
        <v>0</v>
      </c>
      <c r="AQ248" s="118">
        <f>-(AP248)*PORTS!$I$6</f>
        <v>0</v>
      </c>
      <c r="AR248" s="215">
        <f t="shared" si="93"/>
        <v>0</v>
      </c>
      <c r="AS248" s="202"/>
      <c r="AT248" s="186">
        <f t="shared" si="121"/>
        <v>43709</v>
      </c>
      <c r="AU248" s="232">
        <f>+AR248*(VLOOKUP(AT248,CURVECALC!$C$6:$J$312,4,0)+AV$5)</f>
        <v>0</v>
      </c>
      <c r="AV248" s="208">
        <f>-AN248*INDEX(ship_curves,MATCH(AT248,'SHIP CURVES'!$A$9:$A$316,0),MATCH(CONCATENATE(AX$4,AX$5,AX$6,AX$7),'SHIP CURVES'!$A$9:$AZ$9,0))</f>
        <v>0</v>
      </c>
      <c r="AW248" s="209">
        <f>-AP248*INDEX(port_processing_fee,MATCH(AT248,PORTS!$H$626:$H$933,0),MATCH(AX$5,PORTS!$H$626:$Z$626,0))</f>
        <v>0</v>
      </c>
      <c r="AX248" s="405">
        <f>(((VLOOKUP(AT248,curvecalc,4,0))*IF(AN248=0,0,AR248/AN248)-INDEX(ship_curves,MATCH(AT248,'SHIP CURVES'!$A$9:$A$316,0),MATCH(CONCATENATE(AX$4,AX$5,AX$6,AX$7),'SHIP CURVES'!$A$9:$Z$9,0))-INDEX(terminal_curves,MATCH(AT248,'TERMINAL CURVES'!$A$4:$A$313,0),MATCH(AX$5,'TERMINAL CURVES'!$A$4:$N$4,0))*IF(AN248=0,0,AP248/AN248))-(AV$8)*((AV$7-$N$5)-(INDEX(ship_curves,MATCH(AT248,'SHIP CURVES'!$A$9:$A$316,0),MATCH(CONCATENATE(AX$4,AX$5,AX$6,AX$7),'SHIP CURVES'!$A$9:$Z$9,0))-INDEX(ship_curves,MATCH(AT248,'SHIP CURVES'!$A$9:$A$316,0),MATCH(CONCATENATE(AX$4,AV$6,AX$6,AX$7),'SHIP CURVES'!$A$9:$Z$9,0)))-(INDEX(terminal_curves,MATCH(AT248,'TERMINAL CURVES'!$A$4:$A$313,0),MATCH(AX$5,'TERMINAL CURVES'!$A$4:$N$4,0))-INDEX(terminal_curves,MATCH(AT248,'TERMINAL CURVES'!$A$4:$A$313,0),MATCH(AV$6,'TERMINAL CURVES'!$A$4:$N$4,0)))*IF(AN248=0,0,AP248/AN248)))*-AN248</f>
        <v>0</v>
      </c>
      <c r="AY248" s="343">
        <f t="shared" si="112"/>
        <v>0</v>
      </c>
      <c r="AZ248" s="338">
        <f>(-AP248/((HLOOKUP(AX$5,port_specs,2,0)/(365.25))*(AT249-AT248)))*(INDEX(fixed_capacity_charge,MATCH(AT248,PORTS!$H$11:$H$317,0),MATCH(AX$5,PORTS!$H$11:$N$11,0))+INDEX(variable_om_charge,MATCH(AT248,PORTS!$H$318:$H$625,0),MATCH(AX$5,PORTS!$H$318:$N$318,0)))</f>
        <v>0</v>
      </c>
      <c r="BA248" s="232">
        <f t="shared" si="113"/>
        <v>0</v>
      </c>
      <c r="BB248" s="241">
        <f t="shared" si="114"/>
        <v>0</v>
      </c>
      <c r="BC248" s="408"/>
      <c r="BD248" s="338">
        <f>+PORTS!I242+PORTS!I550</f>
        <v>0</v>
      </c>
    </row>
    <row r="249" spans="1:56" x14ac:dyDescent="0.2">
      <c r="A249" s="186">
        <f t="shared" si="115"/>
        <v>43739</v>
      </c>
      <c r="B249" s="215">
        <f>+IF(AND($A249&gt;=$C$8,$A249&lt;=$C$9),1,0)*PORTS!$I$5/(365.25)*(A250-A249)</f>
        <v>0</v>
      </c>
      <c r="C249" s="351">
        <f t="shared" si="94"/>
        <v>0</v>
      </c>
      <c r="D249">
        <f t="shared" si="95"/>
        <v>2019</v>
      </c>
      <c r="E249" s="186">
        <f t="shared" si="116"/>
        <v>43739</v>
      </c>
      <c r="F249" s="215">
        <f t="shared" si="96"/>
        <v>0</v>
      </c>
      <c r="G249" s="191">
        <f t="shared" si="97"/>
        <v>0</v>
      </c>
      <c r="H249" s="218">
        <f t="shared" si="98"/>
        <v>0</v>
      </c>
      <c r="I249" s="118">
        <f t="shared" si="99"/>
        <v>0</v>
      </c>
      <c r="J249" s="215">
        <f t="shared" si="100"/>
        <v>0</v>
      </c>
      <c r="K249" s="202"/>
      <c r="L249" s="186">
        <f t="shared" si="117"/>
        <v>43739</v>
      </c>
      <c r="M249" s="400">
        <f>+J249*(VLOOKUP(L249,CURVECALC!$C$6:$J$312,4,0)+N$5)</f>
        <v>0</v>
      </c>
      <c r="N249" s="208">
        <f>-F249*INDEX(ship_curves,MATCH(L249,'SHIP CURVES'!$A$9:$A$316,0),MATCH(CONCATENATE(P$4,P$5,P$6,P$7),'SHIP CURVES'!$A$9:$AZ$9,0))</f>
        <v>0</v>
      </c>
      <c r="O249" s="209">
        <f>-H249*INDEX(port_processing_fee,MATCH(L249,PORTS!$H$626:$H$933,0),MATCH(P$5,PORTS!$H$626:$Z$626,0))</f>
        <v>0</v>
      </c>
      <c r="P249" s="405">
        <f>(((VLOOKUP(L249,curvecalc,4,0))*IF(F249=0,0,J249/F249)-INDEX(ship_curves,MATCH(L249,'SHIP CURVES'!$A$9:$A$316,0),MATCH(CONCATENATE(P$4,P$5,P$6,P$7),'SHIP CURVES'!$A$9:$Z$9,0))-INDEX(terminal_curves,MATCH(L249,'TERMINAL CURVES'!$A$4:$A$313,0),MATCH(P$5,'TERMINAL CURVES'!$A$4:$N$4,0))*IF(F249=0,0,H249/F249))-(N$8)*((N$7-$N$5)-(INDEX(ship_curves,MATCH(L249,'SHIP CURVES'!$A$9:$A$316,0),MATCH(CONCATENATE(P$4,P$5,P$6,P$7),'SHIP CURVES'!$A$9:$Z$9,0))-INDEX(ship_curves,MATCH(L249,'SHIP CURVES'!$A$9:$A$316,0),MATCH(CONCATENATE(P$4,N$6,P$6,P$7),'SHIP CURVES'!$A$9:$Z$9,0)))-(INDEX(terminal_curves,MATCH(L249,'TERMINAL CURVES'!$A$4:$A$313,0),MATCH(P$5,'TERMINAL CURVES'!$A$4:$N$4,0))-INDEX(terminal_curves,MATCH(L249,'TERMINAL CURVES'!$A$4:$A$313,0),MATCH(N$6,'TERMINAL CURVES'!$A$4:$N$4,0)))*IF(F249=0,0,H249/F249)))*-F249</f>
        <v>0</v>
      </c>
      <c r="Q249" s="403">
        <f t="shared" si="101"/>
        <v>0</v>
      </c>
      <c r="R249" s="338">
        <f>(-H249/((HLOOKUP(P$5,port_specs,2,0)/(365.25))*(L250-L249)))*(INDEX(fixed_capacity_charge,MATCH(L249,PORTS!$H$11:$H$317,0),MATCH(P$5,PORTS!$H$11:$N$11,0))+INDEX(variable_om_charge,MATCH(L249,PORTS!$H$318:$H$625,0),MATCH(P$5,PORTS!$H$318:$N$318,0)))</f>
        <v>0</v>
      </c>
      <c r="S249" s="232">
        <f t="shared" si="102"/>
        <v>0</v>
      </c>
      <c r="T249" s="241">
        <f t="shared" si="103"/>
        <v>0</v>
      </c>
      <c r="V249" s="186">
        <f t="shared" si="118"/>
        <v>43739</v>
      </c>
      <c r="W249" s="215">
        <f t="shared" si="104"/>
        <v>0</v>
      </c>
      <c r="X249" s="191">
        <f t="shared" si="105"/>
        <v>0</v>
      </c>
      <c r="Y249" s="218">
        <f>+IF(AND(X$8&lt;=V249,X$9&gt;=V249),+MIN($B249-SUMIF($H$17:X$17,Y$17,$H249:X249),((INDEX(ROUTE_PER_DAY_BY_SHIP,MATCH(CONCATENATE(X$4,X$5,X$7),ROUTE_PER_DAY_ROUTES,0),MATCH(X$6,ROUTE_PER_DAY_SHIPS,0))*(V250-V249))-(INDEX(ROUTE_PER_DAY_BY_SHIP,MATCH(CONCATENATE(X$4,X$5,X$7),ROUTE_PER_DAY_ROUTES,0),MATCH(X$6,ROUTE_PER_DAY_SHIPS,0))*(V250-V249))*HLOOKUP(X$6,SHIPS,7,0)*INDEX(LADEN_VOYAGE_DAYS,MATCH(CONCATENATE(X$4,X$5,X$7),LADEN_VOYAGE_ROUTES,0),MATCH(X$6,LADEN_VOYAGE_SHIPS,0)))),0)</f>
        <v>0</v>
      </c>
      <c r="Z249" s="118">
        <f t="shared" si="106"/>
        <v>0</v>
      </c>
      <c r="AA249" s="215">
        <f t="shared" si="92"/>
        <v>0</v>
      </c>
      <c r="AB249" s="202"/>
      <c r="AC249" s="186">
        <f t="shared" si="119"/>
        <v>43739</v>
      </c>
      <c r="AD249" s="232">
        <f>+AA249*(VLOOKUP(AC249,CURVECALC!$C$6:$J$312,4,0)+AE$5)</f>
        <v>0</v>
      </c>
      <c r="AE249" s="208">
        <f>-W249*INDEX(ship_curves,MATCH(AC249,'SHIP CURVES'!$A$9:$A$316,0),MATCH(CONCATENATE(AG$4,AG$5,AG$6,AG$7),'SHIP CURVES'!$A$9:$AZ$9,0))</f>
        <v>0</v>
      </c>
      <c r="AF249" s="209">
        <f>-Y249*INDEX(port_processing_fee,MATCH(AC249,PORTS!$H$626:$H$933,0),MATCH(AG$5,PORTS!$H$626:$Z$626,0))</f>
        <v>0</v>
      </c>
      <c r="AG249" s="405">
        <f>(((VLOOKUP(AC249,curvecalc,4,0))*IF(W249=0,0,AA249/W249)-INDEX(ship_curves,MATCH(AC249,'SHIP CURVES'!$A$9:$A$316,0),MATCH(CONCATENATE(AG$4,AG$5,AG$6,AG$7),'SHIP CURVES'!$A$9:$Z$9,0))-INDEX(terminal_curves,MATCH(AC249,'TERMINAL CURVES'!$A$4:$A$313,0),MATCH(AG$5,'TERMINAL CURVES'!$A$4:$N$4,0))*IF(W249=0,0,Y249/W249))-(AE$8)*((AE$7-$N$5)-(INDEX(ship_curves,MATCH(AC249,'SHIP CURVES'!$A$9:$A$316,0),MATCH(CONCATENATE(AG$4,AG$5,AG$6,AG$7),'SHIP CURVES'!$A$9:$Z$9,0))-INDEX(ship_curves,MATCH(AC249,'SHIP CURVES'!$A$9:$A$316,0),MATCH(CONCATENATE(AG$4,AE$6,AG$6,AG$7),'SHIP CURVES'!$A$9:$Z$9,0)))-(INDEX(terminal_curves,MATCH(AC249,'TERMINAL CURVES'!$A$4:$A$313,0),MATCH(AG$5,'TERMINAL CURVES'!$A$4:$N$4,0))-INDEX(terminal_curves,MATCH(AC249,'TERMINAL CURVES'!$A$4:$A$313,0),MATCH(AE$6,'TERMINAL CURVES'!$A$4:$N$4,0)))*IF(W249=0,0,Y249/W249)))*-W249</f>
        <v>0</v>
      </c>
      <c r="AH249" s="343">
        <f t="shared" si="107"/>
        <v>0</v>
      </c>
      <c r="AI249" s="338">
        <f>(-Y249/((HLOOKUP(AG$5,port_specs,2,0)/(365.25))*(AC250-AC249)))*(INDEX(fixed_capacity_charge,MATCH(AC249,PORTS!$H$11:$H$317,0),MATCH(AG$5,PORTS!$H$11:$N$11,0))+INDEX(variable_om_charge,MATCH(AC249,PORTS!$H$318:$H$625,0),MATCH(AG$5,PORTS!$H$318:$N$318,0)))</f>
        <v>0</v>
      </c>
      <c r="AJ249" s="232">
        <f t="shared" si="108"/>
        <v>0</v>
      </c>
      <c r="AK249" s="241">
        <f t="shared" si="109"/>
        <v>0</v>
      </c>
      <c r="AM249" s="186">
        <f t="shared" si="120"/>
        <v>43739</v>
      </c>
      <c r="AN249" s="215">
        <f t="shared" si="110"/>
        <v>0</v>
      </c>
      <c r="AO249" s="191">
        <f t="shared" si="111"/>
        <v>0</v>
      </c>
      <c r="AP249" s="218">
        <f>+IF(AND(AO$8&lt;=AM249,AO$9&gt;=AM249),+MIN($B249-SUMIF($H$17:AO$17,AP$17,$H249:AO249),((INDEX(ROUTE_PER_DAY_BY_SHIP,MATCH(CONCATENATE(AO$4,AO$5,AO$7),ROUTE_PER_DAY_ROUTES,0),MATCH(AO$6,ROUTE_PER_DAY_SHIPS,0))*(AM250-AM249))-(INDEX(ROUTE_PER_DAY_BY_SHIP,MATCH(CONCATENATE(AO$4,AO$5,AO$7),ROUTE_PER_DAY_ROUTES,0),MATCH(AO$6,ROUTE_PER_DAY_SHIPS,0))*(AM250-AM249))*HLOOKUP(AO$6,SHIPS,7,0)*INDEX(LADEN_VOYAGE_DAYS,MATCH(CONCATENATE(AO$4,AO$5,AO$7),LADEN_VOYAGE_ROUTES,0),MATCH(AO$6,LADEN_VOYAGE_SHIPS,0)))),0)</f>
        <v>0</v>
      </c>
      <c r="AQ249" s="118">
        <f>-(AP249)*PORTS!$I$6</f>
        <v>0</v>
      </c>
      <c r="AR249" s="215">
        <f t="shared" si="93"/>
        <v>0</v>
      </c>
      <c r="AS249" s="202"/>
      <c r="AT249" s="186">
        <f t="shared" si="121"/>
        <v>43739</v>
      </c>
      <c r="AU249" s="232">
        <f>+AR249*(VLOOKUP(AT249,CURVECALC!$C$6:$J$312,4,0)+AV$5)</f>
        <v>0</v>
      </c>
      <c r="AV249" s="208">
        <f>-AN249*INDEX(ship_curves,MATCH(AT249,'SHIP CURVES'!$A$9:$A$316,0),MATCH(CONCATENATE(AX$4,AX$5,AX$6,AX$7),'SHIP CURVES'!$A$9:$AZ$9,0))</f>
        <v>0</v>
      </c>
      <c r="AW249" s="209">
        <f>-AP249*INDEX(port_processing_fee,MATCH(AT249,PORTS!$H$626:$H$933,0),MATCH(AX$5,PORTS!$H$626:$Z$626,0))</f>
        <v>0</v>
      </c>
      <c r="AX249" s="405">
        <f>(((VLOOKUP(AT249,curvecalc,4,0))*IF(AN249=0,0,AR249/AN249)-INDEX(ship_curves,MATCH(AT249,'SHIP CURVES'!$A$9:$A$316,0),MATCH(CONCATENATE(AX$4,AX$5,AX$6,AX$7),'SHIP CURVES'!$A$9:$Z$9,0))-INDEX(terminal_curves,MATCH(AT249,'TERMINAL CURVES'!$A$4:$A$313,0),MATCH(AX$5,'TERMINAL CURVES'!$A$4:$N$4,0))*IF(AN249=0,0,AP249/AN249))-(AV$8)*((AV$7-$N$5)-(INDEX(ship_curves,MATCH(AT249,'SHIP CURVES'!$A$9:$A$316,0),MATCH(CONCATENATE(AX$4,AX$5,AX$6,AX$7),'SHIP CURVES'!$A$9:$Z$9,0))-INDEX(ship_curves,MATCH(AT249,'SHIP CURVES'!$A$9:$A$316,0),MATCH(CONCATENATE(AX$4,AV$6,AX$6,AX$7),'SHIP CURVES'!$A$9:$Z$9,0)))-(INDEX(terminal_curves,MATCH(AT249,'TERMINAL CURVES'!$A$4:$A$313,0),MATCH(AX$5,'TERMINAL CURVES'!$A$4:$N$4,0))-INDEX(terminal_curves,MATCH(AT249,'TERMINAL CURVES'!$A$4:$A$313,0),MATCH(AV$6,'TERMINAL CURVES'!$A$4:$N$4,0)))*IF(AN249=0,0,AP249/AN249)))*-AN249</f>
        <v>0</v>
      </c>
      <c r="AY249" s="343">
        <f t="shared" si="112"/>
        <v>0</v>
      </c>
      <c r="AZ249" s="338">
        <f>(-AP249/((HLOOKUP(AX$5,port_specs,2,0)/(365.25))*(AT250-AT249)))*(INDEX(fixed_capacity_charge,MATCH(AT249,PORTS!$H$11:$H$317,0),MATCH(AX$5,PORTS!$H$11:$N$11,0))+INDEX(variable_om_charge,MATCH(AT249,PORTS!$H$318:$H$625,0),MATCH(AX$5,PORTS!$H$318:$N$318,0)))</f>
        <v>0</v>
      </c>
      <c r="BA249" s="232">
        <f t="shared" si="113"/>
        <v>0</v>
      </c>
      <c r="BB249" s="241">
        <f t="shared" si="114"/>
        <v>0</v>
      </c>
      <c r="BC249" s="408"/>
      <c r="BD249" s="338">
        <f>+PORTS!I243+PORTS!I551</f>
        <v>0</v>
      </c>
    </row>
    <row r="250" spans="1:56" x14ac:dyDescent="0.2">
      <c r="A250" s="186">
        <f t="shared" si="115"/>
        <v>43770</v>
      </c>
      <c r="B250" s="215">
        <f>+IF(AND($A250&gt;=$C$8,$A250&lt;=$C$9),1,0)*PORTS!$I$5/(365.25)*(A251-A250)</f>
        <v>0</v>
      </c>
      <c r="C250" s="351">
        <f t="shared" si="94"/>
        <v>0</v>
      </c>
      <c r="D250">
        <f t="shared" si="95"/>
        <v>2019</v>
      </c>
      <c r="E250" s="186">
        <f t="shared" si="116"/>
        <v>43770</v>
      </c>
      <c r="F250" s="215">
        <f t="shared" si="96"/>
        <v>0</v>
      </c>
      <c r="G250" s="191">
        <f t="shared" si="97"/>
        <v>0</v>
      </c>
      <c r="H250" s="218">
        <f t="shared" si="98"/>
        <v>0</v>
      </c>
      <c r="I250" s="118">
        <f t="shared" si="99"/>
        <v>0</v>
      </c>
      <c r="J250" s="215">
        <f t="shared" si="100"/>
        <v>0</v>
      </c>
      <c r="K250" s="202"/>
      <c r="L250" s="186">
        <f t="shared" si="117"/>
        <v>43770</v>
      </c>
      <c r="M250" s="400">
        <f>+J250*(VLOOKUP(L250,CURVECALC!$C$6:$J$312,4,0)+N$5)</f>
        <v>0</v>
      </c>
      <c r="N250" s="208">
        <f>-F250*INDEX(ship_curves,MATCH(L250,'SHIP CURVES'!$A$9:$A$316,0),MATCH(CONCATENATE(P$4,P$5,P$6,P$7),'SHIP CURVES'!$A$9:$AZ$9,0))</f>
        <v>0</v>
      </c>
      <c r="O250" s="209">
        <f>-H250*INDEX(port_processing_fee,MATCH(L250,PORTS!$H$626:$H$933,0),MATCH(P$5,PORTS!$H$626:$Z$626,0))</f>
        <v>0</v>
      </c>
      <c r="P250" s="405">
        <f>(((VLOOKUP(L250,curvecalc,4,0))*IF(F250=0,0,J250/F250)-INDEX(ship_curves,MATCH(L250,'SHIP CURVES'!$A$9:$A$316,0),MATCH(CONCATENATE(P$4,P$5,P$6,P$7),'SHIP CURVES'!$A$9:$Z$9,0))-INDEX(terminal_curves,MATCH(L250,'TERMINAL CURVES'!$A$4:$A$313,0),MATCH(P$5,'TERMINAL CURVES'!$A$4:$N$4,0))*IF(F250=0,0,H250/F250))-(N$8)*((N$7-$N$5)-(INDEX(ship_curves,MATCH(L250,'SHIP CURVES'!$A$9:$A$316,0),MATCH(CONCATENATE(P$4,P$5,P$6,P$7),'SHIP CURVES'!$A$9:$Z$9,0))-INDEX(ship_curves,MATCH(L250,'SHIP CURVES'!$A$9:$A$316,0),MATCH(CONCATENATE(P$4,N$6,P$6,P$7),'SHIP CURVES'!$A$9:$Z$9,0)))-(INDEX(terminal_curves,MATCH(L250,'TERMINAL CURVES'!$A$4:$A$313,0),MATCH(P$5,'TERMINAL CURVES'!$A$4:$N$4,0))-INDEX(terminal_curves,MATCH(L250,'TERMINAL CURVES'!$A$4:$A$313,0),MATCH(N$6,'TERMINAL CURVES'!$A$4:$N$4,0)))*IF(F250=0,0,H250/F250)))*-F250</f>
        <v>0</v>
      </c>
      <c r="Q250" s="403">
        <f t="shared" si="101"/>
        <v>0</v>
      </c>
      <c r="R250" s="338">
        <f>(-H250/((HLOOKUP(P$5,port_specs,2,0)/(365.25))*(L251-L250)))*(INDEX(fixed_capacity_charge,MATCH(L250,PORTS!$H$11:$H$317,0),MATCH(P$5,PORTS!$H$11:$N$11,0))+INDEX(variable_om_charge,MATCH(L250,PORTS!$H$318:$H$625,0),MATCH(P$5,PORTS!$H$318:$N$318,0)))</f>
        <v>0</v>
      </c>
      <c r="S250" s="232">
        <f t="shared" si="102"/>
        <v>0</v>
      </c>
      <c r="T250" s="241">
        <f t="shared" si="103"/>
        <v>0</v>
      </c>
      <c r="V250" s="186">
        <f t="shared" si="118"/>
        <v>43770</v>
      </c>
      <c r="W250" s="215">
        <f t="shared" si="104"/>
        <v>0</v>
      </c>
      <c r="X250" s="191">
        <f t="shared" si="105"/>
        <v>0</v>
      </c>
      <c r="Y250" s="218">
        <f>+IF(AND(X$8&lt;=V250,X$9&gt;=V250),+MIN($B250-SUMIF($H$17:X$17,Y$17,$H250:X250),((INDEX(ROUTE_PER_DAY_BY_SHIP,MATCH(CONCATENATE(X$4,X$5,X$7),ROUTE_PER_DAY_ROUTES,0),MATCH(X$6,ROUTE_PER_DAY_SHIPS,0))*(V251-V250))-(INDEX(ROUTE_PER_DAY_BY_SHIP,MATCH(CONCATENATE(X$4,X$5,X$7),ROUTE_PER_DAY_ROUTES,0),MATCH(X$6,ROUTE_PER_DAY_SHIPS,0))*(V251-V250))*HLOOKUP(X$6,SHIPS,7,0)*INDEX(LADEN_VOYAGE_DAYS,MATCH(CONCATENATE(X$4,X$5,X$7),LADEN_VOYAGE_ROUTES,0),MATCH(X$6,LADEN_VOYAGE_SHIPS,0)))),0)</f>
        <v>0</v>
      </c>
      <c r="Z250" s="118">
        <f t="shared" si="106"/>
        <v>0</v>
      </c>
      <c r="AA250" s="215">
        <f t="shared" si="92"/>
        <v>0</v>
      </c>
      <c r="AB250" s="202"/>
      <c r="AC250" s="186">
        <f t="shared" si="119"/>
        <v>43770</v>
      </c>
      <c r="AD250" s="232">
        <f>+AA250*(VLOOKUP(AC250,CURVECALC!$C$6:$J$312,4,0)+AE$5)</f>
        <v>0</v>
      </c>
      <c r="AE250" s="208">
        <f>-W250*INDEX(ship_curves,MATCH(AC250,'SHIP CURVES'!$A$9:$A$316,0),MATCH(CONCATENATE(AG$4,AG$5,AG$6,AG$7),'SHIP CURVES'!$A$9:$AZ$9,0))</f>
        <v>0</v>
      </c>
      <c r="AF250" s="209">
        <f>-Y250*INDEX(port_processing_fee,MATCH(AC250,PORTS!$H$626:$H$933,0),MATCH(AG$5,PORTS!$H$626:$Z$626,0))</f>
        <v>0</v>
      </c>
      <c r="AG250" s="405">
        <f>(((VLOOKUP(AC250,curvecalc,4,0))*IF(W250=0,0,AA250/W250)-INDEX(ship_curves,MATCH(AC250,'SHIP CURVES'!$A$9:$A$316,0),MATCH(CONCATENATE(AG$4,AG$5,AG$6,AG$7),'SHIP CURVES'!$A$9:$Z$9,0))-INDEX(terminal_curves,MATCH(AC250,'TERMINAL CURVES'!$A$4:$A$313,0),MATCH(AG$5,'TERMINAL CURVES'!$A$4:$N$4,0))*IF(W250=0,0,Y250/W250))-(AE$8)*((AE$7-$N$5)-(INDEX(ship_curves,MATCH(AC250,'SHIP CURVES'!$A$9:$A$316,0),MATCH(CONCATENATE(AG$4,AG$5,AG$6,AG$7),'SHIP CURVES'!$A$9:$Z$9,0))-INDEX(ship_curves,MATCH(AC250,'SHIP CURVES'!$A$9:$A$316,0),MATCH(CONCATENATE(AG$4,AE$6,AG$6,AG$7),'SHIP CURVES'!$A$9:$Z$9,0)))-(INDEX(terminal_curves,MATCH(AC250,'TERMINAL CURVES'!$A$4:$A$313,0),MATCH(AG$5,'TERMINAL CURVES'!$A$4:$N$4,0))-INDEX(terminal_curves,MATCH(AC250,'TERMINAL CURVES'!$A$4:$A$313,0),MATCH(AE$6,'TERMINAL CURVES'!$A$4:$N$4,0)))*IF(W250=0,0,Y250/W250)))*-W250</f>
        <v>0</v>
      </c>
      <c r="AH250" s="343">
        <f t="shared" si="107"/>
        <v>0</v>
      </c>
      <c r="AI250" s="338">
        <f>(-Y250/((HLOOKUP(AG$5,port_specs,2,0)/(365.25))*(AC251-AC250)))*(INDEX(fixed_capacity_charge,MATCH(AC250,PORTS!$H$11:$H$317,0),MATCH(AG$5,PORTS!$H$11:$N$11,0))+INDEX(variable_om_charge,MATCH(AC250,PORTS!$H$318:$H$625,0),MATCH(AG$5,PORTS!$H$318:$N$318,0)))</f>
        <v>0</v>
      </c>
      <c r="AJ250" s="232">
        <f t="shared" si="108"/>
        <v>0</v>
      </c>
      <c r="AK250" s="241">
        <f t="shared" si="109"/>
        <v>0</v>
      </c>
      <c r="AM250" s="186">
        <f t="shared" si="120"/>
        <v>43770</v>
      </c>
      <c r="AN250" s="215">
        <f t="shared" si="110"/>
        <v>0</v>
      </c>
      <c r="AO250" s="191">
        <f t="shared" si="111"/>
        <v>0</v>
      </c>
      <c r="AP250" s="218">
        <f>+IF(AND(AO$8&lt;=AM250,AO$9&gt;=AM250),+MIN($B250-SUMIF($H$17:AO$17,AP$17,$H250:AO250),((INDEX(ROUTE_PER_DAY_BY_SHIP,MATCH(CONCATENATE(AO$4,AO$5,AO$7),ROUTE_PER_DAY_ROUTES,0),MATCH(AO$6,ROUTE_PER_DAY_SHIPS,0))*(AM251-AM250))-(INDEX(ROUTE_PER_DAY_BY_SHIP,MATCH(CONCATENATE(AO$4,AO$5,AO$7),ROUTE_PER_DAY_ROUTES,0),MATCH(AO$6,ROUTE_PER_DAY_SHIPS,0))*(AM251-AM250))*HLOOKUP(AO$6,SHIPS,7,0)*INDEX(LADEN_VOYAGE_DAYS,MATCH(CONCATENATE(AO$4,AO$5,AO$7),LADEN_VOYAGE_ROUTES,0),MATCH(AO$6,LADEN_VOYAGE_SHIPS,0)))),0)</f>
        <v>0</v>
      </c>
      <c r="AQ250" s="118">
        <f>-(AP250)*PORTS!$I$6</f>
        <v>0</v>
      </c>
      <c r="AR250" s="215">
        <f t="shared" si="93"/>
        <v>0</v>
      </c>
      <c r="AS250" s="202"/>
      <c r="AT250" s="186">
        <f t="shared" si="121"/>
        <v>43770</v>
      </c>
      <c r="AU250" s="232">
        <f>+AR250*(VLOOKUP(AT250,CURVECALC!$C$6:$J$312,4,0)+AV$5)</f>
        <v>0</v>
      </c>
      <c r="AV250" s="208">
        <f>-AN250*INDEX(ship_curves,MATCH(AT250,'SHIP CURVES'!$A$9:$A$316,0),MATCH(CONCATENATE(AX$4,AX$5,AX$6,AX$7),'SHIP CURVES'!$A$9:$AZ$9,0))</f>
        <v>0</v>
      </c>
      <c r="AW250" s="209">
        <f>-AP250*INDEX(port_processing_fee,MATCH(AT250,PORTS!$H$626:$H$933,0),MATCH(AX$5,PORTS!$H$626:$Z$626,0))</f>
        <v>0</v>
      </c>
      <c r="AX250" s="405">
        <f>(((VLOOKUP(AT250,curvecalc,4,0))*IF(AN250=0,0,AR250/AN250)-INDEX(ship_curves,MATCH(AT250,'SHIP CURVES'!$A$9:$A$316,0),MATCH(CONCATENATE(AX$4,AX$5,AX$6,AX$7),'SHIP CURVES'!$A$9:$Z$9,0))-INDEX(terminal_curves,MATCH(AT250,'TERMINAL CURVES'!$A$4:$A$313,0),MATCH(AX$5,'TERMINAL CURVES'!$A$4:$N$4,0))*IF(AN250=0,0,AP250/AN250))-(AV$8)*((AV$7-$N$5)-(INDEX(ship_curves,MATCH(AT250,'SHIP CURVES'!$A$9:$A$316,0),MATCH(CONCATENATE(AX$4,AX$5,AX$6,AX$7),'SHIP CURVES'!$A$9:$Z$9,0))-INDEX(ship_curves,MATCH(AT250,'SHIP CURVES'!$A$9:$A$316,0),MATCH(CONCATENATE(AX$4,AV$6,AX$6,AX$7),'SHIP CURVES'!$A$9:$Z$9,0)))-(INDEX(terminal_curves,MATCH(AT250,'TERMINAL CURVES'!$A$4:$A$313,0),MATCH(AX$5,'TERMINAL CURVES'!$A$4:$N$4,0))-INDEX(terminal_curves,MATCH(AT250,'TERMINAL CURVES'!$A$4:$A$313,0),MATCH(AV$6,'TERMINAL CURVES'!$A$4:$N$4,0)))*IF(AN250=0,0,AP250/AN250)))*-AN250</f>
        <v>0</v>
      </c>
      <c r="AY250" s="343">
        <f t="shared" si="112"/>
        <v>0</v>
      </c>
      <c r="AZ250" s="338">
        <f>(-AP250/((HLOOKUP(AX$5,port_specs,2,0)/(365.25))*(AT251-AT250)))*(INDEX(fixed_capacity_charge,MATCH(AT250,PORTS!$H$11:$H$317,0),MATCH(AX$5,PORTS!$H$11:$N$11,0))+INDEX(variable_om_charge,MATCH(AT250,PORTS!$H$318:$H$625,0),MATCH(AX$5,PORTS!$H$318:$N$318,0)))</f>
        <v>0</v>
      </c>
      <c r="BA250" s="232">
        <f t="shared" si="113"/>
        <v>0</v>
      </c>
      <c r="BB250" s="241">
        <f t="shared" si="114"/>
        <v>0</v>
      </c>
      <c r="BC250" s="408"/>
      <c r="BD250" s="338">
        <f>+PORTS!I244+PORTS!I552</f>
        <v>0</v>
      </c>
    </row>
    <row r="251" spans="1:56" x14ac:dyDescent="0.2">
      <c r="A251" s="186">
        <f t="shared" si="115"/>
        <v>43800</v>
      </c>
      <c r="B251" s="215">
        <f>+IF(AND($A251&gt;=$C$8,$A251&lt;=$C$9),1,0)*PORTS!$I$5/(365.25)*(A252-A251)</f>
        <v>0</v>
      </c>
      <c r="C251" s="351">
        <f t="shared" si="94"/>
        <v>0</v>
      </c>
      <c r="D251">
        <f t="shared" si="95"/>
        <v>2019</v>
      </c>
      <c r="E251" s="186">
        <f t="shared" si="116"/>
        <v>43800</v>
      </c>
      <c r="F251" s="215">
        <f t="shared" si="96"/>
        <v>0</v>
      </c>
      <c r="G251" s="191">
        <f t="shared" si="97"/>
        <v>0</v>
      </c>
      <c r="H251" s="218">
        <f t="shared" si="98"/>
        <v>0</v>
      </c>
      <c r="I251" s="118">
        <f t="shared" si="99"/>
        <v>0</v>
      </c>
      <c r="J251" s="215">
        <f t="shared" si="100"/>
        <v>0</v>
      </c>
      <c r="K251" s="202"/>
      <c r="L251" s="186">
        <f t="shared" si="117"/>
        <v>43800</v>
      </c>
      <c r="M251" s="400">
        <f>+J251*(VLOOKUP(L251,CURVECALC!$C$6:$J$312,4,0)+N$5)</f>
        <v>0</v>
      </c>
      <c r="N251" s="208">
        <f>-F251*INDEX(ship_curves,MATCH(L251,'SHIP CURVES'!$A$9:$A$316,0),MATCH(CONCATENATE(P$4,P$5,P$6,P$7),'SHIP CURVES'!$A$9:$AZ$9,0))</f>
        <v>0</v>
      </c>
      <c r="O251" s="209">
        <f>-H251*INDEX(port_processing_fee,MATCH(L251,PORTS!$H$626:$H$933,0),MATCH(P$5,PORTS!$H$626:$Z$626,0))</f>
        <v>0</v>
      </c>
      <c r="P251" s="405">
        <f>(((VLOOKUP(L251,curvecalc,4,0))*IF(F251=0,0,J251/F251)-INDEX(ship_curves,MATCH(L251,'SHIP CURVES'!$A$9:$A$316,0),MATCH(CONCATENATE(P$4,P$5,P$6,P$7),'SHIP CURVES'!$A$9:$Z$9,0))-INDEX(terminal_curves,MATCH(L251,'TERMINAL CURVES'!$A$4:$A$313,0),MATCH(P$5,'TERMINAL CURVES'!$A$4:$N$4,0))*IF(F251=0,0,H251/F251))-(N$8)*((N$7-$N$5)-(INDEX(ship_curves,MATCH(L251,'SHIP CURVES'!$A$9:$A$316,0),MATCH(CONCATENATE(P$4,P$5,P$6,P$7),'SHIP CURVES'!$A$9:$Z$9,0))-INDEX(ship_curves,MATCH(L251,'SHIP CURVES'!$A$9:$A$316,0),MATCH(CONCATENATE(P$4,N$6,P$6,P$7),'SHIP CURVES'!$A$9:$Z$9,0)))-(INDEX(terminal_curves,MATCH(L251,'TERMINAL CURVES'!$A$4:$A$313,0),MATCH(P$5,'TERMINAL CURVES'!$A$4:$N$4,0))-INDEX(terminal_curves,MATCH(L251,'TERMINAL CURVES'!$A$4:$A$313,0),MATCH(N$6,'TERMINAL CURVES'!$A$4:$N$4,0)))*IF(F251=0,0,H251/F251)))*-F251</f>
        <v>0</v>
      </c>
      <c r="Q251" s="403">
        <f t="shared" si="101"/>
        <v>0</v>
      </c>
      <c r="R251" s="338">
        <f>(-H251/((HLOOKUP(P$5,port_specs,2,0)/(365.25))*(L252-L251)))*(INDEX(fixed_capacity_charge,MATCH(L251,PORTS!$H$11:$H$317,0),MATCH(P$5,PORTS!$H$11:$N$11,0))+INDEX(variable_om_charge,MATCH(L251,PORTS!$H$318:$H$625,0),MATCH(P$5,PORTS!$H$318:$N$318,0)))</f>
        <v>0</v>
      </c>
      <c r="S251" s="232">
        <f t="shared" si="102"/>
        <v>0</v>
      </c>
      <c r="T251" s="241">
        <f t="shared" si="103"/>
        <v>0</v>
      </c>
      <c r="V251" s="186">
        <f t="shared" si="118"/>
        <v>43800</v>
      </c>
      <c r="W251" s="215">
        <f t="shared" si="104"/>
        <v>0</v>
      </c>
      <c r="X251" s="191">
        <f t="shared" si="105"/>
        <v>0</v>
      </c>
      <c r="Y251" s="218">
        <f>+IF(AND(X$8&lt;=V251,X$9&gt;=V251),+MIN($B251-SUMIF($H$17:X$17,Y$17,$H251:X251),((INDEX(ROUTE_PER_DAY_BY_SHIP,MATCH(CONCATENATE(X$4,X$5,X$7),ROUTE_PER_DAY_ROUTES,0),MATCH(X$6,ROUTE_PER_DAY_SHIPS,0))*(V252-V251))-(INDEX(ROUTE_PER_DAY_BY_SHIP,MATCH(CONCATENATE(X$4,X$5,X$7),ROUTE_PER_DAY_ROUTES,0),MATCH(X$6,ROUTE_PER_DAY_SHIPS,0))*(V252-V251))*HLOOKUP(X$6,SHIPS,7,0)*INDEX(LADEN_VOYAGE_DAYS,MATCH(CONCATENATE(X$4,X$5,X$7),LADEN_VOYAGE_ROUTES,0),MATCH(X$6,LADEN_VOYAGE_SHIPS,0)))),0)</f>
        <v>0</v>
      </c>
      <c r="Z251" s="118">
        <f t="shared" si="106"/>
        <v>0</v>
      </c>
      <c r="AA251" s="215">
        <f t="shared" si="92"/>
        <v>0</v>
      </c>
      <c r="AB251" s="202"/>
      <c r="AC251" s="186">
        <f t="shared" si="119"/>
        <v>43800</v>
      </c>
      <c r="AD251" s="232">
        <f>+AA251*(VLOOKUP(AC251,CURVECALC!$C$6:$J$312,4,0)+AE$5)</f>
        <v>0</v>
      </c>
      <c r="AE251" s="208">
        <f>-W251*INDEX(ship_curves,MATCH(AC251,'SHIP CURVES'!$A$9:$A$316,0),MATCH(CONCATENATE(AG$4,AG$5,AG$6,AG$7),'SHIP CURVES'!$A$9:$AZ$9,0))</f>
        <v>0</v>
      </c>
      <c r="AF251" s="209">
        <f>-Y251*INDEX(port_processing_fee,MATCH(AC251,PORTS!$H$626:$H$933,0),MATCH(AG$5,PORTS!$H$626:$Z$626,0))</f>
        <v>0</v>
      </c>
      <c r="AG251" s="405">
        <f>(((VLOOKUP(AC251,curvecalc,4,0))*IF(W251=0,0,AA251/W251)-INDEX(ship_curves,MATCH(AC251,'SHIP CURVES'!$A$9:$A$316,0),MATCH(CONCATENATE(AG$4,AG$5,AG$6,AG$7),'SHIP CURVES'!$A$9:$Z$9,0))-INDEX(terminal_curves,MATCH(AC251,'TERMINAL CURVES'!$A$4:$A$313,0),MATCH(AG$5,'TERMINAL CURVES'!$A$4:$N$4,0))*IF(W251=0,0,Y251/W251))-(AE$8)*((AE$7-$N$5)-(INDEX(ship_curves,MATCH(AC251,'SHIP CURVES'!$A$9:$A$316,0),MATCH(CONCATENATE(AG$4,AG$5,AG$6,AG$7),'SHIP CURVES'!$A$9:$Z$9,0))-INDEX(ship_curves,MATCH(AC251,'SHIP CURVES'!$A$9:$A$316,0),MATCH(CONCATENATE(AG$4,AE$6,AG$6,AG$7),'SHIP CURVES'!$A$9:$Z$9,0)))-(INDEX(terminal_curves,MATCH(AC251,'TERMINAL CURVES'!$A$4:$A$313,0),MATCH(AG$5,'TERMINAL CURVES'!$A$4:$N$4,0))-INDEX(terminal_curves,MATCH(AC251,'TERMINAL CURVES'!$A$4:$A$313,0),MATCH(AE$6,'TERMINAL CURVES'!$A$4:$N$4,0)))*IF(W251=0,0,Y251/W251)))*-W251</f>
        <v>0</v>
      </c>
      <c r="AH251" s="343">
        <f t="shared" si="107"/>
        <v>0</v>
      </c>
      <c r="AI251" s="338">
        <f>(-Y251/((HLOOKUP(AG$5,port_specs,2,0)/(365.25))*(AC252-AC251)))*(INDEX(fixed_capacity_charge,MATCH(AC251,PORTS!$H$11:$H$317,0),MATCH(AG$5,PORTS!$H$11:$N$11,0))+INDEX(variable_om_charge,MATCH(AC251,PORTS!$H$318:$H$625,0),MATCH(AG$5,PORTS!$H$318:$N$318,0)))</f>
        <v>0</v>
      </c>
      <c r="AJ251" s="232">
        <f t="shared" si="108"/>
        <v>0</v>
      </c>
      <c r="AK251" s="241">
        <f t="shared" si="109"/>
        <v>0</v>
      </c>
      <c r="AM251" s="186">
        <f t="shared" si="120"/>
        <v>43800</v>
      </c>
      <c r="AN251" s="215">
        <f t="shared" si="110"/>
        <v>0</v>
      </c>
      <c r="AO251" s="191">
        <f t="shared" si="111"/>
        <v>0</v>
      </c>
      <c r="AP251" s="218">
        <f>+IF(AND(AO$8&lt;=AM251,AO$9&gt;=AM251),+MIN($B251-SUMIF($H$17:AO$17,AP$17,$H251:AO251),((INDEX(ROUTE_PER_DAY_BY_SHIP,MATCH(CONCATENATE(AO$4,AO$5,AO$7),ROUTE_PER_DAY_ROUTES,0),MATCH(AO$6,ROUTE_PER_DAY_SHIPS,0))*(AM252-AM251))-(INDEX(ROUTE_PER_DAY_BY_SHIP,MATCH(CONCATENATE(AO$4,AO$5,AO$7),ROUTE_PER_DAY_ROUTES,0),MATCH(AO$6,ROUTE_PER_DAY_SHIPS,0))*(AM252-AM251))*HLOOKUP(AO$6,SHIPS,7,0)*INDEX(LADEN_VOYAGE_DAYS,MATCH(CONCATENATE(AO$4,AO$5,AO$7),LADEN_VOYAGE_ROUTES,0),MATCH(AO$6,LADEN_VOYAGE_SHIPS,0)))),0)</f>
        <v>0</v>
      </c>
      <c r="AQ251" s="118">
        <f>-(AP251)*PORTS!$I$6</f>
        <v>0</v>
      </c>
      <c r="AR251" s="215">
        <f t="shared" si="93"/>
        <v>0</v>
      </c>
      <c r="AS251" s="202"/>
      <c r="AT251" s="186">
        <f t="shared" si="121"/>
        <v>43800</v>
      </c>
      <c r="AU251" s="232">
        <f>+AR251*(VLOOKUP(AT251,CURVECALC!$C$6:$J$312,4,0)+AV$5)</f>
        <v>0</v>
      </c>
      <c r="AV251" s="208">
        <f>-AN251*INDEX(ship_curves,MATCH(AT251,'SHIP CURVES'!$A$9:$A$316,0),MATCH(CONCATENATE(AX$4,AX$5,AX$6,AX$7),'SHIP CURVES'!$A$9:$AZ$9,0))</f>
        <v>0</v>
      </c>
      <c r="AW251" s="209">
        <f>-AP251*INDEX(port_processing_fee,MATCH(AT251,PORTS!$H$626:$H$933,0),MATCH(AX$5,PORTS!$H$626:$Z$626,0))</f>
        <v>0</v>
      </c>
      <c r="AX251" s="405">
        <f>(((VLOOKUP(AT251,curvecalc,4,0))*IF(AN251=0,0,AR251/AN251)-INDEX(ship_curves,MATCH(AT251,'SHIP CURVES'!$A$9:$A$316,0),MATCH(CONCATENATE(AX$4,AX$5,AX$6,AX$7),'SHIP CURVES'!$A$9:$Z$9,0))-INDEX(terminal_curves,MATCH(AT251,'TERMINAL CURVES'!$A$4:$A$313,0),MATCH(AX$5,'TERMINAL CURVES'!$A$4:$N$4,0))*IF(AN251=0,0,AP251/AN251))-(AV$8)*((AV$7-$N$5)-(INDEX(ship_curves,MATCH(AT251,'SHIP CURVES'!$A$9:$A$316,0),MATCH(CONCATENATE(AX$4,AX$5,AX$6,AX$7),'SHIP CURVES'!$A$9:$Z$9,0))-INDEX(ship_curves,MATCH(AT251,'SHIP CURVES'!$A$9:$A$316,0),MATCH(CONCATENATE(AX$4,AV$6,AX$6,AX$7),'SHIP CURVES'!$A$9:$Z$9,0)))-(INDEX(terminal_curves,MATCH(AT251,'TERMINAL CURVES'!$A$4:$A$313,0),MATCH(AX$5,'TERMINAL CURVES'!$A$4:$N$4,0))-INDEX(terminal_curves,MATCH(AT251,'TERMINAL CURVES'!$A$4:$A$313,0),MATCH(AV$6,'TERMINAL CURVES'!$A$4:$N$4,0)))*IF(AN251=0,0,AP251/AN251)))*-AN251</f>
        <v>0</v>
      </c>
      <c r="AY251" s="343">
        <f t="shared" si="112"/>
        <v>0</v>
      </c>
      <c r="AZ251" s="338">
        <f>(-AP251/((HLOOKUP(AX$5,port_specs,2,0)/(365.25))*(AT252-AT251)))*(INDEX(fixed_capacity_charge,MATCH(AT251,PORTS!$H$11:$H$317,0),MATCH(AX$5,PORTS!$H$11:$N$11,0))+INDEX(variable_om_charge,MATCH(AT251,PORTS!$H$318:$H$625,0),MATCH(AX$5,PORTS!$H$318:$N$318,0)))</f>
        <v>0</v>
      </c>
      <c r="BA251" s="232">
        <f t="shared" si="113"/>
        <v>0</v>
      </c>
      <c r="BB251" s="241">
        <f t="shared" si="114"/>
        <v>0</v>
      </c>
      <c r="BC251" s="408"/>
      <c r="BD251" s="338">
        <f>+PORTS!I245+PORTS!I553</f>
        <v>0</v>
      </c>
    </row>
    <row r="252" spans="1:56" x14ac:dyDescent="0.2">
      <c r="A252" s="186">
        <f t="shared" si="115"/>
        <v>43831</v>
      </c>
      <c r="B252" s="215">
        <f>+IF(AND($A252&gt;=$C$8,$A252&lt;=$C$9),1,0)*PORTS!$I$5/(365.25)*(A253-A252)</f>
        <v>0</v>
      </c>
      <c r="C252" s="351">
        <f t="shared" si="94"/>
        <v>0</v>
      </c>
      <c r="D252">
        <f t="shared" si="95"/>
        <v>2020</v>
      </c>
      <c r="E252" s="186">
        <f t="shared" si="116"/>
        <v>43831</v>
      </c>
      <c r="F252" s="215">
        <f t="shared" si="96"/>
        <v>0</v>
      </c>
      <c r="G252" s="191">
        <f t="shared" si="97"/>
        <v>0</v>
      </c>
      <c r="H252" s="218">
        <f t="shared" si="98"/>
        <v>0</v>
      </c>
      <c r="I252" s="118">
        <f t="shared" si="99"/>
        <v>0</v>
      </c>
      <c r="J252" s="215">
        <f t="shared" si="100"/>
        <v>0</v>
      </c>
      <c r="K252" s="202"/>
      <c r="L252" s="186">
        <f t="shared" si="117"/>
        <v>43831</v>
      </c>
      <c r="M252" s="400">
        <f>+J252*(VLOOKUP(L252,CURVECALC!$C$6:$J$312,4,0)+N$5)</f>
        <v>0</v>
      </c>
      <c r="N252" s="208">
        <f>-F252*INDEX(ship_curves,MATCH(L252,'SHIP CURVES'!$A$9:$A$316,0),MATCH(CONCATENATE(P$4,P$5,P$6,P$7),'SHIP CURVES'!$A$9:$AZ$9,0))</f>
        <v>0</v>
      </c>
      <c r="O252" s="209">
        <f>-H252*INDEX(port_processing_fee,MATCH(L252,PORTS!$H$626:$H$933,0),MATCH(P$5,PORTS!$H$626:$Z$626,0))</f>
        <v>0</v>
      </c>
      <c r="P252" s="405">
        <f>(((VLOOKUP(L252,curvecalc,4,0))*IF(F252=0,0,J252/F252)-INDEX(ship_curves,MATCH(L252,'SHIP CURVES'!$A$9:$A$316,0),MATCH(CONCATENATE(P$4,P$5,P$6,P$7),'SHIP CURVES'!$A$9:$Z$9,0))-INDEX(terminal_curves,MATCH(L252,'TERMINAL CURVES'!$A$4:$A$313,0),MATCH(P$5,'TERMINAL CURVES'!$A$4:$N$4,0))*IF(F252=0,0,H252/F252))-(N$8)*((N$7-$N$5)-(INDEX(ship_curves,MATCH(L252,'SHIP CURVES'!$A$9:$A$316,0),MATCH(CONCATENATE(P$4,P$5,P$6,P$7),'SHIP CURVES'!$A$9:$Z$9,0))-INDEX(ship_curves,MATCH(L252,'SHIP CURVES'!$A$9:$A$316,0),MATCH(CONCATENATE(P$4,N$6,P$6,P$7),'SHIP CURVES'!$A$9:$Z$9,0)))-(INDEX(terminal_curves,MATCH(L252,'TERMINAL CURVES'!$A$4:$A$313,0),MATCH(P$5,'TERMINAL CURVES'!$A$4:$N$4,0))-INDEX(terminal_curves,MATCH(L252,'TERMINAL CURVES'!$A$4:$A$313,0),MATCH(N$6,'TERMINAL CURVES'!$A$4:$N$4,0)))*IF(F252=0,0,H252/F252)))*-F252</f>
        <v>0</v>
      </c>
      <c r="Q252" s="403">
        <f t="shared" si="101"/>
        <v>0</v>
      </c>
      <c r="R252" s="338">
        <f>(-H252/((HLOOKUP(P$5,port_specs,2,0)/(365.25))*(L253-L252)))*(INDEX(fixed_capacity_charge,MATCH(L252,PORTS!$H$11:$H$317,0),MATCH(P$5,PORTS!$H$11:$N$11,0))+INDEX(variable_om_charge,MATCH(L252,PORTS!$H$318:$H$625,0),MATCH(P$5,PORTS!$H$318:$N$318,0)))</f>
        <v>0</v>
      </c>
      <c r="S252" s="232">
        <f t="shared" si="102"/>
        <v>0</v>
      </c>
      <c r="T252" s="241">
        <f t="shared" si="103"/>
        <v>0</v>
      </c>
      <c r="V252" s="186">
        <f t="shared" si="118"/>
        <v>43831</v>
      </c>
      <c r="W252" s="215">
        <f t="shared" si="104"/>
        <v>0</v>
      </c>
      <c r="X252" s="191">
        <f t="shared" si="105"/>
        <v>0</v>
      </c>
      <c r="Y252" s="218">
        <f>+IF(AND(X$8&lt;=V252,X$9&gt;=V252),+MIN($B252-SUMIF($H$17:X$17,Y$17,$H252:X252),((INDEX(ROUTE_PER_DAY_BY_SHIP,MATCH(CONCATENATE(X$4,X$5,X$7),ROUTE_PER_DAY_ROUTES,0),MATCH(X$6,ROUTE_PER_DAY_SHIPS,0))*(V253-V252))-(INDEX(ROUTE_PER_DAY_BY_SHIP,MATCH(CONCATENATE(X$4,X$5,X$7),ROUTE_PER_DAY_ROUTES,0),MATCH(X$6,ROUTE_PER_DAY_SHIPS,0))*(V253-V252))*HLOOKUP(X$6,SHIPS,7,0)*INDEX(LADEN_VOYAGE_DAYS,MATCH(CONCATENATE(X$4,X$5,X$7),LADEN_VOYAGE_ROUTES,0),MATCH(X$6,LADEN_VOYAGE_SHIPS,0)))),0)</f>
        <v>0</v>
      </c>
      <c r="Z252" s="118">
        <f t="shared" si="106"/>
        <v>0</v>
      </c>
      <c r="AA252" s="215">
        <f t="shared" si="92"/>
        <v>0</v>
      </c>
      <c r="AB252" s="202"/>
      <c r="AC252" s="186">
        <f t="shared" si="119"/>
        <v>43831</v>
      </c>
      <c r="AD252" s="232">
        <f>+AA252*(VLOOKUP(AC252,CURVECALC!$C$6:$J$312,4,0)+AE$5)</f>
        <v>0</v>
      </c>
      <c r="AE252" s="208">
        <f>-W252*INDEX(ship_curves,MATCH(AC252,'SHIP CURVES'!$A$9:$A$316,0),MATCH(CONCATENATE(AG$4,AG$5,AG$6,AG$7),'SHIP CURVES'!$A$9:$AZ$9,0))</f>
        <v>0</v>
      </c>
      <c r="AF252" s="209">
        <f>-Y252*INDEX(port_processing_fee,MATCH(AC252,PORTS!$H$626:$H$933,0),MATCH(AG$5,PORTS!$H$626:$Z$626,0))</f>
        <v>0</v>
      </c>
      <c r="AG252" s="405">
        <f>(((VLOOKUP(AC252,curvecalc,4,0))*IF(W252=0,0,AA252/W252)-INDEX(ship_curves,MATCH(AC252,'SHIP CURVES'!$A$9:$A$316,0),MATCH(CONCATENATE(AG$4,AG$5,AG$6,AG$7),'SHIP CURVES'!$A$9:$Z$9,0))-INDEX(terminal_curves,MATCH(AC252,'TERMINAL CURVES'!$A$4:$A$313,0),MATCH(AG$5,'TERMINAL CURVES'!$A$4:$N$4,0))*IF(W252=0,0,Y252/W252))-(AE$8)*((AE$7-$N$5)-(INDEX(ship_curves,MATCH(AC252,'SHIP CURVES'!$A$9:$A$316,0),MATCH(CONCATENATE(AG$4,AG$5,AG$6,AG$7),'SHIP CURVES'!$A$9:$Z$9,0))-INDEX(ship_curves,MATCH(AC252,'SHIP CURVES'!$A$9:$A$316,0),MATCH(CONCATENATE(AG$4,AE$6,AG$6,AG$7),'SHIP CURVES'!$A$9:$Z$9,0)))-(INDEX(terminal_curves,MATCH(AC252,'TERMINAL CURVES'!$A$4:$A$313,0),MATCH(AG$5,'TERMINAL CURVES'!$A$4:$N$4,0))-INDEX(terminal_curves,MATCH(AC252,'TERMINAL CURVES'!$A$4:$A$313,0),MATCH(AE$6,'TERMINAL CURVES'!$A$4:$N$4,0)))*IF(W252=0,0,Y252/W252)))*-W252</f>
        <v>0</v>
      </c>
      <c r="AH252" s="343">
        <f t="shared" si="107"/>
        <v>0</v>
      </c>
      <c r="AI252" s="338">
        <f>(-Y252/((HLOOKUP(AG$5,port_specs,2,0)/(365.25))*(AC253-AC252)))*(INDEX(fixed_capacity_charge,MATCH(AC252,PORTS!$H$11:$H$317,0),MATCH(AG$5,PORTS!$H$11:$N$11,0))+INDEX(variable_om_charge,MATCH(AC252,PORTS!$H$318:$H$625,0),MATCH(AG$5,PORTS!$H$318:$N$318,0)))</f>
        <v>0</v>
      </c>
      <c r="AJ252" s="232">
        <f t="shared" si="108"/>
        <v>0</v>
      </c>
      <c r="AK252" s="241">
        <f t="shared" si="109"/>
        <v>0</v>
      </c>
      <c r="AM252" s="186">
        <f t="shared" si="120"/>
        <v>43831</v>
      </c>
      <c r="AN252" s="215">
        <f t="shared" si="110"/>
        <v>0</v>
      </c>
      <c r="AO252" s="191">
        <f t="shared" si="111"/>
        <v>0</v>
      </c>
      <c r="AP252" s="218">
        <f>+IF(AND(AO$8&lt;=AM252,AO$9&gt;=AM252),+MIN($B252-SUMIF($H$17:AO$17,AP$17,$H252:AO252),((INDEX(ROUTE_PER_DAY_BY_SHIP,MATCH(CONCATENATE(AO$4,AO$5,AO$7),ROUTE_PER_DAY_ROUTES,0),MATCH(AO$6,ROUTE_PER_DAY_SHIPS,0))*(AM253-AM252))-(INDEX(ROUTE_PER_DAY_BY_SHIP,MATCH(CONCATENATE(AO$4,AO$5,AO$7),ROUTE_PER_DAY_ROUTES,0),MATCH(AO$6,ROUTE_PER_DAY_SHIPS,0))*(AM253-AM252))*HLOOKUP(AO$6,SHIPS,7,0)*INDEX(LADEN_VOYAGE_DAYS,MATCH(CONCATENATE(AO$4,AO$5,AO$7),LADEN_VOYAGE_ROUTES,0),MATCH(AO$6,LADEN_VOYAGE_SHIPS,0)))),0)</f>
        <v>0</v>
      </c>
      <c r="AQ252" s="118">
        <f>-(AP252)*PORTS!$I$6</f>
        <v>0</v>
      </c>
      <c r="AR252" s="215">
        <f t="shared" si="93"/>
        <v>0</v>
      </c>
      <c r="AS252" s="202"/>
      <c r="AT252" s="186">
        <f t="shared" si="121"/>
        <v>43831</v>
      </c>
      <c r="AU252" s="232">
        <f>+AR252*(VLOOKUP(AT252,CURVECALC!$C$6:$J$312,4,0)+AV$5)</f>
        <v>0</v>
      </c>
      <c r="AV252" s="208">
        <f>-AN252*INDEX(ship_curves,MATCH(AT252,'SHIP CURVES'!$A$9:$A$316,0),MATCH(CONCATENATE(AX$4,AX$5,AX$6,AX$7),'SHIP CURVES'!$A$9:$AZ$9,0))</f>
        <v>0</v>
      </c>
      <c r="AW252" s="209">
        <f>-AP252*INDEX(port_processing_fee,MATCH(AT252,PORTS!$H$626:$H$933,0),MATCH(AX$5,PORTS!$H$626:$Z$626,0))</f>
        <v>0</v>
      </c>
      <c r="AX252" s="405">
        <f>(((VLOOKUP(AT252,curvecalc,4,0))*IF(AN252=0,0,AR252/AN252)-INDEX(ship_curves,MATCH(AT252,'SHIP CURVES'!$A$9:$A$316,0),MATCH(CONCATENATE(AX$4,AX$5,AX$6,AX$7),'SHIP CURVES'!$A$9:$Z$9,0))-INDEX(terminal_curves,MATCH(AT252,'TERMINAL CURVES'!$A$4:$A$313,0),MATCH(AX$5,'TERMINAL CURVES'!$A$4:$N$4,0))*IF(AN252=0,0,AP252/AN252))-(AV$8)*((AV$7-$N$5)-(INDEX(ship_curves,MATCH(AT252,'SHIP CURVES'!$A$9:$A$316,0),MATCH(CONCATENATE(AX$4,AX$5,AX$6,AX$7),'SHIP CURVES'!$A$9:$Z$9,0))-INDEX(ship_curves,MATCH(AT252,'SHIP CURVES'!$A$9:$A$316,0),MATCH(CONCATENATE(AX$4,AV$6,AX$6,AX$7),'SHIP CURVES'!$A$9:$Z$9,0)))-(INDEX(terminal_curves,MATCH(AT252,'TERMINAL CURVES'!$A$4:$A$313,0),MATCH(AX$5,'TERMINAL CURVES'!$A$4:$N$4,0))-INDEX(terminal_curves,MATCH(AT252,'TERMINAL CURVES'!$A$4:$A$313,0),MATCH(AV$6,'TERMINAL CURVES'!$A$4:$N$4,0)))*IF(AN252=0,0,AP252/AN252)))*-AN252</f>
        <v>0</v>
      </c>
      <c r="AY252" s="343">
        <f t="shared" si="112"/>
        <v>0</v>
      </c>
      <c r="AZ252" s="338">
        <f>(-AP252/((HLOOKUP(AX$5,port_specs,2,0)/(365.25))*(AT253-AT252)))*(INDEX(fixed_capacity_charge,MATCH(AT252,PORTS!$H$11:$H$317,0),MATCH(AX$5,PORTS!$H$11:$N$11,0))+INDEX(variable_om_charge,MATCH(AT252,PORTS!$H$318:$H$625,0),MATCH(AX$5,PORTS!$H$318:$N$318,0)))</f>
        <v>0</v>
      </c>
      <c r="BA252" s="232">
        <f t="shared" si="113"/>
        <v>0</v>
      </c>
      <c r="BB252" s="241">
        <f t="shared" si="114"/>
        <v>0</v>
      </c>
      <c r="BC252" s="408"/>
      <c r="BD252" s="338">
        <f>+PORTS!I246+PORTS!I554</f>
        <v>0</v>
      </c>
    </row>
    <row r="253" spans="1:56" x14ac:dyDescent="0.2">
      <c r="A253" s="186">
        <f t="shared" si="115"/>
        <v>43862</v>
      </c>
      <c r="B253" s="215">
        <f>+IF(AND($A253&gt;=$C$8,$A253&lt;=$C$9),1,0)*PORTS!$I$5/(365.25)*(A254-A253)</f>
        <v>0</v>
      </c>
      <c r="C253" s="351">
        <f t="shared" si="94"/>
        <v>0</v>
      </c>
      <c r="D253">
        <f t="shared" si="95"/>
        <v>2020</v>
      </c>
      <c r="E253" s="186">
        <f t="shared" si="116"/>
        <v>43862</v>
      </c>
      <c r="F253" s="215">
        <f t="shared" si="96"/>
        <v>0</v>
      </c>
      <c r="G253" s="191">
        <f t="shared" si="97"/>
        <v>0</v>
      </c>
      <c r="H253" s="218">
        <f t="shared" si="98"/>
        <v>0</v>
      </c>
      <c r="I253" s="118">
        <f t="shared" si="99"/>
        <v>0</v>
      </c>
      <c r="J253" s="215">
        <f t="shared" si="100"/>
        <v>0</v>
      </c>
      <c r="K253" s="202"/>
      <c r="L253" s="186">
        <f t="shared" si="117"/>
        <v>43862</v>
      </c>
      <c r="M253" s="400">
        <f>+J253*(VLOOKUP(L253,CURVECALC!$C$6:$J$312,4,0)+N$5)</f>
        <v>0</v>
      </c>
      <c r="N253" s="208">
        <f>-F253*INDEX(ship_curves,MATCH(L253,'SHIP CURVES'!$A$9:$A$316,0),MATCH(CONCATENATE(P$4,P$5,P$6,P$7),'SHIP CURVES'!$A$9:$AZ$9,0))</f>
        <v>0</v>
      </c>
      <c r="O253" s="209">
        <f>-H253*INDEX(port_processing_fee,MATCH(L253,PORTS!$H$626:$H$933,0),MATCH(P$5,PORTS!$H$626:$Z$626,0))</f>
        <v>0</v>
      </c>
      <c r="P253" s="405">
        <f>(((VLOOKUP(L253,curvecalc,4,0))*IF(F253=0,0,J253/F253)-INDEX(ship_curves,MATCH(L253,'SHIP CURVES'!$A$9:$A$316,0),MATCH(CONCATENATE(P$4,P$5,P$6,P$7),'SHIP CURVES'!$A$9:$Z$9,0))-INDEX(terminal_curves,MATCH(L253,'TERMINAL CURVES'!$A$4:$A$313,0),MATCH(P$5,'TERMINAL CURVES'!$A$4:$N$4,0))*IF(F253=0,0,H253/F253))-(N$8)*((N$7-$N$5)-(INDEX(ship_curves,MATCH(L253,'SHIP CURVES'!$A$9:$A$316,0),MATCH(CONCATENATE(P$4,P$5,P$6,P$7),'SHIP CURVES'!$A$9:$Z$9,0))-INDEX(ship_curves,MATCH(L253,'SHIP CURVES'!$A$9:$A$316,0),MATCH(CONCATENATE(P$4,N$6,P$6,P$7),'SHIP CURVES'!$A$9:$Z$9,0)))-(INDEX(terminal_curves,MATCH(L253,'TERMINAL CURVES'!$A$4:$A$313,0),MATCH(P$5,'TERMINAL CURVES'!$A$4:$N$4,0))-INDEX(terminal_curves,MATCH(L253,'TERMINAL CURVES'!$A$4:$A$313,0),MATCH(N$6,'TERMINAL CURVES'!$A$4:$N$4,0)))*IF(F253=0,0,H253/F253)))*-F253</f>
        <v>0</v>
      </c>
      <c r="Q253" s="403">
        <f t="shared" si="101"/>
        <v>0</v>
      </c>
      <c r="R253" s="338">
        <f>(-H253/((HLOOKUP(P$5,port_specs,2,0)/(365.25))*(L254-L253)))*(INDEX(fixed_capacity_charge,MATCH(L253,PORTS!$H$11:$H$317,0),MATCH(P$5,PORTS!$H$11:$N$11,0))+INDEX(variable_om_charge,MATCH(L253,PORTS!$H$318:$H$625,0),MATCH(P$5,PORTS!$H$318:$N$318,0)))</f>
        <v>0</v>
      </c>
      <c r="S253" s="232">
        <f t="shared" si="102"/>
        <v>0</v>
      </c>
      <c r="T253" s="241">
        <f t="shared" si="103"/>
        <v>0</v>
      </c>
      <c r="V253" s="186">
        <f t="shared" si="118"/>
        <v>43862</v>
      </c>
      <c r="W253" s="215">
        <f t="shared" si="104"/>
        <v>0</v>
      </c>
      <c r="X253" s="191">
        <f t="shared" si="105"/>
        <v>0</v>
      </c>
      <c r="Y253" s="218">
        <f>+IF(AND(X$8&lt;=V253,X$9&gt;=V253),+MIN($B253-SUMIF($H$17:X$17,Y$17,$H253:X253),((INDEX(ROUTE_PER_DAY_BY_SHIP,MATCH(CONCATENATE(X$4,X$5,X$7),ROUTE_PER_DAY_ROUTES,0),MATCH(X$6,ROUTE_PER_DAY_SHIPS,0))*(V254-V253))-(INDEX(ROUTE_PER_DAY_BY_SHIP,MATCH(CONCATENATE(X$4,X$5,X$7),ROUTE_PER_DAY_ROUTES,0),MATCH(X$6,ROUTE_PER_DAY_SHIPS,0))*(V254-V253))*HLOOKUP(X$6,SHIPS,7,0)*INDEX(LADEN_VOYAGE_DAYS,MATCH(CONCATENATE(X$4,X$5,X$7),LADEN_VOYAGE_ROUTES,0),MATCH(X$6,LADEN_VOYAGE_SHIPS,0)))),0)</f>
        <v>0</v>
      </c>
      <c r="Z253" s="118">
        <f t="shared" si="106"/>
        <v>0</v>
      </c>
      <c r="AA253" s="215">
        <f t="shared" si="92"/>
        <v>0</v>
      </c>
      <c r="AB253" s="202"/>
      <c r="AC253" s="186">
        <f t="shared" si="119"/>
        <v>43862</v>
      </c>
      <c r="AD253" s="232">
        <f>+AA253*(VLOOKUP(AC253,CURVECALC!$C$6:$J$312,4,0)+AE$5)</f>
        <v>0</v>
      </c>
      <c r="AE253" s="208">
        <f>-W253*INDEX(ship_curves,MATCH(AC253,'SHIP CURVES'!$A$9:$A$316,0),MATCH(CONCATENATE(AG$4,AG$5,AG$6,AG$7),'SHIP CURVES'!$A$9:$AZ$9,0))</f>
        <v>0</v>
      </c>
      <c r="AF253" s="209">
        <f>-Y253*INDEX(port_processing_fee,MATCH(AC253,PORTS!$H$626:$H$933,0),MATCH(AG$5,PORTS!$H$626:$Z$626,0))</f>
        <v>0</v>
      </c>
      <c r="AG253" s="405">
        <f>(((VLOOKUP(AC253,curvecalc,4,0))*IF(W253=0,0,AA253/W253)-INDEX(ship_curves,MATCH(AC253,'SHIP CURVES'!$A$9:$A$316,0),MATCH(CONCATENATE(AG$4,AG$5,AG$6,AG$7),'SHIP CURVES'!$A$9:$Z$9,0))-INDEX(terminal_curves,MATCH(AC253,'TERMINAL CURVES'!$A$4:$A$313,0),MATCH(AG$5,'TERMINAL CURVES'!$A$4:$N$4,0))*IF(W253=0,0,Y253/W253))-(AE$8)*((AE$7-$N$5)-(INDEX(ship_curves,MATCH(AC253,'SHIP CURVES'!$A$9:$A$316,0),MATCH(CONCATENATE(AG$4,AG$5,AG$6,AG$7),'SHIP CURVES'!$A$9:$Z$9,0))-INDEX(ship_curves,MATCH(AC253,'SHIP CURVES'!$A$9:$A$316,0),MATCH(CONCATENATE(AG$4,AE$6,AG$6,AG$7),'SHIP CURVES'!$A$9:$Z$9,0)))-(INDEX(terminal_curves,MATCH(AC253,'TERMINAL CURVES'!$A$4:$A$313,0),MATCH(AG$5,'TERMINAL CURVES'!$A$4:$N$4,0))-INDEX(terminal_curves,MATCH(AC253,'TERMINAL CURVES'!$A$4:$A$313,0),MATCH(AE$6,'TERMINAL CURVES'!$A$4:$N$4,0)))*IF(W253=0,0,Y253/W253)))*-W253</f>
        <v>0</v>
      </c>
      <c r="AH253" s="343">
        <f t="shared" si="107"/>
        <v>0</v>
      </c>
      <c r="AI253" s="338">
        <f>(-Y253/((HLOOKUP(AG$5,port_specs,2,0)/(365.25))*(AC254-AC253)))*(INDEX(fixed_capacity_charge,MATCH(AC253,PORTS!$H$11:$H$317,0),MATCH(AG$5,PORTS!$H$11:$N$11,0))+INDEX(variable_om_charge,MATCH(AC253,PORTS!$H$318:$H$625,0),MATCH(AG$5,PORTS!$H$318:$N$318,0)))</f>
        <v>0</v>
      </c>
      <c r="AJ253" s="232">
        <f t="shared" si="108"/>
        <v>0</v>
      </c>
      <c r="AK253" s="241">
        <f t="shared" si="109"/>
        <v>0</v>
      </c>
      <c r="AM253" s="186">
        <f t="shared" si="120"/>
        <v>43862</v>
      </c>
      <c r="AN253" s="215">
        <f t="shared" si="110"/>
        <v>0</v>
      </c>
      <c r="AO253" s="191">
        <f t="shared" si="111"/>
        <v>0</v>
      </c>
      <c r="AP253" s="218">
        <f>+IF(AND(AO$8&lt;=AM253,AO$9&gt;=AM253),+MIN($B253-SUMIF($H$17:AO$17,AP$17,$H253:AO253),((INDEX(ROUTE_PER_DAY_BY_SHIP,MATCH(CONCATENATE(AO$4,AO$5,AO$7),ROUTE_PER_DAY_ROUTES,0),MATCH(AO$6,ROUTE_PER_DAY_SHIPS,0))*(AM254-AM253))-(INDEX(ROUTE_PER_DAY_BY_SHIP,MATCH(CONCATENATE(AO$4,AO$5,AO$7),ROUTE_PER_DAY_ROUTES,0),MATCH(AO$6,ROUTE_PER_DAY_SHIPS,0))*(AM254-AM253))*HLOOKUP(AO$6,SHIPS,7,0)*INDEX(LADEN_VOYAGE_DAYS,MATCH(CONCATENATE(AO$4,AO$5,AO$7),LADEN_VOYAGE_ROUTES,0),MATCH(AO$6,LADEN_VOYAGE_SHIPS,0)))),0)</f>
        <v>0</v>
      </c>
      <c r="AQ253" s="118">
        <f>-(AP253)*PORTS!$I$6</f>
        <v>0</v>
      </c>
      <c r="AR253" s="215">
        <f t="shared" si="93"/>
        <v>0</v>
      </c>
      <c r="AS253" s="202"/>
      <c r="AT253" s="186">
        <f t="shared" si="121"/>
        <v>43862</v>
      </c>
      <c r="AU253" s="232">
        <f>+AR253*(VLOOKUP(AT253,CURVECALC!$C$6:$J$312,4,0)+AV$5)</f>
        <v>0</v>
      </c>
      <c r="AV253" s="208">
        <f>-AN253*INDEX(ship_curves,MATCH(AT253,'SHIP CURVES'!$A$9:$A$316,0),MATCH(CONCATENATE(AX$4,AX$5,AX$6,AX$7),'SHIP CURVES'!$A$9:$AZ$9,0))</f>
        <v>0</v>
      </c>
      <c r="AW253" s="209">
        <f>-AP253*INDEX(port_processing_fee,MATCH(AT253,PORTS!$H$626:$H$933,0),MATCH(AX$5,PORTS!$H$626:$Z$626,0))</f>
        <v>0</v>
      </c>
      <c r="AX253" s="405">
        <f>(((VLOOKUP(AT253,curvecalc,4,0))*IF(AN253=0,0,AR253/AN253)-INDEX(ship_curves,MATCH(AT253,'SHIP CURVES'!$A$9:$A$316,0),MATCH(CONCATENATE(AX$4,AX$5,AX$6,AX$7),'SHIP CURVES'!$A$9:$Z$9,0))-INDEX(terminal_curves,MATCH(AT253,'TERMINAL CURVES'!$A$4:$A$313,0),MATCH(AX$5,'TERMINAL CURVES'!$A$4:$N$4,0))*IF(AN253=0,0,AP253/AN253))-(AV$8)*((AV$7-$N$5)-(INDEX(ship_curves,MATCH(AT253,'SHIP CURVES'!$A$9:$A$316,0),MATCH(CONCATENATE(AX$4,AX$5,AX$6,AX$7),'SHIP CURVES'!$A$9:$Z$9,0))-INDEX(ship_curves,MATCH(AT253,'SHIP CURVES'!$A$9:$A$316,0),MATCH(CONCATENATE(AX$4,AV$6,AX$6,AX$7),'SHIP CURVES'!$A$9:$Z$9,0)))-(INDEX(terminal_curves,MATCH(AT253,'TERMINAL CURVES'!$A$4:$A$313,0),MATCH(AX$5,'TERMINAL CURVES'!$A$4:$N$4,0))-INDEX(terminal_curves,MATCH(AT253,'TERMINAL CURVES'!$A$4:$A$313,0),MATCH(AV$6,'TERMINAL CURVES'!$A$4:$N$4,0)))*IF(AN253=0,0,AP253/AN253)))*-AN253</f>
        <v>0</v>
      </c>
      <c r="AY253" s="343">
        <f t="shared" si="112"/>
        <v>0</v>
      </c>
      <c r="AZ253" s="338">
        <f>(-AP253/((HLOOKUP(AX$5,port_specs,2,0)/(365.25))*(AT254-AT253)))*(INDEX(fixed_capacity_charge,MATCH(AT253,PORTS!$H$11:$H$317,0),MATCH(AX$5,PORTS!$H$11:$N$11,0))+INDEX(variable_om_charge,MATCH(AT253,PORTS!$H$318:$H$625,0),MATCH(AX$5,PORTS!$H$318:$N$318,0)))</f>
        <v>0</v>
      </c>
      <c r="BA253" s="232">
        <f t="shared" si="113"/>
        <v>0</v>
      </c>
      <c r="BB253" s="241">
        <f t="shared" si="114"/>
        <v>0</v>
      </c>
      <c r="BC253" s="408"/>
      <c r="BD253" s="338">
        <f>+PORTS!I247+PORTS!I555</f>
        <v>0</v>
      </c>
    </row>
    <row r="254" spans="1:56" x14ac:dyDescent="0.2">
      <c r="A254" s="186">
        <f t="shared" si="115"/>
        <v>43891</v>
      </c>
      <c r="B254" s="215">
        <f>+IF(AND($A254&gt;=$C$8,$A254&lt;=$C$9),1,0)*PORTS!$I$5/(365.25)*(A255-A254)</f>
        <v>0</v>
      </c>
      <c r="C254" s="351">
        <f t="shared" si="94"/>
        <v>0</v>
      </c>
      <c r="D254">
        <f t="shared" si="95"/>
        <v>2020</v>
      </c>
      <c r="E254" s="186">
        <f t="shared" si="116"/>
        <v>43891</v>
      </c>
      <c r="F254" s="215">
        <f t="shared" si="96"/>
        <v>0</v>
      </c>
      <c r="G254" s="191">
        <f t="shared" si="97"/>
        <v>0</v>
      </c>
      <c r="H254" s="218">
        <f t="shared" si="98"/>
        <v>0</v>
      </c>
      <c r="I254" s="118">
        <f t="shared" si="99"/>
        <v>0</v>
      </c>
      <c r="J254" s="215">
        <f t="shared" si="100"/>
        <v>0</v>
      </c>
      <c r="K254" s="202"/>
      <c r="L254" s="186">
        <f t="shared" si="117"/>
        <v>43891</v>
      </c>
      <c r="M254" s="400">
        <f>+J254*(VLOOKUP(L254,CURVECALC!$C$6:$J$312,4,0)+N$5)</f>
        <v>0</v>
      </c>
      <c r="N254" s="208">
        <f>-F254*INDEX(ship_curves,MATCH(L254,'SHIP CURVES'!$A$9:$A$316,0),MATCH(CONCATENATE(P$4,P$5,P$6,P$7),'SHIP CURVES'!$A$9:$AZ$9,0))</f>
        <v>0</v>
      </c>
      <c r="O254" s="209">
        <f>-H254*INDEX(port_processing_fee,MATCH(L254,PORTS!$H$626:$H$933,0),MATCH(P$5,PORTS!$H$626:$Z$626,0))</f>
        <v>0</v>
      </c>
      <c r="P254" s="405">
        <f>(((VLOOKUP(L254,curvecalc,4,0))*IF(F254=0,0,J254/F254)-INDEX(ship_curves,MATCH(L254,'SHIP CURVES'!$A$9:$A$316,0),MATCH(CONCATENATE(P$4,P$5,P$6,P$7),'SHIP CURVES'!$A$9:$Z$9,0))-INDEX(terminal_curves,MATCH(L254,'TERMINAL CURVES'!$A$4:$A$313,0),MATCH(P$5,'TERMINAL CURVES'!$A$4:$N$4,0))*IF(F254=0,0,H254/F254))-(N$8)*((N$7-$N$5)-(INDEX(ship_curves,MATCH(L254,'SHIP CURVES'!$A$9:$A$316,0),MATCH(CONCATENATE(P$4,P$5,P$6,P$7),'SHIP CURVES'!$A$9:$Z$9,0))-INDEX(ship_curves,MATCH(L254,'SHIP CURVES'!$A$9:$A$316,0),MATCH(CONCATENATE(P$4,N$6,P$6,P$7),'SHIP CURVES'!$A$9:$Z$9,0)))-(INDEX(terminal_curves,MATCH(L254,'TERMINAL CURVES'!$A$4:$A$313,0),MATCH(P$5,'TERMINAL CURVES'!$A$4:$N$4,0))-INDEX(terminal_curves,MATCH(L254,'TERMINAL CURVES'!$A$4:$A$313,0),MATCH(N$6,'TERMINAL CURVES'!$A$4:$N$4,0)))*IF(F254=0,0,H254/F254)))*-F254</f>
        <v>0</v>
      </c>
      <c r="Q254" s="403">
        <f t="shared" si="101"/>
        <v>0</v>
      </c>
      <c r="R254" s="338">
        <f>(-H254/((HLOOKUP(P$5,port_specs,2,0)/(365.25))*(L255-L254)))*(INDEX(fixed_capacity_charge,MATCH(L254,PORTS!$H$11:$H$317,0),MATCH(P$5,PORTS!$H$11:$N$11,0))+INDEX(variable_om_charge,MATCH(L254,PORTS!$H$318:$H$625,0),MATCH(P$5,PORTS!$H$318:$N$318,0)))</f>
        <v>0</v>
      </c>
      <c r="S254" s="232">
        <f t="shared" si="102"/>
        <v>0</v>
      </c>
      <c r="T254" s="241">
        <f t="shared" si="103"/>
        <v>0</v>
      </c>
      <c r="V254" s="186">
        <f t="shared" si="118"/>
        <v>43891</v>
      </c>
      <c r="W254" s="215">
        <f t="shared" si="104"/>
        <v>0</v>
      </c>
      <c r="X254" s="191">
        <f t="shared" si="105"/>
        <v>0</v>
      </c>
      <c r="Y254" s="218">
        <f>+IF(AND(X$8&lt;=V254,X$9&gt;=V254),+MIN($B254-SUMIF($H$17:X$17,Y$17,$H254:X254),((INDEX(ROUTE_PER_DAY_BY_SHIP,MATCH(CONCATENATE(X$4,X$5,X$7),ROUTE_PER_DAY_ROUTES,0),MATCH(X$6,ROUTE_PER_DAY_SHIPS,0))*(V255-V254))-(INDEX(ROUTE_PER_DAY_BY_SHIP,MATCH(CONCATENATE(X$4,X$5,X$7),ROUTE_PER_DAY_ROUTES,0),MATCH(X$6,ROUTE_PER_DAY_SHIPS,0))*(V255-V254))*HLOOKUP(X$6,SHIPS,7,0)*INDEX(LADEN_VOYAGE_DAYS,MATCH(CONCATENATE(X$4,X$5,X$7),LADEN_VOYAGE_ROUTES,0),MATCH(X$6,LADEN_VOYAGE_SHIPS,0)))),0)</f>
        <v>0</v>
      </c>
      <c r="Z254" s="118">
        <f t="shared" si="106"/>
        <v>0</v>
      </c>
      <c r="AA254" s="215">
        <f t="shared" si="92"/>
        <v>0</v>
      </c>
      <c r="AB254" s="202"/>
      <c r="AC254" s="186">
        <f t="shared" si="119"/>
        <v>43891</v>
      </c>
      <c r="AD254" s="232">
        <f>+AA254*(VLOOKUP(AC254,CURVECALC!$C$6:$J$312,4,0)+AE$5)</f>
        <v>0</v>
      </c>
      <c r="AE254" s="208">
        <f>-W254*INDEX(ship_curves,MATCH(AC254,'SHIP CURVES'!$A$9:$A$316,0),MATCH(CONCATENATE(AG$4,AG$5,AG$6,AG$7),'SHIP CURVES'!$A$9:$AZ$9,0))</f>
        <v>0</v>
      </c>
      <c r="AF254" s="209">
        <f>-Y254*INDEX(port_processing_fee,MATCH(AC254,PORTS!$H$626:$H$933,0),MATCH(AG$5,PORTS!$H$626:$Z$626,0))</f>
        <v>0</v>
      </c>
      <c r="AG254" s="405">
        <f>(((VLOOKUP(AC254,curvecalc,4,0))*IF(W254=0,0,AA254/W254)-INDEX(ship_curves,MATCH(AC254,'SHIP CURVES'!$A$9:$A$316,0),MATCH(CONCATENATE(AG$4,AG$5,AG$6,AG$7),'SHIP CURVES'!$A$9:$Z$9,0))-INDEX(terminal_curves,MATCH(AC254,'TERMINAL CURVES'!$A$4:$A$313,0),MATCH(AG$5,'TERMINAL CURVES'!$A$4:$N$4,0))*IF(W254=0,0,Y254/W254))-(AE$8)*((AE$7-$N$5)-(INDEX(ship_curves,MATCH(AC254,'SHIP CURVES'!$A$9:$A$316,0),MATCH(CONCATENATE(AG$4,AG$5,AG$6,AG$7),'SHIP CURVES'!$A$9:$Z$9,0))-INDEX(ship_curves,MATCH(AC254,'SHIP CURVES'!$A$9:$A$316,0),MATCH(CONCATENATE(AG$4,AE$6,AG$6,AG$7),'SHIP CURVES'!$A$9:$Z$9,0)))-(INDEX(terminal_curves,MATCH(AC254,'TERMINAL CURVES'!$A$4:$A$313,0),MATCH(AG$5,'TERMINAL CURVES'!$A$4:$N$4,0))-INDEX(terminal_curves,MATCH(AC254,'TERMINAL CURVES'!$A$4:$A$313,0),MATCH(AE$6,'TERMINAL CURVES'!$A$4:$N$4,0)))*IF(W254=0,0,Y254/W254)))*-W254</f>
        <v>0</v>
      </c>
      <c r="AH254" s="343">
        <f t="shared" si="107"/>
        <v>0</v>
      </c>
      <c r="AI254" s="338">
        <f>(-Y254/((HLOOKUP(AG$5,port_specs,2,0)/(365.25))*(AC255-AC254)))*(INDEX(fixed_capacity_charge,MATCH(AC254,PORTS!$H$11:$H$317,0),MATCH(AG$5,PORTS!$H$11:$N$11,0))+INDEX(variable_om_charge,MATCH(AC254,PORTS!$H$318:$H$625,0),MATCH(AG$5,PORTS!$H$318:$N$318,0)))</f>
        <v>0</v>
      </c>
      <c r="AJ254" s="232">
        <f t="shared" si="108"/>
        <v>0</v>
      </c>
      <c r="AK254" s="241">
        <f t="shared" si="109"/>
        <v>0</v>
      </c>
      <c r="AM254" s="186">
        <f t="shared" si="120"/>
        <v>43891</v>
      </c>
      <c r="AN254" s="215">
        <f t="shared" si="110"/>
        <v>0</v>
      </c>
      <c r="AO254" s="191">
        <f t="shared" si="111"/>
        <v>0</v>
      </c>
      <c r="AP254" s="218">
        <f>+IF(AND(AO$8&lt;=AM254,AO$9&gt;=AM254),+MIN($B254-SUMIF($H$17:AO$17,AP$17,$H254:AO254),((INDEX(ROUTE_PER_DAY_BY_SHIP,MATCH(CONCATENATE(AO$4,AO$5,AO$7),ROUTE_PER_DAY_ROUTES,0),MATCH(AO$6,ROUTE_PER_DAY_SHIPS,0))*(AM255-AM254))-(INDEX(ROUTE_PER_DAY_BY_SHIP,MATCH(CONCATENATE(AO$4,AO$5,AO$7),ROUTE_PER_DAY_ROUTES,0),MATCH(AO$6,ROUTE_PER_DAY_SHIPS,0))*(AM255-AM254))*HLOOKUP(AO$6,SHIPS,7,0)*INDEX(LADEN_VOYAGE_DAYS,MATCH(CONCATENATE(AO$4,AO$5,AO$7),LADEN_VOYAGE_ROUTES,0),MATCH(AO$6,LADEN_VOYAGE_SHIPS,0)))),0)</f>
        <v>0</v>
      </c>
      <c r="AQ254" s="118">
        <f>-(AP254)*PORTS!$I$6</f>
        <v>0</v>
      </c>
      <c r="AR254" s="215">
        <f t="shared" si="93"/>
        <v>0</v>
      </c>
      <c r="AS254" s="202"/>
      <c r="AT254" s="186">
        <f t="shared" si="121"/>
        <v>43891</v>
      </c>
      <c r="AU254" s="232">
        <f>+AR254*(VLOOKUP(AT254,CURVECALC!$C$6:$J$312,4,0)+AV$5)</f>
        <v>0</v>
      </c>
      <c r="AV254" s="208">
        <f>-AN254*INDEX(ship_curves,MATCH(AT254,'SHIP CURVES'!$A$9:$A$316,0),MATCH(CONCATENATE(AX$4,AX$5,AX$6,AX$7),'SHIP CURVES'!$A$9:$AZ$9,0))</f>
        <v>0</v>
      </c>
      <c r="AW254" s="209">
        <f>-AP254*INDEX(port_processing_fee,MATCH(AT254,PORTS!$H$626:$H$933,0),MATCH(AX$5,PORTS!$H$626:$Z$626,0))</f>
        <v>0</v>
      </c>
      <c r="AX254" s="405">
        <f>(((VLOOKUP(AT254,curvecalc,4,0))*IF(AN254=0,0,AR254/AN254)-INDEX(ship_curves,MATCH(AT254,'SHIP CURVES'!$A$9:$A$316,0),MATCH(CONCATENATE(AX$4,AX$5,AX$6,AX$7),'SHIP CURVES'!$A$9:$Z$9,0))-INDEX(terminal_curves,MATCH(AT254,'TERMINAL CURVES'!$A$4:$A$313,0),MATCH(AX$5,'TERMINAL CURVES'!$A$4:$N$4,0))*IF(AN254=0,0,AP254/AN254))-(AV$8)*((AV$7-$N$5)-(INDEX(ship_curves,MATCH(AT254,'SHIP CURVES'!$A$9:$A$316,0),MATCH(CONCATENATE(AX$4,AX$5,AX$6,AX$7),'SHIP CURVES'!$A$9:$Z$9,0))-INDEX(ship_curves,MATCH(AT254,'SHIP CURVES'!$A$9:$A$316,0),MATCH(CONCATENATE(AX$4,AV$6,AX$6,AX$7),'SHIP CURVES'!$A$9:$Z$9,0)))-(INDEX(terminal_curves,MATCH(AT254,'TERMINAL CURVES'!$A$4:$A$313,0),MATCH(AX$5,'TERMINAL CURVES'!$A$4:$N$4,0))-INDEX(terminal_curves,MATCH(AT254,'TERMINAL CURVES'!$A$4:$A$313,0),MATCH(AV$6,'TERMINAL CURVES'!$A$4:$N$4,0)))*IF(AN254=0,0,AP254/AN254)))*-AN254</f>
        <v>0</v>
      </c>
      <c r="AY254" s="343">
        <f t="shared" si="112"/>
        <v>0</v>
      </c>
      <c r="AZ254" s="338">
        <f>(-AP254/((HLOOKUP(AX$5,port_specs,2,0)/(365.25))*(AT255-AT254)))*(INDEX(fixed_capacity_charge,MATCH(AT254,PORTS!$H$11:$H$317,0),MATCH(AX$5,PORTS!$H$11:$N$11,0))+INDEX(variable_om_charge,MATCH(AT254,PORTS!$H$318:$H$625,0),MATCH(AX$5,PORTS!$H$318:$N$318,0)))</f>
        <v>0</v>
      </c>
      <c r="BA254" s="232">
        <f t="shared" si="113"/>
        <v>0</v>
      </c>
      <c r="BB254" s="241">
        <f t="shared" si="114"/>
        <v>0</v>
      </c>
      <c r="BC254" s="408"/>
      <c r="BD254" s="338">
        <f>+PORTS!I248+PORTS!I556</f>
        <v>0</v>
      </c>
    </row>
    <row r="255" spans="1:56" x14ac:dyDescent="0.2">
      <c r="A255" s="186">
        <f t="shared" si="115"/>
        <v>43922</v>
      </c>
      <c r="B255" s="215">
        <f>+IF(AND($A255&gt;=$C$8,$A255&lt;=$C$9),1,0)*PORTS!$I$5/(365.25)*(A256-A255)</f>
        <v>0</v>
      </c>
      <c r="C255" s="351">
        <f t="shared" si="94"/>
        <v>0</v>
      </c>
      <c r="D255">
        <f t="shared" si="95"/>
        <v>2020</v>
      </c>
      <c r="E255" s="186">
        <f t="shared" si="116"/>
        <v>43922</v>
      </c>
      <c r="F255" s="215">
        <f t="shared" si="96"/>
        <v>0</v>
      </c>
      <c r="G255" s="191">
        <f t="shared" si="97"/>
        <v>0</v>
      </c>
      <c r="H255" s="218">
        <f t="shared" si="98"/>
        <v>0</v>
      </c>
      <c r="I255" s="118">
        <f t="shared" si="99"/>
        <v>0</v>
      </c>
      <c r="J255" s="215">
        <f t="shared" si="100"/>
        <v>0</v>
      </c>
      <c r="K255" s="202"/>
      <c r="L255" s="186">
        <f t="shared" si="117"/>
        <v>43922</v>
      </c>
      <c r="M255" s="400">
        <f>+J255*(VLOOKUP(L255,CURVECALC!$C$6:$J$312,4,0)+N$5)</f>
        <v>0</v>
      </c>
      <c r="N255" s="208">
        <f>-F255*INDEX(ship_curves,MATCH(L255,'SHIP CURVES'!$A$9:$A$316,0),MATCH(CONCATENATE(P$4,P$5,P$6,P$7),'SHIP CURVES'!$A$9:$AZ$9,0))</f>
        <v>0</v>
      </c>
      <c r="O255" s="209">
        <f>-H255*INDEX(port_processing_fee,MATCH(L255,PORTS!$H$626:$H$933,0),MATCH(P$5,PORTS!$H$626:$Z$626,0))</f>
        <v>0</v>
      </c>
      <c r="P255" s="405">
        <f>(((VLOOKUP(L255,curvecalc,4,0))*IF(F255=0,0,J255/F255)-INDEX(ship_curves,MATCH(L255,'SHIP CURVES'!$A$9:$A$316,0),MATCH(CONCATENATE(P$4,P$5,P$6,P$7),'SHIP CURVES'!$A$9:$Z$9,0))-INDEX(terminal_curves,MATCH(L255,'TERMINAL CURVES'!$A$4:$A$313,0),MATCH(P$5,'TERMINAL CURVES'!$A$4:$N$4,0))*IF(F255=0,0,H255/F255))-(N$8)*((N$7-$N$5)-(INDEX(ship_curves,MATCH(L255,'SHIP CURVES'!$A$9:$A$316,0),MATCH(CONCATENATE(P$4,P$5,P$6,P$7),'SHIP CURVES'!$A$9:$Z$9,0))-INDEX(ship_curves,MATCH(L255,'SHIP CURVES'!$A$9:$A$316,0),MATCH(CONCATENATE(P$4,N$6,P$6,P$7),'SHIP CURVES'!$A$9:$Z$9,0)))-(INDEX(terminal_curves,MATCH(L255,'TERMINAL CURVES'!$A$4:$A$313,0),MATCH(P$5,'TERMINAL CURVES'!$A$4:$N$4,0))-INDEX(terminal_curves,MATCH(L255,'TERMINAL CURVES'!$A$4:$A$313,0),MATCH(N$6,'TERMINAL CURVES'!$A$4:$N$4,0)))*IF(F255=0,0,H255/F255)))*-F255</f>
        <v>0</v>
      </c>
      <c r="Q255" s="403">
        <f t="shared" si="101"/>
        <v>0</v>
      </c>
      <c r="R255" s="338">
        <f>(-H255/((HLOOKUP(P$5,port_specs,2,0)/(365.25))*(L256-L255)))*(INDEX(fixed_capacity_charge,MATCH(L255,PORTS!$H$11:$H$317,0),MATCH(P$5,PORTS!$H$11:$N$11,0))+INDEX(variable_om_charge,MATCH(L255,PORTS!$H$318:$H$625,0),MATCH(P$5,PORTS!$H$318:$N$318,0)))</f>
        <v>0</v>
      </c>
      <c r="S255" s="232">
        <f t="shared" si="102"/>
        <v>0</v>
      </c>
      <c r="T255" s="241">
        <f t="shared" si="103"/>
        <v>0</v>
      </c>
      <c r="V255" s="186">
        <f t="shared" si="118"/>
        <v>43922</v>
      </c>
      <c r="W255" s="215">
        <f t="shared" si="104"/>
        <v>0</v>
      </c>
      <c r="X255" s="191">
        <f t="shared" si="105"/>
        <v>0</v>
      </c>
      <c r="Y255" s="218">
        <f>+IF(AND(X$8&lt;=V255,X$9&gt;=V255),+MIN($B255-SUMIF($H$17:X$17,Y$17,$H255:X255),((INDEX(ROUTE_PER_DAY_BY_SHIP,MATCH(CONCATENATE(X$4,X$5,X$7),ROUTE_PER_DAY_ROUTES,0),MATCH(X$6,ROUTE_PER_DAY_SHIPS,0))*(V256-V255))-(INDEX(ROUTE_PER_DAY_BY_SHIP,MATCH(CONCATENATE(X$4,X$5,X$7),ROUTE_PER_DAY_ROUTES,0),MATCH(X$6,ROUTE_PER_DAY_SHIPS,0))*(V256-V255))*HLOOKUP(X$6,SHIPS,7,0)*INDEX(LADEN_VOYAGE_DAYS,MATCH(CONCATENATE(X$4,X$5,X$7),LADEN_VOYAGE_ROUTES,0),MATCH(X$6,LADEN_VOYAGE_SHIPS,0)))),0)</f>
        <v>0</v>
      </c>
      <c r="Z255" s="118">
        <f t="shared" si="106"/>
        <v>0</v>
      </c>
      <c r="AA255" s="215">
        <f t="shared" si="92"/>
        <v>0</v>
      </c>
      <c r="AB255" s="202"/>
      <c r="AC255" s="186">
        <f t="shared" si="119"/>
        <v>43922</v>
      </c>
      <c r="AD255" s="232">
        <f>+AA255*(VLOOKUP(AC255,CURVECALC!$C$6:$J$312,4,0)+AE$5)</f>
        <v>0</v>
      </c>
      <c r="AE255" s="208">
        <f>-W255*INDEX(ship_curves,MATCH(AC255,'SHIP CURVES'!$A$9:$A$316,0),MATCH(CONCATENATE(AG$4,AG$5,AG$6,AG$7),'SHIP CURVES'!$A$9:$AZ$9,0))</f>
        <v>0</v>
      </c>
      <c r="AF255" s="209">
        <f>-Y255*INDEX(port_processing_fee,MATCH(AC255,PORTS!$H$626:$H$933,0),MATCH(AG$5,PORTS!$H$626:$Z$626,0))</f>
        <v>0</v>
      </c>
      <c r="AG255" s="405">
        <f>(((VLOOKUP(AC255,curvecalc,4,0))*IF(W255=0,0,AA255/W255)-INDEX(ship_curves,MATCH(AC255,'SHIP CURVES'!$A$9:$A$316,0),MATCH(CONCATENATE(AG$4,AG$5,AG$6,AG$7),'SHIP CURVES'!$A$9:$Z$9,0))-INDEX(terminal_curves,MATCH(AC255,'TERMINAL CURVES'!$A$4:$A$313,0),MATCH(AG$5,'TERMINAL CURVES'!$A$4:$N$4,0))*IF(W255=0,0,Y255/W255))-(AE$8)*((AE$7-$N$5)-(INDEX(ship_curves,MATCH(AC255,'SHIP CURVES'!$A$9:$A$316,0),MATCH(CONCATENATE(AG$4,AG$5,AG$6,AG$7),'SHIP CURVES'!$A$9:$Z$9,0))-INDEX(ship_curves,MATCH(AC255,'SHIP CURVES'!$A$9:$A$316,0),MATCH(CONCATENATE(AG$4,AE$6,AG$6,AG$7),'SHIP CURVES'!$A$9:$Z$9,0)))-(INDEX(terminal_curves,MATCH(AC255,'TERMINAL CURVES'!$A$4:$A$313,0),MATCH(AG$5,'TERMINAL CURVES'!$A$4:$N$4,0))-INDEX(terminal_curves,MATCH(AC255,'TERMINAL CURVES'!$A$4:$A$313,0),MATCH(AE$6,'TERMINAL CURVES'!$A$4:$N$4,0)))*IF(W255=0,0,Y255/W255)))*-W255</f>
        <v>0</v>
      </c>
      <c r="AH255" s="343">
        <f t="shared" si="107"/>
        <v>0</v>
      </c>
      <c r="AI255" s="338">
        <f>(-Y255/((HLOOKUP(AG$5,port_specs,2,0)/(365.25))*(AC256-AC255)))*(INDEX(fixed_capacity_charge,MATCH(AC255,PORTS!$H$11:$H$317,0),MATCH(AG$5,PORTS!$H$11:$N$11,0))+INDEX(variable_om_charge,MATCH(AC255,PORTS!$H$318:$H$625,0),MATCH(AG$5,PORTS!$H$318:$N$318,0)))</f>
        <v>0</v>
      </c>
      <c r="AJ255" s="232">
        <f t="shared" si="108"/>
        <v>0</v>
      </c>
      <c r="AK255" s="241">
        <f t="shared" si="109"/>
        <v>0</v>
      </c>
      <c r="AM255" s="186">
        <f t="shared" si="120"/>
        <v>43922</v>
      </c>
      <c r="AN255" s="215">
        <f t="shared" si="110"/>
        <v>0</v>
      </c>
      <c r="AO255" s="191">
        <f t="shared" si="111"/>
        <v>0</v>
      </c>
      <c r="AP255" s="218">
        <f>+IF(AND(AO$8&lt;=AM255,AO$9&gt;=AM255),+MIN($B255-SUMIF($H$17:AO$17,AP$17,$H255:AO255),((INDEX(ROUTE_PER_DAY_BY_SHIP,MATCH(CONCATENATE(AO$4,AO$5,AO$7),ROUTE_PER_DAY_ROUTES,0),MATCH(AO$6,ROUTE_PER_DAY_SHIPS,0))*(AM256-AM255))-(INDEX(ROUTE_PER_DAY_BY_SHIP,MATCH(CONCATENATE(AO$4,AO$5,AO$7),ROUTE_PER_DAY_ROUTES,0),MATCH(AO$6,ROUTE_PER_DAY_SHIPS,0))*(AM256-AM255))*HLOOKUP(AO$6,SHIPS,7,0)*INDEX(LADEN_VOYAGE_DAYS,MATCH(CONCATENATE(AO$4,AO$5,AO$7),LADEN_VOYAGE_ROUTES,0),MATCH(AO$6,LADEN_VOYAGE_SHIPS,0)))),0)</f>
        <v>0</v>
      </c>
      <c r="AQ255" s="118">
        <f>-(AP255)*PORTS!$I$6</f>
        <v>0</v>
      </c>
      <c r="AR255" s="215">
        <f t="shared" si="93"/>
        <v>0</v>
      </c>
      <c r="AS255" s="202"/>
      <c r="AT255" s="186">
        <f t="shared" si="121"/>
        <v>43922</v>
      </c>
      <c r="AU255" s="232">
        <f>+AR255*(VLOOKUP(AT255,CURVECALC!$C$6:$J$312,4,0)+AV$5)</f>
        <v>0</v>
      </c>
      <c r="AV255" s="208">
        <f>-AN255*INDEX(ship_curves,MATCH(AT255,'SHIP CURVES'!$A$9:$A$316,0),MATCH(CONCATENATE(AX$4,AX$5,AX$6,AX$7),'SHIP CURVES'!$A$9:$AZ$9,0))</f>
        <v>0</v>
      </c>
      <c r="AW255" s="209">
        <f>-AP255*INDEX(port_processing_fee,MATCH(AT255,PORTS!$H$626:$H$933,0),MATCH(AX$5,PORTS!$H$626:$Z$626,0))</f>
        <v>0</v>
      </c>
      <c r="AX255" s="405">
        <f>(((VLOOKUP(AT255,curvecalc,4,0))*IF(AN255=0,0,AR255/AN255)-INDEX(ship_curves,MATCH(AT255,'SHIP CURVES'!$A$9:$A$316,0),MATCH(CONCATENATE(AX$4,AX$5,AX$6,AX$7),'SHIP CURVES'!$A$9:$Z$9,0))-INDEX(terminal_curves,MATCH(AT255,'TERMINAL CURVES'!$A$4:$A$313,0),MATCH(AX$5,'TERMINAL CURVES'!$A$4:$N$4,0))*IF(AN255=0,0,AP255/AN255))-(AV$8)*((AV$7-$N$5)-(INDEX(ship_curves,MATCH(AT255,'SHIP CURVES'!$A$9:$A$316,0),MATCH(CONCATENATE(AX$4,AX$5,AX$6,AX$7),'SHIP CURVES'!$A$9:$Z$9,0))-INDEX(ship_curves,MATCH(AT255,'SHIP CURVES'!$A$9:$A$316,0),MATCH(CONCATENATE(AX$4,AV$6,AX$6,AX$7),'SHIP CURVES'!$A$9:$Z$9,0)))-(INDEX(terminal_curves,MATCH(AT255,'TERMINAL CURVES'!$A$4:$A$313,0),MATCH(AX$5,'TERMINAL CURVES'!$A$4:$N$4,0))-INDEX(terminal_curves,MATCH(AT255,'TERMINAL CURVES'!$A$4:$A$313,0),MATCH(AV$6,'TERMINAL CURVES'!$A$4:$N$4,0)))*IF(AN255=0,0,AP255/AN255)))*-AN255</f>
        <v>0</v>
      </c>
      <c r="AY255" s="343">
        <f t="shared" si="112"/>
        <v>0</v>
      </c>
      <c r="AZ255" s="338">
        <f>(-AP255/((HLOOKUP(AX$5,port_specs,2,0)/(365.25))*(AT256-AT255)))*(INDEX(fixed_capacity_charge,MATCH(AT255,PORTS!$H$11:$H$317,0),MATCH(AX$5,PORTS!$H$11:$N$11,0))+INDEX(variable_om_charge,MATCH(AT255,PORTS!$H$318:$H$625,0),MATCH(AX$5,PORTS!$H$318:$N$318,0)))</f>
        <v>0</v>
      </c>
      <c r="BA255" s="232">
        <f t="shared" si="113"/>
        <v>0</v>
      </c>
      <c r="BB255" s="241">
        <f t="shared" si="114"/>
        <v>0</v>
      </c>
      <c r="BC255" s="408"/>
      <c r="BD255" s="338">
        <f>+PORTS!I249+PORTS!I557</f>
        <v>0</v>
      </c>
    </row>
    <row r="256" spans="1:56" x14ac:dyDescent="0.2">
      <c r="A256" s="186">
        <f t="shared" si="115"/>
        <v>43952</v>
      </c>
      <c r="B256" s="215">
        <f>+IF(AND($A256&gt;=$C$8,$A256&lt;=$C$9),1,0)*PORTS!$I$5/(365.25)*(A257-A256)</f>
        <v>0</v>
      </c>
      <c r="C256" s="351">
        <f t="shared" si="94"/>
        <v>0</v>
      </c>
      <c r="D256">
        <f t="shared" si="95"/>
        <v>2020</v>
      </c>
      <c r="E256" s="186">
        <f t="shared" si="116"/>
        <v>43952</v>
      </c>
      <c r="F256" s="215">
        <f t="shared" si="96"/>
        <v>0</v>
      </c>
      <c r="G256" s="191">
        <f t="shared" si="97"/>
        <v>0</v>
      </c>
      <c r="H256" s="218">
        <f t="shared" si="98"/>
        <v>0</v>
      </c>
      <c r="I256" s="118">
        <f t="shared" si="99"/>
        <v>0</v>
      </c>
      <c r="J256" s="215">
        <f t="shared" si="100"/>
        <v>0</v>
      </c>
      <c r="K256" s="202"/>
      <c r="L256" s="186">
        <f t="shared" si="117"/>
        <v>43952</v>
      </c>
      <c r="M256" s="400">
        <f>+J256*(VLOOKUP(L256,CURVECALC!$C$6:$J$312,4,0)+N$5)</f>
        <v>0</v>
      </c>
      <c r="N256" s="208">
        <f>-F256*INDEX(ship_curves,MATCH(L256,'SHIP CURVES'!$A$9:$A$316,0),MATCH(CONCATENATE(P$4,P$5,P$6,P$7),'SHIP CURVES'!$A$9:$AZ$9,0))</f>
        <v>0</v>
      </c>
      <c r="O256" s="209">
        <f>-H256*INDEX(port_processing_fee,MATCH(L256,PORTS!$H$626:$H$933,0),MATCH(P$5,PORTS!$H$626:$Z$626,0))</f>
        <v>0</v>
      </c>
      <c r="P256" s="405">
        <f>(((VLOOKUP(L256,curvecalc,4,0))*IF(F256=0,0,J256/F256)-INDEX(ship_curves,MATCH(L256,'SHIP CURVES'!$A$9:$A$316,0),MATCH(CONCATENATE(P$4,P$5,P$6,P$7),'SHIP CURVES'!$A$9:$Z$9,0))-INDEX(terminal_curves,MATCH(L256,'TERMINAL CURVES'!$A$4:$A$313,0),MATCH(P$5,'TERMINAL CURVES'!$A$4:$N$4,0))*IF(F256=0,0,H256/F256))-(N$8)*((N$7-$N$5)-(INDEX(ship_curves,MATCH(L256,'SHIP CURVES'!$A$9:$A$316,0),MATCH(CONCATENATE(P$4,P$5,P$6,P$7),'SHIP CURVES'!$A$9:$Z$9,0))-INDEX(ship_curves,MATCH(L256,'SHIP CURVES'!$A$9:$A$316,0),MATCH(CONCATENATE(P$4,N$6,P$6,P$7),'SHIP CURVES'!$A$9:$Z$9,0)))-(INDEX(terminal_curves,MATCH(L256,'TERMINAL CURVES'!$A$4:$A$313,0),MATCH(P$5,'TERMINAL CURVES'!$A$4:$N$4,0))-INDEX(terminal_curves,MATCH(L256,'TERMINAL CURVES'!$A$4:$A$313,0),MATCH(N$6,'TERMINAL CURVES'!$A$4:$N$4,0)))*IF(F256=0,0,H256/F256)))*-F256</f>
        <v>0</v>
      </c>
      <c r="Q256" s="403">
        <f t="shared" si="101"/>
        <v>0</v>
      </c>
      <c r="R256" s="338">
        <f>(-H256/((HLOOKUP(P$5,port_specs,2,0)/(365.25))*(L257-L256)))*(INDEX(fixed_capacity_charge,MATCH(L256,PORTS!$H$11:$H$317,0),MATCH(P$5,PORTS!$H$11:$N$11,0))+INDEX(variable_om_charge,MATCH(L256,PORTS!$H$318:$H$625,0),MATCH(P$5,PORTS!$H$318:$N$318,0)))</f>
        <v>0</v>
      </c>
      <c r="S256" s="232">
        <f t="shared" si="102"/>
        <v>0</v>
      </c>
      <c r="T256" s="241">
        <f t="shared" si="103"/>
        <v>0</v>
      </c>
      <c r="V256" s="186">
        <f t="shared" si="118"/>
        <v>43952</v>
      </c>
      <c r="W256" s="215">
        <f t="shared" si="104"/>
        <v>0</v>
      </c>
      <c r="X256" s="191">
        <f t="shared" si="105"/>
        <v>0</v>
      </c>
      <c r="Y256" s="218">
        <f>+IF(AND(X$8&lt;=V256,X$9&gt;=V256),+MIN($B256-SUMIF($H$17:X$17,Y$17,$H256:X256),((INDEX(ROUTE_PER_DAY_BY_SHIP,MATCH(CONCATENATE(X$4,X$5,X$7),ROUTE_PER_DAY_ROUTES,0),MATCH(X$6,ROUTE_PER_DAY_SHIPS,0))*(V257-V256))-(INDEX(ROUTE_PER_DAY_BY_SHIP,MATCH(CONCATENATE(X$4,X$5,X$7),ROUTE_PER_DAY_ROUTES,0),MATCH(X$6,ROUTE_PER_DAY_SHIPS,0))*(V257-V256))*HLOOKUP(X$6,SHIPS,7,0)*INDEX(LADEN_VOYAGE_DAYS,MATCH(CONCATENATE(X$4,X$5,X$7),LADEN_VOYAGE_ROUTES,0),MATCH(X$6,LADEN_VOYAGE_SHIPS,0)))),0)</f>
        <v>0</v>
      </c>
      <c r="Z256" s="118">
        <f t="shared" si="106"/>
        <v>0</v>
      </c>
      <c r="AA256" s="215">
        <f t="shared" si="92"/>
        <v>0</v>
      </c>
      <c r="AB256" s="202"/>
      <c r="AC256" s="186">
        <f t="shared" si="119"/>
        <v>43952</v>
      </c>
      <c r="AD256" s="232">
        <f>+AA256*(VLOOKUP(AC256,CURVECALC!$C$6:$J$312,4,0)+AE$5)</f>
        <v>0</v>
      </c>
      <c r="AE256" s="208">
        <f>-W256*INDEX(ship_curves,MATCH(AC256,'SHIP CURVES'!$A$9:$A$316,0),MATCH(CONCATENATE(AG$4,AG$5,AG$6,AG$7),'SHIP CURVES'!$A$9:$AZ$9,0))</f>
        <v>0</v>
      </c>
      <c r="AF256" s="209">
        <f>-Y256*INDEX(port_processing_fee,MATCH(AC256,PORTS!$H$626:$H$933,0),MATCH(AG$5,PORTS!$H$626:$Z$626,0))</f>
        <v>0</v>
      </c>
      <c r="AG256" s="405">
        <f>(((VLOOKUP(AC256,curvecalc,4,0))*IF(W256=0,0,AA256/W256)-INDEX(ship_curves,MATCH(AC256,'SHIP CURVES'!$A$9:$A$316,0),MATCH(CONCATENATE(AG$4,AG$5,AG$6,AG$7),'SHIP CURVES'!$A$9:$Z$9,0))-INDEX(terminal_curves,MATCH(AC256,'TERMINAL CURVES'!$A$4:$A$313,0),MATCH(AG$5,'TERMINAL CURVES'!$A$4:$N$4,0))*IF(W256=0,0,Y256/W256))-(AE$8)*((AE$7-$N$5)-(INDEX(ship_curves,MATCH(AC256,'SHIP CURVES'!$A$9:$A$316,0),MATCH(CONCATENATE(AG$4,AG$5,AG$6,AG$7),'SHIP CURVES'!$A$9:$Z$9,0))-INDEX(ship_curves,MATCH(AC256,'SHIP CURVES'!$A$9:$A$316,0),MATCH(CONCATENATE(AG$4,AE$6,AG$6,AG$7),'SHIP CURVES'!$A$9:$Z$9,0)))-(INDEX(terminal_curves,MATCH(AC256,'TERMINAL CURVES'!$A$4:$A$313,0),MATCH(AG$5,'TERMINAL CURVES'!$A$4:$N$4,0))-INDEX(terminal_curves,MATCH(AC256,'TERMINAL CURVES'!$A$4:$A$313,0),MATCH(AE$6,'TERMINAL CURVES'!$A$4:$N$4,0)))*IF(W256=0,0,Y256/W256)))*-W256</f>
        <v>0</v>
      </c>
      <c r="AH256" s="343">
        <f t="shared" si="107"/>
        <v>0</v>
      </c>
      <c r="AI256" s="338">
        <f>(-Y256/((HLOOKUP(AG$5,port_specs,2,0)/(365.25))*(AC257-AC256)))*(INDEX(fixed_capacity_charge,MATCH(AC256,PORTS!$H$11:$H$317,0),MATCH(AG$5,PORTS!$H$11:$N$11,0))+INDEX(variable_om_charge,MATCH(AC256,PORTS!$H$318:$H$625,0),MATCH(AG$5,PORTS!$H$318:$N$318,0)))</f>
        <v>0</v>
      </c>
      <c r="AJ256" s="232">
        <f t="shared" si="108"/>
        <v>0</v>
      </c>
      <c r="AK256" s="241">
        <f t="shared" si="109"/>
        <v>0</v>
      </c>
      <c r="AM256" s="186">
        <f t="shared" si="120"/>
        <v>43952</v>
      </c>
      <c r="AN256" s="215">
        <f t="shared" si="110"/>
        <v>0</v>
      </c>
      <c r="AO256" s="191">
        <f t="shared" si="111"/>
        <v>0</v>
      </c>
      <c r="AP256" s="218">
        <f>+IF(AND(AO$8&lt;=AM256,AO$9&gt;=AM256),+MIN($B256-SUMIF($H$17:AO$17,AP$17,$H256:AO256),((INDEX(ROUTE_PER_DAY_BY_SHIP,MATCH(CONCATENATE(AO$4,AO$5,AO$7),ROUTE_PER_DAY_ROUTES,0),MATCH(AO$6,ROUTE_PER_DAY_SHIPS,0))*(AM257-AM256))-(INDEX(ROUTE_PER_DAY_BY_SHIP,MATCH(CONCATENATE(AO$4,AO$5,AO$7),ROUTE_PER_DAY_ROUTES,0),MATCH(AO$6,ROUTE_PER_DAY_SHIPS,0))*(AM257-AM256))*HLOOKUP(AO$6,SHIPS,7,0)*INDEX(LADEN_VOYAGE_DAYS,MATCH(CONCATENATE(AO$4,AO$5,AO$7),LADEN_VOYAGE_ROUTES,0),MATCH(AO$6,LADEN_VOYAGE_SHIPS,0)))),0)</f>
        <v>0</v>
      </c>
      <c r="AQ256" s="118">
        <f>-(AP256)*PORTS!$I$6</f>
        <v>0</v>
      </c>
      <c r="AR256" s="215">
        <f t="shared" si="93"/>
        <v>0</v>
      </c>
      <c r="AS256" s="202"/>
      <c r="AT256" s="186">
        <f t="shared" si="121"/>
        <v>43952</v>
      </c>
      <c r="AU256" s="232">
        <f>+AR256*(VLOOKUP(AT256,CURVECALC!$C$6:$J$312,4,0)+AV$5)</f>
        <v>0</v>
      </c>
      <c r="AV256" s="208">
        <f>-AN256*INDEX(ship_curves,MATCH(AT256,'SHIP CURVES'!$A$9:$A$316,0),MATCH(CONCATENATE(AX$4,AX$5,AX$6,AX$7),'SHIP CURVES'!$A$9:$AZ$9,0))</f>
        <v>0</v>
      </c>
      <c r="AW256" s="209">
        <f>-AP256*INDEX(port_processing_fee,MATCH(AT256,PORTS!$H$626:$H$933,0),MATCH(AX$5,PORTS!$H$626:$Z$626,0))</f>
        <v>0</v>
      </c>
      <c r="AX256" s="405">
        <f>(((VLOOKUP(AT256,curvecalc,4,0))*IF(AN256=0,0,AR256/AN256)-INDEX(ship_curves,MATCH(AT256,'SHIP CURVES'!$A$9:$A$316,0),MATCH(CONCATENATE(AX$4,AX$5,AX$6,AX$7),'SHIP CURVES'!$A$9:$Z$9,0))-INDEX(terminal_curves,MATCH(AT256,'TERMINAL CURVES'!$A$4:$A$313,0),MATCH(AX$5,'TERMINAL CURVES'!$A$4:$N$4,0))*IF(AN256=0,0,AP256/AN256))-(AV$8)*((AV$7-$N$5)-(INDEX(ship_curves,MATCH(AT256,'SHIP CURVES'!$A$9:$A$316,0),MATCH(CONCATENATE(AX$4,AX$5,AX$6,AX$7),'SHIP CURVES'!$A$9:$Z$9,0))-INDEX(ship_curves,MATCH(AT256,'SHIP CURVES'!$A$9:$A$316,0),MATCH(CONCATENATE(AX$4,AV$6,AX$6,AX$7),'SHIP CURVES'!$A$9:$Z$9,0)))-(INDEX(terminal_curves,MATCH(AT256,'TERMINAL CURVES'!$A$4:$A$313,0),MATCH(AX$5,'TERMINAL CURVES'!$A$4:$N$4,0))-INDEX(terminal_curves,MATCH(AT256,'TERMINAL CURVES'!$A$4:$A$313,0),MATCH(AV$6,'TERMINAL CURVES'!$A$4:$N$4,0)))*IF(AN256=0,0,AP256/AN256)))*-AN256</f>
        <v>0</v>
      </c>
      <c r="AY256" s="343">
        <f t="shared" si="112"/>
        <v>0</v>
      </c>
      <c r="AZ256" s="338">
        <f>(-AP256/((HLOOKUP(AX$5,port_specs,2,0)/(365.25))*(AT257-AT256)))*(INDEX(fixed_capacity_charge,MATCH(AT256,PORTS!$H$11:$H$317,0),MATCH(AX$5,PORTS!$H$11:$N$11,0))+INDEX(variable_om_charge,MATCH(AT256,PORTS!$H$318:$H$625,0),MATCH(AX$5,PORTS!$H$318:$N$318,0)))</f>
        <v>0</v>
      </c>
      <c r="BA256" s="232">
        <f t="shared" si="113"/>
        <v>0</v>
      </c>
      <c r="BB256" s="241">
        <f t="shared" si="114"/>
        <v>0</v>
      </c>
      <c r="BC256" s="408"/>
      <c r="BD256" s="338">
        <f>+PORTS!I250+PORTS!I558</f>
        <v>0</v>
      </c>
    </row>
    <row r="257" spans="1:56" x14ac:dyDescent="0.2">
      <c r="A257" s="186">
        <f t="shared" si="115"/>
        <v>43983</v>
      </c>
      <c r="B257" s="215">
        <f>+IF(AND($A257&gt;=$C$8,$A257&lt;=$C$9),1,0)*PORTS!$I$5/(365.25)*(A258-A257)</f>
        <v>0</v>
      </c>
      <c r="C257" s="351">
        <f t="shared" si="94"/>
        <v>0</v>
      </c>
      <c r="D257">
        <f t="shared" si="95"/>
        <v>2020</v>
      </c>
      <c r="E257" s="186">
        <f t="shared" si="116"/>
        <v>43983</v>
      </c>
      <c r="F257" s="215">
        <f t="shared" si="96"/>
        <v>0</v>
      </c>
      <c r="G257" s="191">
        <f t="shared" si="97"/>
        <v>0</v>
      </c>
      <c r="H257" s="218">
        <f t="shared" si="98"/>
        <v>0</v>
      </c>
      <c r="I257" s="118">
        <f t="shared" si="99"/>
        <v>0</v>
      </c>
      <c r="J257" s="215">
        <f t="shared" si="100"/>
        <v>0</v>
      </c>
      <c r="K257" s="202"/>
      <c r="L257" s="186">
        <f t="shared" si="117"/>
        <v>43983</v>
      </c>
      <c r="M257" s="400">
        <f>+J257*(VLOOKUP(L257,CURVECALC!$C$6:$J$312,4,0)+N$5)</f>
        <v>0</v>
      </c>
      <c r="N257" s="208">
        <f>-F257*INDEX(ship_curves,MATCH(L257,'SHIP CURVES'!$A$9:$A$316,0),MATCH(CONCATENATE(P$4,P$5,P$6,P$7),'SHIP CURVES'!$A$9:$AZ$9,0))</f>
        <v>0</v>
      </c>
      <c r="O257" s="209">
        <f>-H257*INDEX(port_processing_fee,MATCH(L257,PORTS!$H$626:$H$933,0),MATCH(P$5,PORTS!$H$626:$Z$626,0))</f>
        <v>0</v>
      </c>
      <c r="P257" s="405">
        <f>(((VLOOKUP(L257,curvecalc,4,0))*IF(F257=0,0,J257/F257)-INDEX(ship_curves,MATCH(L257,'SHIP CURVES'!$A$9:$A$316,0),MATCH(CONCATENATE(P$4,P$5,P$6,P$7),'SHIP CURVES'!$A$9:$Z$9,0))-INDEX(terminal_curves,MATCH(L257,'TERMINAL CURVES'!$A$4:$A$313,0),MATCH(P$5,'TERMINAL CURVES'!$A$4:$N$4,0))*IF(F257=0,0,H257/F257))-(N$8)*((N$7-$N$5)-(INDEX(ship_curves,MATCH(L257,'SHIP CURVES'!$A$9:$A$316,0),MATCH(CONCATENATE(P$4,P$5,P$6,P$7),'SHIP CURVES'!$A$9:$Z$9,0))-INDEX(ship_curves,MATCH(L257,'SHIP CURVES'!$A$9:$A$316,0),MATCH(CONCATENATE(P$4,N$6,P$6,P$7),'SHIP CURVES'!$A$9:$Z$9,0)))-(INDEX(terminal_curves,MATCH(L257,'TERMINAL CURVES'!$A$4:$A$313,0),MATCH(P$5,'TERMINAL CURVES'!$A$4:$N$4,0))-INDEX(terminal_curves,MATCH(L257,'TERMINAL CURVES'!$A$4:$A$313,0),MATCH(N$6,'TERMINAL CURVES'!$A$4:$N$4,0)))*IF(F257=0,0,H257/F257)))*-F257</f>
        <v>0</v>
      </c>
      <c r="Q257" s="403">
        <f t="shared" si="101"/>
        <v>0</v>
      </c>
      <c r="R257" s="338">
        <f>(-H257/((HLOOKUP(P$5,port_specs,2,0)/(365.25))*(L258-L257)))*(INDEX(fixed_capacity_charge,MATCH(L257,PORTS!$H$11:$H$317,0),MATCH(P$5,PORTS!$H$11:$N$11,0))+INDEX(variable_om_charge,MATCH(L257,PORTS!$H$318:$H$625,0),MATCH(P$5,PORTS!$H$318:$N$318,0)))</f>
        <v>0</v>
      </c>
      <c r="S257" s="232">
        <f t="shared" si="102"/>
        <v>0</v>
      </c>
      <c r="T257" s="241">
        <f t="shared" si="103"/>
        <v>0</v>
      </c>
      <c r="V257" s="186">
        <f t="shared" si="118"/>
        <v>43983</v>
      </c>
      <c r="W257" s="215">
        <f t="shared" si="104"/>
        <v>0</v>
      </c>
      <c r="X257" s="191">
        <f t="shared" si="105"/>
        <v>0</v>
      </c>
      <c r="Y257" s="218">
        <f>+IF(AND(X$8&lt;=V257,X$9&gt;=V257),+MIN($B257-SUMIF($H$17:X$17,Y$17,$H257:X257),((INDEX(ROUTE_PER_DAY_BY_SHIP,MATCH(CONCATENATE(X$4,X$5,X$7),ROUTE_PER_DAY_ROUTES,0),MATCH(X$6,ROUTE_PER_DAY_SHIPS,0))*(V258-V257))-(INDEX(ROUTE_PER_DAY_BY_SHIP,MATCH(CONCATENATE(X$4,X$5,X$7),ROUTE_PER_DAY_ROUTES,0),MATCH(X$6,ROUTE_PER_DAY_SHIPS,0))*(V258-V257))*HLOOKUP(X$6,SHIPS,7,0)*INDEX(LADEN_VOYAGE_DAYS,MATCH(CONCATENATE(X$4,X$5,X$7),LADEN_VOYAGE_ROUTES,0),MATCH(X$6,LADEN_VOYAGE_SHIPS,0)))),0)</f>
        <v>0</v>
      </c>
      <c r="Z257" s="118">
        <f t="shared" si="106"/>
        <v>0</v>
      </c>
      <c r="AA257" s="215">
        <f t="shared" si="92"/>
        <v>0</v>
      </c>
      <c r="AB257" s="202"/>
      <c r="AC257" s="186">
        <f t="shared" si="119"/>
        <v>43983</v>
      </c>
      <c r="AD257" s="232">
        <f>+AA257*(VLOOKUP(AC257,CURVECALC!$C$6:$J$312,4,0)+AE$5)</f>
        <v>0</v>
      </c>
      <c r="AE257" s="208">
        <f>-W257*INDEX(ship_curves,MATCH(AC257,'SHIP CURVES'!$A$9:$A$316,0),MATCH(CONCATENATE(AG$4,AG$5,AG$6,AG$7),'SHIP CURVES'!$A$9:$AZ$9,0))</f>
        <v>0</v>
      </c>
      <c r="AF257" s="209">
        <f>-Y257*INDEX(port_processing_fee,MATCH(AC257,PORTS!$H$626:$H$933,0),MATCH(AG$5,PORTS!$H$626:$Z$626,0))</f>
        <v>0</v>
      </c>
      <c r="AG257" s="405">
        <f>(((VLOOKUP(AC257,curvecalc,4,0))*IF(W257=0,0,AA257/W257)-INDEX(ship_curves,MATCH(AC257,'SHIP CURVES'!$A$9:$A$316,0),MATCH(CONCATENATE(AG$4,AG$5,AG$6,AG$7),'SHIP CURVES'!$A$9:$Z$9,0))-INDEX(terminal_curves,MATCH(AC257,'TERMINAL CURVES'!$A$4:$A$313,0),MATCH(AG$5,'TERMINAL CURVES'!$A$4:$N$4,0))*IF(W257=0,0,Y257/W257))-(AE$8)*((AE$7-$N$5)-(INDEX(ship_curves,MATCH(AC257,'SHIP CURVES'!$A$9:$A$316,0),MATCH(CONCATENATE(AG$4,AG$5,AG$6,AG$7),'SHIP CURVES'!$A$9:$Z$9,0))-INDEX(ship_curves,MATCH(AC257,'SHIP CURVES'!$A$9:$A$316,0),MATCH(CONCATENATE(AG$4,AE$6,AG$6,AG$7),'SHIP CURVES'!$A$9:$Z$9,0)))-(INDEX(terminal_curves,MATCH(AC257,'TERMINAL CURVES'!$A$4:$A$313,0),MATCH(AG$5,'TERMINAL CURVES'!$A$4:$N$4,0))-INDEX(terminal_curves,MATCH(AC257,'TERMINAL CURVES'!$A$4:$A$313,0),MATCH(AE$6,'TERMINAL CURVES'!$A$4:$N$4,0)))*IF(W257=0,0,Y257/W257)))*-W257</f>
        <v>0</v>
      </c>
      <c r="AH257" s="343">
        <f t="shared" si="107"/>
        <v>0</v>
      </c>
      <c r="AI257" s="338">
        <f>(-Y257/((HLOOKUP(AG$5,port_specs,2,0)/(365.25))*(AC258-AC257)))*(INDEX(fixed_capacity_charge,MATCH(AC257,PORTS!$H$11:$H$317,0),MATCH(AG$5,PORTS!$H$11:$N$11,0))+INDEX(variable_om_charge,MATCH(AC257,PORTS!$H$318:$H$625,0),MATCH(AG$5,PORTS!$H$318:$N$318,0)))</f>
        <v>0</v>
      </c>
      <c r="AJ257" s="232">
        <f t="shared" si="108"/>
        <v>0</v>
      </c>
      <c r="AK257" s="241">
        <f t="shared" si="109"/>
        <v>0</v>
      </c>
      <c r="AM257" s="186">
        <f t="shared" si="120"/>
        <v>43983</v>
      </c>
      <c r="AN257" s="215">
        <f t="shared" si="110"/>
        <v>0</v>
      </c>
      <c r="AO257" s="191">
        <f t="shared" si="111"/>
        <v>0</v>
      </c>
      <c r="AP257" s="218">
        <f>+IF(AND(AO$8&lt;=AM257,AO$9&gt;=AM257),+MIN($B257-SUMIF($H$17:AO$17,AP$17,$H257:AO257),((INDEX(ROUTE_PER_DAY_BY_SHIP,MATCH(CONCATENATE(AO$4,AO$5,AO$7),ROUTE_PER_DAY_ROUTES,0),MATCH(AO$6,ROUTE_PER_DAY_SHIPS,0))*(AM258-AM257))-(INDEX(ROUTE_PER_DAY_BY_SHIP,MATCH(CONCATENATE(AO$4,AO$5,AO$7),ROUTE_PER_DAY_ROUTES,0),MATCH(AO$6,ROUTE_PER_DAY_SHIPS,0))*(AM258-AM257))*HLOOKUP(AO$6,SHIPS,7,0)*INDEX(LADEN_VOYAGE_DAYS,MATCH(CONCATENATE(AO$4,AO$5,AO$7),LADEN_VOYAGE_ROUTES,0),MATCH(AO$6,LADEN_VOYAGE_SHIPS,0)))),0)</f>
        <v>0</v>
      </c>
      <c r="AQ257" s="118">
        <f>-(AP257)*PORTS!$I$6</f>
        <v>0</v>
      </c>
      <c r="AR257" s="215">
        <f t="shared" si="93"/>
        <v>0</v>
      </c>
      <c r="AS257" s="202"/>
      <c r="AT257" s="186">
        <f t="shared" si="121"/>
        <v>43983</v>
      </c>
      <c r="AU257" s="232">
        <f>+AR257*(VLOOKUP(AT257,CURVECALC!$C$6:$J$312,4,0)+AV$5)</f>
        <v>0</v>
      </c>
      <c r="AV257" s="208">
        <f>-AN257*INDEX(ship_curves,MATCH(AT257,'SHIP CURVES'!$A$9:$A$316,0),MATCH(CONCATENATE(AX$4,AX$5,AX$6,AX$7),'SHIP CURVES'!$A$9:$AZ$9,0))</f>
        <v>0</v>
      </c>
      <c r="AW257" s="209">
        <f>-AP257*INDEX(port_processing_fee,MATCH(AT257,PORTS!$H$626:$H$933,0),MATCH(AX$5,PORTS!$H$626:$Z$626,0))</f>
        <v>0</v>
      </c>
      <c r="AX257" s="405">
        <f>(((VLOOKUP(AT257,curvecalc,4,0))*IF(AN257=0,0,AR257/AN257)-INDEX(ship_curves,MATCH(AT257,'SHIP CURVES'!$A$9:$A$316,0),MATCH(CONCATENATE(AX$4,AX$5,AX$6,AX$7),'SHIP CURVES'!$A$9:$Z$9,0))-INDEX(terminal_curves,MATCH(AT257,'TERMINAL CURVES'!$A$4:$A$313,0),MATCH(AX$5,'TERMINAL CURVES'!$A$4:$N$4,0))*IF(AN257=0,0,AP257/AN257))-(AV$8)*((AV$7-$N$5)-(INDEX(ship_curves,MATCH(AT257,'SHIP CURVES'!$A$9:$A$316,0),MATCH(CONCATENATE(AX$4,AX$5,AX$6,AX$7),'SHIP CURVES'!$A$9:$Z$9,0))-INDEX(ship_curves,MATCH(AT257,'SHIP CURVES'!$A$9:$A$316,0),MATCH(CONCATENATE(AX$4,AV$6,AX$6,AX$7),'SHIP CURVES'!$A$9:$Z$9,0)))-(INDEX(terminal_curves,MATCH(AT257,'TERMINAL CURVES'!$A$4:$A$313,0),MATCH(AX$5,'TERMINAL CURVES'!$A$4:$N$4,0))-INDEX(terminal_curves,MATCH(AT257,'TERMINAL CURVES'!$A$4:$A$313,0),MATCH(AV$6,'TERMINAL CURVES'!$A$4:$N$4,0)))*IF(AN257=0,0,AP257/AN257)))*-AN257</f>
        <v>0</v>
      </c>
      <c r="AY257" s="343">
        <f t="shared" si="112"/>
        <v>0</v>
      </c>
      <c r="AZ257" s="338">
        <f>(-AP257/((HLOOKUP(AX$5,port_specs,2,0)/(365.25))*(AT258-AT257)))*(INDEX(fixed_capacity_charge,MATCH(AT257,PORTS!$H$11:$H$317,0),MATCH(AX$5,PORTS!$H$11:$N$11,0))+INDEX(variable_om_charge,MATCH(AT257,PORTS!$H$318:$H$625,0),MATCH(AX$5,PORTS!$H$318:$N$318,0)))</f>
        <v>0</v>
      </c>
      <c r="BA257" s="232">
        <f t="shared" si="113"/>
        <v>0</v>
      </c>
      <c r="BB257" s="241">
        <f t="shared" si="114"/>
        <v>0</v>
      </c>
      <c r="BC257" s="408"/>
      <c r="BD257" s="338">
        <f>+PORTS!I251+PORTS!I559</f>
        <v>0</v>
      </c>
    </row>
    <row r="258" spans="1:56" x14ac:dyDescent="0.2">
      <c r="A258" s="186">
        <f t="shared" si="115"/>
        <v>44013</v>
      </c>
      <c r="B258" s="215">
        <f>+IF(AND($A258&gt;=$C$8,$A258&lt;=$C$9),1,0)*PORTS!$I$5/(365.25)*(A259-A258)</f>
        <v>0</v>
      </c>
      <c r="C258" s="351">
        <f t="shared" si="94"/>
        <v>0</v>
      </c>
      <c r="D258">
        <f t="shared" si="95"/>
        <v>2020</v>
      </c>
      <c r="E258" s="186">
        <f t="shared" si="116"/>
        <v>44013</v>
      </c>
      <c r="F258" s="215">
        <f t="shared" si="96"/>
        <v>0</v>
      </c>
      <c r="G258" s="191">
        <f t="shared" si="97"/>
        <v>0</v>
      </c>
      <c r="H258" s="218">
        <f t="shared" si="98"/>
        <v>0</v>
      </c>
      <c r="I258" s="118">
        <f t="shared" si="99"/>
        <v>0</v>
      </c>
      <c r="J258" s="215">
        <f t="shared" si="100"/>
        <v>0</v>
      </c>
      <c r="K258" s="202"/>
      <c r="L258" s="186">
        <f t="shared" si="117"/>
        <v>44013</v>
      </c>
      <c r="M258" s="400">
        <f>+J258*(VLOOKUP(L258,CURVECALC!$C$6:$J$312,4,0)+N$5)</f>
        <v>0</v>
      </c>
      <c r="N258" s="208">
        <f>-F258*INDEX(ship_curves,MATCH(L258,'SHIP CURVES'!$A$9:$A$316,0),MATCH(CONCATENATE(P$4,P$5,P$6,P$7),'SHIP CURVES'!$A$9:$AZ$9,0))</f>
        <v>0</v>
      </c>
      <c r="O258" s="209">
        <f>-H258*INDEX(port_processing_fee,MATCH(L258,PORTS!$H$626:$H$933,0),MATCH(P$5,PORTS!$H$626:$Z$626,0))</f>
        <v>0</v>
      </c>
      <c r="P258" s="405">
        <f>(((VLOOKUP(L258,curvecalc,4,0))*IF(F258=0,0,J258/F258)-INDEX(ship_curves,MATCH(L258,'SHIP CURVES'!$A$9:$A$316,0),MATCH(CONCATENATE(P$4,P$5,P$6,P$7),'SHIP CURVES'!$A$9:$Z$9,0))-INDEX(terminal_curves,MATCH(L258,'TERMINAL CURVES'!$A$4:$A$313,0),MATCH(P$5,'TERMINAL CURVES'!$A$4:$N$4,0))*IF(F258=0,0,H258/F258))-(N$8)*((N$7-$N$5)-(INDEX(ship_curves,MATCH(L258,'SHIP CURVES'!$A$9:$A$316,0),MATCH(CONCATENATE(P$4,P$5,P$6,P$7),'SHIP CURVES'!$A$9:$Z$9,0))-INDEX(ship_curves,MATCH(L258,'SHIP CURVES'!$A$9:$A$316,0),MATCH(CONCATENATE(P$4,N$6,P$6,P$7),'SHIP CURVES'!$A$9:$Z$9,0)))-(INDEX(terminal_curves,MATCH(L258,'TERMINAL CURVES'!$A$4:$A$313,0),MATCH(P$5,'TERMINAL CURVES'!$A$4:$N$4,0))-INDEX(terminal_curves,MATCH(L258,'TERMINAL CURVES'!$A$4:$A$313,0),MATCH(N$6,'TERMINAL CURVES'!$A$4:$N$4,0)))*IF(F258=0,0,H258/F258)))*-F258</f>
        <v>0</v>
      </c>
      <c r="Q258" s="403">
        <f t="shared" si="101"/>
        <v>0</v>
      </c>
      <c r="R258" s="338">
        <f>(-H258/((HLOOKUP(P$5,port_specs,2,0)/(365.25))*(L259-L258)))*(INDEX(fixed_capacity_charge,MATCH(L258,PORTS!$H$11:$H$317,0),MATCH(P$5,PORTS!$H$11:$N$11,0))+INDEX(variable_om_charge,MATCH(L258,PORTS!$H$318:$H$625,0),MATCH(P$5,PORTS!$H$318:$N$318,0)))</f>
        <v>0</v>
      </c>
      <c r="S258" s="232">
        <f t="shared" si="102"/>
        <v>0</v>
      </c>
      <c r="T258" s="241">
        <f t="shared" si="103"/>
        <v>0</v>
      </c>
      <c r="V258" s="186">
        <f t="shared" si="118"/>
        <v>44013</v>
      </c>
      <c r="W258" s="215">
        <f t="shared" si="104"/>
        <v>0</v>
      </c>
      <c r="X258" s="191">
        <f t="shared" si="105"/>
        <v>0</v>
      </c>
      <c r="Y258" s="218">
        <f>+IF(AND(X$8&lt;=V258,X$9&gt;=V258),+MIN($B258-SUMIF($H$17:X$17,Y$17,$H258:X258),((INDEX(ROUTE_PER_DAY_BY_SHIP,MATCH(CONCATENATE(X$4,X$5,X$7),ROUTE_PER_DAY_ROUTES,0),MATCH(X$6,ROUTE_PER_DAY_SHIPS,0))*(V259-V258))-(INDEX(ROUTE_PER_DAY_BY_SHIP,MATCH(CONCATENATE(X$4,X$5,X$7),ROUTE_PER_DAY_ROUTES,0),MATCH(X$6,ROUTE_PER_DAY_SHIPS,0))*(V259-V258))*HLOOKUP(X$6,SHIPS,7,0)*INDEX(LADEN_VOYAGE_DAYS,MATCH(CONCATENATE(X$4,X$5,X$7),LADEN_VOYAGE_ROUTES,0),MATCH(X$6,LADEN_VOYAGE_SHIPS,0)))),0)</f>
        <v>0</v>
      </c>
      <c r="Z258" s="118">
        <f t="shared" si="106"/>
        <v>0</v>
      </c>
      <c r="AA258" s="215">
        <f t="shared" si="92"/>
        <v>0</v>
      </c>
      <c r="AB258" s="202"/>
      <c r="AC258" s="186">
        <f t="shared" si="119"/>
        <v>44013</v>
      </c>
      <c r="AD258" s="232">
        <f>+AA258*(VLOOKUP(AC258,CURVECALC!$C$6:$J$312,4,0)+AE$5)</f>
        <v>0</v>
      </c>
      <c r="AE258" s="208">
        <f>-W258*INDEX(ship_curves,MATCH(AC258,'SHIP CURVES'!$A$9:$A$316,0),MATCH(CONCATENATE(AG$4,AG$5,AG$6,AG$7),'SHIP CURVES'!$A$9:$AZ$9,0))</f>
        <v>0</v>
      </c>
      <c r="AF258" s="209">
        <f>-Y258*INDEX(port_processing_fee,MATCH(AC258,PORTS!$H$626:$H$933,0),MATCH(AG$5,PORTS!$H$626:$Z$626,0))</f>
        <v>0</v>
      </c>
      <c r="AG258" s="405">
        <f>(((VLOOKUP(AC258,curvecalc,4,0))*IF(W258=0,0,AA258/W258)-INDEX(ship_curves,MATCH(AC258,'SHIP CURVES'!$A$9:$A$316,0),MATCH(CONCATENATE(AG$4,AG$5,AG$6,AG$7),'SHIP CURVES'!$A$9:$Z$9,0))-INDEX(terminal_curves,MATCH(AC258,'TERMINAL CURVES'!$A$4:$A$313,0),MATCH(AG$5,'TERMINAL CURVES'!$A$4:$N$4,0))*IF(W258=0,0,Y258/W258))-(AE$8)*((AE$7-$N$5)-(INDEX(ship_curves,MATCH(AC258,'SHIP CURVES'!$A$9:$A$316,0),MATCH(CONCATENATE(AG$4,AG$5,AG$6,AG$7),'SHIP CURVES'!$A$9:$Z$9,0))-INDEX(ship_curves,MATCH(AC258,'SHIP CURVES'!$A$9:$A$316,0),MATCH(CONCATENATE(AG$4,AE$6,AG$6,AG$7),'SHIP CURVES'!$A$9:$Z$9,0)))-(INDEX(terminal_curves,MATCH(AC258,'TERMINAL CURVES'!$A$4:$A$313,0),MATCH(AG$5,'TERMINAL CURVES'!$A$4:$N$4,0))-INDEX(terminal_curves,MATCH(AC258,'TERMINAL CURVES'!$A$4:$A$313,0),MATCH(AE$6,'TERMINAL CURVES'!$A$4:$N$4,0)))*IF(W258=0,0,Y258/W258)))*-W258</f>
        <v>0</v>
      </c>
      <c r="AH258" s="343">
        <f t="shared" si="107"/>
        <v>0</v>
      </c>
      <c r="AI258" s="338">
        <f>(-Y258/((HLOOKUP(AG$5,port_specs,2,0)/(365.25))*(AC259-AC258)))*(INDEX(fixed_capacity_charge,MATCH(AC258,PORTS!$H$11:$H$317,0),MATCH(AG$5,PORTS!$H$11:$N$11,0))+INDEX(variable_om_charge,MATCH(AC258,PORTS!$H$318:$H$625,0),MATCH(AG$5,PORTS!$H$318:$N$318,0)))</f>
        <v>0</v>
      </c>
      <c r="AJ258" s="232">
        <f t="shared" si="108"/>
        <v>0</v>
      </c>
      <c r="AK258" s="241">
        <f t="shared" si="109"/>
        <v>0</v>
      </c>
      <c r="AM258" s="186">
        <f t="shared" si="120"/>
        <v>44013</v>
      </c>
      <c r="AN258" s="215">
        <f t="shared" si="110"/>
        <v>0</v>
      </c>
      <c r="AO258" s="191">
        <f t="shared" si="111"/>
        <v>0</v>
      </c>
      <c r="AP258" s="218">
        <f>+IF(AND(AO$8&lt;=AM258,AO$9&gt;=AM258),+MIN($B258-SUMIF($H$17:AO$17,AP$17,$H258:AO258),((INDEX(ROUTE_PER_DAY_BY_SHIP,MATCH(CONCATENATE(AO$4,AO$5,AO$7),ROUTE_PER_DAY_ROUTES,0),MATCH(AO$6,ROUTE_PER_DAY_SHIPS,0))*(AM259-AM258))-(INDEX(ROUTE_PER_DAY_BY_SHIP,MATCH(CONCATENATE(AO$4,AO$5,AO$7),ROUTE_PER_DAY_ROUTES,0),MATCH(AO$6,ROUTE_PER_DAY_SHIPS,0))*(AM259-AM258))*HLOOKUP(AO$6,SHIPS,7,0)*INDEX(LADEN_VOYAGE_DAYS,MATCH(CONCATENATE(AO$4,AO$5,AO$7),LADEN_VOYAGE_ROUTES,0),MATCH(AO$6,LADEN_VOYAGE_SHIPS,0)))),0)</f>
        <v>0</v>
      </c>
      <c r="AQ258" s="118">
        <f>-(AP258)*PORTS!$I$6</f>
        <v>0</v>
      </c>
      <c r="AR258" s="215">
        <f t="shared" si="93"/>
        <v>0</v>
      </c>
      <c r="AS258" s="202"/>
      <c r="AT258" s="186">
        <f t="shared" si="121"/>
        <v>44013</v>
      </c>
      <c r="AU258" s="232">
        <f>+AR258*(VLOOKUP(AT258,CURVECALC!$C$6:$J$312,4,0)+AV$5)</f>
        <v>0</v>
      </c>
      <c r="AV258" s="208">
        <f>-AN258*INDEX(ship_curves,MATCH(AT258,'SHIP CURVES'!$A$9:$A$316,0),MATCH(CONCATENATE(AX$4,AX$5,AX$6,AX$7),'SHIP CURVES'!$A$9:$AZ$9,0))</f>
        <v>0</v>
      </c>
      <c r="AW258" s="209">
        <f>-AP258*INDEX(port_processing_fee,MATCH(AT258,PORTS!$H$626:$H$933,0),MATCH(AX$5,PORTS!$H$626:$Z$626,0))</f>
        <v>0</v>
      </c>
      <c r="AX258" s="405">
        <f>(((VLOOKUP(AT258,curvecalc,4,0))*IF(AN258=0,0,AR258/AN258)-INDEX(ship_curves,MATCH(AT258,'SHIP CURVES'!$A$9:$A$316,0),MATCH(CONCATENATE(AX$4,AX$5,AX$6,AX$7),'SHIP CURVES'!$A$9:$Z$9,0))-INDEX(terminal_curves,MATCH(AT258,'TERMINAL CURVES'!$A$4:$A$313,0),MATCH(AX$5,'TERMINAL CURVES'!$A$4:$N$4,0))*IF(AN258=0,0,AP258/AN258))-(AV$8)*((AV$7-$N$5)-(INDEX(ship_curves,MATCH(AT258,'SHIP CURVES'!$A$9:$A$316,0),MATCH(CONCATENATE(AX$4,AX$5,AX$6,AX$7),'SHIP CURVES'!$A$9:$Z$9,0))-INDEX(ship_curves,MATCH(AT258,'SHIP CURVES'!$A$9:$A$316,0),MATCH(CONCATENATE(AX$4,AV$6,AX$6,AX$7),'SHIP CURVES'!$A$9:$Z$9,0)))-(INDEX(terminal_curves,MATCH(AT258,'TERMINAL CURVES'!$A$4:$A$313,0),MATCH(AX$5,'TERMINAL CURVES'!$A$4:$N$4,0))-INDEX(terminal_curves,MATCH(AT258,'TERMINAL CURVES'!$A$4:$A$313,0),MATCH(AV$6,'TERMINAL CURVES'!$A$4:$N$4,0)))*IF(AN258=0,0,AP258/AN258)))*-AN258</f>
        <v>0</v>
      </c>
      <c r="AY258" s="343">
        <f t="shared" si="112"/>
        <v>0</v>
      </c>
      <c r="AZ258" s="338">
        <f>(-AP258/((HLOOKUP(AX$5,port_specs,2,0)/(365.25))*(AT259-AT258)))*(INDEX(fixed_capacity_charge,MATCH(AT258,PORTS!$H$11:$H$317,0),MATCH(AX$5,PORTS!$H$11:$N$11,0))+INDEX(variable_om_charge,MATCH(AT258,PORTS!$H$318:$H$625,0),MATCH(AX$5,PORTS!$H$318:$N$318,0)))</f>
        <v>0</v>
      </c>
      <c r="BA258" s="232">
        <f t="shared" si="113"/>
        <v>0</v>
      </c>
      <c r="BB258" s="241">
        <f t="shared" si="114"/>
        <v>0</v>
      </c>
      <c r="BC258" s="408"/>
      <c r="BD258" s="338">
        <f>+PORTS!I252+PORTS!I560</f>
        <v>0</v>
      </c>
    </row>
    <row r="259" spans="1:56" x14ac:dyDescent="0.2">
      <c r="A259" s="186">
        <f t="shared" si="115"/>
        <v>44044</v>
      </c>
      <c r="B259" s="215">
        <f>+IF(AND($A259&gt;=$C$8,$A259&lt;=$C$9),1,0)*PORTS!$I$5/(365.25)*(A260-A259)</f>
        <v>0</v>
      </c>
      <c r="C259" s="351">
        <f t="shared" si="94"/>
        <v>0</v>
      </c>
      <c r="D259">
        <f t="shared" si="95"/>
        <v>2020</v>
      </c>
      <c r="E259" s="186">
        <f t="shared" si="116"/>
        <v>44044</v>
      </c>
      <c r="F259" s="215">
        <f t="shared" si="96"/>
        <v>0</v>
      </c>
      <c r="G259" s="191">
        <f t="shared" si="97"/>
        <v>0</v>
      </c>
      <c r="H259" s="218">
        <f t="shared" si="98"/>
        <v>0</v>
      </c>
      <c r="I259" s="118">
        <f t="shared" si="99"/>
        <v>0</v>
      </c>
      <c r="J259" s="215">
        <f t="shared" si="100"/>
        <v>0</v>
      </c>
      <c r="K259" s="202"/>
      <c r="L259" s="186">
        <f t="shared" si="117"/>
        <v>44044</v>
      </c>
      <c r="M259" s="400">
        <f>+J259*(VLOOKUP(L259,CURVECALC!$C$6:$J$312,4,0)+N$5)</f>
        <v>0</v>
      </c>
      <c r="N259" s="208">
        <f>-F259*INDEX(ship_curves,MATCH(L259,'SHIP CURVES'!$A$9:$A$316,0),MATCH(CONCATENATE(P$4,P$5,P$6,P$7),'SHIP CURVES'!$A$9:$AZ$9,0))</f>
        <v>0</v>
      </c>
      <c r="O259" s="209">
        <f>-H259*INDEX(port_processing_fee,MATCH(L259,PORTS!$H$626:$H$933,0),MATCH(P$5,PORTS!$H$626:$Z$626,0))</f>
        <v>0</v>
      </c>
      <c r="P259" s="405">
        <f>(((VLOOKUP(L259,curvecalc,4,0))*IF(F259=0,0,J259/F259)-INDEX(ship_curves,MATCH(L259,'SHIP CURVES'!$A$9:$A$316,0),MATCH(CONCATENATE(P$4,P$5,P$6,P$7),'SHIP CURVES'!$A$9:$Z$9,0))-INDEX(terminal_curves,MATCH(L259,'TERMINAL CURVES'!$A$4:$A$313,0),MATCH(P$5,'TERMINAL CURVES'!$A$4:$N$4,0))*IF(F259=0,0,H259/F259))-(N$8)*((N$7-$N$5)-(INDEX(ship_curves,MATCH(L259,'SHIP CURVES'!$A$9:$A$316,0),MATCH(CONCATENATE(P$4,P$5,P$6,P$7),'SHIP CURVES'!$A$9:$Z$9,0))-INDEX(ship_curves,MATCH(L259,'SHIP CURVES'!$A$9:$A$316,0),MATCH(CONCATENATE(P$4,N$6,P$6,P$7),'SHIP CURVES'!$A$9:$Z$9,0)))-(INDEX(terminal_curves,MATCH(L259,'TERMINAL CURVES'!$A$4:$A$313,0),MATCH(P$5,'TERMINAL CURVES'!$A$4:$N$4,0))-INDEX(terminal_curves,MATCH(L259,'TERMINAL CURVES'!$A$4:$A$313,0),MATCH(N$6,'TERMINAL CURVES'!$A$4:$N$4,0)))*IF(F259=0,0,H259/F259)))*-F259</f>
        <v>0</v>
      </c>
      <c r="Q259" s="403">
        <f t="shared" si="101"/>
        <v>0</v>
      </c>
      <c r="R259" s="338">
        <f>(-H259/((HLOOKUP(P$5,port_specs,2,0)/(365.25))*(L260-L259)))*(INDEX(fixed_capacity_charge,MATCH(L259,PORTS!$H$11:$H$317,0),MATCH(P$5,PORTS!$H$11:$N$11,0))+INDEX(variable_om_charge,MATCH(L259,PORTS!$H$318:$H$625,0),MATCH(P$5,PORTS!$H$318:$N$318,0)))</f>
        <v>0</v>
      </c>
      <c r="S259" s="232">
        <f t="shared" si="102"/>
        <v>0</v>
      </c>
      <c r="T259" s="241">
        <f t="shared" si="103"/>
        <v>0</v>
      </c>
      <c r="V259" s="186">
        <f t="shared" si="118"/>
        <v>44044</v>
      </c>
      <c r="W259" s="215">
        <f t="shared" si="104"/>
        <v>0</v>
      </c>
      <c r="X259" s="191">
        <f t="shared" si="105"/>
        <v>0</v>
      </c>
      <c r="Y259" s="218">
        <f>+IF(AND(X$8&lt;=V259,X$9&gt;=V259),+MIN($B259-SUMIF($H$17:X$17,Y$17,$H259:X259),((INDEX(ROUTE_PER_DAY_BY_SHIP,MATCH(CONCATENATE(X$4,X$5,X$7),ROUTE_PER_DAY_ROUTES,0),MATCH(X$6,ROUTE_PER_DAY_SHIPS,0))*(V260-V259))-(INDEX(ROUTE_PER_DAY_BY_SHIP,MATCH(CONCATENATE(X$4,X$5,X$7),ROUTE_PER_DAY_ROUTES,0),MATCH(X$6,ROUTE_PER_DAY_SHIPS,0))*(V260-V259))*HLOOKUP(X$6,SHIPS,7,0)*INDEX(LADEN_VOYAGE_DAYS,MATCH(CONCATENATE(X$4,X$5,X$7),LADEN_VOYAGE_ROUTES,0),MATCH(X$6,LADEN_VOYAGE_SHIPS,0)))),0)</f>
        <v>0</v>
      </c>
      <c r="Z259" s="118">
        <f t="shared" si="106"/>
        <v>0</v>
      </c>
      <c r="AA259" s="215">
        <f t="shared" si="92"/>
        <v>0</v>
      </c>
      <c r="AB259" s="202"/>
      <c r="AC259" s="186">
        <f t="shared" si="119"/>
        <v>44044</v>
      </c>
      <c r="AD259" s="232">
        <f>+AA259*(VLOOKUP(AC259,CURVECALC!$C$6:$J$312,4,0)+AE$5)</f>
        <v>0</v>
      </c>
      <c r="AE259" s="208">
        <f>-W259*INDEX(ship_curves,MATCH(AC259,'SHIP CURVES'!$A$9:$A$316,0),MATCH(CONCATENATE(AG$4,AG$5,AG$6,AG$7),'SHIP CURVES'!$A$9:$AZ$9,0))</f>
        <v>0</v>
      </c>
      <c r="AF259" s="209">
        <f>-Y259*INDEX(port_processing_fee,MATCH(AC259,PORTS!$H$626:$H$933,0),MATCH(AG$5,PORTS!$H$626:$Z$626,0))</f>
        <v>0</v>
      </c>
      <c r="AG259" s="405">
        <f>(((VLOOKUP(AC259,curvecalc,4,0))*IF(W259=0,0,AA259/W259)-INDEX(ship_curves,MATCH(AC259,'SHIP CURVES'!$A$9:$A$316,0),MATCH(CONCATENATE(AG$4,AG$5,AG$6,AG$7),'SHIP CURVES'!$A$9:$Z$9,0))-INDEX(terminal_curves,MATCH(AC259,'TERMINAL CURVES'!$A$4:$A$313,0),MATCH(AG$5,'TERMINAL CURVES'!$A$4:$N$4,0))*IF(W259=0,0,Y259/W259))-(AE$8)*((AE$7-$N$5)-(INDEX(ship_curves,MATCH(AC259,'SHIP CURVES'!$A$9:$A$316,0),MATCH(CONCATENATE(AG$4,AG$5,AG$6,AG$7),'SHIP CURVES'!$A$9:$Z$9,0))-INDEX(ship_curves,MATCH(AC259,'SHIP CURVES'!$A$9:$A$316,0),MATCH(CONCATENATE(AG$4,AE$6,AG$6,AG$7),'SHIP CURVES'!$A$9:$Z$9,0)))-(INDEX(terminal_curves,MATCH(AC259,'TERMINAL CURVES'!$A$4:$A$313,0),MATCH(AG$5,'TERMINAL CURVES'!$A$4:$N$4,0))-INDEX(terminal_curves,MATCH(AC259,'TERMINAL CURVES'!$A$4:$A$313,0),MATCH(AE$6,'TERMINAL CURVES'!$A$4:$N$4,0)))*IF(W259=0,0,Y259/W259)))*-W259</f>
        <v>0</v>
      </c>
      <c r="AH259" s="343">
        <f t="shared" si="107"/>
        <v>0</v>
      </c>
      <c r="AI259" s="338">
        <f>(-Y259/((HLOOKUP(AG$5,port_specs,2,0)/(365.25))*(AC260-AC259)))*(INDEX(fixed_capacity_charge,MATCH(AC259,PORTS!$H$11:$H$317,0),MATCH(AG$5,PORTS!$H$11:$N$11,0))+INDEX(variable_om_charge,MATCH(AC259,PORTS!$H$318:$H$625,0),MATCH(AG$5,PORTS!$H$318:$N$318,0)))</f>
        <v>0</v>
      </c>
      <c r="AJ259" s="232">
        <f t="shared" si="108"/>
        <v>0</v>
      </c>
      <c r="AK259" s="241">
        <f t="shared" si="109"/>
        <v>0</v>
      </c>
      <c r="AM259" s="186">
        <f t="shared" si="120"/>
        <v>44044</v>
      </c>
      <c r="AN259" s="215">
        <f t="shared" si="110"/>
        <v>0</v>
      </c>
      <c r="AO259" s="191">
        <f t="shared" si="111"/>
        <v>0</v>
      </c>
      <c r="AP259" s="218">
        <f>+IF(AND(AO$8&lt;=AM259,AO$9&gt;=AM259),+MIN($B259-SUMIF($H$17:AO$17,AP$17,$H259:AO259),((INDEX(ROUTE_PER_DAY_BY_SHIP,MATCH(CONCATENATE(AO$4,AO$5,AO$7),ROUTE_PER_DAY_ROUTES,0),MATCH(AO$6,ROUTE_PER_DAY_SHIPS,0))*(AM260-AM259))-(INDEX(ROUTE_PER_DAY_BY_SHIP,MATCH(CONCATENATE(AO$4,AO$5,AO$7),ROUTE_PER_DAY_ROUTES,0),MATCH(AO$6,ROUTE_PER_DAY_SHIPS,0))*(AM260-AM259))*HLOOKUP(AO$6,SHIPS,7,0)*INDEX(LADEN_VOYAGE_DAYS,MATCH(CONCATENATE(AO$4,AO$5,AO$7),LADEN_VOYAGE_ROUTES,0),MATCH(AO$6,LADEN_VOYAGE_SHIPS,0)))),0)</f>
        <v>0</v>
      </c>
      <c r="AQ259" s="118">
        <f>-(AP259)*PORTS!$I$6</f>
        <v>0</v>
      </c>
      <c r="AR259" s="215">
        <f t="shared" si="93"/>
        <v>0</v>
      </c>
      <c r="AS259" s="202"/>
      <c r="AT259" s="186">
        <f t="shared" si="121"/>
        <v>44044</v>
      </c>
      <c r="AU259" s="232">
        <f>+AR259*(VLOOKUP(AT259,CURVECALC!$C$6:$J$312,4,0)+AV$5)</f>
        <v>0</v>
      </c>
      <c r="AV259" s="208">
        <f>-AN259*INDEX(ship_curves,MATCH(AT259,'SHIP CURVES'!$A$9:$A$316,0),MATCH(CONCATENATE(AX$4,AX$5,AX$6,AX$7),'SHIP CURVES'!$A$9:$AZ$9,0))</f>
        <v>0</v>
      </c>
      <c r="AW259" s="209">
        <f>-AP259*INDEX(port_processing_fee,MATCH(AT259,PORTS!$H$626:$H$933,0),MATCH(AX$5,PORTS!$H$626:$Z$626,0))</f>
        <v>0</v>
      </c>
      <c r="AX259" s="405">
        <f>(((VLOOKUP(AT259,curvecalc,4,0))*IF(AN259=0,0,AR259/AN259)-INDEX(ship_curves,MATCH(AT259,'SHIP CURVES'!$A$9:$A$316,0),MATCH(CONCATENATE(AX$4,AX$5,AX$6,AX$7),'SHIP CURVES'!$A$9:$Z$9,0))-INDEX(terminal_curves,MATCH(AT259,'TERMINAL CURVES'!$A$4:$A$313,0),MATCH(AX$5,'TERMINAL CURVES'!$A$4:$N$4,0))*IF(AN259=0,0,AP259/AN259))-(AV$8)*((AV$7-$N$5)-(INDEX(ship_curves,MATCH(AT259,'SHIP CURVES'!$A$9:$A$316,0),MATCH(CONCATENATE(AX$4,AX$5,AX$6,AX$7),'SHIP CURVES'!$A$9:$Z$9,0))-INDEX(ship_curves,MATCH(AT259,'SHIP CURVES'!$A$9:$A$316,0),MATCH(CONCATENATE(AX$4,AV$6,AX$6,AX$7),'SHIP CURVES'!$A$9:$Z$9,0)))-(INDEX(terminal_curves,MATCH(AT259,'TERMINAL CURVES'!$A$4:$A$313,0),MATCH(AX$5,'TERMINAL CURVES'!$A$4:$N$4,0))-INDEX(terminal_curves,MATCH(AT259,'TERMINAL CURVES'!$A$4:$A$313,0),MATCH(AV$6,'TERMINAL CURVES'!$A$4:$N$4,0)))*IF(AN259=0,0,AP259/AN259)))*-AN259</f>
        <v>0</v>
      </c>
      <c r="AY259" s="343">
        <f t="shared" si="112"/>
        <v>0</v>
      </c>
      <c r="AZ259" s="338">
        <f>(-AP259/((HLOOKUP(AX$5,port_specs,2,0)/(365.25))*(AT260-AT259)))*(INDEX(fixed_capacity_charge,MATCH(AT259,PORTS!$H$11:$H$317,0),MATCH(AX$5,PORTS!$H$11:$N$11,0))+INDEX(variable_om_charge,MATCH(AT259,PORTS!$H$318:$H$625,0),MATCH(AX$5,PORTS!$H$318:$N$318,0)))</f>
        <v>0</v>
      </c>
      <c r="BA259" s="232">
        <f t="shared" si="113"/>
        <v>0</v>
      </c>
      <c r="BB259" s="241">
        <f t="shared" si="114"/>
        <v>0</v>
      </c>
      <c r="BC259" s="408"/>
      <c r="BD259" s="338">
        <f>+PORTS!I253+PORTS!I561</f>
        <v>0</v>
      </c>
    </row>
    <row r="260" spans="1:56" x14ac:dyDescent="0.2">
      <c r="A260" s="186">
        <f t="shared" si="115"/>
        <v>44075</v>
      </c>
      <c r="B260" s="215">
        <f>+IF(AND($A260&gt;=$C$8,$A260&lt;=$C$9),1,0)*PORTS!$I$5/(365.25)*(A261-A260)</f>
        <v>0</v>
      </c>
      <c r="C260" s="351">
        <f t="shared" si="94"/>
        <v>0</v>
      </c>
      <c r="D260">
        <f t="shared" si="95"/>
        <v>2020</v>
      </c>
      <c r="E260" s="186">
        <f t="shared" si="116"/>
        <v>44075</v>
      </c>
      <c r="F260" s="215">
        <f t="shared" si="96"/>
        <v>0</v>
      </c>
      <c r="G260" s="191">
        <f t="shared" si="97"/>
        <v>0</v>
      </c>
      <c r="H260" s="218">
        <f t="shared" si="98"/>
        <v>0</v>
      </c>
      <c r="I260" s="118">
        <f t="shared" si="99"/>
        <v>0</v>
      </c>
      <c r="J260" s="215">
        <f t="shared" si="100"/>
        <v>0</v>
      </c>
      <c r="K260" s="202"/>
      <c r="L260" s="186">
        <f t="shared" si="117"/>
        <v>44075</v>
      </c>
      <c r="M260" s="400">
        <f>+J260*(VLOOKUP(L260,CURVECALC!$C$6:$J$312,4,0)+N$5)</f>
        <v>0</v>
      </c>
      <c r="N260" s="208">
        <f>-F260*INDEX(ship_curves,MATCH(L260,'SHIP CURVES'!$A$9:$A$316,0),MATCH(CONCATENATE(P$4,P$5,P$6,P$7),'SHIP CURVES'!$A$9:$AZ$9,0))</f>
        <v>0</v>
      </c>
      <c r="O260" s="209">
        <f>-H260*INDEX(port_processing_fee,MATCH(L260,PORTS!$H$626:$H$933,0),MATCH(P$5,PORTS!$H$626:$Z$626,0))</f>
        <v>0</v>
      </c>
      <c r="P260" s="405">
        <f>(((VLOOKUP(L260,curvecalc,4,0))*IF(F260=0,0,J260/F260)-INDEX(ship_curves,MATCH(L260,'SHIP CURVES'!$A$9:$A$316,0),MATCH(CONCATENATE(P$4,P$5,P$6,P$7),'SHIP CURVES'!$A$9:$Z$9,0))-INDEX(terminal_curves,MATCH(L260,'TERMINAL CURVES'!$A$4:$A$313,0),MATCH(P$5,'TERMINAL CURVES'!$A$4:$N$4,0))*IF(F260=0,0,H260/F260))-(N$8)*((N$7-$N$5)-(INDEX(ship_curves,MATCH(L260,'SHIP CURVES'!$A$9:$A$316,0),MATCH(CONCATENATE(P$4,P$5,P$6,P$7),'SHIP CURVES'!$A$9:$Z$9,0))-INDEX(ship_curves,MATCH(L260,'SHIP CURVES'!$A$9:$A$316,0),MATCH(CONCATENATE(P$4,N$6,P$6,P$7),'SHIP CURVES'!$A$9:$Z$9,0)))-(INDEX(terminal_curves,MATCH(L260,'TERMINAL CURVES'!$A$4:$A$313,0),MATCH(P$5,'TERMINAL CURVES'!$A$4:$N$4,0))-INDEX(terminal_curves,MATCH(L260,'TERMINAL CURVES'!$A$4:$A$313,0),MATCH(N$6,'TERMINAL CURVES'!$A$4:$N$4,0)))*IF(F260=0,0,H260/F260)))*-F260</f>
        <v>0</v>
      </c>
      <c r="Q260" s="403">
        <f t="shared" si="101"/>
        <v>0</v>
      </c>
      <c r="R260" s="338">
        <f>(-H260/((HLOOKUP(P$5,port_specs,2,0)/(365.25))*(L261-L260)))*(INDEX(fixed_capacity_charge,MATCH(L260,PORTS!$H$11:$H$317,0),MATCH(P$5,PORTS!$H$11:$N$11,0))+INDEX(variable_om_charge,MATCH(L260,PORTS!$H$318:$H$625,0),MATCH(P$5,PORTS!$H$318:$N$318,0)))</f>
        <v>0</v>
      </c>
      <c r="S260" s="232">
        <f t="shared" si="102"/>
        <v>0</v>
      </c>
      <c r="T260" s="241">
        <f t="shared" si="103"/>
        <v>0</v>
      </c>
      <c r="V260" s="186">
        <f t="shared" si="118"/>
        <v>44075</v>
      </c>
      <c r="W260" s="215">
        <f t="shared" si="104"/>
        <v>0</v>
      </c>
      <c r="X260" s="191">
        <f t="shared" si="105"/>
        <v>0</v>
      </c>
      <c r="Y260" s="218">
        <f>+IF(AND(X$8&lt;=V260,X$9&gt;=V260),+MIN($B260-SUMIF($H$17:X$17,Y$17,$H260:X260),((INDEX(ROUTE_PER_DAY_BY_SHIP,MATCH(CONCATENATE(X$4,X$5,X$7),ROUTE_PER_DAY_ROUTES,0),MATCH(X$6,ROUTE_PER_DAY_SHIPS,0))*(V261-V260))-(INDEX(ROUTE_PER_DAY_BY_SHIP,MATCH(CONCATENATE(X$4,X$5,X$7),ROUTE_PER_DAY_ROUTES,0),MATCH(X$6,ROUTE_PER_DAY_SHIPS,0))*(V261-V260))*HLOOKUP(X$6,SHIPS,7,0)*INDEX(LADEN_VOYAGE_DAYS,MATCH(CONCATENATE(X$4,X$5,X$7),LADEN_VOYAGE_ROUTES,0),MATCH(X$6,LADEN_VOYAGE_SHIPS,0)))),0)</f>
        <v>0</v>
      </c>
      <c r="Z260" s="118">
        <f t="shared" si="106"/>
        <v>0</v>
      </c>
      <c r="AA260" s="215">
        <f t="shared" si="92"/>
        <v>0</v>
      </c>
      <c r="AB260" s="202"/>
      <c r="AC260" s="186">
        <f t="shared" si="119"/>
        <v>44075</v>
      </c>
      <c r="AD260" s="232">
        <f>+AA260*(VLOOKUP(AC260,CURVECALC!$C$6:$J$312,4,0)+AE$5)</f>
        <v>0</v>
      </c>
      <c r="AE260" s="208">
        <f>-W260*INDEX(ship_curves,MATCH(AC260,'SHIP CURVES'!$A$9:$A$316,0),MATCH(CONCATENATE(AG$4,AG$5,AG$6,AG$7),'SHIP CURVES'!$A$9:$AZ$9,0))</f>
        <v>0</v>
      </c>
      <c r="AF260" s="209">
        <f>-Y260*INDEX(port_processing_fee,MATCH(AC260,PORTS!$H$626:$H$933,0),MATCH(AG$5,PORTS!$H$626:$Z$626,0))</f>
        <v>0</v>
      </c>
      <c r="AG260" s="405">
        <f>(((VLOOKUP(AC260,curvecalc,4,0))*IF(W260=0,0,AA260/W260)-INDEX(ship_curves,MATCH(AC260,'SHIP CURVES'!$A$9:$A$316,0),MATCH(CONCATENATE(AG$4,AG$5,AG$6,AG$7),'SHIP CURVES'!$A$9:$Z$9,0))-INDEX(terminal_curves,MATCH(AC260,'TERMINAL CURVES'!$A$4:$A$313,0),MATCH(AG$5,'TERMINAL CURVES'!$A$4:$N$4,0))*IF(W260=0,0,Y260/W260))-(AE$8)*((AE$7-$N$5)-(INDEX(ship_curves,MATCH(AC260,'SHIP CURVES'!$A$9:$A$316,0),MATCH(CONCATENATE(AG$4,AG$5,AG$6,AG$7),'SHIP CURVES'!$A$9:$Z$9,0))-INDEX(ship_curves,MATCH(AC260,'SHIP CURVES'!$A$9:$A$316,0),MATCH(CONCATENATE(AG$4,AE$6,AG$6,AG$7),'SHIP CURVES'!$A$9:$Z$9,0)))-(INDEX(terminal_curves,MATCH(AC260,'TERMINAL CURVES'!$A$4:$A$313,0),MATCH(AG$5,'TERMINAL CURVES'!$A$4:$N$4,0))-INDEX(terminal_curves,MATCH(AC260,'TERMINAL CURVES'!$A$4:$A$313,0),MATCH(AE$6,'TERMINAL CURVES'!$A$4:$N$4,0)))*IF(W260=0,0,Y260/W260)))*-W260</f>
        <v>0</v>
      </c>
      <c r="AH260" s="343">
        <f t="shared" si="107"/>
        <v>0</v>
      </c>
      <c r="AI260" s="338">
        <f>(-Y260/((HLOOKUP(AG$5,port_specs,2,0)/(365.25))*(AC261-AC260)))*(INDEX(fixed_capacity_charge,MATCH(AC260,PORTS!$H$11:$H$317,0),MATCH(AG$5,PORTS!$H$11:$N$11,0))+INDEX(variable_om_charge,MATCH(AC260,PORTS!$H$318:$H$625,0),MATCH(AG$5,PORTS!$H$318:$N$318,0)))</f>
        <v>0</v>
      </c>
      <c r="AJ260" s="232">
        <f t="shared" si="108"/>
        <v>0</v>
      </c>
      <c r="AK260" s="241">
        <f t="shared" si="109"/>
        <v>0</v>
      </c>
      <c r="AM260" s="186">
        <f t="shared" si="120"/>
        <v>44075</v>
      </c>
      <c r="AN260" s="215">
        <f t="shared" si="110"/>
        <v>0</v>
      </c>
      <c r="AO260" s="191">
        <f t="shared" si="111"/>
        <v>0</v>
      </c>
      <c r="AP260" s="218">
        <f>+IF(AND(AO$8&lt;=AM260,AO$9&gt;=AM260),+MIN($B260-SUMIF($H$17:AO$17,AP$17,$H260:AO260),((INDEX(ROUTE_PER_DAY_BY_SHIP,MATCH(CONCATENATE(AO$4,AO$5,AO$7),ROUTE_PER_DAY_ROUTES,0),MATCH(AO$6,ROUTE_PER_DAY_SHIPS,0))*(AM261-AM260))-(INDEX(ROUTE_PER_DAY_BY_SHIP,MATCH(CONCATENATE(AO$4,AO$5,AO$7),ROUTE_PER_DAY_ROUTES,0),MATCH(AO$6,ROUTE_PER_DAY_SHIPS,0))*(AM261-AM260))*HLOOKUP(AO$6,SHIPS,7,0)*INDEX(LADEN_VOYAGE_DAYS,MATCH(CONCATENATE(AO$4,AO$5,AO$7),LADEN_VOYAGE_ROUTES,0),MATCH(AO$6,LADEN_VOYAGE_SHIPS,0)))),0)</f>
        <v>0</v>
      </c>
      <c r="AQ260" s="118">
        <f>-(AP260)*PORTS!$I$6</f>
        <v>0</v>
      </c>
      <c r="AR260" s="215">
        <f t="shared" si="93"/>
        <v>0</v>
      </c>
      <c r="AS260" s="202"/>
      <c r="AT260" s="186">
        <f t="shared" si="121"/>
        <v>44075</v>
      </c>
      <c r="AU260" s="232">
        <f>+AR260*(VLOOKUP(AT260,CURVECALC!$C$6:$J$312,4,0)+AV$5)</f>
        <v>0</v>
      </c>
      <c r="AV260" s="208">
        <f>-AN260*INDEX(ship_curves,MATCH(AT260,'SHIP CURVES'!$A$9:$A$316,0),MATCH(CONCATENATE(AX$4,AX$5,AX$6,AX$7),'SHIP CURVES'!$A$9:$AZ$9,0))</f>
        <v>0</v>
      </c>
      <c r="AW260" s="209">
        <f>-AP260*INDEX(port_processing_fee,MATCH(AT260,PORTS!$H$626:$H$933,0),MATCH(AX$5,PORTS!$H$626:$Z$626,0))</f>
        <v>0</v>
      </c>
      <c r="AX260" s="405">
        <f>(((VLOOKUP(AT260,curvecalc,4,0))*IF(AN260=0,0,AR260/AN260)-INDEX(ship_curves,MATCH(AT260,'SHIP CURVES'!$A$9:$A$316,0),MATCH(CONCATENATE(AX$4,AX$5,AX$6,AX$7),'SHIP CURVES'!$A$9:$Z$9,0))-INDEX(terminal_curves,MATCH(AT260,'TERMINAL CURVES'!$A$4:$A$313,0),MATCH(AX$5,'TERMINAL CURVES'!$A$4:$N$4,0))*IF(AN260=0,0,AP260/AN260))-(AV$8)*((AV$7-$N$5)-(INDEX(ship_curves,MATCH(AT260,'SHIP CURVES'!$A$9:$A$316,0),MATCH(CONCATENATE(AX$4,AX$5,AX$6,AX$7),'SHIP CURVES'!$A$9:$Z$9,0))-INDEX(ship_curves,MATCH(AT260,'SHIP CURVES'!$A$9:$A$316,0),MATCH(CONCATENATE(AX$4,AV$6,AX$6,AX$7),'SHIP CURVES'!$A$9:$Z$9,0)))-(INDEX(terminal_curves,MATCH(AT260,'TERMINAL CURVES'!$A$4:$A$313,0),MATCH(AX$5,'TERMINAL CURVES'!$A$4:$N$4,0))-INDEX(terminal_curves,MATCH(AT260,'TERMINAL CURVES'!$A$4:$A$313,0),MATCH(AV$6,'TERMINAL CURVES'!$A$4:$N$4,0)))*IF(AN260=0,0,AP260/AN260)))*-AN260</f>
        <v>0</v>
      </c>
      <c r="AY260" s="343">
        <f t="shared" si="112"/>
        <v>0</v>
      </c>
      <c r="AZ260" s="338">
        <f>(-AP260/((HLOOKUP(AX$5,port_specs,2,0)/(365.25))*(AT261-AT260)))*(INDEX(fixed_capacity_charge,MATCH(AT260,PORTS!$H$11:$H$317,0),MATCH(AX$5,PORTS!$H$11:$N$11,0))+INDEX(variable_om_charge,MATCH(AT260,PORTS!$H$318:$H$625,0),MATCH(AX$5,PORTS!$H$318:$N$318,0)))</f>
        <v>0</v>
      </c>
      <c r="BA260" s="232">
        <f t="shared" si="113"/>
        <v>0</v>
      </c>
      <c r="BB260" s="241">
        <f t="shared" si="114"/>
        <v>0</v>
      </c>
      <c r="BC260" s="408"/>
      <c r="BD260" s="338">
        <f>+PORTS!I254+PORTS!I562</f>
        <v>0</v>
      </c>
    </row>
    <row r="261" spans="1:56" x14ac:dyDescent="0.2">
      <c r="A261" s="186">
        <f t="shared" si="115"/>
        <v>44105</v>
      </c>
      <c r="B261" s="215">
        <f>+IF(AND($A261&gt;=$C$8,$A261&lt;=$C$9),1,0)*PORTS!$I$5/(365.25)*(A262-A261)</f>
        <v>0</v>
      </c>
      <c r="C261" s="351">
        <f t="shared" si="94"/>
        <v>0</v>
      </c>
      <c r="D261">
        <f t="shared" si="95"/>
        <v>2020</v>
      </c>
      <c r="E261" s="186">
        <f t="shared" si="116"/>
        <v>44105</v>
      </c>
      <c r="F261" s="215">
        <f t="shared" si="96"/>
        <v>0</v>
      </c>
      <c r="G261" s="191">
        <f t="shared" si="97"/>
        <v>0</v>
      </c>
      <c r="H261" s="218">
        <f t="shared" si="98"/>
        <v>0</v>
      </c>
      <c r="I261" s="118">
        <f t="shared" si="99"/>
        <v>0</v>
      </c>
      <c r="J261" s="215">
        <f t="shared" si="100"/>
        <v>0</v>
      </c>
      <c r="K261" s="202"/>
      <c r="L261" s="186">
        <f t="shared" si="117"/>
        <v>44105</v>
      </c>
      <c r="M261" s="400">
        <f>+J261*(VLOOKUP(L261,CURVECALC!$C$6:$J$312,4,0)+N$5)</f>
        <v>0</v>
      </c>
      <c r="N261" s="208">
        <f>-F261*INDEX(ship_curves,MATCH(L261,'SHIP CURVES'!$A$9:$A$316,0),MATCH(CONCATENATE(P$4,P$5,P$6,P$7),'SHIP CURVES'!$A$9:$AZ$9,0))</f>
        <v>0</v>
      </c>
      <c r="O261" s="209">
        <f>-H261*INDEX(port_processing_fee,MATCH(L261,PORTS!$H$626:$H$933,0),MATCH(P$5,PORTS!$H$626:$Z$626,0))</f>
        <v>0</v>
      </c>
      <c r="P261" s="405">
        <f>(((VLOOKUP(L261,curvecalc,4,0))*IF(F261=0,0,J261/F261)-INDEX(ship_curves,MATCH(L261,'SHIP CURVES'!$A$9:$A$316,0),MATCH(CONCATENATE(P$4,P$5,P$6,P$7),'SHIP CURVES'!$A$9:$Z$9,0))-INDEX(terminal_curves,MATCH(L261,'TERMINAL CURVES'!$A$4:$A$313,0),MATCH(P$5,'TERMINAL CURVES'!$A$4:$N$4,0))*IF(F261=0,0,H261/F261))-(N$8)*((N$7-$N$5)-(INDEX(ship_curves,MATCH(L261,'SHIP CURVES'!$A$9:$A$316,0),MATCH(CONCATENATE(P$4,P$5,P$6,P$7),'SHIP CURVES'!$A$9:$Z$9,0))-INDEX(ship_curves,MATCH(L261,'SHIP CURVES'!$A$9:$A$316,0),MATCH(CONCATENATE(P$4,N$6,P$6,P$7),'SHIP CURVES'!$A$9:$Z$9,0)))-(INDEX(terminal_curves,MATCH(L261,'TERMINAL CURVES'!$A$4:$A$313,0),MATCH(P$5,'TERMINAL CURVES'!$A$4:$N$4,0))-INDEX(terminal_curves,MATCH(L261,'TERMINAL CURVES'!$A$4:$A$313,0),MATCH(N$6,'TERMINAL CURVES'!$A$4:$N$4,0)))*IF(F261=0,0,H261/F261)))*-F261</f>
        <v>0</v>
      </c>
      <c r="Q261" s="403">
        <f t="shared" si="101"/>
        <v>0</v>
      </c>
      <c r="R261" s="338">
        <f>(-H261/((HLOOKUP(P$5,port_specs,2,0)/(365.25))*(L262-L261)))*(INDEX(fixed_capacity_charge,MATCH(L261,PORTS!$H$11:$H$317,0),MATCH(P$5,PORTS!$H$11:$N$11,0))+INDEX(variable_om_charge,MATCH(L261,PORTS!$H$318:$H$625,0),MATCH(P$5,PORTS!$H$318:$N$318,0)))</f>
        <v>0</v>
      </c>
      <c r="S261" s="232">
        <f t="shared" si="102"/>
        <v>0</v>
      </c>
      <c r="T261" s="241">
        <f t="shared" si="103"/>
        <v>0</v>
      </c>
      <c r="V261" s="186">
        <f t="shared" si="118"/>
        <v>44105</v>
      </c>
      <c r="W261" s="215">
        <f t="shared" si="104"/>
        <v>0</v>
      </c>
      <c r="X261" s="191">
        <f t="shared" si="105"/>
        <v>0</v>
      </c>
      <c r="Y261" s="218">
        <f>+IF(AND(X$8&lt;=V261,X$9&gt;=V261),+MIN($B261-SUMIF($H$17:X$17,Y$17,$H261:X261),((INDEX(ROUTE_PER_DAY_BY_SHIP,MATCH(CONCATENATE(X$4,X$5,X$7),ROUTE_PER_DAY_ROUTES,0),MATCH(X$6,ROUTE_PER_DAY_SHIPS,0))*(V262-V261))-(INDEX(ROUTE_PER_DAY_BY_SHIP,MATCH(CONCATENATE(X$4,X$5,X$7),ROUTE_PER_DAY_ROUTES,0),MATCH(X$6,ROUTE_PER_DAY_SHIPS,0))*(V262-V261))*HLOOKUP(X$6,SHIPS,7,0)*INDEX(LADEN_VOYAGE_DAYS,MATCH(CONCATENATE(X$4,X$5,X$7),LADEN_VOYAGE_ROUTES,0),MATCH(X$6,LADEN_VOYAGE_SHIPS,0)))),0)</f>
        <v>0</v>
      </c>
      <c r="Z261" s="118">
        <f t="shared" si="106"/>
        <v>0</v>
      </c>
      <c r="AA261" s="215">
        <f t="shared" si="92"/>
        <v>0</v>
      </c>
      <c r="AB261" s="202"/>
      <c r="AC261" s="186">
        <f t="shared" si="119"/>
        <v>44105</v>
      </c>
      <c r="AD261" s="232">
        <f>+AA261*(VLOOKUP(AC261,CURVECALC!$C$6:$J$312,4,0)+AE$5)</f>
        <v>0</v>
      </c>
      <c r="AE261" s="208">
        <f>-W261*INDEX(ship_curves,MATCH(AC261,'SHIP CURVES'!$A$9:$A$316,0),MATCH(CONCATENATE(AG$4,AG$5,AG$6,AG$7),'SHIP CURVES'!$A$9:$AZ$9,0))</f>
        <v>0</v>
      </c>
      <c r="AF261" s="209">
        <f>-Y261*INDEX(port_processing_fee,MATCH(AC261,PORTS!$H$626:$H$933,0),MATCH(AG$5,PORTS!$H$626:$Z$626,0))</f>
        <v>0</v>
      </c>
      <c r="AG261" s="405">
        <f>(((VLOOKUP(AC261,curvecalc,4,0))*IF(W261=0,0,AA261/W261)-INDEX(ship_curves,MATCH(AC261,'SHIP CURVES'!$A$9:$A$316,0),MATCH(CONCATENATE(AG$4,AG$5,AG$6,AG$7),'SHIP CURVES'!$A$9:$Z$9,0))-INDEX(terminal_curves,MATCH(AC261,'TERMINAL CURVES'!$A$4:$A$313,0),MATCH(AG$5,'TERMINAL CURVES'!$A$4:$N$4,0))*IF(W261=0,0,Y261/W261))-(AE$8)*((AE$7-$N$5)-(INDEX(ship_curves,MATCH(AC261,'SHIP CURVES'!$A$9:$A$316,0),MATCH(CONCATENATE(AG$4,AG$5,AG$6,AG$7),'SHIP CURVES'!$A$9:$Z$9,0))-INDEX(ship_curves,MATCH(AC261,'SHIP CURVES'!$A$9:$A$316,0),MATCH(CONCATENATE(AG$4,AE$6,AG$6,AG$7),'SHIP CURVES'!$A$9:$Z$9,0)))-(INDEX(terminal_curves,MATCH(AC261,'TERMINAL CURVES'!$A$4:$A$313,0),MATCH(AG$5,'TERMINAL CURVES'!$A$4:$N$4,0))-INDEX(terminal_curves,MATCH(AC261,'TERMINAL CURVES'!$A$4:$A$313,0),MATCH(AE$6,'TERMINAL CURVES'!$A$4:$N$4,0)))*IF(W261=0,0,Y261/W261)))*-W261</f>
        <v>0</v>
      </c>
      <c r="AH261" s="343">
        <f t="shared" si="107"/>
        <v>0</v>
      </c>
      <c r="AI261" s="338">
        <f>(-Y261/((HLOOKUP(AG$5,port_specs,2,0)/(365.25))*(AC262-AC261)))*(INDEX(fixed_capacity_charge,MATCH(AC261,PORTS!$H$11:$H$317,0),MATCH(AG$5,PORTS!$H$11:$N$11,0))+INDEX(variable_om_charge,MATCH(AC261,PORTS!$H$318:$H$625,0),MATCH(AG$5,PORTS!$H$318:$N$318,0)))</f>
        <v>0</v>
      </c>
      <c r="AJ261" s="232">
        <f t="shared" si="108"/>
        <v>0</v>
      </c>
      <c r="AK261" s="241">
        <f t="shared" si="109"/>
        <v>0</v>
      </c>
      <c r="AM261" s="186">
        <f t="shared" si="120"/>
        <v>44105</v>
      </c>
      <c r="AN261" s="215">
        <f t="shared" si="110"/>
        <v>0</v>
      </c>
      <c r="AO261" s="191">
        <f t="shared" si="111"/>
        <v>0</v>
      </c>
      <c r="AP261" s="218">
        <f>+IF(AND(AO$8&lt;=AM261,AO$9&gt;=AM261),+MIN($B261-SUMIF($H$17:AO$17,AP$17,$H261:AO261),((INDEX(ROUTE_PER_DAY_BY_SHIP,MATCH(CONCATENATE(AO$4,AO$5,AO$7),ROUTE_PER_DAY_ROUTES,0),MATCH(AO$6,ROUTE_PER_DAY_SHIPS,0))*(AM262-AM261))-(INDEX(ROUTE_PER_DAY_BY_SHIP,MATCH(CONCATENATE(AO$4,AO$5,AO$7),ROUTE_PER_DAY_ROUTES,0),MATCH(AO$6,ROUTE_PER_DAY_SHIPS,0))*(AM262-AM261))*HLOOKUP(AO$6,SHIPS,7,0)*INDEX(LADEN_VOYAGE_DAYS,MATCH(CONCATENATE(AO$4,AO$5,AO$7),LADEN_VOYAGE_ROUTES,0),MATCH(AO$6,LADEN_VOYAGE_SHIPS,0)))),0)</f>
        <v>0</v>
      </c>
      <c r="AQ261" s="118">
        <f>-(AP261)*PORTS!$I$6</f>
        <v>0</v>
      </c>
      <c r="AR261" s="215">
        <f t="shared" si="93"/>
        <v>0</v>
      </c>
      <c r="AS261" s="202"/>
      <c r="AT261" s="186">
        <f t="shared" si="121"/>
        <v>44105</v>
      </c>
      <c r="AU261" s="232">
        <f>+AR261*(VLOOKUP(AT261,CURVECALC!$C$6:$J$312,4,0)+AV$5)</f>
        <v>0</v>
      </c>
      <c r="AV261" s="208">
        <f>-AN261*INDEX(ship_curves,MATCH(AT261,'SHIP CURVES'!$A$9:$A$316,0),MATCH(CONCATENATE(AX$4,AX$5,AX$6,AX$7),'SHIP CURVES'!$A$9:$AZ$9,0))</f>
        <v>0</v>
      </c>
      <c r="AW261" s="209">
        <f>-AP261*INDEX(port_processing_fee,MATCH(AT261,PORTS!$H$626:$H$933,0),MATCH(AX$5,PORTS!$H$626:$Z$626,0))</f>
        <v>0</v>
      </c>
      <c r="AX261" s="405">
        <f>(((VLOOKUP(AT261,curvecalc,4,0))*IF(AN261=0,0,AR261/AN261)-INDEX(ship_curves,MATCH(AT261,'SHIP CURVES'!$A$9:$A$316,0),MATCH(CONCATENATE(AX$4,AX$5,AX$6,AX$7),'SHIP CURVES'!$A$9:$Z$9,0))-INDEX(terminal_curves,MATCH(AT261,'TERMINAL CURVES'!$A$4:$A$313,0),MATCH(AX$5,'TERMINAL CURVES'!$A$4:$N$4,0))*IF(AN261=0,0,AP261/AN261))-(AV$8)*((AV$7-$N$5)-(INDEX(ship_curves,MATCH(AT261,'SHIP CURVES'!$A$9:$A$316,0),MATCH(CONCATENATE(AX$4,AX$5,AX$6,AX$7),'SHIP CURVES'!$A$9:$Z$9,0))-INDEX(ship_curves,MATCH(AT261,'SHIP CURVES'!$A$9:$A$316,0),MATCH(CONCATENATE(AX$4,AV$6,AX$6,AX$7),'SHIP CURVES'!$A$9:$Z$9,0)))-(INDEX(terminal_curves,MATCH(AT261,'TERMINAL CURVES'!$A$4:$A$313,0),MATCH(AX$5,'TERMINAL CURVES'!$A$4:$N$4,0))-INDEX(terminal_curves,MATCH(AT261,'TERMINAL CURVES'!$A$4:$A$313,0),MATCH(AV$6,'TERMINAL CURVES'!$A$4:$N$4,0)))*IF(AN261=0,0,AP261/AN261)))*-AN261</f>
        <v>0</v>
      </c>
      <c r="AY261" s="343">
        <f t="shared" si="112"/>
        <v>0</v>
      </c>
      <c r="AZ261" s="338">
        <f>(-AP261/((HLOOKUP(AX$5,port_specs,2,0)/(365.25))*(AT262-AT261)))*(INDEX(fixed_capacity_charge,MATCH(AT261,PORTS!$H$11:$H$317,0),MATCH(AX$5,PORTS!$H$11:$N$11,0))+INDEX(variable_om_charge,MATCH(AT261,PORTS!$H$318:$H$625,0),MATCH(AX$5,PORTS!$H$318:$N$318,0)))</f>
        <v>0</v>
      </c>
      <c r="BA261" s="232">
        <f t="shared" si="113"/>
        <v>0</v>
      </c>
      <c r="BB261" s="241">
        <f t="shared" si="114"/>
        <v>0</v>
      </c>
      <c r="BC261" s="408"/>
      <c r="BD261" s="338">
        <f>+PORTS!I255+PORTS!I563</f>
        <v>0</v>
      </c>
    </row>
    <row r="262" spans="1:56" x14ac:dyDescent="0.2">
      <c r="A262" s="186">
        <f t="shared" si="115"/>
        <v>44136</v>
      </c>
      <c r="B262" s="215">
        <f>+IF(AND($A262&gt;=$C$8,$A262&lt;=$C$9),1,0)*PORTS!$I$5/(365.25)*(A263-A262)</f>
        <v>0</v>
      </c>
      <c r="C262" s="351">
        <f t="shared" si="94"/>
        <v>0</v>
      </c>
      <c r="D262">
        <f t="shared" si="95"/>
        <v>2020</v>
      </c>
      <c r="E262" s="186">
        <f t="shared" si="116"/>
        <v>44136</v>
      </c>
      <c r="F262" s="215">
        <f t="shared" si="96"/>
        <v>0</v>
      </c>
      <c r="G262" s="191">
        <f t="shared" si="97"/>
        <v>0</v>
      </c>
      <c r="H262" s="218">
        <f t="shared" si="98"/>
        <v>0</v>
      </c>
      <c r="I262" s="118">
        <f t="shared" si="99"/>
        <v>0</v>
      </c>
      <c r="J262" s="215">
        <f t="shared" si="100"/>
        <v>0</v>
      </c>
      <c r="K262" s="202"/>
      <c r="L262" s="186">
        <f t="shared" si="117"/>
        <v>44136</v>
      </c>
      <c r="M262" s="400">
        <f>+J262*(VLOOKUP(L262,CURVECALC!$C$6:$J$312,4,0)+N$5)</f>
        <v>0</v>
      </c>
      <c r="N262" s="208">
        <f>-F262*INDEX(ship_curves,MATCH(L262,'SHIP CURVES'!$A$9:$A$316,0),MATCH(CONCATENATE(P$4,P$5,P$6,P$7),'SHIP CURVES'!$A$9:$AZ$9,0))</f>
        <v>0</v>
      </c>
      <c r="O262" s="209">
        <f>-H262*INDEX(port_processing_fee,MATCH(L262,PORTS!$H$626:$H$933,0),MATCH(P$5,PORTS!$H$626:$Z$626,0))</f>
        <v>0</v>
      </c>
      <c r="P262" s="405">
        <f>(((VLOOKUP(L262,curvecalc,4,0))*IF(F262=0,0,J262/F262)-INDEX(ship_curves,MATCH(L262,'SHIP CURVES'!$A$9:$A$316,0),MATCH(CONCATENATE(P$4,P$5,P$6,P$7),'SHIP CURVES'!$A$9:$Z$9,0))-INDEX(terminal_curves,MATCH(L262,'TERMINAL CURVES'!$A$4:$A$313,0),MATCH(P$5,'TERMINAL CURVES'!$A$4:$N$4,0))*IF(F262=0,0,H262/F262))-(N$8)*((N$7-$N$5)-(INDEX(ship_curves,MATCH(L262,'SHIP CURVES'!$A$9:$A$316,0),MATCH(CONCATENATE(P$4,P$5,P$6,P$7),'SHIP CURVES'!$A$9:$Z$9,0))-INDEX(ship_curves,MATCH(L262,'SHIP CURVES'!$A$9:$A$316,0),MATCH(CONCATENATE(P$4,N$6,P$6,P$7),'SHIP CURVES'!$A$9:$Z$9,0)))-(INDEX(terminal_curves,MATCH(L262,'TERMINAL CURVES'!$A$4:$A$313,0),MATCH(P$5,'TERMINAL CURVES'!$A$4:$N$4,0))-INDEX(terminal_curves,MATCH(L262,'TERMINAL CURVES'!$A$4:$A$313,0),MATCH(N$6,'TERMINAL CURVES'!$A$4:$N$4,0)))*IF(F262=0,0,H262/F262)))*-F262</f>
        <v>0</v>
      </c>
      <c r="Q262" s="403">
        <f t="shared" si="101"/>
        <v>0</v>
      </c>
      <c r="R262" s="338">
        <f>(-H262/((HLOOKUP(P$5,port_specs,2,0)/(365.25))*(L263-L262)))*(INDEX(fixed_capacity_charge,MATCH(L262,PORTS!$H$11:$H$317,0),MATCH(P$5,PORTS!$H$11:$N$11,0))+INDEX(variable_om_charge,MATCH(L262,PORTS!$H$318:$H$625,0),MATCH(P$5,PORTS!$H$318:$N$318,0)))</f>
        <v>0</v>
      </c>
      <c r="S262" s="232">
        <f t="shared" si="102"/>
        <v>0</v>
      </c>
      <c r="T262" s="241">
        <f t="shared" si="103"/>
        <v>0</v>
      </c>
      <c r="V262" s="186">
        <f t="shared" si="118"/>
        <v>44136</v>
      </c>
      <c r="W262" s="215">
        <f t="shared" si="104"/>
        <v>0</v>
      </c>
      <c r="X262" s="191">
        <f t="shared" si="105"/>
        <v>0</v>
      </c>
      <c r="Y262" s="218">
        <f>+IF(AND(X$8&lt;=V262,X$9&gt;=V262),+MIN($B262-SUMIF($H$17:X$17,Y$17,$H262:X262),((INDEX(ROUTE_PER_DAY_BY_SHIP,MATCH(CONCATENATE(X$4,X$5,X$7),ROUTE_PER_DAY_ROUTES,0),MATCH(X$6,ROUTE_PER_DAY_SHIPS,0))*(V263-V262))-(INDEX(ROUTE_PER_DAY_BY_SHIP,MATCH(CONCATENATE(X$4,X$5,X$7),ROUTE_PER_DAY_ROUTES,0),MATCH(X$6,ROUTE_PER_DAY_SHIPS,0))*(V263-V262))*HLOOKUP(X$6,SHIPS,7,0)*INDEX(LADEN_VOYAGE_DAYS,MATCH(CONCATENATE(X$4,X$5,X$7),LADEN_VOYAGE_ROUTES,0),MATCH(X$6,LADEN_VOYAGE_SHIPS,0)))),0)</f>
        <v>0</v>
      </c>
      <c r="Z262" s="118">
        <f t="shared" si="106"/>
        <v>0</v>
      </c>
      <c r="AA262" s="215">
        <f t="shared" si="92"/>
        <v>0</v>
      </c>
      <c r="AB262" s="202"/>
      <c r="AC262" s="186">
        <f t="shared" si="119"/>
        <v>44136</v>
      </c>
      <c r="AD262" s="232">
        <f>+AA262*(VLOOKUP(AC262,CURVECALC!$C$6:$J$312,4,0)+AE$5)</f>
        <v>0</v>
      </c>
      <c r="AE262" s="208">
        <f>-W262*INDEX(ship_curves,MATCH(AC262,'SHIP CURVES'!$A$9:$A$316,0),MATCH(CONCATENATE(AG$4,AG$5,AG$6,AG$7),'SHIP CURVES'!$A$9:$AZ$9,0))</f>
        <v>0</v>
      </c>
      <c r="AF262" s="209">
        <f>-Y262*INDEX(port_processing_fee,MATCH(AC262,PORTS!$H$626:$H$933,0),MATCH(AG$5,PORTS!$H$626:$Z$626,0))</f>
        <v>0</v>
      </c>
      <c r="AG262" s="405">
        <f>(((VLOOKUP(AC262,curvecalc,4,0))*IF(W262=0,0,AA262/W262)-INDEX(ship_curves,MATCH(AC262,'SHIP CURVES'!$A$9:$A$316,0),MATCH(CONCATENATE(AG$4,AG$5,AG$6,AG$7),'SHIP CURVES'!$A$9:$Z$9,0))-INDEX(terminal_curves,MATCH(AC262,'TERMINAL CURVES'!$A$4:$A$313,0),MATCH(AG$5,'TERMINAL CURVES'!$A$4:$N$4,0))*IF(W262=0,0,Y262/W262))-(AE$8)*((AE$7-$N$5)-(INDEX(ship_curves,MATCH(AC262,'SHIP CURVES'!$A$9:$A$316,0),MATCH(CONCATENATE(AG$4,AG$5,AG$6,AG$7),'SHIP CURVES'!$A$9:$Z$9,0))-INDEX(ship_curves,MATCH(AC262,'SHIP CURVES'!$A$9:$A$316,0),MATCH(CONCATENATE(AG$4,AE$6,AG$6,AG$7),'SHIP CURVES'!$A$9:$Z$9,0)))-(INDEX(terminal_curves,MATCH(AC262,'TERMINAL CURVES'!$A$4:$A$313,0),MATCH(AG$5,'TERMINAL CURVES'!$A$4:$N$4,0))-INDEX(terminal_curves,MATCH(AC262,'TERMINAL CURVES'!$A$4:$A$313,0),MATCH(AE$6,'TERMINAL CURVES'!$A$4:$N$4,0)))*IF(W262=0,0,Y262/W262)))*-W262</f>
        <v>0</v>
      </c>
      <c r="AH262" s="343">
        <f t="shared" si="107"/>
        <v>0</v>
      </c>
      <c r="AI262" s="338">
        <f>(-Y262/((HLOOKUP(AG$5,port_specs,2,0)/(365.25))*(AC263-AC262)))*(INDEX(fixed_capacity_charge,MATCH(AC262,PORTS!$H$11:$H$317,0),MATCH(AG$5,PORTS!$H$11:$N$11,0))+INDEX(variable_om_charge,MATCH(AC262,PORTS!$H$318:$H$625,0),MATCH(AG$5,PORTS!$H$318:$N$318,0)))</f>
        <v>0</v>
      </c>
      <c r="AJ262" s="232">
        <f t="shared" si="108"/>
        <v>0</v>
      </c>
      <c r="AK262" s="241">
        <f t="shared" si="109"/>
        <v>0</v>
      </c>
      <c r="AM262" s="186">
        <f t="shared" si="120"/>
        <v>44136</v>
      </c>
      <c r="AN262" s="215">
        <f t="shared" si="110"/>
        <v>0</v>
      </c>
      <c r="AO262" s="191">
        <f t="shared" si="111"/>
        <v>0</v>
      </c>
      <c r="AP262" s="218">
        <f>+IF(AND(AO$8&lt;=AM262,AO$9&gt;=AM262),+MIN($B262-SUMIF($H$17:AO$17,AP$17,$H262:AO262),((INDEX(ROUTE_PER_DAY_BY_SHIP,MATCH(CONCATENATE(AO$4,AO$5,AO$7),ROUTE_PER_DAY_ROUTES,0),MATCH(AO$6,ROUTE_PER_DAY_SHIPS,0))*(AM263-AM262))-(INDEX(ROUTE_PER_DAY_BY_SHIP,MATCH(CONCATENATE(AO$4,AO$5,AO$7),ROUTE_PER_DAY_ROUTES,0),MATCH(AO$6,ROUTE_PER_DAY_SHIPS,0))*(AM263-AM262))*HLOOKUP(AO$6,SHIPS,7,0)*INDEX(LADEN_VOYAGE_DAYS,MATCH(CONCATENATE(AO$4,AO$5,AO$7),LADEN_VOYAGE_ROUTES,0),MATCH(AO$6,LADEN_VOYAGE_SHIPS,0)))),0)</f>
        <v>0</v>
      </c>
      <c r="AQ262" s="118">
        <f>-(AP262)*PORTS!$I$6</f>
        <v>0</v>
      </c>
      <c r="AR262" s="215">
        <f t="shared" si="93"/>
        <v>0</v>
      </c>
      <c r="AS262" s="202"/>
      <c r="AT262" s="186">
        <f t="shared" si="121"/>
        <v>44136</v>
      </c>
      <c r="AU262" s="232">
        <f>+AR262*(VLOOKUP(AT262,CURVECALC!$C$6:$J$312,4,0)+AV$5)</f>
        <v>0</v>
      </c>
      <c r="AV262" s="208">
        <f>-AN262*INDEX(ship_curves,MATCH(AT262,'SHIP CURVES'!$A$9:$A$316,0),MATCH(CONCATENATE(AX$4,AX$5,AX$6,AX$7),'SHIP CURVES'!$A$9:$AZ$9,0))</f>
        <v>0</v>
      </c>
      <c r="AW262" s="209">
        <f>-AP262*INDEX(port_processing_fee,MATCH(AT262,PORTS!$H$626:$H$933,0),MATCH(AX$5,PORTS!$H$626:$Z$626,0))</f>
        <v>0</v>
      </c>
      <c r="AX262" s="405">
        <f>(((VLOOKUP(AT262,curvecalc,4,0))*IF(AN262=0,0,AR262/AN262)-INDEX(ship_curves,MATCH(AT262,'SHIP CURVES'!$A$9:$A$316,0),MATCH(CONCATENATE(AX$4,AX$5,AX$6,AX$7),'SHIP CURVES'!$A$9:$Z$9,0))-INDEX(terminal_curves,MATCH(AT262,'TERMINAL CURVES'!$A$4:$A$313,0),MATCH(AX$5,'TERMINAL CURVES'!$A$4:$N$4,0))*IF(AN262=0,0,AP262/AN262))-(AV$8)*((AV$7-$N$5)-(INDEX(ship_curves,MATCH(AT262,'SHIP CURVES'!$A$9:$A$316,0),MATCH(CONCATENATE(AX$4,AX$5,AX$6,AX$7),'SHIP CURVES'!$A$9:$Z$9,0))-INDEX(ship_curves,MATCH(AT262,'SHIP CURVES'!$A$9:$A$316,0),MATCH(CONCATENATE(AX$4,AV$6,AX$6,AX$7),'SHIP CURVES'!$A$9:$Z$9,0)))-(INDEX(terminal_curves,MATCH(AT262,'TERMINAL CURVES'!$A$4:$A$313,0),MATCH(AX$5,'TERMINAL CURVES'!$A$4:$N$4,0))-INDEX(terminal_curves,MATCH(AT262,'TERMINAL CURVES'!$A$4:$A$313,0),MATCH(AV$6,'TERMINAL CURVES'!$A$4:$N$4,0)))*IF(AN262=0,0,AP262/AN262)))*-AN262</f>
        <v>0</v>
      </c>
      <c r="AY262" s="343">
        <f t="shared" si="112"/>
        <v>0</v>
      </c>
      <c r="AZ262" s="338">
        <f>(-AP262/((HLOOKUP(AX$5,port_specs,2,0)/(365.25))*(AT263-AT262)))*(INDEX(fixed_capacity_charge,MATCH(AT262,PORTS!$H$11:$H$317,0),MATCH(AX$5,PORTS!$H$11:$N$11,0))+INDEX(variable_om_charge,MATCH(AT262,PORTS!$H$318:$H$625,0),MATCH(AX$5,PORTS!$H$318:$N$318,0)))</f>
        <v>0</v>
      </c>
      <c r="BA262" s="232">
        <f t="shared" si="113"/>
        <v>0</v>
      </c>
      <c r="BB262" s="241">
        <f t="shared" si="114"/>
        <v>0</v>
      </c>
      <c r="BC262" s="408"/>
      <c r="BD262" s="338">
        <f>+PORTS!I256+PORTS!I564</f>
        <v>0</v>
      </c>
    </row>
    <row r="263" spans="1:56" x14ac:dyDescent="0.2">
      <c r="A263" s="186">
        <f t="shared" si="115"/>
        <v>44166</v>
      </c>
      <c r="B263" s="215">
        <f>+IF(AND($A263&gt;=$C$8,$A263&lt;=$C$9),1,0)*PORTS!$I$5/(365.25)*(A264-A263)</f>
        <v>0</v>
      </c>
      <c r="C263" s="351">
        <f t="shared" si="94"/>
        <v>0</v>
      </c>
      <c r="D263">
        <f t="shared" si="95"/>
        <v>2020</v>
      </c>
      <c r="E263" s="186">
        <f t="shared" si="116"/>
        <v>44166</v>
      </c>
      <c r="F263" s="215">
        <f t="shared" si="96"/>
        <v>0</v>
      </c>
      <c r="G263" s="191">
        <f t="shared" si="97"/>
        <v>0</v>
      </c>
      <c r="H263" s="218">
        <f t="shared" si="98"/>
        <v>0</v>
      </c>
      <c r="I263" s="118">
        <f t="shared" si="99"/>
        <v>0</v>
      </c>
      <c r="J263" s="215">
        <f t="shared" si="100"/>
        <v>0</v>
      </c>
      <c r="K263" s="202"/>
      <c r="L263" s="186">
        <f t="shared" si="117"/>
        <v>44166</v>
      </c>
      <c r="M263" s="400">
        <f>+J263*(VLOOKUP(L263,CURVECALC!$C$6:$J$312,4,0)+N$5)</f>
        <v>0</v>
      </c>
      <c r="N263" s="208">
        <f>-F263*INDEX(ship_curves,MATCH(L263,'SHIP CURVES'!$A$9:$A$316,0),MATCH(CONCATENATE(P$4,P$5,P$6,P$7),'SHIP CURVES'!$A$9:$AZ$9,0))</f>
        <v>0</v>
      </c>
      <c r="O263" s="209">
        <f>-H263*INDEX(port_processing_fee,MATCH(L263,PORTS!$H$626:$H$933,0),MATCH(P$5,PORTS!$H$626:$Z$626,0))</f>
        <v>0</v>
      </c>
      <c r="P263" s="405">
        <f>(((VLOOKUP(L263,curvecalc,4,0))*IF(F263=0,0,J263/F263)-INDEX(ship_curves,MATCH(L263,'SHIP CURVES'!$A$9:$A$316,0),MATCH(CONCATENATE(P$4,P$5,P$6,P$7),'SHIP CURVES'!$A$9:$Z$9,0))-INDEX(terminal_curves,MATCH(L263,'TERMINAL CURVES'!$A$4:$A$313,0),MATCH(P$5,'TERMINAL CURVES'!$A$4:$N$4,0))*IF(F263=0,0,H263/F263))-(N$8)*((N$7-$N$5)-(INDEX(ship_curves,MATCH(L263,'SHIP CURVES'!$A$9:$A$316,0),MATCH(CONCATENATE(P$4,P$5,P$6,P$7),'SHIP CURVES'!$A$9:$Z$9,0))-INDEX(ship_curves,MATCH(L263,'SHIP CURVES'!$A$9:$A$316,0),MATCH(CONCATENATE(P$4,N$6,P$6,P$7),'SHIP CURVES'!$A$9:$Z$9,0)))-(INDEX(terminal_curves,MATCH(L263,'TERMINAL CURVES'!$A$4:$A$313,0),MATCH(P$5,'TERMINAL CURVES'!$A$4:$N$4,0))-INDEX(terminal_curves,MATCH(L263,'TERMINAL CURVES'!$A$4:$A$313,0),MATCH(N$6,'TERMINAL CURVES'!$A$4:$N$4,0)))*IF(F263=0,0,H263/F263)))*-F263</f>
        <v>0</v>
      </c>
      <c r="Q263" s="403">
        <f t="shared" si="101"/>
        <v>0</v>
      </c>
      <c r="R263" s="338">
        <f>(-H263/((HLOOKUP(P$5,port_specs,2,0)/(365.25))*(L264-L263)))*(INDEX(fixed_capacity_charge,MATCH(L263,PORTS!$H$11:$H$317,0),MATCH(P$5,PORTS!$H$11:$N$11,0))+INDEX(variable_om_charge,MATCH(L263,PORTS!$H$318:$H$625,0),MATCH(P$5,PORTS!$H$318:$N$318,0)))</f>
        <v>0</v>
      </c>
      <c r="S263" s="232">
        <f t="shared" si="102"/>
        <v>0</v>
      </c>
      <c r="T263" s="241">
        <f t="shared" si="103"/>
        <v>0</v>
      </c>
      <c r="V263" s="186">
        <f t="shared" si="118"/>
        <v>44166</v>
      </c>
      <c r="W263" s="215">
        <f t="shared" si="104"/>
        <v>0</v>
      </c>
      <c r="X263" s="191">
        <f t="shared" si="105"/>
        <v>0</v>
      </c>
      <c r="Y263" s="218">
        <f>+IF(AND(X$8&lt;=V263,X$9&gt;=V263),+MIN($B263-SUMIF($H$17:X$17,Y$17,$H263:X263),((INDEX(ROUTE_PER_DAY_BY_SHIP,MATCH(CONCATENATE(X$4,X$5,X$7),ROUTE_PER_DAY_ROUTES,0),MATCH(X$6,ROUTE_PER_DAY_SHIPS,0))*(V264-V263))-(INDEX(ROUTE_PER_DAY_BY_SHIP,MATCH(CONCATENATE(X$4,X$5,X$7),ROUTE_PER_DAY_ROUTES,0),MATCH(X$6,ROUTE_PER_DAY_SHIPS,0))*(V264-V263))*HLOOKUP(X$6,SHIPS,7,0)*INDEX(LADEN_VOYAGE_DAYS,MATCH(CONCATENATE(X$4,X$5,X$7),LADEN_VOYAGE_ROUTES,0),MATCH(X$6,LADEN_VOYAGE_SHIPS,0)))),0)</f>
        <v>0</v>
      </c>
      <c r="Z263" s="118">
        <f t="shared" si="106"/>
        <v>0</v>
      </c>
      <c r="AA263" s="215">
        <f t="shared" si="92"/>
        <v>0</v>
      </c>
      <c r="AB263" s="202"/>
      <c r="AC263" s="186">
        <f t="shared" si="119"/>
        <v>44166</v>
      </c>
      <c r="AD263" s="232">
        <f>+AA263*(VLOOKUP(AC263,CURVECALC!$C$6:$J$312,4,0)+AE$5)</f>
        <v>0</v>
      </c>
      <c r="AE263" s="208">
        <f>-W263*INDEX(ship_curves,MATCH(AC263,'SHIP CURVES'!$A$9:$A$316,0),MATCH(CONCATENATE(AG$4,AG$5,AG$6,AG$7),'SHIP CURVES'!$A$9:$AZ$9,0))</f>
        <v>0</v>
      </c>
      <c r="AF263" s="209">
        <f>-Y263*INDEX(port_processing_fee,MATCH(AC263,PORTS!$H$626:$H$933,0),MATCH(AG$5,PORTS!$H$626:$Z$626,0))</f>
        <v>0</v>
      </c>
      <c r="AG263" s="405">
        <f>(((VLOOKUP(AC263,curvecalc,4,0))*IF(W263=0,0,AA263/W263)-INDEX(ship_curves,MATCH(AC263,'SHIP CURVES'!$A$9:$A$316,0),MATCH(CONCATENATE(AG$4,AG$5,AG$6,AG$7),'SHIP CURVES'!$A$9:$Z$9,0))-INDEX(terminal_curves,MATCH(AC263,'TERMINAL CURVES'!$A$4:$A$313,0),MATCH(AG$5,'TERMINAL CURVES'!$A$4:$N$4,0))*IF(W263=0,0,Y263/W263))-(AE$8)*((AE$7-$N$5)-(INDEX(ship_curves,MATCH(AC263,'SHIP CURVES'!$A$9:$A$316,0),MATCH(CONCATENATE(AG$4,AG$5,AG$6,AG$7),'SHIP CURVES'!$A$9:$Z$9,0))-INDEX(ship_curves,MATCH(AC263,'SHIP CURVES'!$A$9:$A$316,0),MATCH(CONCATENATE(AG$4,AE$6,AG$6,AG$7),'SHIP CURVES'!$A$9:$Z$9,0)))-(INDEX(terminal_curves,MATCH(AC263,'TERMINAL CURVES'!$A$4:$A$313,0),MATCH(AG$5,'TERMINAL CURVES'!$A$4:$N$4,0))-INDEX(terminal_curves,MATCH(AC263,'TERMINAL CURVES'!$A$4:$A$313,0),MATCH(AE$6,'TERMINAL CURVES'!$A$4:$N$4,0)))*IF(W263=0,0,Y263/W263)))*-W263</f>
        <v>0</v>
      </c>
      <c r="AH263" s="343">
        <f t="shared" si="107"/>
        <v>0</v>
      </c>
      <c r="AI263" s="338">
        <f>(-Y263/((HLOOKUP(AG$5,port_specs,2,0)/(365.25))*(AC264-AC263)))*(INDEX(fixed_capacity_charge,MATCH(AC263,PORTS!$H$11:$H$317,0),MATCH(AG$5,PORTS!$H$11:$N$11,0))+INDEX(variable_om_charge,MATCH(AC263,PORTS!$H$318:$H$625,0),MATCH(AG$5,PORTS!$H$318:$N$318,0)))</f>
        <v>0</v>
      </c>
      <c r="AJ263" s="232">
        <f t="shared" si="108"/>
        <v>0</v>
      </c>
      <c r="AK263" s="241">
        <f t="shared" si="109"/>
        <v>0</v>
      </c>
      <c r="AM263" s="186">
        <f t="shared" si="120"/>
        <v>44166</v>
      </c>
      <c r="AN263" s="215">
        <f t="shared" si="110"/>
        <v>0</v>
      </c>
      <c r="AO263" s="191">
        <f t="shared" si="111"/>
        <v>0</v>
      </c>
      <c r="AP263" s="218">
        <f>+IF(AND(AO$8&lt;=AM263,AO$9&gt;=AM263),+MIN($B263-SUMIF($H$17:AO$17,AP$17,$H263:AO263),((INDEX(ROUTE_PER_DAY_BY_SHIP,MATCH(CONCATENATE(AO$4,AO$5,AO$7),ROUTE_PER_DAY_ROUTES,0),MATCH(AO$6,ROUTE_PER_DAY_SHIPS,0))*(AM264-AM263))-(INDEX(ROUTE_PER_DAY_BY_SHIP,MATCH(CONCATENATE(AO$4,AO$5,AO$7),ROUTE_PER_DAY_ROUTES,0),MATCH(AO$6,ROUTE_PER_DAY_SHIPS,0))*(AM264-AM263))*HLOOKUP(AO$6,SHIPS,7,0)*INDEX(LADEN_VOYAGE_DAYS,MATCH(CONCATENATE(AO$4,AO$5,AO$7),LADEN_VOYAGE_ROUTES,0),MATCH(AO$6,LADEN_VOYAGE_SHIPS,0)))),0)</f>
        <v>0</v>
      </c>
      <c r="AQ263" s="118">
        <f>-(AP263)*PORTS!$I$6</f>
        <v>0</v>
      </c>
      <c r="AR263" s="215">
        <f t="shared" si="93"/>
        <v>0</v>
      </c>
      <c r="AS263" s="202"/>
      <c r="AT263" s="186">
        <f t="shared" si="121"/>
        <v>44166</v>
      </c>
      <c r="AU263" s="232">
        <f>+AR263*(VLOOKUP(AT263,CURVECALC!$C$6:$J$312,4,0)+AV$5)</f>
        <v>0</v>
      </c>
      <c r="AV263" s="208">
        <f>-AN263*INDEX(ship_curves,MATCH(AT263,'SHIP CURVES'!$A$9:$A$316,0),MATCH(CONCATENATE(AX$4,AX$5,AX$6,AX$7),'SHIP CURVES'!$A$9:$AZ$9,0))</f>
        <v>0</v>
      </c>
      <c r="AW263" s="209">
        <f>-AP263*INDEX(port_processing_fee,MATCH(AT263,PORTS!$H$626:$H$933,0),MATCH(AX$5,PORTS!$H$626:$Z$626,0))</f>
        <v>0</v>
      </c>
      <c r="AX263" s="405">
        <f>(((VLOOKUP(AT263,curvecalc,4,0))*IF(AN263=0,0,AR263/AN263)-INDEX(ship_curves,MATCH(AT263,'SHIP CURVES'!$A$9:$A$316,0),MATCH(CONCATENATE(AX$4,AX$5,AX$6,AX$7),'SHIP CURVES'!$A$9:$Z$9,0))-INDEX(terminal_curves,MATCH(AT263,'TERMINAL CURVES'!$A$4:$A$313,0),MATCH(AX$5,'TERMINAL CURVES'!$A$4:$N$4,0))*IF(AN263=0,0,AP263/AN263))-(AV$8)*((AV$7-$N$5)-(INDEX(ship_curves,MATCH(AT263,'SHIP CURVES'!$A$9:$A$316,0),MATCH(CONCATENATE(AX$4,AX$5,AX$6,AX$7),'SHIP CURVES'!$A$9:$Z$9,0))-INDEX(ship_curves,MATCH(AT263,'SHIP CURVES'!$A$9:$A$316,0),MATCH(CONCATENATE(AX$4,AV$6,AX$6,AX$7),'SHIP CURVES'!$A$9:$Z$9,0)))-(INDEX(terminal_curves,MATCH(AT263,'TERMINAL CURVES'!$A$4:$A$313,0),MATCH(AX$5,'TERMINAL CURVES'!$A$4:$N$4,0))-INDEX(terminal_curves,MATCH(AT263,'TERMINAL CURVES'!$A$4:$A$313,0),MATCH(AV$6,'TERMINAL CURVES'!$A$4:$N$4,0)))*IF(AN263=0,0,AP263/AN263)))*-AN263</f>
        <v>0</v>
      </c>
      <c r="AY263" s="343">
        <f t="shared" si="112"/>
        <v>0</v>
      </c>
      <c r="AZ263" s="338">
        <f>(-AP263/((HLOOKUP(AX$5,port_specs,2,0)/(365.25))*(AT264-AT263)))*(INDEX(fixed_capacity_charge,MATCH(AT263,PORTS!$H$11:$H$317,0),MATCH(AX$5,PORTS!$H$11:$N$11,0))+INDEX(variable_om_charge,MATCH(AT263,PORTS!$H$318:$H$625,0),MATCH(AX$5,PORTS!$H$318:$N$318,0)))</f>
        <v>0</v>
      </c>
      <c r="BA263" s="232">
        <f t="shared" si="113"/>
        <v>0</v>
      </c>
      <c r="BB263" s="241">
        <f t="shared" si="114"/>
        <v>0</v>
      </c>
      <c r="BC263" s="408"/>
      <c r="BD263" s="338">
        <f>+PORTS!I257+PORTS!I565</f>
        <v>0</v>
      </c>
    </row>
    <row r="264" spans="1:56" x14ac:dyDescent="0.2">
      <c r="A264" s="186">
        <f t="shared" si="115"/>
        <v>44197</v>
      </c>
      <c r="B264" s="215">
        <f>+IF(AND($A264&gt;=$C$8,$A264&lt;=$C$9),1,0)*PORTS!$I$5/(365.25)*(A265-A264)</f>
        <v>0</v>
      </c>
      <c r="C264" s="351">
        <f t="shared" si="94"/>
        <v>0</v>
      </c>
      <c r="D264">
        <f t="shared" si="95"/>
        <v>2021</v>
      </c>
      <c r="E264" s="186">
        <f t="shared" si="116"/>
        <v>44197</v>
      </c>
      <c r="F264" s="215">
        <f t="shared" si="96"/>
        <v>0</v>
      </c>
      <c r="G264" s="191">
        <f t="shared" si="97"/>
        <v>0</v>
      </c>
      <c r="H264" s="218">
        <f t="shared" si="98"/>
        <v>0</v>
      </c>
      <c r="I264" s="118">
        <f t="shared" si="99"/>
        <v>0</v>
      </c>
      <c r="J264" s="215">
        <f t="shared" si="100"/>
        <v>0</v>
      </c>
      <c r="K264" s="202"/>
      <c r="L264" s="186">
        <f t="shared" si="117"/>
        <v>44197</v>
      </c>
      <c r="M264" s="400">
        <f>+J264*(VLOOKUP(L264,CURVECALC!$C$6:$J$312,4,0)+N$5)</f>
        <v>0</v>
      </c>
      <c r="N264" s="208">
        <f>-F264*INDEX(ship_curves,MATCH(L264,'SHIP CURVES'!$A$9:$A$316,0),MATCH(CONCATENATE(P$4,P$5,P$6,P$7),'SHIP CURVES'!$A$9:$AZ$9,0))</f>
        <v>0</v>
      </c>
      <c r="O264" s="209">
        <f>-H264*INDEX(port_processing_fee,MATCH(L264,PORTS!$H$626:$H$933,0),MATCH(P$5,PORTS!$H$626:$Z$626,0))</f>
        <v>0</v>
      </c>
      <c r="P264" s="405">
        <f>(((VLOOKUP(L264,curvecalc,4,0))*IF(F264=0,0,J264/F264)-INDEX(ship_curves,MATCH(L264,'SHIP CURVES'!$A$9:$A$316,0),MATCH(CONCATENATE(P$4,P$5,P$6,P$7),'SHIP CURVES'!$A$9:$Z$9,0))-INDEX(terminal_curves,MATCH(L264,'TERMINAL CURVES'!$A$4:$A$313,0),MATCH(P$5,'TERMINAL CURVES'!$A$4:$N$4,0))*IF(F264=0,0,H264/F264))-(N$8)*((N$7-$N$5)-(INDEX(ship_curves,MATCH(L264,'SHIP CURVES'!$A$9:$A$316,0),MATCH(CONCATENATE(P$4,P$5,P$6,P$7),'SHIP CURVES'!$A$9:$Z$9,0))-INDEX(ship_curves,MATCH(L264,'SHIP CURVES'!$A$9:$A$316,0),MATCH(CONCATENATE(P$4,N$6,P$6,P$7),'SHIP CURVES'!$A$9:$Z$9,0)))-(INDEX(terminal_curves,MATCH(L264,'TERMINAL CURVES'!$A$4:$A$313,0),MATCH(P$5,'TERMINAL CURVES'!$A$4:$N$4,0))-INDEX(terminal_curves,MATCH(L264,'TERMINAL CURVES'!$A$4:$A$313,0),MATCH(N$6,'TERMINAL CURVES'!$A$4:$N$4,0)))*IF(F264=0,0,H264/F264)))*-F264</f>
        <v>0</v>
      </c>
      <c r="Q264" s="403">
        <f t="shared" si="101"/>
        <v>0</v>
      </c>
      <c r="R264" s="338">
        <f>(-H264/((HLOOKUP(P$5,port_specs,2,0)/(365.25))*(L265-L264)))*(INDEX(fixed_capacity_charge,MATCH(L264,PORTS!$H$11:$H$317,0),MATCH(P$5,PORTS!$H$11:$N$11,0))+INDEX(variable_om_charge,MATCH(L264,PORTS!$H$318:$H$625,0),MATCH(P$5,PORTS!$H$318:$N$318,0)))</f>
        <v>0</v>
      </c>
      <c r="S264" s="232">
        <f t="shared" si="102"/>
        <v>0</v>
      </c>
      <c r="T264" s="241">
        <f t="shared" si="103"/>
        <v>0</v>
      </c>
      <c r="V264" s="186">
        <f t="shared" si="118"/>
        <v>44197</v>
      </c>
      <c r="W264" s="215">
        <f t="shared" si="104"/>
        <v>0</v>
      </c>
      <c r="X264" s="191">
        <f t="shared" si="105"/>
        <v>0</v>
      </c>
      <c r="Y264" s="218">
        <f>+IF(AND(X$8&lt;=V264,X$9&gt;=V264),+MIN($B264-SUMIF($H$17:X$17,Y$17,$H264:X264),((INDEX(ROUTE_PER_DAY_BY_SHIP,MATCH(CONCATENATE(X$4,X$5,X$7),ROUTE_PER_DAY_ROUTES,0),MATCH(X$6,ROUTE_PER_DAY_SHIPS,0))*(V265-V264))-(INDEX(ROUTE_PER_DAY_BY_SHIP,MATCH(CONCATENATE(X$4,X$5,X$7),ROUTE_PER_DAY_ROUTES,0),MATCH(X$6,ROUTE_PER_DAY_SHIPS,0))*(V265-V264))*HLOOKUP(X$6,SHIPS,7,0)*INDEX(LADEN_VOYAGE_DAYS,MATCH(CONCATENATE(X$4,X$5,X$7),LADEN_VOYAGE_ROUTES,0),MATCH(X$6,LADEN_VOYAGE_SHIPS,0)))),0)</f>
        <v>0</v>
      </c>
      <c r="Z264" s="118">
        <f t="shared" si="106"/>
        <v>0</v>
      </c>
      <c r="AA264" s="215">
        <f t="shared" si="92"/>
        <v>0</v>
      </c>
      <c r="AB264" s="202"/>
      <c r="AC264" s="186">
        <f t="shared" si="119"/>
        <v>44197</v>
      </c>
      <c r="AD264" s="232">
        <f>+AA264*(VLOOKUP(AC264,CURVECALC!$C$6:$J$312,4,0)+AE$5)</f>
        <v>0</v>
      </c>
      <c r="AE264" s="208">
        <f>-W264*INDEX(ship_curves,MATCH(AC264,'SHIP CURVES'!$A$9:$A$316,0),MATCH(CONCATENATE(AG$4,AG$5,AG$6,AG$7),'SHIP CURVES'!$A$9:$AZ$9,0))</f>
        <v>0</v>
      </c>
      <c r="AF264" s="209">
        <f>-Y264*INDEX(port_processing_fee,MATCH(AC264,PORTS!$H$626:$H$933,0),MATCH(AG$5,PORTS!$H$626:$Z$626,0))</f>
        <v>0</v>
      </c>
      <c r="AG264" s="405">
        <f>(((VLOOKUP(AC264,curvecalc,4,0))*IF(W264=0,0,AA264/W264)-INDEX(ship_curves,MATCH(AC264,'SHIP CURVES'!$A$9:$A$316,0),MATCH(CONCATENATE(AG$4,AG$5,AG$6,AG$7),'SHIP CURVES'!$A$9:$Z$9,0))-INDEX(terminal_curves,MATCH(AC264,'TERMINAL CURVES'!$A$4:$A$313,0),MATCH(AG$5,'TERMINAL CURVES'!$A$4:$N$4,0))*IF(W264=0,0,Y264/W264))-(AE$8)*((AE$7-$N$5)-(INDEX(ship_curves,MATCH(AC264,'SHIP CURVES'!$A$9:$A$316,0),MATCH(CONCATENATE(AG$4,AG$5,AG$6,AG$7),'SHIP CURVES'!$A$9:$Z$9,0))-INDEX(ship_curves,MATCH(AC264,'SHIP CURVES'!$A$9:$A$316,0),MATCH(CONCATENATE(AG$4,AE$6,AG$6,AG$7),'SHIP CURVES'!$A$9:$Z$9,0)))-(INDEX(terminal_curves,MATCH(AC264,'TERMINAL CURVES'!$A$4:$A$313,0),MATCH(AG$5,'TERMINAL CURVES'!$A$4:$N$4,0))-INDEX(terminal_curves,MATCH(AC264,'TERMINAL CURVES'!$A$4:$A$313,0),MATCH(AE$6,'TERMINAL CURVES'!$A$4:$N$4,0)))*IF(W264=0,0,Y264/W264)))*-W264</f>
        <v>0</v>
      </c>
      <c r="AH264" s="343">
        <f t="shared" si="107"/>
        <v>0</v>
      </c>
      <c r="AI264" s="338">
        <f>(-Y264/((HLOOKUP(AG$5,port_specs,2,0)/(365.25))*(AC265-AC264)))*(INDEX(fixed_capacity_charge,MATCH(AC264,PORTS!$H$11:$H$317,0),MATCH(AG$5,PORTS!$H$11:$N$11,0))+INDEX(variable_om_charge,MATCH(AC264,PORTS!$H$318:$H$625,0),MATCH(AG$5,PORTS!$H$318:$N$318,0)))</f>
        <v>0</v>
      </c>
      <c r="AJ264" s="232">
        <f t="shared" si="108"/>
        <v>0</v>
      </c>
      <c r="AK264" s="241">
        <f t="shared" si="109"/>
        <v>0</v>
      </c>
      <c r="AM264" s="186">
        <f t="shared" si="120"/>
        <v>44197</v>
      </c>
      <c r="AN264" s="215">
        <f t="shared" si="110"/>
        <v>0</v>
      </c>
      <c r="AO264" s="191">
        <f t="shared" si="111"/>
        <v>0</v>
      </c>
      <c r="AP264" s="218">
        <f>+IF(AND(AO$8&lt;=AM264,AO$9&gt;=AM264),+MIN($B264-SUMIF($H$17:AO$17,AP$17,$H264:AO264),((INDEX(ROUTE_PER_DAY_BY_SHIP,MATCH(CONCATENATE(AO$4,AO$5,AO$7),ROUTE_PER_DAY_ROUTES,0),MATCH(AO$6,ROUTE_PER_DAY_SHIPS,0))*(AM265-AM264))-(INDEX(ROUTE_PER_DAY_BY_SHIP,MATCH(CONCATENATE(AO$4,AO$5,AO$7),ROUTE_PER_DAY_ROUTES,0),MATCH(AO$6,ROUTE_PER_DAY_SHIPS,0))*(AM265-AM264))*HLOOKUP(AO$6,SHIPS,7,0)*INDEX(LADEN_VOYAGE_DAYS,MATCH(CONCATENATE(AO$4,AO$5,AO$7),LADEN_VOYAGE_ROUTES,0),MATCH(AO$6,LADEN_VOYAGE_SHIPS,0)))),0)</f>
        <v>0</v>
      </c>
      <c r="AQ264" s="118">
        <f>-(AP264)*PORTS!$I$6</f>
        <v>0</v>
      </c>
      <c r="AR264" s="215">
        <f t="shared" si="93"/>
        <v>0</v>
      </c>
      <c r="AS264" s="202"/>
      <c r="AT264" s="186">
        <f t="shared" si="121"/>
        <v>44197</v>
      </c>
      <c r="AU264" s="232">
        <f>+AR264*(VLOOKUP(AT264,CURVECALC!$C$6:$J$312,4,0)+AV$5)</f>
        <v>0</v>
      </c>
      <c r="AV264" s="208">
        <f>-AN264*INDEX(ship_curves,MATCH(AT264,'SHIP CURVES'!$A$9:$A$316,0),MATCH(CONCATENATE(AX$4,AX$5,AX$6,AX$7),'SHIP CURVES'!$A$9:$AZ$9,0))</f>
        <v>0</v>
      </c>
      <c r="AW264" s="209">
        <f>-AP264*INDEX(port_processing_fee,MATCH(AT264,PORTS!$H$626:$H$933,0),MATCH(AX$5,PORTS!$H$626:$Z$626,0))</f>
        <v>0</v>
      </c>
      <c r="AX264" s="405">
        <f>(((VLOOKUP(AT264,curvecalc,4,0))*IF(AN264=0,0,AR264/AN264)-INDEX(ship_curves,MATCH(AT264,'SHIP CURVES'!$A$9:$A$316,0),MATCH(CONCATENATE(AX$4,AX$5,AX$6,AX$7),'SHIP CURVES'!$A$9:$Z$9,0))-INDEX(terminal_curves,MATCH(AT264,'TERMINAL CURVES'!$A$4:$A$313,0),MATCH(AX$5,'TERMINAL CURVES'!$A$4:$N$4,0))*IF(AN264=0,0,AP264/AN264))-(AV$8)*((AV$7-$N$5)-(INDEX(ship_curves,MATCH(AT264,'SHIP CURVES'!$A$9:$A$316,0),MATCH(CONCATENATE(AX$4,AX$5,AX$6,AX$7),'SHIP CURVES'!$A$9:$Z$9,0))-INDEX(ship_curves,MATCH(AT264,'SHIP CURVES'!$A$9:$A$316,0),MATCH(CONCATENATE(AX$4,AV$6,AX$6,AX$7),'SHIP CURVES'!$A$9:$Z$9,0)))-(INDEX(terminal_curves,MATCH(AT264,'TERMINAL CURVES'!$A$4:$A$313,0),MATCH(AX$5,'TERMINAL CURVES'!$A$4:$N$4,0))-INDEX(terminal_curves,MATCH(AT264,'TERMINAL CURVES'!$A$4:$A$313,0),MATCH(AV$6,'TERMINAL CURVES'!$A$4:$N$4,0)))*IF(AN264=0,0,AP264/AN264)))*-AN264</f>
        <v>0</v>
      </c>
      <c r="AY264" s="343">
        <f t="shared" si="112"/>
        <v>0</v>
      </c>
      <c r="AZ264" s="338">
        <f>(-AP264/((HLOOKUP(AX$5,port_specs,2,0)/(365.25))*(AT265-AT264)))*(INDEX(fixed_capacity_charge,MATCH(AT264,PORTS!$H$11:$H$317,0),MATCH(AX$5,PORTS!$H$11:$N$11,0))+INDEX(variable_om_charge,MATCH(AT264,PORTS!$H$318:$H$625,0),MATCH(AX$5,PORTS!$H$318:$N$318,0)))</f>
        <v>0</v>
      </c>
      <c r="BA264" s="232">
        <f t="shared" si="113"/>
        <v>0</v>
      </c>
      <c r="BB264" s="241">
        <f t="shared" si="114"/>
        <v>0</v>
      </c>
      <c r="BC264" s="408"/>
      <c r="BD264" s="338">
        <f>+PORTS!I258+PORTS!I566</f>
        <v>0</v>
      </c>
    </row>
    <row r="265" spans="1:56" x14ac:dyDescent="0.2">
      <c r="A265" s="186">
        <f t="shared" si="115"/>
        <v>44228</v>
      </c>
      <c r="B265" s="215">
        <f>+IF(AND($A265&gt;=$C$8,$A265&lt;=$C$9),1,0)*PORTS!$I$5/(365.25)*(A266-A265)</f>
        <v>0</v>
      </c>
      <c r="C265" s="351">
        <f t="shared" si="94"/>
        <v>0</v>
      </c>
      <c r="D265">
        <f t="shared" si="95"/>
        <v>2021</v>
      </c>
      <c r="E265" s="186">
        <f t="shared" si="116"/>
        <v>44228</v>
      </c>
      <c r="F265" s="215">
        <f t="shared" si="96"/>
        <v>0</v>
      </c>
      <c r="G265" s="191">
        <f t="shared" si="97"/>
        <v>0</v>
      </c>
      <c r="H265" s="218">
        <f t="shared" si="98"/>
        <v>0</v>
      </c>
      <c r="I265" s="118">
        <f t="shared" si="99"/>
        <v>0</v>
      </c>
      <c r="J265" s="215">
        <f t="shared" si="100"/>
        <v>0</v>
      </c>
      <c r="K265" s="202"/>
      <c r="L265" s="186">
        <f t="shared" si="117"/>
        <v>44228</v>
      </c>
      <c r="M265" s="400">
        <f>+J265*(VLOOKUP(L265,CURVECALC!$C$6:$J$312,4,0)+N$5)</f>
        <v>0</v>
      </c>
      <c r="N265" s="208">
        <f>-F265*INDEX(ship_curves,MATCH(L265,'SHIP CURVES'!$A$9:$A$316,0),MATCH(CONCATENATE(P$4,P$5,P$6,P$7),'SHIP CURVES'!$A$9:$AZ$9,0))</f>
        <v>0</v>
      </c>
      <c r="O265" s="209">
        <f>-H265*INDEX(port_processing_fee,MATCH(L265,PORTS!$H$626:$H$933,0),MATCH(P$5,PORTS!$H$626:$Z$626,0))</f>
        <v>0</v>
      </c>
      <c r="P265" s="405">
        <f>(((VLOOKUP(L265,curvecalc,4,0))*IF(F265=0,0,J265/F265)-INDEX(ship_curves,MATCH(L265,'SHIP CURVES'!$A$9:$A$316,0),MATCH(CONCATENATE(P$4,P$5,P$6,P$7),'SHIP CURVES'!$A$9:$Z$9,0))-INDEX(terminal_curves,MATCH(L265,'TERMINAL CURVES'!$A$4:$A$313,0),MATCH(P$5,'TERMINAL CURVES'!$A$4:$N$4,0))*IF(F265=0,0,H265/F265))-(N$8)*((N$7-$N$5)-(INDEX(ship_curves,MATCH(L265,'SHIP CURVES'!$A$9:$A$316,0),MATCH(CONCATENATE(P$4,P$5,P$6,P$7),'SHIP CURVES'!$A$9:$Z$9,0))-INDEX(ship_curves,MATCH(L265,'SHIP CURVES'!$A$9:$A$316,0),MATCH(CONCATENATE(P$4,N$6,P$6,P$7),'SHIP CURVES'!$A$9:$Z$9,0)))-(INDEX(terminal_curves,MATCH(L265,'TERMINAL CURVES'!$A$4:$A$313,0),MATCH(P$5,'TERMINAL CURVES'!$A$4:$N$4,0))-INDEX(terminal_curves,MATCH(L265,'TERMINAL CURVES'!$A$4:$A$313,0),MATCH(N$6,'TERMINAL CURVES'!$A$4:$N$4,0)))*IF(F265=0,0,H265/F265)))*-F265</f>
        <v>0</v>
      </c>
      <c r="Q265" s="403">
        <f t="shared" si="101"/>
        <v>0</v>
      </c>
      <c r="R265" s="338">
        <f>(-H265/((HLOOKUP(P$5,port_specs,2,0)/(365.25))*(L266-L265)))*(INDEX(fixed_capacity_charge,MATCH(L265,PORTS!$H$11:$H$317,0),MATCH(P$5,PORTS!$H$11:$N$11,0))+INDEX(variable_om_charge,MATCH(L265,PORTS!$H$318:$H$625,0),MATCH(P$5,PORTS!$H$318:$N$318,0)))</f>
        <v>0</v>
      </c>
      <c r="S265" s="232">
        <f t="shared" si="102"/>
        <v>0</v>
      </c>
      <c r="T265" s="241">
        <f t="shared" si="103"/>
        <v>0</v>
      </c>
      <c r="V265" s="186">
        <f t="shared" si="118"/>
        <v>44228</v>
      </c>
      <c r="W265" s="215">
        <f t="shared" si="104"/>
        <v>0</v>
      </c>
      <c r="X265" s="191">
        <f t="shared" si="105"/>
        <v>0</v>
      </c>
      <c r="Y265" s="218">
        <f>+IF(AND(X$8&lt;=V265,X$9&gt;=V265),+MIN($B265-SUMIF($H$17:X$17,Y$17,$H265:X265),((INDEX(ROUTE_PER_DAY_BY_SHIP,MATCH(CONCATENATE(X$4,X$5,X$7),ROUTE_PER_DAY_ROUTES,0),MATCH(X$6,ROUTE_PER_DAY_SHIPS,0))*(V266-V265))-(INDEX(ROUTE_PER_DAY_BY_SHIP,MATCH(CONCATENATE(X$4,X$5,X$7),ROUTE_PER_DAY_ROUTES,0),MATCH(X$6,ROUTE_PER_DAY_SHIPS,0))*(V266-V265))*HLOOKUP(X$6,SHIPS,7,0)*INDEX(LADEN_VOYAGE_DAYS,MATCH(CONCATENATE(X$4,X$5,X$7),LADEN_VOYAGE_ROUTES,0),MATCH(X$6,LADEN_VOYAGE_SHIPS,0)))),0)</f>
        <v>0</v>
      </c>
      <c r="Z265" s="118">
        <f t="shared" si="106"/>
        <v>0</v>
      </c>
      <c r="AA265" s="215">
        <f t="shared" si="92"/>
        <v>0</v>
      </c>
      <c r="AB265" s="202"/>
      <c r="AC265" s="186">
        <f t="shared" si="119"/>
        <v>44228</v>
      </c>
      <c r="AD265" s="232">
        <f>+AA265*(VLOOKUP(AC265,CURVECALC!$C$6:$J$312,4,0)+AE$5)</f>
        <v>0</v>
      </c>
      <c r="AE265" s="208">
        <f>-W265*INDEX(ship_curves,MATCH(AC265,'SHIP CURVES'!$A$9:$A$316,0),MATCH(CONCATENATE(AG$4,AG$5,AG$6,AG$7),'SHIP CURVES'!$A$9:$AZ$9,0))</f>
        <v>0</v>
      </c>
      <c r="AF265" s="209">
        <f>-Y265*INDEX(port_processing_fee,MATCH(AC265,PORTS!$H$626:$H$933,0),MATCH(AG$5,PORTS!$H$626:$Z$626,0))</f>
        <v>0</v>
      </c>
      <c r="AG265" s="405">
        <f>(((VLOOKUP(AC265,curvecalc,4,0))*IF(W265=0,0,AA265/W265)-INDEX(ship_curves,MATCH(AC265,'SHIP CURVES'!$A$9:$A$316,0),MATCH(CONCATENATE(AG$4,AG$5,AG$6,AG$7),'SHIP CURVES'!$A$9:$Z$9,0))-INDEX(terminal_curves,MATCH(AC265,'TERMINAL CURVES'!$A$4:$A$313,0),MATCH(AG$5,'TERMINAL CURVES'!$A$4:$N$4,0))*IF(W265=0,0,Y265/W265))-(AE$8)*((AE$7-$N$5)-(INDEX(ship_curves,MATCH(AC265,'SHIP CURVES'!$A$9:$A$316,0),MATCH(CONCATENATE(AG$4,AG$5,AG$6,AG$7),'SHIP CURVES'!$A$9:$Z$9,0))-INDEX(ship_curves,MATCH(AC265,'SHIP CURVES'!$A$9:$A$316,0),MATCH(CONCATENATE(AG$4,AE$6,AG$6,AG$7),'SHIP CURVES'!$A$9:$Z$9,0)))-(INDEX(terminal_curves,MATCH(AC265,'TERMINAL CURVES'!$A$4:$A$313,0),MATCH(AG$5,'TERMINAL CURVES'!$A$4:$N$4,0))-INDEX(terminal_curves,MATCH(AC265,'TERMINAL CURVES'!$A$4:$A$313,0),MATCH(AE$6,'TERMINAL CURVES'!$A$4:$N$4,0)))*IF(W265=0,0,Y265/W265)))*-W265</f>
        <v>0</v>
      </c>
      <c r="AH265" s="343">
        <f t="shared" si="107"/>
        <v>0</v>
      </c>
      <c r="AI265" s="338">
        <f>(-Y265/((HLOOKUP(AG$5,port_specs,2,0)/(365.25))*(AC266-AC265)))*(INDEX(fixed_capacity_charge,MATCH(AC265,PORTS!$H$11:$H$317,0),MATCH(AG$5,PORTS!$H$11:$N$11,0))+INDEX(variable_om_charge,MATCH(AC265,PORTS!$H$318:$H$625,0),MATCH(AG$5,PORTS!$H$318:$N$318,0)))</f>
        <v>0</v>
      </c>
      <c r="AJ265" s="232">
        <f t="shared" si="108"/>
        <v>0</v>
      </c>
      <c r="AK265" s="241">
        <f t="shared" si="109"/>
        <v>0</v>
      </c>
      <c r="AM265" s="186">
        <f t="shared" si="120"/>
        <v>44228</v>
      </c>
      <c r="AN265" s="215">
        <f t="shared" si="110"/>
        <v>0</v>
      </c>
      <c r="AO265" s="191">
        <f t="shared" si="111"/>
        <v>0</v>
      </c>
      <c r="AP265" s="218">
        <f>+IF(AND(AO$8&lt;=AM265,AO$9&gt;=AM265),+MIN($B265-SUMIF($H$17:AO$17,AP$17,$H265:AO265),((INDEX(ROUTE_PER_DAY_BY_SHIP,MATCH(CONCATENATE(AO$4,AO$5,AO$7),ROUTE_PER_DAY_ROUTES,0),MATCH(AO$6,ROUTE_PER_DAY_SHIPS,0))*(AM266-AM265))-(INDEX(ROUTE_PER_DAY_BY_SHIP,MATCH(CONCATENATE(AO$4,AO$5,AO$7),ROUTE_PER_DAY_ROUTES,0),MATCH(AO$6,ROUTE_PER_DAY_SHIPS,0))*(AM266-AM265))*HLOOKUP(AO$6,SHIPS,7,0)*INDEX(LADEN_VOYAGE_DAYS,MATCH(CONCATENATE(AO$4,AO$5,AO$7),LADEN_VOYAGE_ROUTES,0),MATCH(AO$6,LADEN_VOYAGE_SHIPS,0)))),0)</f>
        <v>0</v>
      </c>
      <c r="AQ265" s="118">
        <f>-(AP265)*PORTS!$I$6</f>
        <v>0</v>
      </c>
      <c r="AR265" s="215">
        <f t="shared" si="93"/>
        <v>0</v>
      </c>
      <c r="AS265" s="202"/>
      <c r="AT265" s="186">
        <f t="shared" si="121"/>
        <v>44228</v>
      </c>
      <c r="AU265" s="232">
        <f>+AR265*(VLOOKUP(AT265,CURVECALC!$C$6:$J$312,4,0)+AV$5)</f>
        <v>0</v>
      </c>
      <c r="AV265" s="208">
        <f>-AN265*INDEX(ship_curves,MATCH(AT265,'SHIP CURVES'!$A$9:$A$316,0),MATCH(CONCATENATE(AX$4,AX$5,AX$6,AX$7),'SHIP CURVES'!$A$9:$AZ$9,0))</f>
        <v>0</v>
      </c>
      <c r="AW265" s="209">
        <f>-AP265*INDEX(port_processing_fee,MATCH(AT265,PORTS!$H$626:$H$933,0),MATCH(AX$5,PORTS!$H$626:$Z$626,0))</f>
        <v>0</v>
      </c>
      <c r="AX265" s="405">
        <f>(((VLOOKUP(AT265,curvecalc,4,0))*IF(AN265=0,0,AR265/AN265)-INDEX(ship_curves,MATCH(AT265,'SHIP CURVES'!$A$9:$A$316,0),MATCH(CONCATENATE(AX$4,AX$5,AX$6,AX$7),'SHIP CURVES'!$A$9:$Z$9,0))-INDEX(terminal_curves,MATCH(AT265,'TERMINAL CURVES'!$A$4:$A$313,0),MATCH(AX$5,'TERMINAL CURVES'!$A$4:$N$4,0))*IF(AN265=0,0,AP265/AN265))-(AV$8)*((AV$7-$N$5)-(INDEX(ship_curves,MATCH(AT265,'SHIP CURVES'!$A$9:$A$316,0),MATCH(CONCATENATE(AX$4,AX$5,AX$6,AX$7),'SHIP CURVES'!$A$9:$Z$9,0))-INDEX(ship_curves,MATCH(AT265,'SHIP CURVES'!$A$9:$A$316,0),MATCH(CONCATENATE(AX$4,AV$6,AX$6,AX$7),'SHIP CURVES'!$A$9:$Z$9,0)))-(INDEX(terminal_curves,MATCH(AT265,'TERMINAL CURVES'!$A$4:$A$313,0),MATCH(AX$5,'TERMINAL CURVES'!$A$4:$N$4,0))-INDEX(terminal_curves,MATCH(AT265,'TERMINAL CURVES'!$A$4:$A$313,0),MATCH(AV$6,'TERMINAL CURVES'!$A$4:$N$4,0)))*IF(AN265=0,0,AP265/AN265)))*-AN265</f>
        <v>0</v>
      </c>
      <c r="AY265" s="343">
        <f t="shared" si="112"/>
        <v>0</v>
      </c>
      <c r="AZ265" s="338">
        <f>(-AP265/((HLOOKUP(AX$5,port_specs,2,0)/(365.25))*(AT266-AT265)))*(INDEX(fixed_capacity_charge,MATCH(AT265,PORTS!$H$11:$H$317,0),MATCH(AX$5,PORTS!$H$11:$N$11,0))+INDEX(variable_om_charge,MATCH(AT265,PORTS!$H$318:$H$625,0),MATCH(AX$5,PORTS!$H$318:$N$318,0)))</f>
        <v>0</v>
      </c>
      <c r="BA265" s="232">
        <f t="shared" si="113"/>
        <v>0</v>
      </c>
      <c r="BB265" s="241">
        <f t="shared" si="114"/>
        <v>0</v>
      </c>
      <c r="BC265" s="408"/>
      <c r="BD265" s="338">
        <f>+PORTS!I259+PORTS!I567</f>
        <v>0</v>
      </c>
    </row>
    <row r="266" spans="1:56" x14ac:dyDescent="0.2">
      <c r="A266" s="186">
        <f t="shared" si="115"/>
        <v>44256</v>
      </c>
      <c r="B266" s="215">
        <f>+IF(AND($A266&gt;=$C$8,$A266&lt;=$C$9),1,0)*PORTS!$I$5/(365.25)*(A267-A266)</f>
        <v>0</v>
      </c>
      <c r="C266" s="351">
        <f t="shared" si="94"/>
        <v>0</v>
      </c>
      <c r="D266">
        <f t="shared" si="95"/>
        <v>2021</v>
      </c>
      <c r="E266" s="186">
        <f t="shared" si="116"/>
        <v>44256</v>
      </c>
      <c r="F266" s="215">
        <f t="shared" si="96"/>
        <v>0</v>
      </c>
      <c r="G266" s="191">
        <f t="shared" si="97"/>
        <v>0</v>
      </c>
      <c r="H266" s="218">
        <f t="shared" si="98"/>
        <v>0</v>
      </c>
      <c r="I266" s="118">
        <f t="shared" si="99"/>
        <v>0</v>
      </c>
      <c r="J266" s="215">
        <f t="shared" si="100"/>
        <v>0</v>
      </c>
      <c r="K266" s="202"/>
      <c r="L266" s="186">
        <f t="shared" si="117"/>
        <v>44256</v>
      </c>
      <c r="M266" s="400">
        <f>+J266*(VLOOKUP(L266,CURVECALC!$C$6:$J$312,4,0)+N$5)</f>
        <v>0</v>
      </c>
      <c r="N266" s="208">
        <f>-F266*INDEX(ship_curves,MATCH(L266,'SHIP CURVES'!$A$9:$A$316,0),MATCH(CONCATENATE(P$4,P$5,P$6,P$7),'SHIP CURVES'!$A$9:$AZ$9,0))</f>
        <v>0</v>
      </c>
      <c r="O266" s="209">
        <f>-H266*INDEX(port_processing_fee,MATCH(L266,PORTS!$H$626:$H$933,0),MATCH(P$5,PORTS!$H$626:$Z$626,0))</f>
        <v>0</v>
      </c>
      <c r="P266" s="405">
        <f>(((VLOOKUP(L266,curvecalc,4,0))*IF(F266=0,0,J266/F266)-INDEX(ship_curves,MATCH(L266,'SHIP CURVES'!$A$9:$A$316,0),MATCH(CONCATENATE(P$4,P$5,P$6,P$7),'SHIP CURVES'!$A$9:$Z$9,0))-INDEX(terminal_curves,MATCH(L266,'TERMINAL CURVES'!$A$4:$A$313,0),MATCH(P$5,'TERMINAL CURVES'!$A$4:$N$4,0))*IF(F266=0,0,H266/F266))-(N$8)*((N$7-$N$5)-(INDEX(ship_curves,MATCH(L266,'SHIP CURVES'!$A$9:$A$316,0),MATCH(CONCATENATE(P$4,P$5,P$6,P$7),'SHIP CURVES'!$A$9:$Z$9,0))-INDEX(ship_curves,MATCH(L266,'SHIP CURVES'!$A$9:$A$316,0),MATCH(CONCATENATE(P$4,N$6,P$6,P$7),'SHIP CURVES'!$A$9:$Z$9,0)))-(INDEX(terminal_curves,MATCH(L266,'TERMINAL CURVES'!$A$4:$A$313,0),MATCH(P$5,'TERMINAL CURVES'!$A$4:$N$4,0))-INDEX(terminal_curves,MATCH(L266,'TERMINAL CURVES'!$A$4:$A$313,0),MATCH(N$6,'TERMINAL CURVES'!$A$4:$N$4,0)))*IF(F266=0,0,H266/F266)))*-F266</f>
        <v>0</v>
      </c>
      <c r="Q266" s="403">
        <f t="shared" si="101"/>
        <v>0</v>
      </c>
      <c r="R266" s="338">
        <f>(-H266/((HLOOKUP(P$5,port_specs,2,0)/(365.25))*(L267-L266)))*(INDEX(fixed_capacity_charge,MATCH(L266,PORTS!$H$11:$H$317,0),MATCH(P$5,PORTS!$H$11:$N$11,0))+INDEX(variable_om_charge,MATCH(L266,PORTS!$H$318:$H$625,0),MATCH(P$5,PORTS!$H$318:$N$318,0)))</f>
        <v>0</v>
      </c>
      <c r="S266" s="232">
        <f t="shared" si="102"/>
        <v>0</v>
      </c>
      <c r="T266" s="241">
        <f t="shared" si="103"/>
        <v>0</v>
      </c>
      <c r="V266" s="186">
        <f t="shared" si="118"/>
        <v>44256</v>
      </c>
      <c r="W266" s="215">
        <f t="shared" si="104"/>
        <v>0</v>
      </c>
      <c r="X266" s="191">
        <f t="shared" si="105"/>
        <v>0</v>
      </c>
      <c r="Y266" s="218">
        <f>+IF(AND(X$8&lt;=V266,X$9&gt;=V266),+MIN($B266-SUMIF($H$17:X$17,Y$17,$H266:X266),((INDEX(ROUTE_PER_DAY_BY_SHIP,MATCH(CONCATENATE(X$4,X$5,X$7),ROUTE_PER_DAY_ROUTES,0),MATCH(X$6,ROUTE_PER_DAY_SHIPS,0))*(V267-V266))-(INDEX(ROUTE_PER_DAY_BY_SHIP,MATCH(CONCATENATE(X$4,X$5,X$7),ROUTE_PER_DAY_ROUTES,0),MATCH(X$6,ROUTE_PER_DAY_SHIPS,0))*(V267-V266))*HLOOKUP(X$6,SHIPS,7,0)*INDEX(LADEN_VOYAGE_DAYS,MATCH(CONCATENATE(X$4,X$5,X$7),LADEN_VOYAGE_ROUTES,0),MATCH(X$6,LADEN_VOYAGE_SHIPS,0)))),0)</f>
        <v>0</v>
      </c>
      <c r="Z266" s="118">
        <f t="shared" si="106"/>
        <v>0</v>
      </c>
      <c r="AA266" s="215">
        <f t="shared" si="92"/>
        <v>0</v>
      </c>
      <c r="AB266" s="202"/>
      <c r="AC266" s="186">
        <f t="shared" si="119"/>
        <v>44256</v>
      </c>
      <c r="AD266" s="232">
        <f>+AA266*(VLOOKUP(AC266,CURVECALC!$C$6:$J$312,4,0)+AE$5)</f>
        <v>0</v>
      </c>
      <c r="AE266" s="208">
        <f>-W266*INDEX(ship_curves,MATCH(AC266,'SHIP CURVES'!$A$9:$A$316,0),MATCH(CONCATENATE(AG$4,AG$5,AG$6,AG$7),'SHIP CURVES'!$A$9:$AZ$9,0))</f>
        <v>0</v>
      </c>
      <c r="AF266" s="209">
        <f>-Y266*INDEX(port_processing_fee,MATCH(AC266,PORTS!$H$626:$H$933,0),MATCH(AG$5,PORTS!$H$626:$Z$626,0))</f>
        <v>0</v>
      </c>
      <c r="AG266" s="405">
        <f>(((VLOOKUP(AC266,curvecalc,4,0))*IF(W266=0,0,AA266/W266)-INDEX(ship_curves,MATCH(AC266,'SHIP CURVES'!$A$9:$A$316,0),MATCH(CONCATENATE(AG$4,AG$5,AG$6,AG$7),'SHIP CURVES'!$A$9:$Z$9,0))-INDEX(terminal_curves,MATCH(AC266,'TERMINAL CURVES'!$A$4:$A$313,0),MATCH(AG$5,'TERMINAL CURVES'!$A$4:$N$4,0))*IF(W266=0,0,Y266/W266))-(AE$8)*((AE$7-$N$5)-(INDEX(ship_curves,MATCH(AC266,'SHIP CURVES'!$A$9:$A$316,0),MATCH(CONCATENATE(AG$4,AG$5,AG$6,AG$7),'SHIP CURVES'!$A$9:$Z$9,0))-INDEX(ship_curves,MATCH(AC266,'SHIP CURVES'!$A$9:$A$316,0),MATCH(CONCATENATE(AG$4,AE$6,AG$6,AG$7),'SHIP CURVES'!$A$9:$Z$9,0)))-(INDEX(terminal_curves,MATCH(AC266,'TERMINAL CURVES'!$A$4:$A$313,0),MATCH(AG$5,'TERMINAL CURVES'!$A$4:$N$4,0))-INDEX(terminal_curves,MATCH(AC266,'TERMINAL CURVES'!$A$4:$A$313,0),MATCH(AE$6,'TERMINAL CURVES'!$A$4:$N$4,0)))*IF(W266=0,0,Y266/W266)))*-W266</f>
        <v>0</v>
      </c>
      <c r="AH266" s="343">
        <f t="shared" si="107"/>
        <v>0</v>
      </c>
      <c r="AI266" s="338">
        <f>(-Y266/((HLOOKUP(AG$5,port_specs,2,0)/(365.25))*(AC267-AC266)))*(INDEX(fixed_capacity_charge,MATCH(AC266,PORTS!$H$11:$H$317,0),MATCH(AG$5,PORTS!$H$11:$N$11,0))+INDEX(variable_om_charge,MATCH(AC266,PORTS!$H$318:$H$625,0),MATCH(AG$5,PORTS!$H$318:$N$318,0)))</f>
        <v>0</v>
      </c>
      <c r="AJ266" s="232">
        <f t="shared" si="108"/>
        <v>0</v>
      </c>
      <c r="AK266" s="241">
        <f t="shared" si="109"/>
        <v>0</v>
      </c>
      <c r="AM266" s="186">
        <f t="shared" si="120"/>
        <v>44256</v>
      </c>
      <c r="AN266" s="215">
        <f t="shared" si="110"/>
        <v>0</v>
      </c>
      <c r="AO266" s="191">
        <f t="shared" si="111"/>
        <v>0</v>
      </c>
      <c r="AP266" s="218">
        <f>+IF(AND(AO$8&lt;=AM266,AO$9&gt;=AM266),+MIN($B266-SUMIF($H$17:AO$17,AP$17,$H266:AO266),((INDEX(ROUTE_PER_DAY_BY_SHIP,MATCH(CONCATENATE(AO$4,AO$5,AO$7),ROUTE_PER_DAY_ROUTES,0),MATCH(AO$6,ROUTE_PER_DAY_SHIPS,0))*(AM267-AM266))-(INDEX(ROUTE_PER_DAY_BY_SHIP,MATCH(CONCATENATE(AO$4,AO$5,AO$7),ROUTE_PER_DAY_ROUTES,0),MATCH(AO$6,ROUTE_PER_DAY_SHIPS,0))*(AM267-AM266))*HLOOKUP(AO$6,SHIPS,7,0)*INDEX(LADEN_VOYAGE_DAYS,MATCH(CONCATENATE(AO$4,AO$5,AO$7),LADEN_VOYAGE_ROUTES,0),MATCH(AO$6,LADEN_VOYAGE_SHIPS,0)))),0)</f>
        <v>0</v>
      </c>
      <c r="AQ266" s="118">
        <f>-(AP266)*PORTS!$I$6</f>
        <v>0</v>
      </c>
      <c r="AR266" s="215">
        <f t="shared" si="93"/>
        <v>0</v>
      </c>
      <c r="AS266" s="202"/>
      <c r="AT266" s="186">
        <f t="shared" si="121"/>
        <v>44256</v>
      </c>
      <c r="AU266" s="232">
        <f>+AR266*(VLOOKUP(AT266,CURVECALC!$C$6:$J$312,4,0)+AV$5)</f>
        <v>0</v>
      </c>
      <c r="AV266" s="208">
        <f>-AN266*INDEX(ship_curves,MATCH(AT266,'SHIP CURVES'!$A$9:$A$316,0),MATCH(CONCATENATE(AX$4,AX$5,AX$6,AX$7),'SHIP CURVES'!$A$9:$AZ$9,0))</f>
        <v>0</v>
      </c>
      <c r="AW266" s="209">
        <f>-AP266*INDEX(port_processing_fee,MATCH(AT266,PORTS!$H$626:$H$933,0),MATCH(AX$5,PORTS!$H$626:$Z$626,0))</f>
        <v>0</v>
      </c>
      <c r="AX266" s="405">
        <f>(((VLOOKUP(AT266,curvecalc,4,0))*IF(AN266=0,0,AR266/AN266)-INDEX(ship_curves,MATCH(AT266,'SHIP CURVES'!$A$9:$A$316,0),MATCH(CONCATENATE(AX$4,AX$5,AX$6,AX$7),'SHIP CURVES'!$A$9:$Z$9,0))-INDEX(terminal_curves,MATCH(AT266,'TERMINAL CURVES'!$A$4:$A$313,0),MATCH(AX$5,'TERMINAL CURVES'!$A$4:$N$4,0))*IF(AN266=0,0,AP266/AN266))-(AV$8)*((AV$7-$N$5)-(INDEX(ship_curves,MATCH(AT266,'SHIP CURVES'!$A$9:$A$316,0),MATCH(CONCATENATE(AX$4,AX$5,AX$6,AX$7),'SHIP CURVES'!$A$9:$Z$9,0))-INDEX(ship_curves,MATCH(AT266,'SHIP CURVES'!$A$9:$A$316,0),MATCH(CONCATENATE(AX$4,AV$6,AX$6,AX$7),'SHIP CURVES'!$A$9:$Z$9,0)))-(INDEX(terminal_curves,MATCH(AT266,'TERMINAL CURVES'!$A$4:$A$313,0),MATCH(AX$5,'TERMINAL CURVES'!$A$4:$N$4,0))-INDEX(terminal_curves,MATCH(AT266,'TERMINAL CURVES'!$A$4:$A$313,0),MATCH(AV$6,'TERMINAL CURVES'!$A$4:$N$4,0)))*IF(AN266=0,0,AP266/AN266)))*-AN266</f>
        <v>0</v>
      </c>
      <c r="AY266" s="343">
        <f t="shared" si="112"/>
        <v>0</v>
      </c>
      <c r="AZ266" s="338">
        <f>(-AP266/((HLOOKUP(AX$5,port_specs,2,0)/(365.25))*(AT267-AT266)))*(INDEX(fixed_capacity_charge,MATCH(AT266,PORTS!$H$11:$H$317,0),MATCH(AX$5,PORTS!$H$11:$N$11,0))+INDEX(variable_om_charge,MATCH(AT266,PORTS!$H$318:$H$625,0),MATCH(AX$5,PORTS!$H$318:$N$318,0)))</f>
        <v>0</v>
      </c>
      <c r="BA266" s="232">
        <f t="shared" si="113"/>
        <v>0</v>
      </c>
      <c r="BB266" s="241">
        <f t="shared" si="114"/>
        <v>0</v>
      </c>
      <c r="BC266" s="408"/>
      <c r="BD266" s="338">
        <f>+PORTS!I260+PORTS!I568</f>
        <v>0</v>
      </c>
    </row>
    <row r="267" spans="1:56" x14ac:dyDescent="0.2">
      <c r="A267" s="186">
        <f t="shared" si="115"/>
        <v>44287</v>
      </c>
      <c r="B267" s="215">
        <f>+IF(AND($A267&gt;=$C$8,$A267&lt;=$C$9),1,0)*PORTS!$I$5/(365.25)*(A268-A267)</f>
        <v>0</v>
      </c>
      <c r="C267" s="351">
        <f t="shared" si="94"/>
        <v>0</v>
      </c>
      <c r="D267">
        <f t="shared" si="95"/>
        <v>2021</v>
      </c>
      <c r="E267" s="186">
        <f t="shared" si="116"/>
        <v>44287</v>
      </c>
      <c r="F267" s="215">
        <f t="shared" si="96"/>
        <v>0</v>
      </c>
      <c r="G267" s="191">
        <f t="shared" si="97"/>
        <v>0</v>
      </c>
      <c r="H267" s="218">
        <f t="shared" si="98"/>
        <v>0</v>
      </c>
      <c r="I267" s="118">
        <f t="shared" si="99"/>
        <v>0</v>
      </c>
      <c r="J267" s="215">
        <f t="shared" si="100"/>
        <v>0</v>
      </c>
      <c r="K267" s="202"/>
      <c r="L267" s="186">
        <f t="shared" si="117"/>
        <v>44287</v>
      </c>
      <c r="M267" s="400">
        <f>+J267*(VLOOKUP(L267,CURVECALC!$C$6:$J$312,4,0)+N$5)</f>
        <v>0</v>
      </c>
      <c r="N267" s="208">
        <f>-F267*INDEX(ship_curves,MATCH(L267,'SHIP CURVES'!$A$9:$A$316,0),MATCH(CONCATENATE(P$4,P$5,P$6,P$7),'SHIP CURVES'!$A$9:$AZ$9,0))</f>
        <v>0</v>
      </c>
      <c r="O267" s="209">
        <f>-H267*INDEX(port_processing_fee,MATCH(L267,PORTS!$H$626:$H$933,0),MATCH(P$5,PORTS!$H$626:$Z$626,0))</f>
        <v>0</v>
      </c>
      <c r="P267" s="405">
        <f>(((VLOOKUP(L267,curvecalc,4,0))*IF(F267=0,0,J267/F267)-INDEX(ship_curves,MATCH(L267,'SHIP CURVES'!$A$9:$A$316,0),MATCH(CONCATENATE(P$4,P$5,P$6,P$7),'SHIP CURVES'!$A$9:$Z$9,0))-INDEX(terminal_curves,MATCH(L267,'TERMINAL CURVES'!$A$4:$A$313,0),MATCH(P$5,'TERMINAL CURVES'!$A$4:$N$4,0))*IF(F267=0,0,H267/F267))-(N$8)*((N$7-$N$5)-(INDEX(ship_curves,MATCH(L267,'SHIP CURVES'!$A$9:$A$316,0),MATCH(CONCATENATE(P$4,P$5,P$6,P$7),'SHIP CURVES'!$A$9:$Z$9,0))-INDEX(ship_curves,MATCH(L267,'SHIP CURVES'!$A$9:$A$316,0),MATCH(CONCATENATE(P$4,N$6,P$6,P$7),'SHIP CURVES'!$A$9:$Z$9,0)))-(INDEX(terminal_curves,MATCH(L267,'TERMINAL CURVES'!$A$4:$A$313,0),MATCH(P$5,'TERMINAL CURVES'!$A$4:$N$4,0))-INDEX(terminal_curves,MATCH(L267,'TERMINAL CURVES'!$A$4:$A$313,0),MATCH(N$6,'TERMINAL CURVES'!$A$4:$N$4,0)))*IF(F267=0,0,H267/F267)))*-F267</f>
        <v>0</v>
      </c>
      <c r="Q267" s="403">
        <f t="shared" si="101"/>
        <v>0</v>
      </c>
      <c r="R267" s="338">
        <f>(-H267/((HLOOKUP(P$5,port_specs,2,0)/(365.25))*(L268-L267)))*(INDEX(fixed_capacity_charge,MATCH(L267,PORTS!$H$11:$H$317,0),MATCH(P$5,PORTS!$H$11:$N$11,0))+INDEX(variable_om_charge,MATCH(L267,PORTS!$H$318:$H$625,0),MATCH(P$5,PORTS!$H$318:$N$318,0)))</f>
        <v>0</v>
      </c>
      <c r="S267" s="232">
        <f t="shared" si="102"/>
        <v>0</v>
      </c>
      <c r="T267" s="241">
        <f t="shared" si="103"/>
        <v>0</v>
      </c>
      <c r="V267" s="186">
        <f t="shared" si="118"/>
        <v>44287</v>
      </c>
      <c r="W267" s="215">
        <f t="shared" si="104"/>
        <v>0</v>
      </c>
      <c r="X267" s="191">
        <f t="shared" si="105"/>
        <v>0</v>
      </c>
      <c r="Y267" s="218">
        <f>+IF(AND(X$8&lt;=V267,X$9&gt;=V267),+MIN($B267-SUMIF($H$17:X$17,Y$17,$H267:X267),((INDEX(ROUTE_PER_DAY_BY_SHIP,MATCH(CONCATENATE(X$4,X$5,X$7),ROUTE_PER_DAY_ROUTES,0),MATCH(X$6,ROUTE_PER_DAY_SHIPS,0))*(V268-V267))-(INDEX(ROUTE_PER_DAY_BY_SHIP,MATCH(CONCATENATE(X$4,X$5,X$7),ROUTE_PER_DAY_ROUTES,0),MATCH(X$6,ROUTE_PER_DAY_SHIPS,0))*(V268-V267))*HLOOKUP(X$6,SHIPS,7,0)*INDEX(LADEN_VOYAGE_DAYS,MATCH(CONCATENATE(X$4,X$5,X$7),LADEN_VOYAGE_ROUTES,0),MATCH(X$6,LADEN_VOYAGE_SHIPS,0)))),0)</f>
        <v>0</v>
      </c>
      <c r="Z267" s="118">
        <f t="shared" si="106"/>
        <v>0</v>
      </c>
      <c r="AA267" s="215">
        <f t="shared" si="92"/>
        <v>0</v>
      </c>
      <c r="AB267" s="202"/>
      <c r="AC267" s="186">
        <f t="shared" si="119"/>
        <v>44287</v>
      </c>
      <c r="AD267" s="232">
        <f>+AA267*(VLOOKUP(AC267,CURVECALC!$C$6:$J$312,4,0)+AE$5)</f>
        <v>0</v>
      </c>
      <c r="AE267" s="208">
        <f>-W267*INDEX(ship_curves,MATCH(AC267,'SHIP CURVES'!$A$9:$A$316,0),MATCH(CONCATENATE(AG$4,AG$5,AG$6,AG$7),'SHIP CURVES'!$A$9:$AZ$9,0))</f>
        <v>0</v>
      </c>
      <c r="AF267" s="209">
        <f>-Y267*INDEX(port_processing_fee,MATCH(AC267,PORTS!$H$626:$H$933,0),MATCH(AG$5,PORTS!$H$626:$Z$626,0))</f>
        <v>0</v>
      </c>
      <c r="AG267" s="405">
        <f>(((VLOOKUP(AC267,curvecalc,4,0))*IF(W267=0,0,AA267/W267)-INDEX(ship_curves,MATCH(AC267,'SHIP CURVES'!$A$9:$A$316,0),MATCH(CONCATENATE(AG$4,AG$5,AG$6,AG$7),'SHIP CURVES'!$A$9:$Z$9,0))-INDEX(terminal_curves,MATCH(AC267,'TERMINAL CURVES'!$A$4:$A$313,0),MATCH(AG$5,'TERMINAL CURVES'!$A$4:$N$4,0))*IF(W267=0,0,Y267/W267))-(AE$8)*((AE$7-$N$5)-(INDEX(ship_curves,MATCH(AC267,'SHIP CURVES'!$A$9:$A$316,0),MATCH(CONCATENATE(AG$4,AG$5,AG$6,AG$7),'SHIP CURVES'!$A$9:$Z$9,0))-INDEX(ship_curves,MATCH(AC267,'SHIP CURVES'!$A$9:$A$316,0),MATCH(CONCATENATE(AG$4,AE$6,AG$6,AG$7),'SHIP CURVES'!$A$9:$Z$9,0)))-(INDEX(terminal_curves,MATCH(AC267,'TERMINAL CURVES'!$A$4:$A$313,0),MATCH(AG$5,'TERMINAL CURVES'!$A$4:$N$4,0))-INDEX(terminal_curves,MATCH(AC267,'TERMINAL CURVES'!$A$4:$A$313,0),MATCH(AE$6,'TERMINAL CURVES'!$A$4:$N$4,0)))*IF(W267=0,0,Y267/W267)))*-W267</f>
        <v>0</v>
      </c>
      <c r="AH267" s="343">
        <f t="shared" si="107"/>
        <v>0</v>
      </c>
      <c r="AI267" s="338">
        <f>(-Y267/((HLOOKUP(AG$5,port_specs,2,0)/(365.25))*(AC268-AC267)))*(INDEX(fixed_capacity_charge,MATCH(AC267,PORTS!$H$11:$H$317,0),MATCH(AG$5,PORTS!$H$11:$N$11,0))+INDEX(variable_om_charge,MATCH(AC267,PORTS!$H$318:$H$625,0),MATCH(AG$5,PORTS!$H$318:$N$318,0)))</f>
        <v>0</v>
      </c>
      <c r="AJ267" s="232">
        <f t="shared" si="108"/>
        <v>0</v>
      </c>
      <c r="AK267" s="241">
        <f t="shared" si="109"/>
        <v>0</v>
      </c>
      <c r="AM267" s="186">
        <f t="shared" si="120"/>
        <v>44287</v>
      </c>
      <c r="AN267" s="215">
        <f t="shared" si="110"/>
        <v>0</v>
      </c>
      <c r="AO267" s="191">
        <f t="shared" si="111"/>
        <v>0</v>
      </c>
      <c r="AP267" s="218">
        <f>+IF(AND(AO$8&lt;=AM267,AO$9&gt;=AM267),+MIN($B267-SUMIF($H$17:AO$17,AP$17,$H267:AO267),((INDEX(ROUTE_PER_DAY_BY_SHIP,MATCH(CONCATENATE(AO$4,AO$5,AO$7),ROUTE_PER_DAY_ROUTES,0),MATCH(AO$6,ROUTE_PER_DAY_SHIPS,0))*(AM268-AM267))-(INDEX(ROUTE_PER_DAY_BY_SHIP,MATCH(CONCATENATE(AO$4,AO$5,AO$7),ROUTE_PER_DAY_ROUTES,0),MATCH(AO$6,ROUTE_PER_DAY_SHIPS,0))*(AM268-AM267))*HLOOKUP(AO$6,SHIPS,7,0)*INDEX(LADEN_VOYAGE_DAYS,MATCH(CONCATENATE(AO$4,AO$5,AO$7),LADEN_VOYAGE_ROUTES,0),MATCH(AO$6,LADEN_VOYAGE_SHIPS,0)))),0)</f>
        <v>0</v>
      </c>
      <c r="AQ267" s="118">
        <f>-(AP267)*PORTS!$I$6</f>
        <v>0</v>
      </c>
      <c r="AR267" s="215">
        <f t="shared" si="93"/>
        <v>0</v>
      </c>
      <c r="AS267" s="202"/>
      <c r="AT267" s="186">
        <f t="shared" si="121"/>
        <v>44287</v>
      </c>
      <c r="AU267" s="232">
        <f>+AR267*(VLOOKUP(AT267,CURVECALC!$C$6:$J$312,4,0)+AV$5)</f>
        <v>0</v>
      </c>
      <c r="AV267" s="208">
        <f>-AN267*INDEX(ship_curves,MATCH(AT267,'SHIP CURVES'!$A$9:$A$316,0),MATCH(CONCATENATE(AX$4,AX$5,AX$6,AX$7),'SHIP CURVES'!$A$9:$AZ$9,0))</f>
        <v>0</v>
      </c>
      <c r="AW267" s="209">
        <f>-AP267*INDEX(port_processing_fee,MATCH(AT267,PORTS!$H$626:$H$933,0),MATCH(AX$5,PORTS!$H$626:$Z$626,0))</f>
        <v>0</v>
      </c>
      <c r="AX267" s="405">
        <f>(((VLOOKUP(AT267,curvecalc,4,0))*IF(AN267=0,0,AR267/AN267)-INDEX(ship_curves,MATCH(AT267,'SHIP CURVES'!$A$9:$A$316,0),MATCH(CONCATENATE(AX$4,AX$5,AX$6,AX$7),'SHIP CURVES'!$A$9:$Z$9,0))-INDEX(terminal_curves,MATCH(AT267,'TERMINAL CURVES'!$A$4:$A$313,0),MATCH(AX$5,'TERMINAL CURVES'!$A$4:$N$4,0))*IF(AN267=0,0,AP267/AN267))-(AV$8)*((AV$7-$N$5)-(INDEX(ship_curves,MATCH(AT267,'SHIP CURVES'!$A$9:$A$316,0),MATCH(CONCATENATE(AX$4,AX$5,AX$6,AX$7),'SHIP CURVES'!$A$9:$Z$9,0))-INDEX(ship_curves,MATCH(AT267,'SHIP CURVES'!$A$9:$A$316,0),MATCH(CONCATENATE(AX$4,AV$6,AX$6,AX$7),'SHIP CURVES'!$A$9:$Z$9,0)))-(INDEX(terminal_curves,MATCH(AT267,'TERMINAL CURVES'!$A$4:$A$313,0),MATCH(AX$5,'TERMINAL CURVES'!$A$4:$N$4,0))-INDEX(terminal_curves,MATCH(AT267,'TERMINAL CURVES'!$A$4:$A$313,0),MATCH(AV$6,'TERMINAL CURVES'!$A$4:$N$4,0)))*IF(AN267=0,0,AP267/AN267)))*-AN267</f>
        <v>0</v>
      </c>
      <c r="AY267" s="343">
        <f t="shared" si="112"/>
        <v>0</v>
      </c>
      <c r="AZ267" s="338">
        <f>(-AP267/((HLOOKUP(AX$5,port_specs,2,0)/(365.25))*(AT268-AT267)))*(INDEX(fixed_capacity_charge,MATCH(AT267,PORTS!$H$11:$H$317,0),MATCH(AX$5,PORTS!$H$11:$N$11,0))+INDEX(variable_om_charge,MATCH(AT267,PORTS!$H$318:$H$625,0),MATCH(AX$5,PORTS!$H$318:$N$318,0)))</f>
        <v>0</v>
      </c>
      <c r="BA267" s="232">
        <f t="shared" si="113"/>
        <v>0</v>
      </c>
      <c r="BB267" s="241">
        <f t="shared" si="114"/>
        <v>0</v>
      </c>
      <c r="BC267" s="408"/>
      <c r="BD267" s="338">
        <f>+PORTS!I261+PORTS!I569</f>
        <v>0</v>
      </c>
    </row>
    <row r="268" spans="1:56" x14ac:dyDescent="0.2">
      <c r="A268" s="186">
        <f t="shared" si="115"/>
        <v>44317</v>
      </c>
      <c r="B268" s="215">
        <f>+IF(AND($A268&gt;=$C$8,$A268&lt;=$C$9),1,0)*PORTS!$I$5/(365.25)*(A269-A268)</f>
        <v>0</v>
      </c>
      <c r="C268" s="351">
        <f t="shared" si="94"/>
        <v>0</v>
      </c>
      <c r="D268">
        <f t="shared" si="95"/>
        <v>2021</v>
      </c>
      <c r="E268" s="186">
        <f t="shared" si="116"/>
        <v>44317</v>
      </c>
      <c r="F268" s="215">
        <f t="shared" si="96"/>
        <v>0</v>
      </c>
      <c r="G268" s="191">
        <f t="shared" si="97"/>
        <v>0</v>
      </c>
      <c r="H268" s="218">
        <f t="shared" si="98"/>
        <v>0</v>
      </c>
      <c r="I268" s="118">
        <f t="shared" si="99"/>
        <v>0</v>
      </c>
      <c r="J268" s="215">
        <f t="shared" si="100"/>
        <v>0</v>
      </c>
      <c r="K268" s="202"/>
      <c r="L268" s="186">
        <f t="shared" si="117"/>
        <v>44317</v>
      </c>
      <c r="M268" s="400">
        <f>+J268*(VLOOKUP(L268,CURVECALC!$C$6:$J$312,4,0)+N$5)</f>
        <v>0</v>
      </c>
      <c r="N268" s="208">
        <f>-F268*INDEX(ship_curves,MATCH(L268,'SHIP CURVES'!$A$9:$A$316,0),MATCH(CONCATENATE(P$4,P$5,P$6,P$7),'SHIP CURVES'!$A$9:$AZ$9,0))</f>
        <v>0</v>
      </c>
      <c r="O268" s="209">
        <f>-H268*INDEX(port_processing_fee,MATCH(L268,PORTS!$H$626:$H$933,0),MATCH(P$5,PORTS!$H$626:$Z$626,0))</f>
        <v>0</v>
      </c>
      <c r="P268" s="405">
        <f>(((VLOOKUP(L268,curvecalc,4,0))*IF(F268=0,0,J268/F268)-INDEX(ship_curves,MATCH(L268,'SHIP CURVES'!$A$9:$A$316,0),MATCH(CONCATENATE(P$4,P$5,P$6,P$7),'SHIP CURVES'!$A$9:$Z$9,0))-INDEX(terminal_curves,MATCH(L268,'TERMINAL CURVES'!$A$4:$A$313,0),MATCH(P$5,'TERMINAL CURVES'!$A$4:$N$4,0))*IF(F268=0,0,H268/F268))-(N$8)*((N$7-$N$5)-(INDEX(ship_curves,MATCH(L268,'SHIP CURVES'!$A$9:$A$316,0),MATCH(CONCATENATE(P$4,P$5,P$6,P$7),'SHIP CURVES'!$A$9:$Z$9,0))-INDEX(ship_curves,MATCH(L268,'SHIP CURVES'!$A$9:$A$316,0),MATCH(CONCATENATE(P$4,N$6,P$6,P$7),'SHIP CURVES'!$A$9:$Z$9,0)))-(INDEX(terminal_curves,MATCH(L268,'TERMINAL CURVES'!$A$4:$A$313,0),MATCH(P$5,'TERMINAL CURVES'!$A$4:$N$4,0))-INDEX(terminal_curves,MATCH(L268,'TERMINAL CURVES'!$A$4:$A$313,0),MATCH(N$6,'TERMINAL CURVES'!$A$4:$N$4,0)))*IF(F268=0,0,H268/F268)))*-F268</f>
        <v>0</v>
      </c>
      <c r="Q268" s="403">
        <f t="shared" si="101"/>
        <v>0</v>
      </c>
      <c r="R268" s="338">
        <f>(-H268/((HLOOKUP(P$5,port_specs,2,0)/(365.25))*(L269-L268)))*(INDEX(fixed_capacity_charge,MATCH(L268,PORTS!$H$11:$H$317,0),MATCH(P$5,PORTS!$H$11:$N$11,0))+INDEX(variable_om_charge,MATCH(L268,PORTS!$H$318:$H$625,0),MATCH(P$5,PORTS!$H$318:$N$318,0)))</f>
        <v>0</v>
      </c>
      <c r="S268" s="232">
        <f t="shared" si="102"/>
        <v>0</v>
      </c>
      <c r="T268" s="241">
        <f t="shared" si="103"/>
        <v>0</v>
      </c>
      <c r="V268" s="186">
        <f t="shared" si="118"/>
        <v>44317</v>
      </c>
      <c r="W268" s="215">
        <f t="shared" si="104"/>
        <v>0</v>
      </c>
      <c r="X268" s="191">
        <f t="shared" si="105"/>
        <v>0</v>
      </c>
      <c r="Y268" s="218">
        <f>+IF(AND(X$8&lt;=V268,X$9&gt;=V268),+MIN($B268-SUMIF($H$17:X$17,Y$17,$H268:X268),((INDEX(ROUTE_PER_DAY_BY_SHIP,MATCH(CONCATENATE(X$4,X$5,X$7),ROUTE_PER_DAY_ROUTES,0),MATCH(X$6,ROUTE_PER_DAY_SHIPS,0))*(V269-V268))-(INDEX(ROUTE_PER_DAY_BY_SHIP,MATCH(CONCATENATE(X$4,X$5,X$7),ROUTE_PER_DAY_ROUTES,0),MATCH(X$6,ROUTE_PER_DAY_SHIPS,0))*(V269-V268))*HLOOKUP(X$6,SHIPS,7,0)*INDEX(LADEN_VOYAGE_DAYS,MATCH(CONCATENATE(X$4,X$5,X$7),LADEN_VOYAGE_ROUTES,0),MATCH(X$6,LADEN_VOYAGE_SHIPS,0)))),0)</f>
        <v>0</v>
      </c>
      <c r="Z268" s="118">
        <f t="shared" si="106"/>
        <v>0</v>
      </c>
      <c r="AA268" s="215">
        <f t="shared" si="92"/>
        <v>0</v>
      </c>
      <c r="AB268" s="202"/>
      <c r="AC268" s="186">
        <f t="shared" si="119"/>
        <v>44317</v>
      </c>
      <c r="AD268" s="232">
        <f>+AA268*(VLOOKUP(AC268,CURVECALC!$C$6:$J$312,4,0)+AE$5)</f>
        <v>0</v>
      </c>
      <c r="AE268" s="208">
        <f>-W268*INDEX(ship_curves,MATCH(AC268,'SHIP CURVES'!$A$9:$A$316,0),MATCH(CONCATENATE(AG$4,AG$5,AG$6,AG$7),'SHIP CURVES'!$A$9:$AZ$9,0))</f>
        <v>0</v>
      </c>
      <c r="AF268" s="209">
        <f>-Y268*INDEX(port_processing_fee,MATCH(AC268,PORTS!$H$626:$H$933,0),MATCH(AG$5,PORTS!$H$626:$Z$626,0))</f>
        <v>0</v>
      </c>
      <c r="AG268" s="405">
        <f>(((VLOOKUP(AC268,curvecalc,4,0))*IF(W268=0,0,AA268/W268)-INDEX(ship_curves,MATCH(AC268,'SHIP CURVES'!$A$9:$A$316,0),MATCH(CONCATENATE(AG$4,AG$5,AG$6,AG$7),'SHIP CURVES'!$A$9:$Z$9,0))-INDEX(terminal_curves,MATCH(AC268,'TERMINAL CURVES'!$A$4:$A$313,0),MATCH(AG$5,'TERMINAL CURVES'!$A$4:$N$4,0))*IF(W268=0,0,Y268/W268))-(AE$8)*((AE$7-$N$5)-(INDEX(ship_curves,MATCH(AC268,'SHIP CURVES'!$A$9:$A$316,0),MATCH(CONCATENATE(AG$4,AG$5,AG$6,AG$7),'SHIP CURVES'!$A$9:$Z$9,0))-INDEX(ship_curves,MATCH(AC268,'SHIP CURVES'!$A$9:$A$316,0),MATCH(CONCATENATE(AG$4,AE$6,AG$6,AG$7),'SHIP CURVES'!$A$9:$Z$9,0)))-(INDEX(terminal_curves,MATCH(AC268,'TERMINAL CURVES'!$A$4:$A$313,0),MATCH(AG$5,'TERMINAL CURVES'!$A$4:$N$4,0))-INDEX(terminal_curves,MATCH(AC268,'TERMINAL CURVES'!$A$4:$A$313,0),MATCH(AE$6,'TERMINAL CURVES'!$A$4:$N$4,0)))*IF(W268=0,0,Y268/W268)))*-W268</f>
        <v>0</v>
      </c>
      <c r="AH268" s="343">
        <f t="shared" si="107"/>
        <v>0</v>
      </c>
      <c r="AI268" s="338">
        <f>(-Y268/((HLOOKUP(AG$5,port_specs,2,0)/(365.25))*(AC269-AC268)))*(INDEX(fixed_capacity_charge,MATCH(AC268,PORTS!$H$11:$H$317,0),MATCH(AG$5,PORTS!$H$11:$N$11,0))+INDEX(variable_om_charge,MATCH(AC268,PORTS!$H$318:$H$625,0),MATCH(AG$5,PORTS!$H$318:$N$318,0)))</f>
        <v>0</v>
      </c>
      <c r="AJ268" s="232">
        <f t="shared" si="108"/>
        <v>0</v>
      </c>
      <c r="AK268" s="241">
        <f t="shared" si="109"/>
        <v>0</v>
      </c>
      <c r="AM268" s="186">
        <f t="shared" si="120"/>
        <v>44317</v>
      </c>
      <c r="AN268" s="215">
        <f t="shared" si="110"/>
        <v>0</v>
      </c>
      <c r="AO268" s="191">
        <f t="shared" si="111"/>
        <v>0</v>
      </c>
      <c r="AP268" s="218">
        <f>+IF(AND(AO$8&lt;=AM268,AO$9&gt;=AM268),+MIN($B268-SUMIF($H$17:AO$17,AP$17,$H268:AO268),((INDEX(ROUTE_PER_DAY_BY_SHIP,MATCH(CONCATENATE(AO$4,AO$5,AO$7),ROUTE_PER_DAY_ROUTES,0),MATCH(AO$6,ROUTE_PER_DAY_SHIPS,0))*(AM269-AM268))-(INDEX(ROUTE_PER_DAY_BY_SHIP,MATCH(CONCATENATE(AO$4,AO$5,AO$7),ROUTE_PER_DAY_ROUTES,0),MATCH(AO$6,ROUTE_PER_DAY_SHIPS,0))*(AM269-AM268))*HLOOKUP(AO$6,SHIPS,7,0)*INDEX(LADEN_VOYAGE_DAYS,MATCH(CONCATENATE(AO$4,AO$5,AO$7),LADEN_VOYAGE_ROUTES,0),MATCH(AO$6,LADEN_VOYAGE_SHIPS,0)))),0)</f>
        <v>0</v>
      </c>
      <c r="AQ268" s="118">
        <f>-(AP268)*PORTS!$I$6</f>
        <v>0</v>
      </c>
      <c r="AR268" s="215">
        <f t="shared" si="93"/>
        <v>0</v>
      </c>
      <c r="AS268" s="202"/>
      <c r="AT268" s="186">
        <f t="shared" si="121"/>
        <v>44317</v>
      </c>
      <c r="AU268" s="232">
        <f>+AR268*(VLOOKUP(AT268,CURVECALC!$C$6:$J$312,4,0)+AV$5)</f>
        <v>0</v>
      </c>
      <c r="AV268" s="208">
        <f>-AN268*INDEX(ship_curves,MATCH(AT268,'SHIP CURVES'!$A$9:$A$316,0),MATCH(CONCATENATE(AX$4,AX$5,AX$6,AX$7),'SHIP CURVES'!$A$9:$AZ$9,0))</f>
        <v>0</v>
      </c>
      <c r="AW268" s="209">
        <f>-AP268*INDEX(port_processing_fee,MATCH(AT268,PORTS!$H$626:$H$933,0),MATCH(AX$5,PORTS!$H$626:$Z$626,0))</f>
        <v>0</v>
      </c>
      <c r="AX268" s="405">
        <f>(((VLOOKUP(AT268,curvecalc,4,0))*IF(AN268=0,0,AR268/AN268)-INDEX(ship_curves,MATCH(AT268,'SHIP CURVES'!$A$9:$A$316,0),MATCH(CONCATENATE(AX$4,AX$5,AX$6,AX$7),'SHIP CURVES'!$A$9:$Z$9,0))-INDEX(terminal_curves,MATCH(AT268,'TERMINAL CURVES'!$A$4:$A$313,0),MATCH(AX$5,'TERMINAL CURVES'!$A$4:$N$4,0))*IF(AN268=0,0,AP268/AN268))-(AV$8)*((AV$7-$N$5)-(INDEX(ship_curves,MATCH(AT268,'SHIP CURVES'!$A$9:$A$316,0),MATCH(CONCATENATE(AX$4,AX$5,AX$6,AX$7),'SHIP CURVES'!$A$9:$Z$9,0))-INDEX(ship_curves,MATCH(AT268,'SHIP CURVES'!$A$9:$A$316,0),MATCH(CONCATENATE(AX$4,AV$6,AX$6,AX$7),'SHIP CURVES'!$A$9:$Z$9,0)))-(INDEX(terminal_curves,MATCH(AT268,'TERMINAL CURVES'!$A$4:$A$313,0),MATCH(AX$5,'TERMINAL CURVES'!$A$4:$N$4,0))-INDEX(terminal_curves,MATCH(AT268,'TERMINAL CURVES'!$A$4:$A$313,0),MATCH(AV$6,'TERMINAL CURVES'!$A$4:$N$4,0)))*IF(AN268=0,0,AP268/AN268)))*-AN268</f>
        <v>0</v>
      </c>
      <c r="AY268" s="343">
        <f t="shared" si="112"/>
        <v>0</v>
      </c>
      <c r="AZ268" s="338">
        <f>(-AP268/((HLOOKUP(AX$5,port_specs,2,0)/(365.25))*(AT269-AT268)))*(INDEX(fixed_capacity_charge,MATCH(AT268,PORTS!$H$11:$H$317,0),MATCH(AX$5,PORTS!$H$11:$N$11,0))+INDEX(variable_om_charge,MATCH(AT268,PORTS!$H$318:$H$625,0),MATCH(AX$5,PORTS!$H$318:$N$318,0)))</f>
        <v>0</v>
      </c>
      <c r="BA268" s="232">
        <f t="shared" si="113"/>
        <v>0</v>
      </c>
      <c r="BB268" s="241">
        <f t="shared" si="114"/>
        <v>0</v>
      </c>
      <c r="BC268" s="408"/>
      <c r="BD268" s="338">
        <f>+PORTS!I262+PORTS!I570</f>
        <v>0</v>
      </c>
    </row>
    <row r="269" spans="1:56" x14ac:dyDescent="0.2">
      <c r="A269" s="186">
        <f t="shared" si="115"/>
        <v>44348</v>
      </c>
      <c r="B269" s="215">
        <f>+IF(AND($A269&gt;=$C$8,$A269&lt;=$C$9),1,0)*PORTS!$I$5/(365.25)*(A270-A269)</f>
        <v>0</v>
      </c>
      <c r="C269" s="351">
        <f t="shared" si="94"/>
        <v>0</v>
      </c>
      <c r="D269">
        <f t="shared" si="95"/>
        <v>2021</v>
      </c>
      <c r="E269" s="186">
        <f t="shared" si="116"/>
        <v>44348</v>
      </c>
      <c r="F269" s="215">
        <f t="shared" si="96"/>
        <v>0</v>
      </c>
      <c r="G269" s="191">
        <f t="shared" si="97"/>
        <v>0</v>
      </c>
      <c r="H269" s="218">
        <f t="shared" si="98"/>
        <v>0</v>
      </c>
      <c r="I269" s="118">
        <f t="shared" si="99"/>
        <v>0</v>
      </c>
      <c r="J269" s="215">
        <f t="shared" si="100"/>
        <v>0</v>
      </c>
      <c r="K269" s="202"/>
      <c r="L269" s="186">
        <f t="shared" si="117"/>
        <v>44348</v>
      </c>
      <c r="M269" s="400">
        <f>+J269*(VLOOKUP(L269,CURVECALC!$C$6:$J$312,4,0)+N$5)</f>
        <v>0</v>
      </c>
      <c r="N269" s="208">
        <f>-F269*INDEX(ship_curves,MATCH(L269,'SHIP CURVES'!$A$9:$A$316,0),MATCH(CONCATENATE(P$4,P$5,P$6,P$7),'SHIP CURVES'!$A$9:$AZ$9,0))</f>
        <v>0</v>
      </c>
      <c r="O269" s="209">
        <f>-H269*INDEX(port_processing_fee,MATCH(L269,PORTS!$H$626:$H$933,0),MATCH(P$5,PORTS!$H$626:$Z$626,0))</f>
        <v>0</v>
      </c>
      <c r="P269" s="405">
        <f>(((VLOOKUP(L269,curvecalc,4,0))*IF(F269=0,0,J269/F269)-INDEX(ship_curves,MATCH(L269,'SHIP CURVES'!$A$9:$A$316,0),MATCH(CONCATENATE(P$4,P$5,P$6,P$7),'SHIP CURVES'!$A$9:$Z$9,0))-INDEX(terminal_curves,MATCH(L269,'TERMINAL CURVES'!$A$4:$A$313,0),MATCH(P$5,'TERMINAL CURVES'!$A$4:$N$4,0))*IF(F269=0,0,H269/F269))-(N$8)*((N$7-$N$5)-(INDEX(ship_curves,MATCH(L269,'SHIP CURVES'!$A$9:$A$316,0),MATCH(CONCATENATE(P$4,P$5,P$6,P$7),'SHIP CURVES'!$A$9:$Z$9,0))-INDEX(ship_curves,MATCH(L269,'SHIP CURVES'!$A$9:$A$316,0),MATCH(CONCATENATE(P$4,N$6,P$6,P$7),'SHIP CURVES'!$A$9:$Z$9,0)))-(INDEX(terminal_curves,MATCH(L269,'TERMINAL CURVES'!$A$4:$A$313,0),MATCH(P$5,'TERMINAL CURVES'!$A$4:$N$4,0))-INDEX(terminal_curves,MATCH(L269,'TERMINAL CURVES'!$A$4:$A$313,0),MATCH(N$6,'TERMINAL CURVES'!$A$4:$N$4,0)))*IF(F269=0,0,H269/F269)))*-F269</f>
        <v>0</v>
      </c>
      <c r="Q269" s="403">
        <f t="shared" si="101"/>
        <v>0</v>
      </c>
      <c r="R269" s="338">
        <f>(-H269/((HLOOKUP(P$5,port_specs,2,0)/(365.25))*(L270-L269)))*(INDEX(fixed_capacity_charge,MATCH(L269,PORTS!$H$11:$H$317,0),MATCH(P$5,PORTS!$H$11:$N$11,0))+INDEX(variable_om_charge,MATCH(L269,PORTS!$H$318:$H$625,0),MATCH(P$5,PORTS!$H$318:$N$318,0)))</f>
        <v>0</v>
      </c>
      <c r="S269" s="232">
        <f t="shared" si="102"/>
        <v>0</v>
      </c>
      <c r="T269" s="241">
        <f t="shared" si="103"/>
        <v>0</v>
      </c>
      <c r="V269" s="186">
        <f t="shared" si="118"/>
        <v>44348</v>
      </c>
      <c r="W269" s="215">
        <f t="shared" si="104"/>
        <v>0</v>
      </c>
      <c r="X269" s="191">
        <f t="shared" si="105"/>
        <v>0</v>
      </c>
      <c r="Y269" s="218">
        <f>+IF(AND(X$8&lt;=V269,X$9&gt;=V269),+MIN($B269-SUMIF($H$17:X$17,Y$17,$H269:X269),((INDEX(ROUTE_PER_DAY_BY_SHIP,MATCH(CONCATENATE(X$4,X$5,X$7),ROUTE_PER_DAY_ROUTES,0),MATCH(X$6,ROUTE_PER_DAY_SHIPS,0))*(V270-V269))-(INDEX(ROUTE_PER_DAY_BY_SHIP,MATCH(CONCATENATE(X$4,X$5,X$7),ROUTE_PER_DAY_ROUTES,0),MATCH(X$6,ROUTE_PER_DAY_SHIPS,0))*(V270-V269))*HLOOKUP(X$6,SHIPS,7,0)*INDEX(LADEN_VOYAGE_DAYS,MATCH(CONCATENATE(X$4,X$5,X$7),LADEN_VOYAGE_ROUTES,0),MATCH(X$6,LADEN_VOYAGE_SHIPS,0)))),0)</f>
        <v>0</v>
      </c>
      <c r="Z269" s="118">
        <f t="shared" si="106"/>
        <v>0</v>
      </c>
      <c r="AA269" s="215">
        <f t="shared" si="92"/>
        <v>0</v>
      </c>
      <c r="AB269" s="202"/>
      <c r="AC269" s="186">
        <f t="shared" si="119"/>
        <v>44348</v>
      </c>
      <c r="AD269" s="232">
        <f>+AA269*(VLOOKUP(AC269,CURVECALC!$C$6:$J$312,4,0)+AE$5)</f>
        <v>0</v>
      </c>
      <c r="AE269" s="208">
        <f>-W269*INDEX(ship_curves,MATCH(AC269,'SHIP CURVES'!$A$9:$A$316,0),MATCH(CONCATENATE(AG$4,AG$5,AG$6,AG$7),'SHIP CURVES'!$A$9:$AZ$9,0))</f>
        <v>0</v>
      </c>
      <c r="AF269" s="209">
        <f>-Y269*INDEX(port_processing_fee,MATCH(AC269,PORTS!$H$626:$H$933,0),MATCH(AG$5,PORTS!$H$626:$Z$626,0))</f>
        <v>0</v>
      </c>
      <c r="AG269" s="405">
        <f>(((VLOOKUP(AC269,curvecalc,4,0))*IF(W269=0,0,AA269/W269)-INDEX(ship_curves,MATCH(AC269,'SHIP CURVES'!$A$9:$A$316,0),MATCH(CONCATENATE(AG$4,AG$5,AG$6,AG$7),'SHIP CURVES'!$A$9:$Z$9,0))-INDEX(terminal_curves,MATCH(AC269,'TERMINAL CURVES'!$A$4:$A$313,0),MATCH(AG$5,'TERMINAL CURVES'!$A$4:$N$4,0))*IF(W269=0,0,Y269/W269))-(AE$8)*((AE$7-$N$5)-(INDEX(ship_curves,MATCH(AC269,'SHIP CURVES'!$A$9:$A$316,0),MATCH(CONCATENATE(AG$4,AG$5,AG$6,AG$7),'SHIP CURVES'!$A$9:$Z$9,0))-INDEX(ship_curves,MATCH(AC269,'SHIP CURVES'!$A$9:$A$316,0),MATCH(CONCATENATE(AG$4,AE$6,AG$6,AG$7),'SHIP CURVES'!$A$9:$Z$9,0)))-(INDEX(terminal_curves,MATCH(AC269,'TERMINAL CURVES'!$A$4:$A$313,0),MATCH(AG$5,'TERMINAL CURVES'!$A$4:$N$4,0))-INDEX(terminal_curves,MATCH(AC269,'TERMINAL CURVES'!$A$4:$A$313,0),MATCH(AE$6,'TERMINAL CURVES'!$A$4:$N$4,0)))*IF(W269=0,0,Y269/W269)))*-W269</f>
        <v>0</v>
      </c>
      <c r="AH269" s="343">
        <f t="shared" si="107"/>
        <v>0</v>
      </c>
      <c r="AI269" s="338">
        <f>(-Y269/((HLOOKUP(AG$5,port_specs,2,0)/(365.25))*(AC270-AC269)))*(INDEX(fixed_capacity_charge,MATCH(AC269,PORTS!$H$11:$H$317,0),MATCH(AG$5,PORTS!$H$11:$N$11,0))+INDEX(variable_om_charge,MATCH(AC269,PORTS!$H$318:$H$625,0),MATCH(AG$5,PORTS!$H$318:$N$318,0)))</f>
        <v>0</v>
      </c>
      <c r="AJ269" s="232">
        <f t="shared" si="108"/>
        <v>0</v>
      </c>
      <c r="AK269" s="241">
        <f t="shared" si="109"/>
        <v>0</v>
      </c>
      <c r="AM269" s="186">
        <f t="shared" si="120"/>
        <v>44348</v>
      </c>
      <c r="AN269" s="215">
        <f t="shared" si="110"/>
        <v>0</v>
      </c>
      <c r="AO269" s="191">
        <f t="shared" si="111"/>
        <v>0</v>
      </c>
      <c r="AP269" s="218">
        <f>+IF(AND(AO$8&lt;=AM269,AO$9&gt;=AM269),+MIN($B269-SUMIF($H$17:AO$17,AP$17,$H269:AO269),((INDEX(ROUTE_PER_DAY_BY_SHIP,MATCH(CONCATENATE(AO$4,AO$5,AO$7),ROUTE_PER_DAY_ROUTES,0),MATCH(AO$6,ROUTE_PER_DAY_SHIPS,0))*(AM270-AM269))-(INDEX(ROUTE_PER_DAY_BY_SHIP,MATCH(CONCATENATE(AO$4,AO$5,AO$7),ROUTE_PER_DAY_ROUTES,0),MATCH(AO$6,ROUTE_PER_DAY_SHIPS,0))*(AM270-AM269))*HLOOKUP(AO$6,SHIPS,7,0)*INDEX(LADEN_VOYAGE_DAYS,MATCH(CONCATENATE(AO$4,AO$5,AO$7),LADEN_VOYAGE_ROUTES,0),MATCH(AO$6,LADEN_VOYAGE_SHIPS,0)))),0)</f>
        <v>0</v>
      </c>
      <c r="AQ269" s="118">
        <f>-(AP269)*PORTS!$I$6</f>
        <v>0</v>
      </c>
      <c r="AR269" s="215">
        <f t="shared" si="93"/>
        <v>0</v>
      </c>
      <c r="AS269" s="202"/>
      <c r="AT269" s="186">
        <f t="shared" si="121"/>
        <v>44348</v>
      </c>
      <c r="AU269" s="232">
        <f>+AR269*(VLOOKUP(AT269,CURVECALC!$C$6:$J$312,4,0)+AV$5)</f>
        <v>0</v>
      </c>
      <c r="AV269" s="208">
        <f>-AN269*INDEX(ship_curves,MATCH(AT269,'SHIP CURVES'!$A$9:$A$316,0),MATCH(CONCATENATE(AX$4,AX$5,AX$6,AX$7),'SHIP CURVES'!$A$9:$AZ$9,0))</f>
        <v>0</v>
      </c>
      <c r="AW269" s="209">
        <f>-AP269*INDEX(port_processing_fee,MATCH(AT269,PORTS!$H$626:$H$933,0),MATCH(AX$5,PORTS!$H$626:$Z$626,0))</f>
        <v>0</v>
      </c>
      <c r="AX269" s="405">
        <f>(((VLOOKUP(AT269,curvecalc,4,0))*IF(AN269=0,0,AR269/AN269)-INDEX(ship_curves,MATCH(AT269,'SHIP CURVES'!$A$9:$A$316,0),MATCH(CONCATENATE(AX$4,AX$5,AX$6,AX$7),'SHIP CURVES'!$A$9:$Z$9,0))-INDEX(terminal_curves,MATCH(AT269,'TERMINAL CURVES'!$A$4:$A$313,0),MATCH(AX$5,'TERMINAL CURVES'!$A$4:$N$4,0))*IF(AN269=0,0,AP269/AN269))-(AV$8)*((AV$7-$N$5)-(INDEX(ship_curves,MATCH(AT269,'SHIP CURVES'!$A$9:$A$316,0),MATCH(CONCATENATE(AX$4,AX$5,AX$6,AX$7),'SHIP CURVES'!$A$9:$Z$9,0))-INDEX(ship_curves,MATCH(AT269,'SHIP CURVES'!$A$9:$A$316,0),MATCH(CONCATENATE(AX$4,AV$6,AX$6,AX$7),'SHIP CURVES'!$A$9:$Z$9,0)))-(INDEX(terminal_curves,MATCH(AT269,'TERMINAL CURVES'!$A$4:$A$313,0),MATCH(AX$5,'TERMINAL CURVES'!$A$4:$N$4,0))-INDEX(terminal_curves,MATCH(AT269,'TERMINAL CURVES'!$A$4:$A$313,0),MATCH(AV$6,'TERMINAL CURVES'!$A$4:$N$4,0)))*IF(AN269=0,0,AP269/AN269)))*-AN269</f>
        <v>0</v>
      </c>
      <c r="AY269" s="343">
        <f t="shared" si="112"/>
        <v>0</v>
      </c>
      <c r="AZ269" s="338">
        <f>(-AP269/((HLOOKUP(AX$5,port_specs,2,0)/(365.25))*(AT270-AT269)))*(INDEX(fixed_capacity_charge,MATCH(AT269,PORTS!$H$11:$H$317,0),MATCH(AX$5,PORTS!$H$11:$N$11,0))+INDEX(variable_om_charge,MATCH(AT269,PORTS!$H$318:$H$625,0),MATCH(AX$5,PORTS!$H$318:$N$318,0)))</f>
        <v>0</v>
      </c>
      <c r="BA269" s="232">
        <f t="shared" si="113"/>
        <v>0</v>
      </c>
      <c r="BB269" s="241">
        <f t="shared" si="114"/>
        <v>0</v>
      </c>
      <c r="BC269" s="408"/>
      <c r="BD269" s="338">
        <f>+PORTS!I263+PORTS!I571</f>
        <v>0</v>
      </c>
    </row>
    <row r="270" spans="1:56" x14ac:dyDescent="0.2">
      <c r="A270" s="186">
        <f t="shared" si="115"/>
        <v>44378</v>
      </c>
      <c r="B270" s="215">
        <f>+IF(AND($A270&gt;=$C$8,$A270&lt;=$C$9),1,0)*PORTS!$I$5/(365.25)*(A271-A270)</f>
        <v>0</v>
      </c>
      <c r="C270" s="351">
        <f t="shared" si="94"/>
        <v>0</v>
      </c>
      <c r="D270">
        <f t="shared" si="95"/>
        <v>2021</v>
      </c>
      <c r="E270" s="186">
        <f t="shared" si="116"/>
        <v>44378</v>
      </c>
      <c r="F270" s="215">
        <f t="shared" si="96"/>
        <v>0</v>
      </c>
      <c r="G270" s="191">
        <f t="shared" si="97"/>
        <v>0</v>
      </c>
      <c r="H270" s="218">
        <f t="shared" si="98"/>
        <v>0</v>
      </c>
      <c r="I270" s="118">
        <f t="shared" si="99"/>
        <v>0</v>
      </c>
      <c r="J270" s="215">
        <f t="shared" si="100"/>
        <v>0</v>
      </c>
      <c r="K270" s="202"/>
      <c r="L270" s="186">
        <f t="shared" si="117"/>
        <v>44378</v>
      </c>
      <c r="M270" s="400">
        <f>+J270*(VLOOKUP(L270,CURVECALC!$C$6:$J$312,4,0)+N$5)</f>
        <v>0</v>
      </c>
      <c r="N270" s="208">
        <f>-F270*INDEX(ship_curves,MATCH(L270,'SHIP CURVES'!$A$9:$A$316,0),MATCH(CONCATENATE(P$4,P$5,P$6,P$7),'SHIP CURVES'!$A$9:$AZ$9,0))</f>
        <v>0</v>
      </c>
      <c r="O270" s="209">
        <f>-H270*INDEX(port_processing_fee,MATCH(L270,PORTS!$H$626:$H$933,0),MATCH(P$5,PORTS!$H$626:$Z$626,0))</f>
        <v>0</v>
      </c>
      <c r="P270" s="405">
        <f>(((VLOOKUP(L270,curvecalc,4,0))*IF(F270=0,0,J270/F270)-INDEX(ship_curves,MATCH(L270,'SHIP CURVES'!$A$9:$A$316,0),MATCH(CONCATENATE(P$4,P$5,P$6,P$7),'SHIP CURVES'!$A$9:$Z$9,0))-INDEX(terminal_curves,MATCH(L270,'TERMINAL CURVES'!$A$4:$A$313,0),MATCH(P$5,'TERMINAL CURVES'!$A$4:$N$4,0))*IF(F270=0,0,H270/F270))-(N$8)*((N$7-$N$5)-(INDEX(ship_curves,MATCH(L270,'SHIP CURVES'!$A$9:$A$316,0),MATCH(CONCATENATE(P$4,P$5,P$6,P$7),'SHIP CURVES'!$A$9:$Z$9,0))-INDEX(ship_curves,MATCH(L270,'SHIP CURVES'!$A$9:$A$316,0),MATCH(CONCATENATE(P$4,N$6,P$6,P$7),'SHIP CURVES'!$A$9:$Z$9,0)))-(INDEX(terminal_curves,MATCH(L270,'TERMINAL CURVES'!$A$4:$A$313,0),MATCH(P$5,'TERMINAL CURVES'!$A$4:$N$4,0))-INDEX(terminal_curves,MATCH(L270,'TERMINAL CURVES'!$A$4:$A$313,0),MATCH(N$6,'TERMINAL CURVES'!$A$4:$N$4,0)))*IF(F270=0,0,H270/F270)))*-F270</f>
        <v>0</v>
      </c>
      <c r="Q270" s="403">
        <f t="shared" si="101"/>
        <v>0</v>
      </c>
      <c r="R270" s="338">
        <f>(-H270/((HLOOKUP(P$5,port_specs,2,0)/(365.25))*(L271-L270)))*(INDEX(fixed_capacity_charge,MATCH(L270,PORTS!$H$11:$H$317,0),MATCH(P$5,PORTS!$H$11:$N$11,0))+INDEX(variable_om_charge,MATCH(L270,PORTS!$H$318:$H$625,0),MATCH(P$5,PORTS!$H$318:$N$318,0)))</f>
        <v>0</v>
      </c>
      <c r="S270" s="232">
        <f t="shared" si="102"/>
        <v>0</v>
      </c>
      <c r="T270" s="241">
        <f t="shared" si="103"/>
        <v>0</v>
      </c>
      <c r="V270" s="186">
        <f t="shared" si="118"/>
        <v>44378</v>
      </c>
      <c r="W270" s="215">
        <f t="shared" si="104"/>
        <v>0</v>
      </c>
      <c r="X270" s="191">
        <f t="shared" si="105"/>
        <v>0</v>
      </c>
      <c r="Y270" s="218">
        <f>+IF(AND(X$8&lt;=V270,X$9&gt;=V270),+MIN($B270-SUMIF($H$17:X$17,Y$17,$H270:X270),((INDEX(ROUTE_PER_DAY_BY_SHIP,MATCH(CONCATENATE(X$4,X$5,X$7),ROUTE_PER_DAY_ROUTES,0),MATCH(X$6,ROUTE_PER_DAY_SHIPS,0))*(V271-V270))-(INDEX(ROUTE_PER_DAY_BY_SHIP,MATCH(CONCATENATE(X$4,X$5,X$7),ROUTE_PER_DAY_ROUTES,0),MATCH(X$6,ROUTE_PER_DAY_SHIPS,0))*(V271-V270))*HLOOKUP(X$6,SHIPS,7,0)*INDEX(LADEN_VOYAGE_DAYS,MATCH(CONCATENATE(X$4,X$5,X$7),LADEN_VOYAGE_ROUTES,0),MATCH(X$6,LADEN_VOYAGE_SHIPS,0)))),0)</f>
        <v>0</v>
      </c>
      <c r="Z270" s="118">
        <f t="shared" si="106"/>
        <v>0</v>
      </c>
      <c r="AA270" s="215">
        <f t="shared" si="92"/>
        <v>0</v>
      </c>
      <c r="AB270" s="202"/>
      <c r="AC270" s="186">
        <f t="shared" si="119"/>
        <v>44378</v>
      </c>
      <c r="AD270" s="232">
        <f>+AA270*(VLOOKUP(AC270,CURVECALC!$C$6:$J$312,4,0)+AE$5)</f>
        <v>0</v>
      </c>
      <c r="AE270" s="208">
        <f>-W270*INDEX(ship_curves,MATCH(AC270,'SHIP CURVES'!$A$9:$A$316,0),MATCH(CONCATENATE(AG$4,AG$5,AG$6,AG$7),'SHIP CURVES'!$A$9:$AZ$9,0))</f>
        <v>0</v>
      </c>
      <c r="AF270" s="209">
        <f>-Y270*INDEX(port_processing_fee,MATCH(AC270,PORTS!$H$626:$H$933,0),MATCH(AG$5,PORTS!$H$626:$Z$626,0))</f>
        <v>0</v>
      </c>
      <c r="AG270" s="405">
        <f>(((VLOOKUP(AC270,curvecalc,4,0))*IF(W270=0,0,AA270/W270)-INDEX(ship_curves,MATCH(AC270,'SHIP CURVES'!$A$9:$A$316,0),MATCH(CONCATENATE(AG$4,AG$5,AG$6,AG$7),'SHIP CURVES'!$A$9:$Z$9,0))-INDEX(terminal_curves,MATCH(AC270,'TERMINAL CURVES'!$A$4:$A$313,0),MATCH(AG$5,'TERMINAL CURVES'!$A$4:$N$4,0))*IF(W270=0,0,Y270/W270))-(AE$8)*((AE$7-$N$5)-(INDEX(ship_curves,MATCH(AC270,'SHIP CURVES'!$A$9:$A$316,0),MATCH(CONCATENATE(AG$4,AG$5,AG$6,AG$7),'SHIP CURVES'!$A$9:$Z$9,0))-INDEX(ship_curves,MATCH(AC270,'SHIP CURVES'!$A$9:$A$316,0),MATCH(CONCATENATE(AG$4,AE$6,AG$6,AG$7),'SHIP CURVES'!$A$9:$Z$9,0)))-(INDEX(terminal_curves,MATCH(AC270,'TERMINAL CURVES'!$A$4:$A$313,0),MATCH(AG$5,'TERMINAL CURVES'!$A$4:$N$4,0))-INDEX(terminal_curves,MATCH(AC270,'TERMINAL CURVES'!$A$4:$A$313,0),MATCH(AE$6,'TERMINAL CURVES'!$A$4:$N$4,0)))*IF(W270=0,0,Y270/W270)))*-W270</f>
        <v>0</v>
      </c>
      <c r="AH270" s="343">
        <f t="shared" si="107"/>
        <v>0</v>
      </c>
      <c r="AI270" s="338">
        <f>(-Y270/((HLOOKUP(AG$5,port_specs,2,0)/(365.25))*(AC271-AC270)))*(INDEX(fixed_capacity_charge,MATCH(AC270,PORTS!$H$11:$H$317,0),MATCH(AG$5,PORTS!$H$11:$N$11,0))+INDEX(variable_om_charge,MATCH(AC270,PORTS!$H$318:$H$625,0),MATCH(AG$5,PORTS!$H$318:$N$318,0)))</f>
        <v>0</v>
      </c>
      <c r="AJ270" s="232">
        <f t="shared" si="108"/>
        <v>0</v>
      </c>
      <c r="AK270" s="241">
        <f t="shared" si="109"/>
        <v>0</v>
      </c>
      <c r="AM270" s="186">
        <f t="shared" si="120"/>
        <v>44378</v>
      </c>
      <c r="AN270" s="215">
        <f t="shared" si="110"/>
        <v>0</v>
      </c>
      <c r="AO270" s="191">
        <f t="shared" si="111"/>
        <v>0</v>
      </c>
      <c r="AP270" s="218">
        <f>+IF(AND(AO$8&lt;=AM270,AO$9&gt;=AM270),+MIN($B270-SUMIF($H$17:AO$17,AP$17,$H270:AO270),((INDEX(ROUTE_PER_DAY_BY_SHIP,MATCH(CONCATENATE(AO$4,AO$5,AO$7),ROUTE_PER_DAY_ROUTES,0),MATCH(AO$6,ROUTE_PER_DAY_SHIPS,0))*(AM271-AM270))-(INDEX(ROUTE_PER_DAY_BY_SHIP,MATCH(CONCATENATE(AO$4,AO$5,AO$7),ROUTE_PER_DAY_ROUTES,0),MATCH(AO$6,ROUTE_PER_DAY_SHIPS,0))*(AM271-AM270))*HLOOKUP(AO$6,SHIPS,7,0)*INDEX(LADEN_VOYAGE_DAYS,MATCH(CONCATENATE(AO$4,AO$5,AO$7),LADEN_VOYAGE_ROUTES,0),MATCH(AO$6,LADEN_VOYAGE_SHIPS,0)))),0)</f>
        <v>0</v>
      </c>
      <c r="AQ270" s="118">
        <f>-(AP270)*PORTS!$I$6</f>
        <v>0</v>
      </c>
      <c r="AR270" s="215">
        <f t="shared" si="93"/>
        <v>0</v>
      </c>
      <c r="AS270" s="202"/>
      <c r="AT270" s="186">
        <f t="shared" si="121"/>
        <v>44378</v>
      </c>
      <c r="AU270" s="232">
        <f>+AR270*(VLOOKUP(AT270,CURVECALC!$C$6:$J$312,4,0)+AV$5)</f>
        <v>0</v>
      </c>
      <c r="AV270" s="208">
        <f>-AN270*INDEX(ship_curves,MATCH(AT270,'SHIP CURVES'!$A$9:$A$316,0),MATCH(CONCATENATE(AX$4,AX$5,AX$6,AX$7),'SHIP CURVES'!$A$9:$AZ$9,0))</f>
        <v>0</v>
      </c>
      <c r="AW270" s="209">
        <f>-AP270*INDEX(port_processing_fee,MATCH(AT270,PORTS!$H$626:$H$933,0),MATCH(AX$5,PORTS!$H$626:$Z$626,0))</f>
        <v>0</v>
      </c>
      <c r="AX270" s="405">
        <f>(((VLOOKUP(AT270,curvecalc,4,0))*IF(AN270=0,0,AR270/AN270)-INDEX(ship_curves,MATCH(AT270,'SHIP CURVES'!$A$9:$A$316,0),MATCH(CONCATENATE(AX$4,AX$5,AX$6,AX$7),'SHIP CURVES'!$A$9:$Z$9,0))-INDEX(terminal_curves,MATCH(AT270,'TERMINAL CURVES'!$A$4:$A$313,0),MATCH(AX$5,'TERMINAL CURVES'!$A$4:$N$4,0))*IF(AN270=0,0,AP270/AN270))-(AV$8)*((AV$7-$N$5)-(INDEX(ship_curves,MATCH(AT270,'SHIP CURVES'!$A$9:$A$316,0),MATCH(CONCATENATE(AX$4,AX$5,AX$6,AX$7),'SHIP CURVES'!$A$9:$Z$9,0))-INDEX(ship_curves,MATCH(AT270,'SHIP CURVES'!$A$9:$A$316,0),MATCH(CONCATENATE(AX$4,AV$6,AX$6,AX$7),'SHIP CURVES'!$A$9:$Z$9,0)))-(INDEX(terminal_curves,MATCH(AT270,'TERMINAL CURVES'!$A$4:$A$313,0),MATCH(AX$5,'TERMINAL CURVES'!$A$4:$N$4,0))-INDEX(terminal_curves,MATCH(AT270,'TERMINAL CURVES'!$A$4:$A$313,0),MATCH(AV$6,'TERMINAL CURVES'!$A$4:$N$4,0)))*IF(AN270=0,0,AP270/AN270)))*-AN270</f>
        <v>0</v>
      </c>
      <c r="AY270" s="343">
        <f t="shared" si="112"/>
        <v>0</v>
      </c>
      <c r="AZ270" s="338">
        <f>(-AP270/((HLOOKUP(AX$5,port_specs,2,0)/(365.25))*(AT271-AT270)))*(INDEX(fixed_capacity_charge,MATCH(AT270,PORTS!$H$11:$H$317,0),MATCH(AX$5,PORTS!$H$11:$N$11,0))+INDEX(variable_om_charge,MATCH(AT270,PORTS!$H$318:$H$625,0),MATCH(AX$5,PORTS!$H$318:$N$318,0)))</f>
        <v>0</v>
      </c>
      <c r="BA270" s="232">
        <f t="shared" si="113"/>
        <v>0</v>
      </c>
      <c r="BB270" s="241">
        <f t="shared" si="114"/>
        <v>0</v>
      </c>
      <c r="BC270" s="408"/>
      <c r="BD270" s="338">
        <f>+PORTS!I264+PORTS!I572</f>
        <v>0</v>
      </c>
    </row>
    <row r="271" spans="1:56" x14ac:dyDescent="0.2">
      <c r="A271" s="186">
        <f t="shared" si="115"/>
        <v>44409</v>
      </c>
      <c r="B271" s="215">
        <f>+IF(AND($A271&gt;=$C$8,$A271&lt;=$C$9),1,0)*PORTS!$I$5/(365.25)*(A272-A271)</f>
        <v>0</v>
      </c>
      <c r="C271" s="351">
        <f t="shared" si="94"/>
        <v>0</v>
      </c>
      <c r="D271">
        <f t="shared" si="95"/>
        <v>2021</v>
      </c>
      <c r="E271" s="186">
        <f t="shared" si="116"/>
        <v>44409</v>
      </c>
      <c r="F271" s="215">
        <f t="shared" si="96"/>
        <v>0</v>
      </c>
      <c r="G271" s="191">
        <f t="shared" si="97"/>
        <v>0</v>
      </c>
      <c r="H271" s="218">
        <f t="shared" si="98"/>
        <v>0</v>
      </c>
      <c r="I271" s="118">
        <f t="shared" si="99"/>
        <v>0</v>
      </c>
      <c r="J271" s="215">
        <f t="shared" si="100"/>
        <v>0</v>
      </c>
      <c r="K271" s="202"/>
      <c r="L271" s="186">
        <f t="shared" si="117"/>
        <v>44409</v>
      </c>
      <c r="M271" s="400">
        <f>+J271*(VLOOKUP(L271,CURVECALC!$C$6:$J$312,4,0)+N$5)</f>
        <v>0</v>
      </c>
      <c r="N271" s="208">
        <f>-F271*INDEX(ship_curves,MATCH(L271,'SHIP CURVES'!$A$9:$A$316,0),MATCH(CONCATENATE(P$4,P$5,P$6,P$7),'SHIP CURVES'!$A$9:$AZ$9,0))</f>
        <v>0</v>
      </c>
      <c r="O271" s="209">
        <f>-H271*INDEX(port_processing_fee,MATCH(L271,PORTS!$H$626:$H$933,0),MATCH(P$5,PORTS!$H$626:$Z$626,0))</f>
        <v>0</v>
      </c>
      <c r="P271" s="405">
        <f>(((VLOOKUP(L271,curvecalc,4,0))*IF(F271=0,0,J271/F271)-INDEX(ship_curves,MATCH(L271,'SHIP CURVES'!$A$9:$A$316,0),MATCH(CONCATENATE(P$4,P$5,P$6,P$7),'SHIP CURVES'!$A$9:$Z$9,0))-INDEX(terminal_curves,MATCH(L271,'TERMINAL CURVES'!$A$4:$A$313,0),MATCH(P$5,'TERMINAL CURVES'!$A$4:$N$4,0))*IF(F271=0,0,H271/F271))-(N$8)*((N$7-$N$5)-(INDEX(ship_curves,MATCH(L271,'SHIP CURVES'!$A$9:$A$316,0),MATCH(CONCATENATE(P$4,P$5,P$6,P$7),'SHIP CURVES'!$A$9:$Z$9,0))-INDEX(ship_curves,MATCH(L271,'SHIP CURVES'!$A$9:$A$316,0),MATCH(CONCATENATE(P$4,N$6,P$6,P$7),'SHIP CURVES'!$A$9:$Z$9,0)))-(INDEX(terminal_curves,MATCH(L271,'TERMINAL CURVES'!$A$4:$A$313,0),MATCH(P$5,'TERMINAL CURVES'!$A$4:$N$4,0))-INDEX(terminal_curves,MATCH(L271,'TERMINAL CURVES'!$A$4:$A$313,0),MATCH(N$6,'TERMINAL CURVES'!$A$4:$N$4,0)))*IF(F271=0,0,H271/F271)))*-F271</f>
        <v>0</v>
      </c>
      <c r="Q271" s="403">
        <f t="shared" si="101"/>
        <v>0</v>
      </c>
      <c r="R271" s="338">
        <f>(-H271/((HLOOKUP(P$5,port_specs,2,0)/(365.25))*(L272-L271)))*(INDEX(fixed_capacity_charge,MATCH(L271,PORTS!$H$11:$H$317,0),MATCH(P$5,PORTS!$H$11:$N$11,0))+INDEX(variable_om_charge,MATCH(L271,PORTS!$H$318:$H$625,0),MATCH(P$5,PORTS!$H$318:$N$318,0)))</f>
        <v>0</v>
      </c>
      <c r="S271" s="232">
        <f t="shared" si="102"/>
        <v>0</v>
      </c>
      <c r="T271" s="241">
        <f t="shared" si="103"/>
        <v>0</v>
      </c>
      <c r="V271" s="186">
        <f t="shared" si="118"/>
        <v>44409</v>
      </c>
      <c r="W271" s="215">
        <f t="shared" si="104"/>
        <v>0</v>
      </c>
      <c r="X271" s="191">
        <f t="shared" si="105"/>
        <v>0</v>
      </c>
      <c r="Y271" s="218">
        <f>+IF(AND(X$8&lt;=V271,X$9&gt;=V271),+MIN($B271-SUMIF($H$17:X$17,Y$17,$H271:X271),((INDEX(ROUTE_PER_DAY_BY_SHIP,MATCH(CONCATENATE(X$4,X$5,X$7),ROUTE_PER_DAY_ROUTES,0),MATCH(X$6,ROUTE_PER_DAY_SHIPS,0))*(V272-V271))-(INDEX(ROUTE_PER_DAY_BY_SHIP,MATCH(CONCATENATE(X$4,X$5,X$7),ROUTE_PER_DAY_ROUTES,0),MATCH(X$6,ROUTE_PER_DAY_SHIPS,0))*(V272-V271))*HLOOKUP(X$6,SHIPS,7,0)*INDEX(LADEN_VOYAGE_DAYS,MATCH(CONCATENATE(X$4,X$5,X$7),LADEN_VOYAGE_ROUTES,0),MATCH(X$6,LADEN_VOYAGE_SHIPS,0)))),0)</f>
        <v>0</v>
      </c>
      <c r="Z271" s="118">
        <f t="shared" si="106"/>
        <v>0</v>
      </c>
      <c r="AA271" s="215">
        <f t="shared" si="92"/>
        <v>0</v>
      </c>
      <c r="AB271" s="202"/>
      <c r="AC271" s="186">
        <f t="shared" si="119"/>
        <v>44409</v>
      </c>
      <c r="AD271" s="232">
        <f>+AA271*(VLOOKUP(AC271,CURVECALC!$C$6:$J$312,4,0)+AE$5)</f>
        <v>0</v>
      </c>
      <c r="AE271" s="208">
        <f>-W271*INDEX(ship_curves,MATCH(AC271,'SHIP CURVES'!$A$9:$A$316,0),MATCH(CONCATENATE(AG$4,AG$5,AG$6,AG$7),'SHIP CURVES'!$A$9:$AZ$9,0))</f>
        <v>0</v>
      </c>
      <c r="AF271" s="209">
        <f>-Y271*INDEX(port_processing_fee,MATCH(AC271,PORTS!$H$626:$H$933,0),MATCH(AG$5,PORTS!$H$626:$Z$626,0))</f>
        <v>0</v>
      </c>
      <c r="AG271" s="405">
        <f>(((VLOOKUP(AC271,curvecalc,4,0))*IF(W271=0,0,AA271/W271)-INDEX(ship_curves,MATCH(AC271,'SHIP CURVES'!$A$9:$A$316,0),MATCH(CONCATENATE(AG$4,AG$5,AG$6,AG$7),'SHIP CURVES'!$A$9:$Z$9,0))-INDEX(terminal_curves,MATCH(AC271,'TERMINAL CURVES'!$A$4:$A$313,0),MATCH(AG$5,'TERMINAL CURVES'!$A$4:$N$4,0))*IF(W271=0,0,Y271/W271))-(AE$8)*((AE$7-$N$5)-(INDEX(ship_curves,MATCH(AC271,'SHIP CURVES'!$A$9:$A$316,0),MATCH(CONCATENATE(AG$4,AG$5,AG$6,AG$7),'SHIP CURVES'!$A$9:$Z$9,0))-INDEX(ship_curves,MATCH(AC271,'SHIP CURVES'!$A$9:$A$316,0),MATCH(CONCATENATE(AG$4,AE$6,AG$6,AG$7),'SHIP CURVES'!$A$9:$Z$9,0)))-(INDEX(terminal_curves,MATCH(AC271,'TERMINAL CURVES'!$A$4:$A$313,0),MATCH(AG$5,'TERMINAL CURVES'!$A$4:$N$4,0))-INDEX(terminal_curves,MATCH(AC271,'TERMINAL CURVES'!$A$4:$A$313,0),MATCH(AE$6,'TERMINAL CURVES'!$A$4:$N$4,0)))*IF(W271=0,0,Y271/W271)))*-W271</f>
        <v>0</v>
      </c>
      <c r="AH271" s="343">
        <f t="shared" si="107"/>
        <v>0</v>
      </c>
      <c r="AI271" s="338">
        <f>(-Y271/((HLOOKUP(AG$5,port_specs,2,0)/(365.25))*(AC272-AC271)))*(INDEX(fixed_capacity_charge,MATCH(AC271,PORTS!$H$11:$H$317,0),MATCH(AG$5,PORTS!$H$11:$N$11,0))+INDEX(variable_om_charge,MATCH(AC271,PORTS!$H$318:$H$625,0),MATCH(AG$5,PORTS!$H$318:$N$318,0)))</f>
        <v>0</v>
      </c>
      <c r="AJ271" s="232">
        <f t="shared" si="108"/>
        <v>0</v>
      </c>
      <c r="AK271" s="241">
        <f t="shared" si="109"/>
        <v>0</v>
      </c>
      <c r="AM271" s="186">
        <f t="shared" si="120"/>
        <v>44409</v>
      </c>
      <c r="AN271" s="215">
        <f t="shared" si="110"/>
        <v>0</v>
      </c>
      <c r="AO271" s="191">
        <f t="shared" si="111"/>
        <v>0</v>
      </c>
      <c r="AP271" s="218">
        <f>+IF(AND(AO$8&lt;=AM271,AO$9&gt;=AM271),+MIN($B271-SUMIF($H$17:AO$17,AP$17,$H271:AO271),((INDEX(ROUTE_PER_DAY_BY_SHIP,MATCH(CONCATENATE(AO$4,AO$5,AO$7),ROUTE_PER_DAY_ROUTES,0),MATCH(AO$6,ROUTE_PER_DAY_SHIPS,0))*(AM272-AM271))-(INDEX(ROUTE_PER_DAY_BY_SHIP,MATCH(CONCATENATE(AO$4,AO$5,AO$7),ROUTE_PER_DAY_ROUTES,0),MATCH(AO$6,ROUTE_PER_DAY_SHIPS,0))*(AM272-AM271))*HLOOKUP(AO$6,SHIPS,7,0)*INDEX(LADEN_VOYAGE_DAYS,MATCH(CONCATENATE(AO$4,AO$5,AO$7),LADEN_VOYAGE_ROUTES,0),MATCH(AO$6,LADEN_VOYAGE_SHIPS,0)))),0)</f>
        <v>0</v>
      </c>
      <c r="AQ271" s="118">
        <f>-(AP271)*PORTS!$I$6</f>
        <v>0</v>
      </c>
      <c r="AR271" s="215">
        <f t="shared" si="93"/>
        <v>0</v>
      </c>
      <c r="AS271" s="202"/>
      <c r="AT271" s="186">
        <f t="shared" si="121"/>
        <v>44409</v>
      </c>
      <c r="AU271" s="232">
        <f>+AR271*(VLOOKUP(AT271,CURVECALC!$C$6:$J$312,4,0)+AV$5)</f>
        <v>0</v>
      </c>
      <c r="AV271" s="208">
        <f>-AN271*INDEX(ship_curves,MATCH(AT271,'SHIP CURVES'!$A$9:$A$316,0),MATCH(CONCATENATE(AX$4,AX$5,AX$6,AX$7),'SHIP CURVES'!$A$9:$AZ$9,0))</f>
        <v>0</v>
      </c>
      <c r="AW271" s="209">
        <f>-AP271*INDEX(port_processing_fee,MATCH(AT271,PORTS!$H$626:$H$933,0),MATCH(AX$5,PORTS!$H$626:$Z$626,0))</f>
        <v>0</v>
      </c>
      <c r="AX271" s="405">
        <f>(((VLOOKUP(AT271,curvecalc,4,0))*IF(AN271=0,0,AR271/AN271)-INDEX(ship_curves,MATCH(AT271,'SHIP CURVES'!$A$9:$A$316,0),MATCH(CONCATENATE(AX$4,AX$5,AX$6,AX$7),'SHIP CURVES'!$A$9:$Z$9,0))-INDEX(terminal_curves,MATCH(AT271,'TERMINAL CURVES'!$A$4:$A$313,0),MATCH(AX$5,'TERMINAL CURVES'!$A$4:$N$4,0))*IF(AN271=0,0,AP271/AN271))-(AV$8)*((AV$7-$N$5)-(INDEX(ship_curves,MATCH(AT271,'SHIP CURVES'!$A$9:$A$316,0),MATCH(CONCATENATE(AX$4,AX$5,AX$6,AX$7),'SHIP CURVES'!$A$9:$Z$9,0))-INDEX(ship_curves,MATCH(AT271,'SHIP CURVES'!$A$9:$A$316,0),MATCH(CONCATENATE(AX$4,AV$6,AX$6,AX$7),'SHIP CURVES'!$A$9:$Z$9,0)))-(INDEX(terminal_curves,MATCH(AT271,'TERMINAL CURVES'!$A$4:$A$313,0),MATCH(AX$5,'TERMINAL CURVES'!$A$4:$N$4,0))-INDEX(terminal_curves,MATCH(AT271,'TERMINAL CURVES'!$A$4:$A$313,0),MATCH(AV$6,'TERMINAL CURVES'!$A$4:$N$4,0)))*IF(AN271=0,0,AP271/AN271)))*-AN271</f>
        <v>0</v>
      </c>
      <c r="AY271" s="343">
        <f t="shared" si="112"/>
        <v>0</v>
      </c>
      <c r="AZ271" s="338">
        <f>(-AP271/((HLOOKUP(AX$5,port_specs,2,0)/(365.25))*(AT272-AT271)))*(INDEX(fixed_capacity_charge,MATCH(AT271,PORTS!$H$11:$H$317,0),MATCH(AX$5,PORTS!$H$11:$N$11,0))+INDEX(variable_om_charge,MATCH(AT271,PORTS!$H$318:$H$625,0),MATCH(AX$5,PORTS!$H$318:$N$318,0)))</f>
        <v>0</v>
      </c>
      <c r="BA271" s="232">
        <f t="shared" si="113"/>
        <v>0</v>
      </c>
      <c r="BB271" s="241">
        <f t="shared" si="114"/>
        <v>0</v>
      </c>
      <c r="BC271" s="408"/>
      <c r="BD271" s="338">
        <f>+PORTS!I265+PORTS!I573</f>
        <v>0</v>
      </c>
    </row>
    <row r="272" spans="1:56" x14ac:dyDescent="0.2">
      <c r="A272" s="186">
        <f t="shared" si="115"/>
        <v>44440</v>
      </c>
      <c r="B272" s="215">
        <f>+IF(AND($A272&gt;=$C$8,$A272&lt;=$C$9),1,0)*PORTS!$I$5/(365.25)*(A273-A272)</f>
        <v>0</v>
      </c>
      <c r="C272" s="351">
        <f t="shared" si="94"/>
        <v>0</v>
      </c>
      <c r="D272">
        <f t="shared" si="95"/>
        <v>2021</v>
      </c>
      <c r="E272" s="186">
        <f t="shared" si="116"/>
        <v>44440</v>
      </c>
      <c r="F272" s="215">
        <f t="shared" si="96"/>
        <v>0</v>
      </c>
      <c r="G272" s="191">
        <f t="shared" si="97"/>
        <v>0</v>
      </c>
      <c r="H272" s="218">
        <f t="shared" si="98"/>
        <v>0</v>
      </c>
      <c r="I272" s="118">
        <f t="shared" si="99"/>
        <v>0</v>
      </c>
      <c r="J272" s="215">
        <f t="shared" si="100"/>
        <v>0</v>
      </c>
      <c r="K272" s="202"/>
      <c r="L272" s="186">
        <f t="shared" si="117"/>
        <v>44440</v>
      </c>
      <c r="M272" s="400">
        <f>+J272*(VLOOKUP(L272,CURVECALC!$C$6:$J$312,4,0)+N$5)</f>
        <v>0</v>
      </c>
      <c r="N272" s="208">
        <f>-F272*INDEX(ship_curves,MATCH(L272,'SHIP CURVES'!$A$9:$A$316,0),MATCH(CONCATENATE(P$4,P$5,P$6,P$7),'SHIP CURVES'!$A$9:$AZ$9,0))</f>
        <v>0</v>
      </c>
      <c r="O272" s="209">
        <f>-H272*INDEX(port_processing_fee,MATCH(L272,PORTS!$H$626:$H$933,0),MATCH(P$5,PORTS!$H$626:$Z$626,0))</f>
        <v>0</v>
      </c>
      <c r="P272" s="405">
        <f>(((VLOOKUP(L272,curvecalc,4,0))*IF(F272=0,0,J272/F272)-INDEX(ship_curves,MATCH(L272,'SHIP CURVES'!$A$9:$A$316,0),MATCH(CONCATENATE(P$4,P$5,P$6,P$7),'SHIP CURVES'!$A$9:$Z$9,0))-INDEX(terminal_curves,MATCH(L272,'TERMINAL CURVES'!$A$4:$A$313,0),MATCH(P$5,'TERMINAL CURVES'!$A$4:$N$4,0))*IF(F272=0,0,H272/F272))-(N$8)*((N$7-$N$5)-(INDEX(ship_curves,MATCH(L272,'SHIP CURVES'!$A$9:$A$316,0),MATCH(CONCATENATE(P$4,P$5,P$6,P$7),'SHIP CURVES'!$A$9:$Z$9,0))-INDEX(ship_curves,MATCH(L272,'SHIP CURVES'!$A$9:$A$316,0),MATCH(CONCATENATE(P$4,N$6,P$6,P$7),'SHIP CURVES'!$A$9:$Z$9,0)))-(INDEX(terminal_curves,MATCH(L272,'TERMINAL CURVES'!$A$4:$A$313,0),MATCH(P$5,'TERMINAL CURVES'!$A$4:$N$4,0))-INDEX(terminal_curves,MATCH(L272,'TERMINAL CURVES'!$A$4:$A$313,0),MATCH(N$6,'TERMINAL CURVES'!$A$4:$N$4,0)))*IF(F272=0,0,H272/F272)))*-F272</f>
        <v>0</v>
      </c>
      <c r="Q272" s="403">
        <f t="shared" si="101"/>
        <v>0</v>
      </c>
      <c r="R272" s="338">
        <f>(-H272/((HLOOKUP(P$5,port_specs,2,0)/(365.25))*(L273-L272)))*(INDEX(fixed_capacity_charge,MATCH(L272,PORTS!$H$11:$H$317,0),MATCH(P$5,PORTS!$H$11:$N$11,0))+INDEX(variable_om_charge,MATCH(L272,PORTS!$H$318:$H$625,0),MATCH(P$5,PORTS!$H$318:$N$318,0)))</f>
        <v>0</v>
      </c>
      <c r="S272" s="232">
        <f t="shared" si="102"/>
        <v>0</v>
      </c>
      <c r="T272" s="241">
        <f t="shared" si="103"/>
        <v>0</v>
      </c>
      <c r="V272" s="186">
        <f t="shared" si="118"/>
        <v>44440</v>
      </c>
      <c r="W272" s="215">
        <f t="shared" si="104"/>
        <v>0</v>
      </c>
      <c r="X272" s="191">
        <f t="shared" si="105"/>
        <v>0</v>
      </c>
      <c r="Y272" s="218">
        <f>+IF(AND(X$8&lt;=V272,X$9&gt;=V272),+MIN($B272-SUMIF($H$17:X$17,Y$17,$H272:X272),((INDEX(ROUTE_PER_DAY_BY_SHIP,MATCH(CONCATENATE(X$4,X$5,X$7),ROUTE_PER_DAY_ROUTES,0),MATCH(X$6,ROUTE_PER_DAY_SHIPS,0))*(V273-V272))-(INDEX(ROUTE_PER_DAY_BY_SHIP,MATCH(CONCATENATE(X$4,X$5,X$7),ROUTE_PER_DAY_ROUTES,0),MATCH(X$6,ROUTE_PER_DAY_SHIPS,0))*(V273-V272))*HLOOKUP(X$6,SHIPS,7,0)*INDEX(LADEN_VOYAGE_DAYS,MATCH(CONCATENATE(X$4,X$5,X$7),LADEN_VOYAGE_ROUTES,0),MATCH(X$6,LADEN_VOYAGE_SHIPS,0)))),0)</f>
        <v>0</v>
      </c>
      <c r="Z272" s="118">
        <f t="shared" si="106"/>
        <v>0</v>
      </c>
      <c r="AA272" s="215">
        <f t="shared" si="92"/>
        <v>0</v>
      </c>
      <c r="AB272" s="202"/>
      <c r="AC272" s="186">
        <f t="shared" si="119"/>
        <v>44440</v>
      </c>
      <c r="AD272" s="232">
        <f>+AA272*(VLOOKUP(AC272,CURVECALC!$C$6:$J$312,4,0)+AE$5)</f>
        <v>0</v>
      </c>
      <c r="AE272" s="208">
        <f>-W272*INDEX(ship_curves,MATCH(AC272,'SHIP CURVES'!$A$9:$A$316,0),MATCH(CONCATENATE(AG$4,AG$5,AG$6,AG$7),'SHIP CURVES'!$A$9:$AZ$9,0))</f>
        <v>0</v>
      </c>
      <c r="AF272" s="209">
        <f>-Y272*INDEX(port_processing_fee,MATCH(AC272,PORTS!$H$626:$H$933,0),MATCH(AG$5,PORTS!$H$626:$Z$626,0))</f>
        <v>0</v>
      </c>
      <c r="AG272" s="405">
        <f>(((VLOOKUP(AC272,curvecalc,4,0))*IF(W272=0,0,AA272/W272)-INDEX(ship_curves,MATCH(AC272,'SHIP CURVES'!$A$9:$A$316,0),MATCH(CONCATENATE(AG$4,AG$5,AG$6,AG$7),'SHIP CURVES'!$A$9:$Z$9,0))-INDEX(terminal_curves,MATCH(AC272,'TERMINAL CURVES'!$A$4:$A$313,0),MATCH(AG$5,'TERMINAL CURVES'!$A$4:$N$4,0))*IF(W272=0,0,Y272/W272))-(AE$8)*((AE$7-$N$5)-(INDEX(ship_curves,MATCH(AC272,'SHIP CURVES'!$A$9:$A$316,0),MATCH(CONCATENATE(AG$4,AG$5,AG$6,AG$7),'SHIP CURVES'!$A$9:$Z$9,0))-INDEX(ship_curves,MATCH(AC272,'SHIP CURVES'!$A$9:$A$316,0),MATCH(CONCATENATE(AG$4,AE$6,AG$6,AG$7),'SHIP CURVES'!$A$9:$Z$9,0)))-(INDEX(terminal_curves,MATCH(AC272,'TERMINAL CURVES'!$A$4:$A$313,0),MATCH(AG$5,'TERMINAL CURVES'!$A$4:$N$4,0))-INDEX(terminal_curves,MATCH(AC272,'TERMINAL CURVES'!$A$4:$A$313,0),MATCH(AE$6,'TERMINAL CURVES'!$A$4:$N$4,0)))*IF(W272=0,0,Y272/W272)))*-W272</f>
        <v>0</v>
      </c>
      <c r="AH272" s="343">
        <f t="shared" si="107"/>
        <v>0</v>
      </c>
      <c r="AI272" s="338">
        <f>(-Y272/((HLOOKUP(AG$5,port_specs,2,0)/(365.25))*(AC273-AC272)))*(INDEX(fixed_capacity_charge,MATCH(AC272,PORTS!$H$11:$H$317,0),MATCH(AG$5,PORTS!$H$11:$N$11,0))+INDEX(variable_om_charge,MATCH(AC272,PORTS!$H$318:$H$625,0),MATCH(AG$5,PORTS!$H$318:$N$318,0)))</f>
        <v>0</v>
      </c>
      <c r="AJ272" s="232">
        <f t="shared" si="108"/>
        <v>0</v>
      </c>
      <c r="AK272" s="241">
        <f t="shared" si="109"/>
        <v>0</v>
      </c>
      <c r="AM272" s="186">
        <f t="shared" si="120"/>
        <v>44440</v>
      </c>
      <c r="AN272" s="215">
        <f t="shared" si="110"/>
        <v>0</v>
      </c>
      <c r="AO272" s="191">
        <f t="shared" si="111"/>
        <v>0</v>
      </c>
      <c r="AP272" s="218">
        <f>+IF(AND(AO$8&lt;=AM272,AO$9&gt;=AM272),+MIN($B272-SUMIF($H$17:AO$17,AP$17,$H272:AO272),((INDEX(ROUTE_PER_DAY_BY_SHIP,MATCH(CONCATENATE(AO$4,AO$5,AO$7),ROUTE_PER_DAY_ROUTES,0),MATCH(AO$6,ROUTE_PER_DAY_SHIPS,0))*(AM273-AM272))-(INDEX(ROUTE_PER_DAY_BY_SHIP,MATCH(CONCATENATE(AO$4,AO$5,AO$7),ROUTE_PER_DAY_ROUTES,0),MATCH(AO$6,ROUTE_PER_DAY_SHIPS,0))*(AM273-AM272))*HLOOKUP(AO$6,SHIPS,7,0)*INDEX(LADEN_VOYAGE_DAYS,MATCH(CONCATENATE(AO$4,AO$5,AO$7),LADEN_VOYAGE_ROUTES,0),MATCH(AO$6,LADEN_VOYAGE_SHIPS,0)))),0)</f>
        <v>0</v>
      </c>
      <c r="AQ272" s="118">
        <f>-(AP272)*PORTS!$I$6</f>
        <v>0</v>
      </c>
      <c r="AR272" s="215">
        <f t="shared" si="93"/>
        <v>0</v>
      </c>
      <c r="AS272" s="202"/>
      <c r="AT272" s="186">
        <f t="shared" si="121"/>
        <v>44440</v>
      </c>
      <c r="AU272" s="232">
        <f>+AR272*(VLOOKUP(AT272,CURVECALC!$C$6:$J$312,4,0)+AV$5)</f>
        <v>0</v>
      </c>
      <c r="AV272" s="208">
        <f>-AN272*INDEX(ship_curves,MATCH(AT272,'SHIP CURVES'!$A$9:$A$316,0),MATCH(CONCATENATE(AX$4,AX$5,AX$6,AX$7),'SHIP CURVES'!$A$9:$AZ$9,0))</f>
        <v>0</v>
      </c>
      <c r="AW272" s="209">
        <f>-AP272*INDEX(port_processing_fee,MATCH(AT272,PORTS!$H$626:$H$933,0),MATCH(AX$5,PORTS!$H$626:$Z$626,0))</f>
        <v>0</v>
      </c>
      <c r="AX272" s="405">
        <f>(((VLOOKUP(AT272,curvecalc,4,0))*IF(AN272=0,0,AR272/AN272)-INDEX(ship_curves,MATCH(AT272,'SHIP CURVES'!$A$9:$A$316,0),MATCH(CONCATENATE(AX$4,AX$5,AX$6,AX$7),'SHIP CURVES'!$A$9:$Z$9,0))-INDEX(terminal_curves,MATCH(AT272,'TERMINAL CURVES'!$A$4:$A$313,0),MATCH(AX$5,'TERMINAL CURVES'!$A$4:$N$4,0))*IF(AN272=0,0,AP272/AN272))-(AV$8)*((AV$7-$N$5)-(INDEX(ship_curves,MATCH(AT272,'SHIP CURVES'!$A$9:$A$316,0),MATCH(CONCATENATE(AX$4,AX$5,AX$6,AX$7),'SHIP CURVES'!$A$9:$Z$9,0))-INDEX(ship_curves,MATCH(AT272,'SHIP CURVES'!$A$9:$A$316,0),MATCH(CONCATENATE(AX$4,AV$6,AX$6,AX$7),'SHIP CURVES'!$A$9:$Z$9,0)))-(INDEX(terminal_curves,MATCH(AT272,'TERMINAL CURVES'!$A$4:$A$313,0),MATCH(AX$5,'TERMINAL CURVES'!$A$4:$N$4,0))-INDEX(terminal_curves,MATCH(AT272,'TERMINAL CURVES'!$A$4:$A$313,0),MATCH(AV$6,'TERMINAL CURVES'!$A$4:$N$4,0)))*IF(AN272=0,0,AP272/AN272)))*-AN272</f>
        <v>0</v>
      </c>
      <c r="AY272" s="343">
        <f t="shared" si="112"/>
        <v>0</v>
      </c>
      <c r="AZ272" s="338">
        <f>(-AP272/((HLOOKUP(AX$5,port_specs,2,0)/(365.25))*(AT273-AT272)))*(INDEX(fixed_capacity_charge,MATCH(AT272,PORTS!$H$11:$H$317,0),MATCH(AX$5,PORTS!$H$11:$N$11,0))+INDEX(variable_om_charge,MATCH(AT272,PORTS!$H$318:$H$625,0),MATCH(AX$5,PORTS!$H$318:$N$318,0)))</f>
        <v>0</v>
      </c>
      <c r="BA272" s="232">
        <f t="shared" si="113"/>
        <v>0</v>
      </c>
      <c r="BB272" s="241">
        <f t="shared" si="114"/>
        <v>0</v>
      </c>
      <c r="BC272" s="408"/>
      <c r="BD272" s="338">
        <f>+PORTS!I266+PORTS!I574</f>
        <v>0</v>
      </c>
    </row>
    <row r="273" spans="1:56" x14ac:dyDescent="0.2">
      <c r="A273" s="186">
        <f t="shared" si="115"/>
        <v>44470</v>
      </c>
      <c r="B273" s="215">
        <f>+IF(AND($A273&gt;=$C$8,$A273&lt;=$C$9),1,0)*PORTS!$I$5/(365.25)*(A274-A273)</f>
        <v>0</v>
      </c>
      <c r="C273" s="351">
        <f t="shared" si="94"/>
        <v>0</v>
      </c>
      <c r="D273">
        <f t="shared" si="95"/>
        <v>2021</v>
      </c>
      <c r="E273" s="186">
        <f t="shared" si="116"/>
        <v>44470</v>
      </c>
      <c r="F273" s="215">
        <f t="shared" si="96"/>
        <v>0</v>
      </c>
      <c r="G273" s="191">
        <f t="shared" si="97"/>
        <v>0</v>
      </c>
      <c r="H273" s="218">
        <f t="shared" si="98"/>
        <v>0</v>
      </c>
      <c r="I273" s="118">
        <f t="shared" si="99"/>
        <v>0</v>
      </c>
      <c r="J273" s="215">
        <f t="shared" si="100"/>
        <v>0</v>
      </c>
      <c r="K273" s="202"/>
      <c r="L273" s="186">
        <f t="shared" si="117"/>
        <v>44470</v>
      </c>
      <c r="M273" s="400">
        <f>+J273*(VLOOKUP(L273,CURVECALC!$C$6:$J$312,4,0)+N$5)</f>
        <v>0</v>
      </c>
      <c r="N273" s="208">
        <f>-F273*INDEX(ship_curves,MATCH(L273,'SHIP CURVES'!$A$9:$A$316,0),MATCH(CONCATENATE(P$4,P$5,P$6,P$7),'SHIP CURVES'!$A$9:$AZ$9,0))</f>
        <v>0</v>
      </c>
      <c r="O273" s="209">
        <f>-H273*INDEX(port_processing_fee,MATCH(L273,PORTS!$H$626:$H$933,0),MATCH(P$5,PORTS!$H$626:$Z$626,0))</f>
        <v>0</v>
      </c>
      <c r="P273" s="405">
        <f>(((VLOOKUP(L273,curvecalc,4,0))*IF(F273=0,0,J273/F273)-INDEX(ship_curves,MATCH(L273,'SHIP CURVES'!$A$9:$A$316,0),MATCH(CONCATENATE(P$4,P$5,P$6,P$7),'SHIP CURVES'!$A$9:$Z$9,0))-INDEX(terminal_curves,MATCH(L273,'TERMINAL CURVES'!$A$4:$A$313,0),MATCH(P$5,'TERMINAL CURVES'!$A$4:$N$4,0))*IF(F273=0,0,H273/F273))-(N$8)*((N$7-$N$5)-(INDEX(ship_curves,MATCH(L273,'SHIP CURVES'!$A$9:$A$316,0),MATCH(CONCATENATE(P$4,P$5,P$6,P$7),'SHIP CURVES'!$A$9:$Z$9,0))-INDEX(ship_curves,MATCH(L273,'SHIP CURVES'!$A$9:$A$316,0),MATCH(CONCATENATE(P$4,N$6,P$6,P$7),'SHIP CURVES'!$A$9:$Z$9,0)))-(INDEX(terminal_curves,MATCH(L273,'TERMINAL CURVES'!$A$4:$A$313,0),MATCH(P$5,'TERMINAL CURVES'!$A$4:$N$4,0))-INDEX(terminal_curves,MATCH(L273,'TERMINAL CURVES'!$A$4:$A$313,0),MATCH(N$6,'TERMINAL CURVES'!$A$4:$N$4,0)))*IF(F273=0,0,H273/F273)))*-F273</f>
        <v>0</v>
      </c>
      <c r="Q273" s="403">
        <f t="shared" si="101"/>
        <v>0</v>
      </c>
      <c r="R273" s="338">
        <f>(-H273/((HLOOKUP(P$5,port_specs,2,0)/(365.25))*(L274-L273)))*(INDEX(fixed_capacity_charge,MATCH(L273,PORTS!$H$11:$H$317,0),MATCH(P$5,PORTS!$H$11:$N$11,0))+INDEX(variable_om_charge,MATCH(L273,PORTS!$H$318:$H$625,0),MATCH(P$5,PORTS!$H$318:$N$318,0)))</f>
        <v>0</v>
      </c>
      <c r="S273" s="232">
        <f t="shared" si="102"/>
        <v>0</v>
      </c>
      <c r="T273" s="241">
        <f t="shared" si="103"/>
        <v>0</v>
      </c>
      <c r="V273" s="186">
        <f t="shared" si="118"/>
        <v>44470</v>
      </c>
      <c r="W273" s="215">
        <f t="shared" si="104"/>
        <v>0</v>
      </c>
      <c r="X273" s="191">
        <f t="shared" si="105"/>
        <v>0</v>
      </c>
      <c r="Y273" s="218">
        <f>+IF(AND(X$8&lt;=V273,X$9&gt;=V273),+MIN($B273-SUMIF($H$17:X$17,Y$17,$H273:X273),((INDEX(ROUTE_PER_DAY_BY_SHIP,MATCH(CONCATENATE(X$4,X$5,X$7),ROUTE_PER_DAY_ROUTES,0),MATCH(X$6,ROUTE_PER_DAY_SHIPS,0))*(V274-V273))-(INDEX(ROUTE_PER_DAY_BY_SHIP,MATCH(CONCATENATE(X$4,X$5,X$7),ROUTE_PER_DAY_ROUTES,0),MATCH(X$6,ROUTE_PER_DAY_SHIPS,0))*(V274-V273))*HLOOKUP(X$6,SHIPS,7,0)*INDEX(LADEN_VOYAGE_DAYS,MATCH(CONCATENATE(X$4,X$5,X$7),LADEN_VOYAGE_ROUTES,0),MATCH(X$6,LADEN_VOYAGE_SHIPS,0)))),0)</f>
        <v>0</v>
      </c>
      <c r="Z273" s="118">
        <f t="shared" si="106"/>
        <v>0</v>
      </c>
      <c r="AA273" s="215">
        <f t="shared" si="92"/>
        <v>0</v>
      </c>
      <c r="AB273" s="202"/>
      <c r="AC273" s="186">
        <f t="shared" si="119"/>
        <v>44470</v>
      </c>
      <c r="AD273" s="232">
        <f>+AA273*(VLOOKUP(AC273,CURVECALC!$C$6:$J$312,4,0)+AE$5)</f>
        <v>0</v>
      </c>
      <c r="AE273" s="208">
        <f>-W273*INDEX(ship_curves,MATCH(AC273,'SHIP CURVES'!$A$9:$A$316,0),MATCH(CONCATENATE(AG$4,AG$5,AG$6,AG$7),'SHIP CURVES'!$A$9:$AZ$9,0))</f>
        <v>0</v>
      </c>
      <c r="AF273" s="209">
        <f>-Y273*INDEX(port_processing_fee,MATCH(AC273,PORTS!$H$626:$H$933,0),MATCH(AG$5,PORTS!$H$626:$Z$626,0))</f>
        <v>0</v>
      </c>
      <c r="AG273" s="405">
        <f>(((VLOOKUP(AC273,curvecalc,4,0))*IF(W273=0,0,AA273/W273)-INDEX(ship_curves,MATCH(AC273,'SHIP CURVES'!$A$9:$A$316,0),MATCH(CONCATENATE(AG$4,AG$5,AG$6,AG$7),'SHIP CURVES'!$A$9:$Z$9,0))-INDEX(terminal_curves,MATCH(AC273,'TERMINAL CURVES'!$A$4:$A$313,0),MATCH(AG$5,'TERMINAL CURVES'!$A$4:$N$4,0))*IF(W273=0,0,Y273/W273))-(AE$8)*((AE$7-$N$5)-(INDEX(ship_curves,MATCH(AC273,'SHIP CURVES'!$A$9:$A$316,0),MATCH(CONCATENATE(AG$4,AG$5,AG$6,AG$7),'SHIP CURVES'!$A$9:$Z$9,0))-INDEX(ship_curves,MATCH(AC273,'SHIP CURVES'!$A$9:$A$316,0),MATCH(CONCATENATE(AG$4,AE$6,AG$6,AG$7),'SHIP CURVES'!$A$9:$Z$9,0)))-(INDEX(terminal_curves,MATCH(AC273,'TERMINAL CURVES'!$A$4:$A$313,0),MATCH(AG$5,'TERMINAL CURVES'!$A$4:$N$4,0))-INDEX(terminal_curves,MATCH(AC273,'TERMINAL CURVES'!$A$4:$A$313,0),MATCH(AE$6,'TERMINAL CURVES'!$A$4:$N$4,0)))*IF(W273=0,0,Y273/W273)))*-W273</f>
        <v>0</v>
      </c>
      <c r="AH273" s="343">
        <f t="shared" si="107"/>
        <v>0</v>
      </c>
      <c r="AI273" s="338">
        <f>(-Y273/((HLOOKUP(AG$5,port_specs,2,0)/(365.25))*(AC274-AC273)))*(INDEX(fixed_capacity_charge,MATCH(AC273,PORTS!$H$11:$H$317,0),MATCH(AG$5,PORTS!$H$11:$N$11,0))+INDEX(variable_om_charge,MATCH(AC273,PORTS!$H$318:$H$625,0),MATCH(AG$5,PORTS!$H$318:$N$318,0)))</f>
        <v>0</v>
      </c>
      <c r="AJ273" s="232">
        <f t="shared" si="108"/>
        <v>0</v>
      </c>
      <c r="AK273" s="241">
        <f t="shared" si="109"/>
        <v>0</v>
      </c>
      <c r="AM273" s="186">
        <f t="shared" si="120"/>
        <v>44470</v>
      </c>
      <c r="AN273" s="215">
        <f t="shared" si="110"/>
        <v>0</v>
      </c>
      <c r="AO273" s="191">
        <f t="shared" si="111"/>
        <v>0</v>
      </c>
      <c r="AP273" s="218">
        <f>+IF(AND(AO$8&lt;=AM273,AO$9&gt;=AM273),+MIN($B273-SUMIF($H$17:AO$17,AP$17,$H273:AO273),((INDEX(ROUTE_PER_DAY_BY_SHIP,MATCH(CONCATENATE(AO$4,AO$5,AO$7),ROUTE_PER_DAY_ROUTES,0),MATCH(AO$6,ROUTE_PER_DAY_SHIPS,0))*(AM274-AM273))-(INDEX(ROUTE_PER_DAY_BY_SHIP,MATCH(CONCATENATE(AO$4,AO$5,AO$7),ROUTE_PER_DAY_ROUTES,0),MATCH(AO$6,ROUTE_PER_DAY_SHIPS,0))*(AM274-AM273))*HLOOKUP(AO$6,SHIPS,7,0)*INDEX(LADEN_VOYAGE_DAYS,MATCH(CONCATENATE(AO$4,AO$5,AO$7),LADEN_VOYAGE_ROUTES,0),MATCH(AO$6,LADEN_VOYAGE_SHIPS,0)))),0)</f>
        <v>0</v>
      </c>
      <c r="AQ273" s="118">
        <f>-(AP273)*PORTS!$I$6</f>
        <v>0</v>
      </c>
      <c r="AR273" s="215">
        <f t="shared" si="93"/>
        <v>0</v>
      </c>
      <c r="AS273" s="202"/>
      <c r="AT273" s="186">
        <f t="shared" si="121"/>
        <v>44470</v>
      </c>
      <c r="AU273" s="232">
        <f>+AR273*(VLOOKUP(AT273,CURVECALC!$C$6:$J$312,4,0)+AV$5)</f>
        <v>0</v>
      </c>
      <c r="AV273" s="208">
        <f>-AN273*INDEX(ship_curves,MATCH(AT273,'SHIP CURVES'!$A$9:$A$316,0),MATCH(CONCATENATE(AX$4,AX$5,AX$6,AX$7),'SHIP CURVES'!$A$9:$AZ$9,0))</f>
        <v>0</v>
      </c>
      <c r="AW273" s="209">
        <f>-AP273*INDEX(port_processing_fee,MATCH(AT273,PORTS!$H$626:$H$933,0),MATCH(AX$5,PORTS!$H$626:$Z$626,0))</f>
        <v>0</v>
      </c>
      <c r="AX273" s="405">
        <f>(((VLOOKUP(AT273,curvecalc,4,0))*IF(AN273=0,0,AR273/AN273)-INDEX(ship_curves,MATCH(AT273,'SHIP CURVES'!$A$9:$A$316,0),MATCH(CONCATENATE(AX$4,AX$5,AX$6,AX$7),'SHIP CURVES'!$A$9:$Z$9,0))-INDEX(terminal_curves,MATCH(AT273,'TERMINAL CURVES'!$A$4:$A$313,0),MATCH(AX$5,'TERMINAL CURVES'!$A$4:$N$4,0))*IF(AN273=0,0,AP273/AN273))-(AV$8)*((AV$7-$N$5)-(INDEX(ship_curves,MATCH(AT273,'SHIP CURVES'!$A$9:$A$316,0),MATCH(CONCATENATE(AX$4,AX$5,AX$6,AX$7),'SHIP CURVES'!$A$9:$Z$9,0))-INDEX(ship_curves,MATCH(AT273,'SHIP CURVES'!$A$9:$A$316,0),MATCH(CONCATENATE(AX$4,AV$6,AX$6,AX$7),'SHIP CURVES'!$A$9:$Z$9,0)))-(INDEX(terminal_curves,MATCH(AT273,'TERMINAL CURVES'!$A$4:$A$313,0),MATCH(AX$5,'TERMINAL CURVES'!$A$4:$N$4,0))-INDEX(terminal_curves,MATCH(AT273,'TERMINAL CURVES'!$A$4:$A$313,0),MATCH(AV$6,'TERMINAL CURVES'!$A$4:$N$4,0)))*IF(AN273=0,0,AP273/AN273)))*-AN273</f>
        <v>0</v>
      </c>
      <c r="AY273" s="343">
        <f t="shared" si="112"/>
        <v>0</v>
      </c>
      <c r="AZ273" s="338">
        <f>(-AP273/((HLOOKUP(AX$5,port_specs,2,0)/(365.25))*(AT274-AT273)))*(INDEX(fixed_capacity_charge,MATCH(AT273,PORTS!$H$11:$H$317,0),MATCH(AX$5,PORTS!$H$11:$N$11,0))+INDEX(variable_om_charge,MATCH(AT273,PORTS!$H$318:$H$625,0),MATCH(AX$5,PORTS!$H$318:$N$318,0)))</f>
        <v>0</v>
      </c>
      <c r="BA273" s="232">
        <f t="shared" si="113"/>
        <v>0</v>
      </c>
      <c r="BB273" s="241">
        <f t="shared" si="114"/>
        <v>0</v>
      </c>
      <c r="BC273" s="408"/>
      <c r="BD273" s="338">
        <f>+PORTS!I267+PORTS!I575</f>
        <v>0</v>
      </c>
    </row>
    <row r="274" spans="1:56" x14ac:dyDescent="0.2">
      <c r="A274" s="186">
        <f t="shared" si="115"/>
        <v>44501</v>
      </c>
      <c r="B274" s="215">
        <f>+IF(AND($A274&gt;=$C$8,$A274&lt;=$C$9),1,0)*PORTS!$I$5/(365.25)*(A275-A274)</f>
        <v>0</v>
      </c>
      <c r="C274" s="351">
        <f t="shared" si="94"/>
        <v>0</v>
      </c>
      <c r="D274">
        <f t="shared" si="95"/>
        <v>2021</v>
      </c>
      <c r="E274" s="186">
        <f t="shared" si="116"/>
        <v>44501</v>
      </c>
      <c r="F274" s="215">
        <f t="shared" si="96"/>
        <v>0</v>
      </c>
      <c r="G274" s="191">
        <f t="shared" si="97"/>
        <v>0</v>
      </c>
      <c r="H274" s="218">
        <f t="shared" si="98"/>
        <v>0</v>
      </c>
      <c r="I274" s="118">
        <f t="shared" si="99"/>
        <v>0</v>
      </c>
      <c r="J274" s="215">
        <f t="shared" si="100"/>
        <v>0</v>
      </c>
      <c r="K274" s="202"/>
      <c r="L274" s="186">
        <f t="shared" si="117"/>
        <v>44501</v>
      </c>
      <c r="M274" s="400">
        <f>+J274*(VLOOKUP(L274,CURVECALC!$C$6:$J$312,4,0)+N$5)</f>
        <v>0</v>
      </c>
      <c r="N274" s="208">
        <f>-F274*INDEX(ship_curves,MATCH(L274,'SHIP CURVES'!$A$9:$A$316,0),MATCH(CONCATENATE(P$4,P$5,P$6,P$7),'SHIP CURVES'!$A$9:$AZ$9,0))</f>
        <v>0</v>
      </c>
      <c r="O274" s="209">
        <f>-H274*INDEX(port_processing_fee,MATCH(L274,PORTS!$H$626:$H$933,0),MATCH(P$5,PORTS!$H$626:$Z$626,0))</f>
        <v>0</v>
      </c>
      <c r="P274" s="405">
        <f>(((VLOOKUP(L274,curvecalc,4,0))*IF(F274=0,0,J274/F274)-INDEX(ship_curves,MATCH(L274,'SHIP CURVES'!$A$9:$A$316,0),MATCH(CONCATENATE(P$4,P$5,P$6,P$7),'SHIP CURVES'!$A$9:$Z$9,0))-INDEX(terminal_curves,MATCH(L274,'TERMINAL CURVES'!$A$4:$A$313,0),MATCH(P$5,'TERMINAL CURVES'!$A$4:$N$4,0))*IF(F274=0,0,H274/F274))-(N$8)*((N$7-$N$5)-(INDEX(ship_curves,MATCH(L274,'SHIP CURVES'!$A$9:$A$316,0),MATCH(CONCATENATE(P$4,P$5,P$6,P$7),'SHIP CURVES'!$A$9:$Z$9,0))-INDEX(ship_curves,MATCH(L274,'SHIP CURVES'!$A$9:$A$316,0),MATCH(CONCATENATE(P$4,N$6,P$6,P$7),'SHIP CURVES'!$A$9:$Z$9,0)))-(INDEX(terminal_curves,MATCH(L274,'TERMINAL CURVES'!$A$4:$A$313,0),MATCH(P$5,'TERMINAL CURVES'!$A$4:$N$4,0))-INDEX(terminal_curves,MATCH(L274,'TERMINAL CURVES'!$A$4:$A$313,0),MATCH(N$6,'TERMINAL CURVES'!$A$4:$N$4,0)))*IF(F274=0,0,H274/F274)))*-F274</f>
        <v>0</v>
      </c>
      <c r="Q274" s="403">
        <f t="shared" si="101"/>
        <v>0</v>
      </c>
      <c r="R274" s="338">
        <f>(-H274/((HLOOKUP(P$5,port_specs,2,0)/(365.25))*(L275-L274)))*(INDEX(fixed_capacity_charge,MATCH(L274,PORTS!$H$11:$H$317,0),MATCH(P$5,PORTS!$H$11:$N$11,0))+INDEX(variable_om_charge,MATCH(L274,PORTS!$H$318:$H$625,0),MATCH(P$5,PORTS!$H$318:$N$318,0)))</f>
        <v>0</v>
      </c>
      <c r="S274" s="232">
        <f t="shared" si="102"/>
        <v>0</v>
      </c>
      <c r="T274" s="241">
        <f t="shared" si="103"/>
        <v>0</v>
      </c>
      <c r="V274" s="186">
        <f t="shared" si="118"/>
        <v>44501</v>
      </c>
      <c r="W274" s="215">
        <f t="shared" si="104"/>
        <v>0</v>
      </c>
      <c r="X274" s="191">
        <f t="shared" si="105"/>
        <v>0</v>
      </c>
      <c r="Y274" s="218">
        <f>+IF(AND(X$8&lt;=V274,X$9&gt;=V274),+MIN($B274-SUMIF($H$17:X$17,Y$17,$H274:X274),((INDEX(ROUTE_PER_DAY_BY_SHIP,MATCH(CONCATENATE(X$4,X$5,X$7),ROUTE_PER_DAY_ROUTES,0),MATCH(X$6,ROUTE_PER_DAY_SHIPS,0))*(V275-V274))-(INDEX(ROUTE_PER_DAY_BY_SHIP,MATCH(CONCATENATE(X$4,X$5,X$7),ROUTE_PER_DAY_ROUTES,0),MATCH(X$6,ROUTE_PER_DAY_SHIPS,0))*(V275-V274))*HLOOKUP(X$6,SHIPS,7,0)*INDEX(LADEN_VOYAGE_DAYS,MATCH(CONCATENATE(X$4,X$5,X$7),LADEN_VOYAGE_ROUTES,0),MATCH(X$6,LADEN_VOYAGE_SHIPS,0)))),0)</f>
        <v>0</v>
      </c>
      <c r="Z274" s="118">
        <f t="shared" si="106"/>
        <v>0</v>
      </c>
      <c r="AA274" s="215">
        <f t="shared" ref="AA274:AA323" si="122">+Y274+Z274</f>
        <v>0</v>
      </c>
      <c r="AB274" s="202"/>
      <c r="AC274" s="186">
        <f t="shared" si="119"/>
        <v>44501</v>
      </c>
      <c r="AD274" s="232">
        <f>+AA274*(VLOOKUP(AC274,CURVECALC!$C$6:$J$312,4,0)+AE$5)</f>
        <v>0</v>
      </c>
      <c r="AE274" s="208">
        <f>-W274*INDEX(ship_curves,MATCH(AC274,'SHIP CURVES'!$A$9:$A$316,0),MATCH(CONCATENATE(AG$4,AG$5,AG$6,AG$7),'SHIP CURVES'!$A$9:$AZ$9,0))</f>
        <v>0</v>
      </c>
      <c r="AF274" s="209">
        <f>-Y274*INDEX(port_processing_fee,MATCH(AC274,PORTS!$H$626:$H$933,0),MATCH(AG$5,PORTS!$H$626:$Z$626,0))</f>
        <v>0</v>
      </c>
      <c r="AG274" s="405">
        <f>(((VLOOKUP(AC274,curvecalc,4,0))*IF(W274=0,0,AA274/W274)-INDEX(ship_curves,MATCH(AC274,'SHIP CURVES'!$A$9:$A$316,0),MATCH(CONCATENATE(AG$4,AG$5,AG$6,AG$7),'SHIP CURVES'!$A$9:$Z$9,0))-INDEX(terminal_curves,MATCH(AC274,'TERMINAL CURVES'!$A$4:$A$313,0),MATCH(AG$5,'TERMINAL CURVES'!$A$4:$N$4,0))*IF(W274=0,0,Y274/W274))-(AE$8)*((AE$7-$N$5)-(INDEX(ship_curves,MATCH(AC274,'SHIP CURVES'!$A$9:$A$316,0),MATCH(CONCATENATE(AG$4,AG$5,AG$6,AG$7),'SHIP CURVES'!$A$9:$Z$9,0))-INDEX(ship_curves,MATCH(AC274,'SHIP CURVES'!$A$9:$A$316,0),MATCH(CONCATENATE(AG$4,AE$6,AG$6,AG$7),'SHIP CURVES'!$A$9:$Z$9,0)))-(INDEX(terminal_curves,MATCH(AC274,'TERMINAL CURVES'!$A$4:$A$313,0),MATCH(AG$5,'TERMINAL CURVES'!$A$4:$N$4,0))-INDEX(terminal_curves,MATCH(AC274,'TERMINAL CURVES'!$A$4:$A$313,0),MATCH(AE$6,'TERMINAL CURVES'!$A$4:$N$4,0)))*IF(W274=0,0,Y274/W274)))*-W274</f>
        <v>0</v>
      </c>
      <c r="AH274" s="343">
        <f t="shared" si="107"/>
        <v>0</v>
      </c>
      <c r="AI274" s="338">
        <f>(-Y274/((HLOOKUP(AG$5,port_specs,2,0)/(365.25))*(AC275-AC274)))*(INDEX(fixed_capacity_charge,MATCH(AC274,PORTS!$H$11:$H$317,0),MATCH(AG$5,PORTS!$H$11:$N$11,0))+INDEX(variable_om_charge,MATCH(AC274,PORTS!$H$318:$H$625,0),MATCH(AG$5,PORTS!$H$318:$N$318,0)))</f>
        <v>0</v>
      </c>
      <c r="AJ274" s="232">
        <f t="shared" si="108"/>
        <v>0</v>
      </c>
      <c r="AK274" s="241">
        <f t="shared" si="109"/>
        <v>0</v>
      </c>
      <c r="AM274" s="186">
        <f t="shared" si="120"/>
        <v>44501</v>
      </c>
      <c r="AN274" s="215">
        <f t="shared" si="110"/>
        <v>0</v>
      </c>
      <c r="AO274" s="191">
        <f t="shared" si="111"/>
        <v>0</v>
      </c>
      <c r="AP274" s="218">
        <f>+IF(AND(AO$8&lt;=AM274,AO$9&gt;=AM274),+MIN($B274-SUMIF($H$17:AO$17,AP$17,$H274:AO274),((INDEX(ROUTE_PER_DAY_BY_SHIP,MATCH(CONCATENATE(AO$4,AO$5,AO$7),ROUTE_PER_DAY_ROUTES,0),MATCH(AO$6,ROUTE_PER_DAY_SHIPS,0))*(AM275-AM274))-(INDEX(ROUTE_PER_DAY_BY_SHIP,MATCH(CONCATENATE(AO$4,AO$5,AO$7),ROUTE_PER_DAY_ROUTES,0),MATCH(AO$6,ROUTE_PER_DAY_SHIPS,0))*(AM275-AM274))*HLOOKUP(AO$6,SHIPS,7,0)*INDEX(LADEN_VOYAGE_DAYS,MATCH(CONCATENATE(AO$4,AO$5,AO$7),LADEN_VOYAGE_ROUTES,0),MATCH(AO$6,LADEN_VOYAGE_SHIPS,0)))),0)</f>
        <v>0</v>
      </c>
      <c r="AQ274" s="118">
        <f>-(AP274)*PORTS!$I$6</f>
        <v>0</v>
      </c>
      <c r="AR274" s="215">
        <f t="shared" ref="AR274:AR323" si="123">+AP274+AQ274</f>
        <v>0</v>
      </c>
      <c r="AS274" s="202"/>
      <c r="AT274" s="186">
        <f t="shared" si="121"/>
        <v>44501</v>
      </c>
      <c r="AU274" s="232">
        <f>+AR274*(VLOOKUP(AT274,CURVECALC!$C$6:$J$312,4,0)+AV$5)</f>
        <v>0</v>
      </c>
      <c r="AV274" s="208">
        <f>-AN274*INDEX(ship_curves,MATCH(AT274,'SHIP CURVES'!$A$9:$A$316,0),MATCH(CONCATENATE(AX$4,AX$5,AX$6,AX$7),'SHIP CURVES'!$A$9:$AZ$9,0))</f>
        <v>0</v>
      </c>
      <c r="AW274" s="209">
        <f>-AP274*INDEX(port_processing_fee,MATCH(AT274,PORTS!$H$626:$H$933,0),MATCH(AX$5,PORTS!$H$626:$Z$626,0))</f>
        <v>0</v>
      </c>
      <c r="AX274" s="405">
        <f>(((VLOOKUP(AT274,curvecalc,4,0))*IF(AN274=0,0,AR274/AN274)-INDEX(ship_curves,MATCH(AT274,'SHIP CURVES'!$A$9:$A$316,0),MATCH(CONCATENATE(AX$4,AX$5,AX$6,AX$7),'SHIP CURVES'!$A$9:$Z$9,0))-INDEX(terminal_curves,MATCH(AT274,'TERMINAL CURVES'!$A$4:$A$313,0),MATCH(AX$5,'TERMINAL CURVES'!$A$4:$N$4,0))*IF(AN274=0,0,AP274/AN274))-(AV$8)*((AV$7-$N$5)-(INDEX(ship_curves,MATCH(AT274,'SHIP CURVES'!$A$9:$A$316,0),MATCH(CONCATENATE(AX$4,AX$5,AX$6,AX$7),'SHIP CURVES'!$A$9:$Z$9,0))-INDEX(ship_curves,MATCH(AT274,'SHIP CURVES'!$A$9:$A$316,0),MATCH(CONCATENATE(AX$4,AV$6,AX$6,AX$7),'SHIP CURVES'!$A$9:$Z$9,0)))-(INDEX(terminal_curves,MATCH(AT274,'TERMINAL CURVES'!$A$4:$A$313,0),MATCH(AX$5,'TERMINAL CURVES'!$A$4:$N$4,0))-INDEX(terminal_curves,MATCH(AT274,'TERMINAL CURVES'!$A$4:$A$313,0),MATCH(AV$6,'TERMINAL CURVES'!$A$4:$N$4,0)))*IF(AN274=0,0,AP274/AN274)))*-AN274</f>
        <v>0</v>
      </c>
      <c r="AY274" s="343">
        <f t="shared" si="112"/>
        <v>0</v>
      </c>
      <c r="AZ274" s="338">
        <f>(-AP274/((HLOOKUP(AX$5,port_specs,2,0)/(365.25))*(AT275-AT274)))*(INDEX(fixed_capacity_charge,MATCH(AT274,PORTS!$H$11:$H$317,0),MATCH(AX$5,PORTS!$H$11:$N$11,0))+INDEX(variable_om_charge,MATCH(AT274,PORTS!$H$318:$H$625,0),MATCH(AX$5,PORTS!$H$318:$N$318,0)))</f>
        <v>0</v>
      </c>
      <c r="BA274" s="232">
        <f t="shared" si="113"/>
        <v>0</v>
      </c>
      <c r="BB274" s="241">
        <f t="shared" si="114"/>
        <v>0</v>
      </c>
      <c r="BC274" s="408"/>
      <c r="BD274" s="338">
        <f>+PORTS!I268+PORTS!I576</f>
        <v>0</v>
      </c>
    </row>
    <row r="275" spans="1:56" x14ac:dyDescent="0.2">
      <c r="A275" s="186">
        <f t="shared" si="115"/>
        <v>44531</v>
      </c>
      <c r="B275" s="215">
        <f>+IF(AND($A275&gt;=$C$8,$A275&lt;=$C$9),1,0)*PORTS!$I$5/(365.25)*(A276-A275)</f>
        <v>0</v>
      </c>
      <c r="C275" s="351">
        <f t="shared" ref="C275:C323" si="124">+B275-(SUMIF($F$17:$IV$17,$H$17,$F275:$IV275))</f>
        <v>0</v>
      </c>
      <c r="D275">
        <f t="shared" ref="D275:D323" si="125">+YEAR(E275)</f>
        <v>2021</v>
      </c>
      <c r="E275" s="186">
        <f t="shared" si="116"/>
        <v>44531</v>
      </c>
      <c r="F275" s="215">
        <f t="shared" ref="F275:F323" si="126">+IF(AND(G$8&lt;=E275,G$9&gt;=E275),INDEX(ROUTE_PER_DAY_BY_SHIP,MATCH(CONCATENATE(G$4,G$5,G$7),ROUTE_PER_DAY_ROUTES,0),MATCH(G$6,ROUTE_PER_DAY_SHIPS,0))*(E276-E275),0)</f>
        <v>0</v>
      </c>
      <c r="G275" s="191">
        <f t="shared" ref="G275:G323" si="127">-F275*HLOOKUP(G$6,SHIPS,7,0)*INDEX(LADEN_VOYAGE_DAYS,MATCH(CONCATENATE(G$4,G$5,G$7),LADEN_VOYAGE_ROUTES,0),MATCH(G$6,LADEN_VOYAGE_SHIPS,0))</f>
        <v>0</v>
      </c>
      <c r="H275" s="218">
        <f t="shared" ref="H275:H323" si="128">SUM(F275:G275)</f>
        <v>0</v>
      </c>
      <c r="I275" s="118">
        <f t="shared" ref="I275:I323" si="129">-(H275)*HLOOKUP(G$5,TERMINAL_CHARGES,3,0)</f>
        <v>0</v>
      </c>
      <c r="J275" s="215">
        <f t="shared" ref="J275:J323" si="130">+H275+I275</f>
        <v>0</v>
      </c>
      <c r="K275" s="202"/>
      <c r="L275" s="186">
        <f t="shared" si="117"/>
        <v>44531</v>
      </c>
      <c r="M275" s="400">
        <f>+J275*(VLOOKUP(L275,CURVECALC!$C$6:$J$312,4,0)+N$5)</f>
        <v>0</v>
      </c>
      <c r="N275" s="208">
        <f>-F275*INDEX(ship_curves,MATCH(L275,'SHIP CURVES'!$A$9:$A$316,0),MATCH(CONCATENATE(P$4,P$5,P$6,P$7),'SHIP CURVES'!$A$9:$AZ$9,0))</f>
        <v>0</v>
      </c>
      <c r="O275" s="209">
        <f>-H275*INDEX(port_processing_fee,MATCH(L275,PORTS!$H$626:$H$933,0),MATCH(P$5,PORTS!$H$626:$Z$626,0))</f>
        <v>0</v>
      </c>
      <c r="P275" s="405">
        <f>(((VLOOKUP(L275,curvecalc,4,0))*IF(F275=0,0,J275/F275)-INDEX(ship_curves,MATCH(L275,'SHIP CURVES'!$A$9:$A$316,0),MATCH(CONCATENATE(P$4,P$5,P$6,P$7),'SHIP CURVES'!$A$9:$Z$9,0))-INDEX(terminal_curves,MATCH(L275,'TERMINAL CURVES'!$A$4:$A$313,0),MATCH(P$5,'TERMINAL CURVES'!$A$4:$N$4,0))*IF(F275=0,0,H275/F275))-(N$8)*((N$7-$N$5)-(INDEX(ship_curves,MATCH(L275,'SHIP CURVES'!$A$9:$A$316,0),MATCH(CONCATENATE(P$4,P$5,P$6,P$7),'SHIP CURVES'!$A$9:$Z$9,0))-INDEX(ship_curves,MATCH(L275,'SHIP CURVES'!$A$9:$A$316,0),MATCH(CONCATENATE(P$4,N$6,P$6,P$7),'SHIP CURVES'!$A$9:$Z$9,0)))-(INDEX(terminal_curves,MATCH(L275,'TERMINAL CURVES'!$A$4:$A$313,0),MATCH(P$5,'TERMINAL CURVES'!$A$4:$N$4,0))-INDEX(terminal_curves,MATCH(L275,'TERMINAL CURVES'!$A$4:$A$313,0),MATCH(N$6,'TERMINAL CURVES'!$A$4:$N$4,0)))*IF(F275=0,0,H275/F275)))*-F275</f>
        <v>0</v>
      </c>
      <c r="Q275" s="403">
        <f t="shared" ref="Q275:Q323" si="131">SUM(N275:P275)</f>
        <v>0</v>
      </c>
      <c r="R275" s="338">
        <f>(-H275/((HLOOKUP(P$5,port_specs,2,0)/(365.25))*(L276-L275)))*(INDEX(fixed_capacity_charge,MATCH(L275,PORTS!$H$11:$H$317,0),MATCH(P$5,PORTS!$H$11:$N$11,0))+INDEX(variable_om_charge,MATCH(L275,PORTS!$H$318:$H$625,0),MATCH(P$5,PORTS!$H$318:$N$318,0)))</f>
        <v>0</v>
      </c>
      <c r="S275" s="232">
        <f t="shared" ref="S275:S323" si="132">+R275+Q275</f>
        <v>0</v>
      </c>
      <c r="T275" s="241">
        <f t="shared" ref="T275:T323" si="133">+S275+M275</f>
        <v>0</v>
      </c>
      <c r="V275" s="186">
        <f t="shared" si="118"/>
        <v>44531</v>
      </c>
      <c r="W275" s="215">
        <f t="shared" ref="W275:W323" si="134">+Y275/(1-HLOOKUP(X$6,SHIPS,7,0)*INDEX(LADEN_VOYAGE_DAYS,MATCH(CONCATENATE(X$4,X$5),LADEN_VOYAGE_ROUTES,0),MATCH(X$6,LADEN_VOYAGE_SHIPS,0)))</f>
        <v>0</v>
      </c>
      <c r="X275" s="191">
        <f t="shared" ref="X275:X323" si="135">+Y275-W275</f>
        <v>0</v>
      </c>
      <c r="Y275" s="218">
        <f>+IF(AND(X$8&lt;=V275,X$9&gt;=V275),+MIN($B275-SUMIF($H$17:X$17,Y$17,$H275:X275),((INDEX(ROUTE_PER_DAY_BY_SHIP,MATCH(CONCATENATE(X$4,X$5,X$7),ROUTE_PER_DAY_ROUTES,0),MATCH(X$6,ROUTE_PER_DAY_SHIPS,0))*(V276-V275))-(INDEX(ROUTE_PER_DAY_BY_SHIP,MATCH(CONCATENATE(X$4,X$5,X$7),ROUTE_PER_DAY_ROUTES,0),MATCH(X$6,ROUTE_PER_DAY_SHIPS,0))*(V276-V275))*HLOOKUP(X$6,SHIPS,7,0)*INDEX(LADEN_VOYAGE_DAYS,MATCH(CONCATENATE(X$4,X$5,X$7),LADEN_VOYAGE_ROUTES,0),MATCH(X$6,LADEN_VOYAGE_SHIPS,0)))),0)</f>
        <v>0</v>
      </c>
      <c r="Z275" s="118">
        <f t="shared" ref="Z275:Z323" si="136">-(Y275)*HLOOKUP(X$5,TERMINAL_CHARGES,3,0)</f>
        <v>0</v>
      </c>
      <c r="AA275" s="215">
        <f t="shared" si="122"/>
        <v>0</v>
      </c>
      <c r="AB275" s="202"/>
      <c r="AC275" s="186">
        <f t="shared" si="119"/>
        <v>44531</v>
      </c>
      <c r="AD275" s="232">
        <f>+AA275*(VLOOKUP(AC275,CURVECALC!$C$6:$J$312,4,0)+AE$5)</f>
        <v>0</v>
      </c>
      <c r="AE275" s="208">
        <f>-W275*INDEX(ship_curves,MATCH(AC275,'SHIP CURVES'!$A$9:$A$316,0),MATCH(CONCATENATE(AG$4,AG$5,AG$6,AG$7),'SHIP CURVES'!$A$9:$AZ$9,0))</f>
        <v>0</v>
      </c>
      <c r="AF275" s="209">
        <f>-Y275*INDEX(port_processing_fee,MATCH(AC275,PORTS!$H$626:$H$933,0),MATCH(AG$5,PORTS!$H$626:$Z$626,0))</f>
        <v>0</v>
      </c>
      <c r="AG275" s="405">
        <f>(((VLOOKUP(AC275,curvecalc,4,0))*IF(W275=0,0,AA275/W275)-INDEX(ship_curves,MATCH(AC275,'SHIP CURVES'!$A$9:$A$316,0),MATCH(CONCATENATE(AG$4,AG$5,AG$6,AG$7),'SHIP CURVES'!$A$9:$Z$9,0))-INDEX(terminal_curves,MATCH(AC275,'TERMINAL CURVES'!$A$4:$A$313,0),MATCH(AG$5,'TERMINAL CURVES'!$A$4:$N$4,0))*IF(W275=0,0,Y275/W275))-(AE$8)*((AE$7-$N$5)-(INDEX(ship_curves,MATCH(AC275,'SHIP CURVES'!$A$9:$A$316,0),MATCH(CONCATENATE(AG$4,AG$5,AG$6,AG$7),'SHIP CURVES'!$A$9:$Z$9,0))-INDEX(ship_curves,MATCH(AC275,'SHIP CURVES'!$A$9:$A$316,0),MATCH(CONCATENATE(AG$4,AE$6,AG$6,AG$7),'SHIP CURVES'!$A$9:$Z$9,0)))-(INDEX(terminal_curves,MATCH(AC275,'TERMINAL CURVES'!$A$4:$A$313,0),MATCH(AG$5,'TERMINAL CURVES'!$A$4:$N$4,0))-INDEX(terminal_curves,MATCH(AC275,'TERMINAL CURVES'!$A$4:$A$313,0),MATCH(AE$6,'TERMINAL CURVES'!$A$4:$N$4,0)))*IF(W275=0,0,Y275/W275)))*-W275</f>
        <v>0</v>
      </c>
      <c r="AH275" s="343">
        <f t="shared" ref="AH275:AH323" si="137">SUM(AE275:AG275)</f>
        <v>0</v>
      </c>
      <c r="AI275" s="338">
        <f>(-Y275/((HLOOKUP(AG$5,port_specs,2,0)/(365.25))*(AC276-AC275)))*(INDEX(fixed_capacity_charge,MATCH(AC275,PORTS!$H$11:$H$317,0),MATCH(AG$5,PORTS!$H$11:$N$11,0))+INDEX(variable_om_charge,MATCH(AC275,PORTS!$H$318:$H$625,0),MATCH(AG$5,PORTS!$H$318:$N$318,0)))</f>
        <v>0</v>
      </c>
      <c r="AJ275" s="232">
        <f t="shared" ref="AJ275:AJ323" si="138">+AI275+AH275</f>
        <v>0</v>
      </c>
      <c r="AK275" s="241">
        <f t="shared" ref="AK275:AK323" si="139">+AJ275+AD275</f>
        <v>0</v>
      </c>
      <c r="AM275" s="186">
        <f t="shared" si="120"/>
        <v>44531</v>
      </c>
      <c r="AN275" s="215">
        <f t="shared" ref="AN275:AN323" si="140">+AP275/(1-HLOOKUP(AO$6,SHIPS,7,0)*INDEX(LADEN_VOYAGE_DAYS,MATCH(CONCATENATE(AO$4,AO$5),LADEN_VOYAGE_ROUTES,0),MATCH(AO$6,LADEN_VOYAGE_SHIPS,0)))</f>
        <v>0</v>
      </c>
      <c r="AO275" s="191">
        <f t="shared" ref="AO275:AO323" si="141">+AP275-AN275</f>
        <v>0</v>
      </c>
      <c r="AP275" s="218">
        <f>+IF(AND(AO$8&lt;=AM275,AO$9&gt;=AM275),+MIN($B275-SUMIF($H$17:AO$17,AP$17,$H275:AO275),((INDEX(ROUTE_PER_DAY_BY_SHIP,MATCH(CONCATENATE(AO$4,AO$5,AO$7),ROUTE_PER_DAY_ROUTES,0),MATCH(AO$6,ROUTE_PER_DAY_SHIPS,0))*(AM276-AM275))-(INDEX(ROUTE_PER_DAY_BY_SHIP,MATCH(CONCATENATE(AO$4,AO$5,AO$7),ROUTE_PER_DAY_ROUTES,0),MATCH(AO$6,ROUTE_PER_DAY_SHIPS,0))*(AM276-AM275))*HLOOKUP(AO$6,SHIPS,7,0)*INDEX(LADEN_VOYAGE_DAYS,MATCH(CONCATENATE(AO$4,AO$5,AO$7),LADEN_VOYAGE_ROUTES,0),MATCH(AO$6,LADEN_VOYAGE_SHIPS,0)))),0)</f>
        <v>0</v>
      </c>
      <c r="AQ275" s="118">
        <f>-(AP275)*PORTS!$I$6</f>
        <v>0</v>
      </c>
      <c r="AR275" s="215">
        <f t="shared" si="123"/>
        <v>0</v>
      </c>
      <c r="AS275" s="202"/>
      <c r="AT275" s="186">
        <f t="shared" si="121"/>
        <v>44531</v>
      </c>
      <c r="AU275" s="232">
        <f>+AR275*(VLOOKUP(AT275,CURVECALC!$C$6:$J$312,4,0)+AV$5)</f>
        <v>0</v>
      </c>
      <c r="AV275" s="208">
        <f>-AN275*INDEX(ship_curves,MATCH(AT275,'SHIP CURVES'!$A$9:$A$316,0),MATCH(CONCATENATE(AX$4,AX$5,AX$6,AX$7),'SHIP CURVES'!$A$9:$AZ$9,0))</f>
        <v>0</v>
      </c>
      <c r="AW275" s="209">
        <f>-AP275*INDEX(port_processing_fee,MATCH(AT275,PORTS!$H$626:$H$933,0),MATCH(AX$5,PORTS!$H$626:$Z$626,0))</f>
        <v>0</v>
      </c>
      <c r="AX275" s="405">
        <f>(((VLOOKUP(AT275,curvecalc,4,0))*IF(AN275=0,0,AR275/AN275)-INDEX(ship_curves,MATCH(AT275,'SHIP CURVES'!$A$9:$A$316,0),MATCH(CONCATENATE(AX$4,AX$5,AX$6,AX$7),'SHIP CURVES'!$A$9:$Z$9,0))-INDEX(terminal_curves,MATCH(AT275,'TERMINAL CURVES'!$A$4:$A$313,0),MATCH(AX$5,'TERMINAL CURVES'!$A$4:$N$4,0))*IF(AN275=0,0,AP275/AN275))-(AV$8)*((AV$7-$N$5)-(INDEX(ship_curves,MATCH(AT275,'SHIP CURVES'!$A$9:$A$316,0),MATCH(CONCATENATE(AX$4,AX$5,AX$6,AX$7),'SHIP CURVES'!$A$9:$Z$9,0))-INDEX(ship_curves,MATCH(AT275,'SHIP CURVES'!$A$9:$A$316,0),MATCH(CONCATENATE(AX$4,AV$6,AX$6,AX$7),'SHIP CURVES'!$A$9:$Z$9,0)))-(INDEX(terminal_curves,MATCH(AT275,'TERMINAL CURVES'!$A$4:$A$313,0),MATCH(AX$5,'TERMINAL CURVES'!$A$4:$N$4,0))-INDEX(terminal_curves,MATCH(AT275,'TERMINAL CURVES'!$A$4:$A$313,0),MATCH(AV$6,'TERMINAL CURVES'!$A$4:$N$4,0)))*IF(AN275=0,0,AP275/AN275)))*-AN275</f>
        <v>0</v>
      </c>
      <c r="AY275" s="343">
        <f t="shared" ref="AY275:AY323" si="142">SUM(AV275:AX275)</f>
        <v>0</v>
      </c>
      <c r="AZ275" s="338">
        <f>(-AP275/((HLOOKUP(AX$5,port_specs,2,0)/(365.25))*(AT276-AT275)))*(INDEX(fixed_capacity_charge,MATCH(AT275,PORTS!$H$11:$H$317,0),MATCH(AX$5,PORTS!$H$11:$N$11,0))+INDEX(variable_om_charge,MATCH(AT275,PORTS!$H$318:$H$625,0),MATCH(AX$5,PORTS!$H$318:$N$318,0)))</f>
        <v>0</v>
      </c>
      <c r="BA275" s="232">
        <f t="shared" ref="BA275:BA323" si="143">+AZ275+AY275</f>
        <v>0</v>
      </c>
      <c r="BB275" s="241">
        <f t="shared" ref="BB275:BB323" si="144">+BA275+AU275</f>
        <v>0</v>
      </c>
      <c r="BC275" s="408"/>
      <c r="BD275" s="338">
        <f>+PORTS!I269+PORTS!I577</f>
        <v>0</v>
      </c>
    </row>
    <row r="276" spans="1:56" x14ac:dyDescent="0.2">
      <c r="A276" s="186">
        <f t="shared" ref="A276:A324" si="145">+DATE(YEAR(A275),MONTH(A275)+1,1)</f>
        <v>44562</v>
      </c>
      <c r="B276" s="215">
        <f>+IF(AND($A276&gt;=$C$8,$A276&lt;=$C$9),1,0)*PORTS!$I$5/(365.25)*(A277-A276)</f>
        <v>0</v>
      </c>
      <c r="C276" s="351">
        <f t="shared" si="124"/>
        <v>0</v>
      </c>
      <c r="D276">
        <f t="shared" si="125"/>
        <v>2022</v>
      </c>
      <c r="E276" s="186">
        <f t="shared" ref="E276:E323" si="146">+DATE(YEAR(E275),MONTH(E275)+1,1)</f>
        <v>44562</v>
      </c>
      <c r="F276" s="215">
        <f t="shared" si="126"/>
        <v>0</v>
      </c>
      <c r="G276" s="191">
        <f t="shared" si="127"/>
        <v>0</v>
      </c>
      <c r="H276" s="218">
        <f t="shared" si="128"/>
        <v>0</v>
      </c>
      <c r="I276" s="118">
        <f t="shared" si="129"/>
        <v>0</v>
      </c>
      <c r="J276" s="215">
        <f t="shared" si="130"/>
        <v>0</v>
      </c>
      <c r="K276" s="202"/>
      <c r="L276" s="186">
        <f t="shared" ref="L276:L323" si="147">+DATE(YEAR(L275),MONTH(L275)+1,1)</f>
        <v>44562</v>
      </c>
      <c r="M276" s="400">
        <f>+J276*(VLOOKUP(L276,CURVECALC!$C$6:$J$312,4,0)+N$5)</f>
        <v>0</v>
      </c>
      <c r="N276" s="208">
        <f>-F276*INDEX(ship_curves,MATCH(L276,'SHIP CURVES'!$A$9:$A$316,0),MATCH(CONCATENATE(P$4,P$5,P$6,P$7),'SHIP CURVES'!$A$9:$AZ$9,0))</f>
        <v>0</v>
      </c>
      <c r="O276" s="209">
        <f>-H276*INDEX(port_processing_fee,MATCH(L276,PORTS!$H$626:$H$933,0),MATCH(P$5,PORTS!$H$626:$Z$626,0))</f>
        <v>0</v>
      </c>
      <c r="P276" s="405">
        <f>(((VLOOKUP(L276,curvecalc,4,0))*IF(F276=0,0,J276/F276)-INDEX(ship_curves,MATCH(L276,'SHIP CURVES'!$A$9:$A$316,0),MATCH(CONCATENATE(P$4,P$5,P$6,P$7),'SHIP CURVES'!$A$9:$Z$9,0))-INDEX(terminal_curves,MATCH(L276,'TERMINAL CURVES'!$A$4:$A$313,0),MATCH(P$5,'TERMINAL CURVES'!$A$4:$N$4,0))*IF(F276=0,0,H276/F276))-(N$8)*((N$7-$N$5)-(INDEX(ship_curves,MATCH(L276,'SHIP CURVES'!$A$9:$A$316,0),MATCH(CONCATENATE(P$4,P$5,P$6,P$7),'SHIP CURVES'!$A$9:$Z$9,0))-INDEX(ship_curves,MATCH(L276,'SHIP CURVES'!$A$9:$A$316,0),MATCH(CONCATENATE(P$4,N$6,P$6,P$7),'SHIP CURVES'!$A$9:$Z$9,0)))-(INDEX(terminal_curves,MATCH(L276,'TERMINAL CURVES'!$A$4:$A$313,0),MATCH(P$5,'TERMINAL CURVES'!$A$4:$N$4,0))-INDEX(terminal_curves,MATCH(L276,'TERMINAL CURVES'!$A$4:$A$313,0),MATCH(N$6,'TERMINAL CURVES'!$A$4:$N$4,0)))*IF(F276=0,0,H276/F276)))*-F276</f>
        <v>0</v>
      </c>
      <c r="Q276" s="403">
        <f t="shared" si="131"/>
        <v>0</v>
      </c>
      <c r="R276" s="338">
        <f>(-H276/((HLOOKUP(P$5,port_specs,2,0)/(365.25))*(L277-L276)))*(INDEX(fixed_capacity_charge,MATCH(L276,PORTS!$H$11:$H$317,0),MATCH(P$5,PORTS!$H$11:$N$11,0))+INDEX(variable_om_charge,MATCH(L276,PORTS!$H$318:$H$625,0),MATCH(P$5,PORTS!$H$318:$N$318,0)))</f>
        <v>0</v>
      </c>
      <c r="S276" s="232">
        <f t="shared" si="132"/>
        <v>0</v>
      </c>
      <c r="T276" s="241">
        <f t="shared" si="133"/>
        <v>0</v>
      </c>
      <c r="V276" s="186">
        <f t="shared" ref="V276:V324" si="148">+DATE(YEAR(V275),MONTH(V275)+1,1)</f>
        <v>44562</v>
      </c>
      <c r="W276" s="215">
        <f t="shared" si="134"/>
        <v>0</v>
      </c>
      <c r="X276" s="191">
        <f t="shared" si="135"/>
        <v>0</v>
      </c>
      <c r="Y276" s="218">
        <f>+IF(AND(X$8&lt;=V276,X$9&gt;=V276),+MIN($B276-SUMIF($H$17:X$17,Y$17,$H276:X276),((INDEX(ROUTE_PER_DAY_BY_SHIP,MATCH(CONCATENATE(X$4,X$5,X$7),ROUTE_PER_DAY_ROUTES,0),MATCH(X$6,ROUTE_PER_DAY_SHIPS,0))*(V277-V276))-(INDEX(ROUTE_PER_DAY_BY_SHIP,MATCH(CONCATENATE(X$4,X$5,X$7),ROUTE_PER_DAY_ROUTES,0),MATCH(X$6,ROUTE_PER_DAY_SHIPS,0))*(V277-V276))*HLOOKUP(X$6,SHIPS,7,0)*INDEX(LADEN_VOYAGE_DAYS,MATCH(CONCATENATE(X$4,X$5,X$7),LADEN_VOYAGE_ROUTES,0),MATCH(X$6,LADEN_VOYAGE_SHIPS,0)))),0)</f>
        <v>0</v>
      </c>
      <c r="Z276" s="118">
        <f t="shared" si="136"/>
        <v>0</v>
      </c>
      <c r="AA276" s="215">
        <f t="shared" si="122"/>
        <v>0</v>
      </c>
      <c r="AB276" s="202"/>
      <c r="AC276" s="186">
        <f t="shared" ref="AC276:AC323" si="149">+DATE(YEAR(AC275),MONTH(AC275)+1,1)</f>
        <v>44562</v>
      </c>
      <c r="AD276" s="232">
        <f>+AA276*(VLOOKUP(AC276,CURVECALC!$C$6:$J$312,4,0)+AE$5)</f>
        <v>0</v>
      </c>
      <c r="AE276" s="208">
        <f>-W276*INDEX(ship_curves,MATCH(AC276,'SHIP CURVES'!$A$9:$A$316,0),MATCH(CONCATENATE(AG$4,AG$5,AG$6,AG$7),'SHIP CURVES'!$A$9:$AZ$9,0))</f>
        <v>0</v>
      </c>
      <c r="AF276" s="209">
        <f>-Y276*INDEX(port_processing_fee,MATCH(AC276,PORTS!$H$626:$H$933,0),MATCH(AG$5,PORTS!$H$626:$Z$626,0))</f>
        <v>0</v>
      </c>
      <c r="AG276" s="405">
        <f>(((VLOOKUP(AC276,curvecalc,4,0))*IF(W276=0,0,AA276/W276)-INDEX(ship_curves,MATCH(AC276,'SHIP CURVES'!$A$9:$A$316,0),MATCH(CONCATENATE(AG$4,AG$5,AG$6,AG$7),'SHIP CURVES'!$A$9:$Z$9,0))-INDEX(terminal_curves,MATCH(AC276,'TERMINAL CURVES'!$A$4:$A$313,0),MATCH(AG$5,'TERMINAL CURVES'!$A$4:$N$4,0))*IF(W276=0,0,Y276/W276))-(AE$8)*((AE$7-$N$5)-(INDEX(ship_curves,MATCH(AC276,'SHIP CURVES'!$A$9:$A$316,0),MATCH(CONCATENATE(AG$4,AG$5,AG$6,AG$7),'SHIP CURVES'!$A$9:$Z$9,0))-INDEX(ship_curves,MATCH(AC276,'SHIP CURVES'!$A$9:$A$316,0),MATCH(CONCATENATE(AG$4,AE$6,AG$6,AG$7),'SHIP CURVES'!$A$9:$Z$9,0)))-(INDEX(terminal_curves,MATCH(AC276,'TERMINAL CURVES'!$A$4:$A$313,0),MATCH(AG$5,'TERMINAL CURVES'!$A$4:$N$4,0))-INDEX(terminal_curves,MATCH(AC276,'TERMINAL CURVES'!$A$4:$A$313,0),MATCH(AE$6,'TERMINAL CURVES'!$A$4:$N$4,0)))*IF(W276=0,0,Y276/W276)))*-W276</f>
        <v>0</v>
      </c>
      <c r="AH276" s="343">
        <f t="shared" si="137"/>
        <v>0</v>
      </c>
      <c r="AI276" s="338">
        <f>(-Y276/((HLOOKUP(AG$5,port_specs,2,0)/(365.25))*(AC277-AC276)))*(INDEX(fixed_capacity_charge,MATCH(AC276,PORTS!$H$11:$H$317,0),MATCH(AG$5,PORTS!$H$11:$N$11,0))+INDEX(variable_om_charge,MATCH(AC276,PORTS!$H$318:$H$625,0),MATCH(AG$5,PORTS!$H$318:$N$318,0)))</f>
        <v>0</v>
      </c>
      <c r="AJ276" s="232">
        <f t="shared" si="138"/>
        <v>0</v>
      </c>
      <c r="AK276" s="241">
        <f t="shared" si="139"/>
        <v>0</v>
      </c>
      <c r="AM276" s="186">
        <f t="shared" ref="AM276:AM324" si="150">+DATE(YEAR(AM275),MONTH(AM275)+1,1)</f>
        <v>44562</v>
      </c>
      <c r="AN276" s="215">
        <f t="shared" si="140"/>
        <v>0</v>
      </c>
      <c r="AO276" s="191">
        <f t="shared" si="141"/>
        <v>0</v>
      </c>
      <c r="AP276" s="218">
        <f>+IF(AND(AO$8&lt;=AM276,AO$9&gt;=AM276),+MIN($B276-SUMIF($H$17:AO$17,AP$17,$H276:AO276),((INDEX(ROUTE_PER_DAY_BY_SHIP,MATCH(CONCATENATE(AO$4,AO$5,AO$7),ROUTE_PER_DAY_ROUTES,0),MATCH(AO$6,ROUTE_PER_DAY_SHIPS,0))*(AM277-AM276))-(INDEX(ROUTE_PER_DAY_BY_SHIP,MATCH(CONCATENATE(AO$4,AO$5,AO$7),ROUTE_PER_DAY_ROUTES,0),MATCH(AO$6,ROUTE_PER_DAY_SHIPS,0))*(AM277-AM276))*HLOOKUP(AO$6,SHIPS,7,0)*INDEX(LADEN_VOYAGE_DAYS,MATCH(CONCATENATE(AO$4,AO$5,AO$7),LADEN_VOYAGE_ROUTES,0),MATCH(AO$6,LADEN_VOYAGE_SHIPS,0)))),0)</f>
        <v>0</v>
      </c>
      <c r="AQ276" s="118">
        <f>-(AP276)*PORTS!$I$6</f>
        <v>0</v>
      </c>
      <c r="AR276" s="215">
        <f t="shared" si="123"/>
        <v>0</v>
      </c>
      <c r="AS276" s="202"/>
      <c r="AT276" s="186">
        <f t="shared" ref="AT276:AT323" si="151">+DATE(YEAR(AT275),MONTH(AT275)+1,1)</f>
        <v>44562</v>
      </c>
      <c r="AU276" s="232">
        <f>+AR276*(VLOOKUP(AT276,CURVECALC!$C$6:$J$312,4,0)+AV$5)</f>
        <v>0</v>
      </c>
      <c r="AV276" s="208">
        <f>-AN276*INDEX(ship_curves,MATCH(AT276,'SHIP CURVES'!$A$9:$A$316,0),MATCH(CONCATENATE(AX$4,AX$5,AX$6,AX$7),'SHIP CURVES'!$A$9:$AZ$9,0))</f>
        <v>0</v>
      </c>
      <c r="AW276" s="209">
        <f>-AP276*INDEX(port_processing_fee,MATCH(AT276,PORTS!$H$626:$H$933,0),MATCH(AX$5,PORTS!$H$626:$Z$626,0))</f>
        <v>0</v>
      </c>
      <c r="AX276" s="405">
        <f>(((VLOOKUP(AT276,curvecalc,4,0))*IF(AN276=0,0,AR276/AN276)-INDEX(ship_curves,MATCH(AT276,'SHIP CURVES'!$A$9:$A$316,0),MATCH(CONCATENATE(AX$4,AX$5,AX$6,AX$7),'SHIP CURVES'!$A$9:$Z$9,0))-INDEX(terminal_curves,MATCH(AT276,'TERMINAL CURVES'!$A$4:$A$313,0),MATCH(AX$5,'TERMINAL CURVES'!$A$4:$N$4,0))*IF(AN276=0,0,AP276/AN276))-(AV$8)*((AV$7-$N$5)-(INDEX(ship_curves,MATCH(AT276,'SHIP CURVES'!$A$9:$A$316,0),MATCH(CONCATENATE(AX$4,AX$5,AX$6,AX$7),'SHIP CURVES'!$A$9:$Z$9,0))-INDEX(ship_curves,MATCH(AT276,'SHIP CURVES'!$A$9:$A$316,0),MATCH(CONCATENATE(AX$4,AV$6,AX$6,AX$7),'SHIP CURVES'!$A$9:$Z$9,0)))-(INDEX(terminal_curves,MATCH(AT276,'TERMINAL CURVES'!$A$4:$A$313,0),MATCH(AX$5,'TERMINAL CURVES'!$A$4:$N$4,0))-INDEX(terminal_curves,MATCH(AT276,'TERMINAL CURVES'!$A$4:$A$313,0),MATCH(AV$6,'TERMINAL CURVES'!$A$4:$N$4,0)))*IF(AN276=0,0,AP276/AN276)))*-AN276</f>
        <v>0</v>
      </c>
      <c r="AY276" s="343">
        <f t="shared" si="142"/>
        <v>0</v>
      </c>
      <c r="AZ276" s="338">
        <f>(-AP276/((HLOOKUP(AX$5,port_specs,2,0)/(365.25))*(AT277-AT276)))*(INDEX(fixed_capacity_charge,MATCH(AT276,PORTS!$H$11:$H$317,0),MATCH(AX$5,PORTS!$H$11:$N$11,0))+INDEX(variable_om_charge,MATCH(AT276,PORTS!$H$318:$H$625,0),MATCH(AX$5,PORTS!$H$318:$N$318,0)))</f>
        <v>0</v>
      </c>
      <c r="BA276" s="232">
        <f t="shared" si="143"/>
        <v>0</v>
      </c>
      <c r="BB276" s="241">
        <f t="shared" si="144"/>
        <v>0</v>
      </c>
      <c r="BC276" s="408"/>
      <c r="BD276" s="338">
        <f>+PORTS!I270+PORTS!I578</f>
        <v>0</v>
      </c>
    </row>
    <row r="277" spans="1:56" x14ac:dyDescent="0.2">
      <c r="A277" s="186">
        <f t="shared" si="145"/>
        <v>44593</v>
      </c>
      <c r="B277" s="215">
        <f>+IF(AND($A277&gt;=$C$8,$A277&lt;=$C$9),1,0)*PORTS!$I$5/(365.25)*(A278-A277)</f>
        <v>0</v>
      </c>
      <c r="C277" s="351">
        <f t="shared" si="124"/>
        <v>0</v>
      </c>
      <c r="D277">
        <f t="shared" si="125"/>
        <v>2022</v>
      </c>
      <c r="E277" s="186">
        <f t="shared" si="146"/>
        <v>44593</v>
      </c>
      <c r="F277" s="215">
        <f t="shared" si="126"/>
        <v>0</v>
      </c>
      <c r="G277" s="191">
        <f t="shared" si="127"/>
        <v>0</v>
      </c>
      <c r="H277" s="218">
        <f t="shared" si="128"/>
        <v>0</v>
      </c>
      <c r="I277" s="118">
        <f t="shared" si="129"/>
        <v>0</v>
      </c>
      <c r="J277" s="215">
        <f t="shared" si="130"/>
        <v>0</v>
      </c>
      <c r="K277" s="202"/>
      <c r="L277" s="186">
        <f t="shared" si="147"/>
        <v>44593</v>
      </c>
      <c r="M277" s="400">
        <f>+J277*(VLOOKUP(L277,CURVECALC!$C$6:$J$312,4,0)+N$5)</f>
        <v>0</v>
      </c>
      <c r="N277" s="208">
        <f>-F277*INDEX(ship_curves,MATCH(L277,'SHIP CURVES'!$A$9:$A$316,0),MATCH(CONCATENATE(P$4,P$5,P$6,P$7),'SHIP CURVES'!$A$9:$AZ$9,0))</f>
        <v>0</v>
      </c>
      <c r="O277" s="209">
        <f>-H277*INDEX(port_processing_fee,MATCH(L277,PORTS!$H$626:$H$933,0),MATCH(P$5,PORTS!$H$626:$Z$626,0))</f>
        <v>0</v>
      </c>
      <c r="P277" s="405">
        <f>(((VLOOKUP(L277,curvecalc,4,0))*IF(F277=0,0,J277/F277)-INDEX(ship_curves,MATCH(L277,'SHIP CURVES'!$A$9:$A$316,0),MATCH(CONCATENATE(P$4,P$5,P$6,P$7),'SHIP CURVES'!$A$9:$Z$9,0))-INDEX(terminal_curves,MATCH(L277,'TERMINAL CURVES'!$A$4:$A$313,0),MATCH(P$5,'TERMINAL CURVES'!$A$4:$N$4,0))*IF(F277=0,0,H277/F277))-(N$8)*((N$7-$N$5)-(INDEX(ship_curves,MATCH(L277,'SHIP CURVES'!$A$9:$A$316,0),MATCH(CONCATENATE(P$4,P$5,P$6,P$7),'SHIP CURVES'!$A$9:$Z$9,0))-INDEX(ship_curves,MATCH(L277,'SHIP CURVES'!$A$9:$A$316,0),MATCH(CONCATENATE(P$4,N$6,P$6,P$7),'SHIP CURVES'!$A$9:$Z$9,0)))-(INDEX(terminal_curves,MATCH(L277,'TERMINAL CURVES'!$A$4:$A$313,0),MATCH(P$5,'TERMINAL CURVES'!$A$4:$N$4,0))-INDEX(terminal_curves,MATCH(L277,'TERMINAL CURVES'!$A$4:$A$313,0),MATCH(N$6,'TERMINAL CURVES'!$A$4:$N$4,0)))*IF(F277=0,0,H277/F277)))*-F277</f>
        <v>0</v>
      </c>
      <c r="Q277" s="403">
        <f t="shared" si="131"/>
        <v>0</v>
      </c>
      <c r="R277" s="338">
        <f>(-H277/((HLOOKUP(P$5,port_specs,2,0)/(365.25))*(L278-L277)))*(INDEX(fixed_capacity_charge,MATCH(L277,PORTS!$H$11:$H$317,0),MATCH(P$5,PORTS!$H$11:$N$11,0))+INDEX(variable_om_charge,MATCH(L277,PORTS!$H$318:$H$625,0),MATCH(P$5,PORTS!$H$318:$N$318,0)))</f>
        <v>0</v>
      </c>
      <c r="S277" s="232">
        <f t="shared" si="132"/>
        <v>0</v>
      </c>
      <c r="T277" s="241">
        <f t="shared" si="133"/>
        <v>0</v>
      </c>
      <c r="V277" s="186">
        <f t="shared" si="148"/>
        <v>44593</v>
      </c>
      <c r="W277" s="215">
        <f t="shared" si="134"/>
        <v>0</v>
      </c>
      <c r="X277" s="191">
        <f t="shared" si="135"/>
        <v>0</v>
      </c>
      <c r="Y277" s="218">
        <f>+IF(AND(X$8&lt;=V277,X$9&gt;=V277),+MIN($B277-SUMIF($H$17:X$17,Y$17,$H277:X277),((INDEX(ROUTE_PER_DAY_BY_SHIP,MATCH(CONCATENATE(X$4,X$5,X$7),ROUTE_PER_DAY_ROUTES,0),MATCH(X$6,ROUTE_PER_DAY_SHIPS,0))*(V278-V277))-(INDEX(ROUTE_PER_DAY_BY_SHIP,MATCH(CONCATENATE(X$4,X$5,X$7),ROUTE_PER_DAY_ROUTES,0),MATCH(X$6,ROUTE_PER_DAY_SHIPS,0))*(V278-V277))*HLOOKUP(X$6,SHIPS,7,0)*INDEX(LADEN_VOYAGE_DAYS,MATCH(CONCATENATE(X$4,X$5,X$7),LADEN_VOYAGE_ROUTES,0),MATCH(X$6,LADEN_VOYAGE_SHIPS,0)))),0)</f>
        <v>0</v>
      </c>
      <c r="Z277" s="118">
        <f t="shared" si="136"/>
        <v>0</v>
      </c>
      <c r="AA277" s="215">
        <f t="shared" si="122"/>
        <v>0</v>
      </c>
      <c r="AB277" s="202"/>
      <c r="AC277" s="186">
        <f t="shared" si="149"/>
        <v>44593</v>
      </c>
      <c r="AD277" s="232">
        <f>+AA277*(VLOOKUP(AC277,CURVECALC!$C$6:$J$312,4,0)+AE$5)</f>
        <v>0</v>
      </c>
      <c r="AE277" s="208">
        <f>-W277*INDEX(ship_curves,MATCH(AC277,'SHIP CURVES'!$A$9:$A$316,0),MATCH(CONCATENATE(AG$4,AG$5,AG$6,AG$7),'SHIP CURVES'!$A$9:$AZ$9,0))</f>
        <v>0</v>
      </c>
      <c r="AF277" s="209">
        <f>-Y277*INDEX(port_processing_fee,MATCH(AC277,PORTS!$H$626:$H$933,0),MATCH(AG$5,PORTS!$H$626:$Z$626,0))</f>
        <v>0</v>
      </c>
      <c r="AG277" s="405">
        <f>(((VLOOKUP(AC277,curvecalc,4,0))*IF(W277=0,0,AA277/W277)-INDEX(ship_curves,MATCH(AC277,'SHIP CURVES'!$A$9:$A$316,0),MATCH(CONCATENATE(AG$4,AG$5,AG$6,AG$7),'SHIP CURVES'!$A$9:$Z$9,0))-INDEX(terminal_curves,MATCH(AC277,'TERMINAL CURVES'!$A$4:$A$313,0),MATCH(AG$5,'TERMINAL CURVES'!$A$4:$N$4,0))*IF(W277=0,0,Y277/W277))-(AE$8)*((AE$7-$N$5)-(INDEX(ship_curves,MATCH(AC277,'SHIP CURVES'!$A$9:$A$316,0),MATCH(CONCATENATE(AG$4,AG$5,AG$6,AG$7),'SHIP CURVES'!$A$9:$Z$9,0))-INDEX(ship_curves,MATCH(AC277,'SHIP CURVES'!$A$9:$A$316,0),MATCH(CONCATENATE(AG$4,AE$6,AG$6,AG$7),'SHIP CURVES'!$A$9:$Z$9,0)))-(INDEX(terminal_curves,MATCH(AC277,'TERMINAL CURVES'!$A$4:$A$313,0),MATCH(AG$5,'TERMINAL CURVES'!$A$4:$N$4,0))-INDEX(terminal_curves,MATCH(AC277,'TERMINAL CURVES'!$A$4:$A$313,0),MATCH(AE$6,'TERMINAL CURVES'!$A$4:$N$4,0)))*IF(W277=0,0,Y277/W277)))*-W277</f>
        <v>0</v>
      </c>
      <c r="AH277" s="343">
        <f t="shared" si="137"/>
        <v>0</v>
      </c>
      <c r="AI277" s="338">
        <f>(-Y277/((HLOOKUP(AG$5,port_specs,2,0)/(365.25))*(AC278-AC277)))*(INDEX(fixed_capacity_charge,MATCH(AC277,PORTS!$H$11:$H$317,0),MATCH(AG$5,PORTS!$H$11:$N$11,0))+INDEX(variable_om_charge,MATCH(AC277,PORTS!$H$318:$H$625,0),MATCH(AG$5,PORTS!$H$318:$N$318,0)))</f>
        <v>0</v>
      </c>
      <c r="AJ277" s="232">
        <f t="shared" si="138"/>
        <v>0</v>
      </c>
      <c r="AK277" s="241">
        <f t="shared" si="139"/>
        <v>0</v>
      </c>
      <c r="AM277" s="186">
        <f t="shared" si="150"/>
        <v>44593</v>
      </c>
      <c r="AN277" s="215">
        <f t="shared" si="140"/>
        <v>0</v>
      </c>
      <c r="AO277" s="191">
        <f t="shared" si="141"/>
        <v>0</v>
      </c>
      <c r="AP277" s="218">
        <f>+IF(AND(AO$8&lt;=AM277,AO$9&gt;=AM277),+MIN($B277-SUMIF($H$17:AO$17,AP$17,$H277:AO277),((INDEX(ROUTE_PER_DAY_BY_SHIP,MATCH(CONCATENATE(AO$4,AO$5,AO$7),ROUTE_PER_DAY_ROUTES,0),MATCH(AO$6,ROUTE_PER_DAY_SHIPS,0))*(AM278-AM277))-(INDEX(ROUTE_PER_DAY_BY_SHIP,MATCH(CONCATENATE(AO$4,AO$5,AO$7),ROUTE_PER_DAY_ROUTES,0),MATCH(AO$6,ROUTE_PER_DAY_SHIPS,0))*(AM278-AM277))*HLOOKUP(AO$6,SHIPS,7,0)*INDEX(LADEN_VOYAGE_DAYS,MATCH(CONCATENATE(AO$4,AO$5,AO$7),LADEN_VOYAGE_ROUTES,0),MATCH(AO$6,LADEN_VOYAGE_SHIPS,0)))),0)</f>
        <v>0</v>
      </c>
      <c r="AQ277" s="118">
        <f>-(AP277)*PORTS!$I$6</f>
        <v>0</v>
      </c>
      <c r="AR277" s="215">
        <f t="shared" si="123"/>
        <v>0</v>
      </c>
      <c r="AS277" s="202"/>
      <c r="AT277" s="186">
        <f t="shared" si="151"/>
        <v>44593</v>
      </c>
      <c r="AU277" s="232">
        <f>+AR277*(VLOOKUP(AT277,CURVECALC!$C$6:$J$312,4,0)+AV$5)</f>
        <v>0</v>
      </c>
      <c r="AV277" s="208">
        <f>-AN277*INDEX(ship_curves,MATCH(AT277,'SHIP CURVES'!$A$9:$A$316,0),MATCH(CONCATENATE(AX$4,AX$5,AX$6,AX$7),'SHIP CURVES'!$A$9:$AZ$9,0))</f>
        <v>0</v>
      </c>
      <c r="AW277" s="209">
        <f>-AP277*INDEX(port_processing_fee,MATCH(AT277,PORTS!$H$626:$H$933,0),MATCH(AX$5,PORTS!$H$626:$Z$626,0))</f>
        <v>0</v>
      </c>
      <c r="AX277" s="405">
        <f>(((VLOOKUP(AT277,curvecalc,4,0))*IF(AN277=0,0,AR277/AN277)-INDEX(ship_curves,MATCH(AT277,'SHIP CURVES'!$A$9:$A$316,0),MATCH(CONCATENATE(AX$4,AX$5,AX$6,AX$7),'SHIP CURVES'!$A$9:$Z$9,0))-INDEX(terminal_curves,MATCH(AT277,'TERMINAL CURVES'!$A$4:$A$313,0),MATCH(AX$5,'TERMINAL CURVES'!$A$4:$N$4,0))*IF(AN277=0,0,AP277/AN277))-(AV$8)*((AV$7-$N$5)-(INDEX(ship_curves,MATCH(AT277,'SHIP CURVES'!$A$9:$A$316,0),MATCH(CONCATENATE(AX$4,AX$5,AX$6,AX$7),'SHIP CURVES'!$A$9:$Z$9,0))-INDEX(ship_curves,MATCH(AT277,'SHIP CURVES'!$A$9:$A$316,0),MATCH(CONCATENATE(AX$4,AV$6,AX$6,AX$7),'SHIP CURVES'!$A$9:$Z$9,0)))-(INDEX(terminal_curves,MATCH(AT277,'TERMINAL CURVES'!$A$4:$A$313,0),MATCH(AX$5,'TERMINAL CURVES'!$A$4:$N$4,0))-INDEX(terminal_curves,MATCH(AT277,'TERMINAL CURVES'!$A$4:$A$313,0),MATCH(AV$6,'TERMINAL CURVES'!$A$4:$N$4,0)))*IF(AN277=0,0,AP277/AN277)))*-AN277</f>
        <v>0</v>
      </c>
      <c r="AY277" s="343">
        <f t="shared" si="142"/>
        <v>0</v>
      </c>
      <c r="AZ277" s="338">
        <f>(-AP277/((HLOOKUP(AX$5,port_specs,2,0)/(365.25))*(AT278-AT277)))*(INDEX(fixed_capacity_charge,MATCH(AT277,PORTS!$H$11:$H$317,0),MATCH(AX$5,PORTS!$H$11:$N$11,0))+INDEX(variable_om_charge,MATCH(AT277,PORTS!$H$318:$H$625,0),MATCH(AX$5,PORTS!$H$318:$N$318,0)))</f>
        <v>0</v>
      </c>
      <c r="BA277" s="232">
        <f t="shared" si="143"/>
        <v>0</v>
      </c>
      <c r="BB277" s="241">
        <f t="shared" si="144"/>
        <v>0</v>
      </c>
      <c r="BC277" s="408"/>
      <c r="BD277" s="338">
        <f>+PORTS!I271+PORTS!I579</f>
        <v>0</v>
      </c>
    </row>
    <row r="278" spans="1:56" x14ac:dyDescent="0.2">
      <c r="A278" s="186">
        <f t="shared" si="145"/>
        <v>44621</v>
      </c>
      <c r="B278" s="215">
        <f>+IF(AND($A278&gt;=$C$8,$A278&lt;=$C$9),1,0)*PORTS!$I$5/(365.25)*(A279-A278)</f>
        <v>0</v>
      </c>
      <c r="C278" s="351">
        <f t="shared" si="124"/>
        <v>0</v>
      </c>
      <c r="D278">
        <f t="shared" si="125"/>
        <v>2022</v>
      </c>
      <c r="E278" s="186">
        <f t="shared" si="146"/>
        <v>44621</v>
      </c>
      <c r="F278" s="215">
        <f t="shared" si="126"/>
        <v>0</v>
      </c>
      <c r="G278" s="191">
        <f t="shared" si="127"/>
        <v>0</v>
      </c>
      <c r="H278" s="218">
        <f t="shared" si="128"/>
        <v>0</v>
      </c>
      <c r="I278" s="118">
        <f t="shared" si="129"/>
        <v>0</v>
      </c>
      <c r="J278" s="215">
        <f t="shared" si="130"/>
        <v>0</v>
      </c>
      <c r="K278" s="202"/>
      <c r="L278" s="186">
        <f t="shared" si="147"/>
        <v>44621</v>
      </c>
      <c r="M278" s="400">
        <f>+J278*(VLOOKUP(L278,CURVECALC!$C$6:$J$312,4,0)+N$5)</f>
        <v>0</v>
      </c>
      <c r="N278" s="208">
        <f>-F278*INDEX(ship_curves,MATCH(L278,'SHIP CURVES'!$A$9:$A$316,0),MATCH(CONCATENATE(P$4,P$5,P$6,P$7),'SHIP CURVES'!$A$9:$AZ$9,0))</f>
        <v>0</v>
      </c>
      <c r="O278" s="209">
        <f>-H278*INDEX(port_processing_fee,MATCH(L278,PORTS!$H$626:$H$933,0),MATCH(P$5,PORTS!$H$626:$Z$626,0))</f>
        <v>0</v>
      </c>
      <c r="P278" s="405">
        <f>(((VLOOKUP(L278,curvecalc,4,0))*IF(F278=0,0,J278/F278)-INDEX(ship_curves,MATCH(L278,'SHIP CURVES'!$A$9:$A$316,0),MATCH(CONCATENATE(P$4,P$5,P$6,P$7),'SHIP CURVES'!$A$9:$Z$9,0))-INDEX(terminal_curves,MATCH(L278,'TERMINAL CURVES'!$A$4:$A$313,0),MATCH(P$5,'TERMINAL CURVES'!$A$4:$N$4,0))*IF(F278=0,0,H278/F278))-(N$8)*((N$7-$N$5)-(INDEX(ship_curves,MATCH(L278,'SHIP CURVES'!$A$9:$A$316,0),MATCH(CONCATENATE(P$4,P$5,P$6,P$7),'SHIP CURVES'!$A$9:$Z$9,0))-INDEX(ship_curves,MATCH(L278,'SHIP CURVES'!$A$9:$A$316,0),MATCH(CONCATENATE(P$4,N$6,P$6,P$7),'SHIP CURVES'!$A$9:$Z$9,0)))-(INDEX(terminal_curves,MATCH(L278,'TERMINAL CURVES'!$A$4:$A$313,0),MATCH(P$5,'TERMINAL CURVES'!$A$4:$N$4,0))-INDEX(terminal_curves,MATCH(L278,'TERMINAL CURVES'!$A$4:$A$313,0),MATCH(N$6,'TERMINAL CURVES'!$A$4:$N$4,0)))*IF(F278=0,0,H278/F278)))*-F278</f>
        <v>0</v>
      </c>
      <c r="Q278" s="403">
        <f t="shared" si="131"/>
        <v>0</v>
      </c>
      <c r="R278" s="338">
        <f>(-H278/((HLOOKUP(P$5,port_specs,2,0)/(365.25))*(L279-L278)))*(INDEX(fixed_capacity_charge,MATCH(L278,PORTS!$H$11:$H$317,0),MATCH(P$5,PORTS!$H$11:$N$11,0))+INDEX(variable_om_charge,MATCH(L278,PORTS!$H$318:$H$625,0),MATCH(P$5,PORTS!$H$318:$N$318,0)))</f>
        <v>0</v>
      </c>
      <c r="S278" s="232">
        <f t="shared" si="132"/>
        <v>0</v>
      </c>
      <c r="T278" s="241">
        <f t="shared" si="133"/>
        <v>0</v>
      </c>
      <c r="V278" s="186">
        <f t="shared" si="148"/>
        <v>44621</v>
      </c>
      <c r="W278" s="215">
        <f t="shared" si="134"/>
        <v>0</v>
      </c>
      <c r="X278" s="191">
        <f t="shared" si="135"/>
        <v>0</v>
      </c>
      <c r="Y278" s="218">
        <f>+IF(AND(X$8&lt;=V278,X$9&gt;=V278),+MIN($B278-SUMIF($H$17:X$17,Y$17,$H278:X278),((INDEX(ROUTE_PER_DAY_BY_SHIP,MATCH(CONCATENATE(X$4,X$5,X$7),ROUTE_PER_DAY_ROUTES,0),MATCH(X$6,ROUTE_PER_DAY_SHIPS,0))*(V279-V278))-(INDEX(ROUTE_PER_DAY_BY_SHIP,MATCH(CONCATENATE(X$4,X$5,X$7),ROUTE_PER_DAY_ROUTES,0),MATCH(X$6,ROUTE_PER_DAY_SHIPS,0))*(V279-V278))*HLOOKUP(X$6,SHIPS,7,0)*INDEX(LADEN_VOYAGE_DAYS,MATCH(CONCATENATE(X$4,X$5,X$7),LADEN_VOYAGE_ROUTES,0),MATCH(X$6,LADEN_VOYAGE_SHIPS,0)))),0)</f>
        <v>0</v>
      </c>
      <c r="Z278" s="118">
        <f t="shared" si="136"/>
        <v>0</v>
      </c>
      <c r="AA278" s="215">
        <f t="shared" si="122"/>
        <v>0</v>
      </c>
      <c r="AB278" s="202"/>
      <c r="AC278" s="186">
        <f t="shared" si="149"/>
        <v>44621</v>
      </c>
      <c r="AD278" s="232">
        <f>+AA278*(VLOOKUP(AC278,CURVECALC!$C$6:$J$312,4,0)+AE$5)</f>
        <v>0</v>
      </c>
      <c r="AE278" s="208">
        <f>-W278*INDEX(ship_curves,MATCH(AC278,'SHIP CURVES'!$A$9:$A$316,0),MATCH(CONCATENATE(AG$4,AG$5,AG$6,AG$7),'SHIP CURVES'!$A$9:$AZ$9,0))</f>
        <v>0</v>
      </c>
      <c r="AF278" s="209">
        <f>-Y278*INDEX(port_processing_fee,MATCH(AC278,PORTS!$H$626:$H$933,0),MATCH(AG$5,PORTS!$H$626:$Z$626,0))</f>
        <v>0</v>
      </c>
      <c r="AG278" s="405">
        <f>(((VLOOKUP(AC278,curvecalc,4,0))*IF(W278=0,0,AA278/W278)-INDEX(ship_curves,MATCH(AC278,'SHIP CURVES'!$A$9:$A$316,0),MATCH(CONCATENATE(AG$4,AG$5,AG$6,AG$7),'SHIP CURVES'!$A$9:$Z$9,0))-INDEX(terminal_curves,MATCH(AC278,'TERMINAL CURVES'!$A$4:$A$313,0),MATCH(AG$5,'TERMINAL CURVES'!$A$4:$N$4,0))*IF(W278=0,0,Y278/W278))-(AE$8)*((AE$7-$N$5)-(INDEX(ship_curves,MATCH(AC278,'SHIP CURVES'!$A$9:$A$316,0),MATCH(CONCATENATE(AG$4,AG$5,AG$6,AG$7),'SHIP CURVES'!$A$9:$Z$9,0))-INDEX(ship_curves,MATCH(AC278,'SHIP CURVES'!$A$9:$A$316,0),MATCH(CONCATENATE(AG$4,AE$6,AG$6,AG$7),'SHIP CURVES'!$A$9:$Z$9,0)))-(INDEX(terminal_curves,MATCH(AC278,'TERMINAL CURVES'!$A$4:$A$313,0),MATCH(AG$5,'TERMINAL CURVES'!$A$4:$N$4,0))-INDEX(terminal_curves,MATCH(AC278,'TERMINAL CURVES'!$A$4:$A$313,0),MATCH(AE$6,'TERMINAL CURVES'!$A$4:$N$4,0)))*IF(W278=0,0,Y278/W278)))*-W278</f>
        <v>0</v>
      </c>
      <c r="AH278" s="343">
        <f t="shared" si="137"/>
        <v>0</v>
      </c>
      <c r="AI278" s="338">
        <f>(-Y278/((HLOOKUP(AG$5,port_specs,2,0)/(365.25))*(AC279-AC278)))*(INDEX(fixed_capacity_charge,MATCH(AC278,PORTS!$H$11:$H$317,0),MATCH(AG$5,PORTS!$H$11:$N$11,0))+INDEX(variable_om_charge,MATCH(AC278,PORTS!$H$318:$H$625,0),MATCH(AG$5,PORTS!$H$318:$N$318,0)))</f>
        <v>0</v>
      </c>
      <c r="AJ278" s="232">
        <f t="shared" si="138"/>
        <v>0</v>
      </c>
      <c r="AK278" s="241">
        <f t="shared" si="139"/>
        <v>0</v>
      </c>
      <c r="AM278" s="186">
        <f t="shared" si="150"/>
        <v>44621</v>
      </c>
      <c r="AN278" s="215">
        <f t="shared" si="140"/>
        <v>0</v>
      </c>
      <c r="AO278" s="191">
        <f t="shared" si="141"/>
        <v>0</v>
      </c>
      <c r="AP278" s="218">
        <f>+IF(AND(AO$8&lt;=AM278,AO$9&gt;=AM278),+MIN($B278-SUMIF($H$17:AO$17,AP$17,$H278:AO278),((INDEX(ROUTE_PER_DAY_BY_SHIP,MATCH(CONCATENATE(AO$4,AO$5,AO$7),ROUTE_PER_DAY_ROUTES,0),MATCH(AO$6,ROUTE_PER_DAY_SHIPS,0))*(AM279-AM278))-(INDEX(ROUTE_PER_DAY_BY_SHIP,MATCH(CONCATENATE(AO$4,AO$5,AO$7),ROUTE_PER_DAY_ROUTES,0),MATCH(AO$6,ROUTE_PER_DAY_SHIPS,0))*(AM279-AM278))*HLOOKUP(AO$6,SHIPS,7,0)*INDEX(LADEN_VOYAGE_DAYS,MATCH(CONCATENATE(AO$4,AO$5,AO$7),LADEN_VOYAGE_ROUTES,0),MATCH(AO$6,LADEN_VOYAGE_SHIPS,0)))),0)</f>
        <v>0</v>
      </c>
      <c r="AQ278" s="118">
        <f>-(AP278)*PORTS!$I$6</f>
        <v>0</v>
      </c>
      <c r="AR278" s="215">
        <f t="shared" si="123"/>
        <v>0</v>
      </c>
      <c r="AS278" s="202"/>
      <c r="AT278" s="186">
        <f t="shared" si="151"/>
        <v>44621</v>
      </c>
      <c r="AU278" s="232">
        <f>+AR278*(VLOOKUP(AT278,CURVECALC!$C$6:$J$312,4,0)+AV$5)</f>
        <v>0</v>
      </c>
      <c r="AV278" s="208">
        <f>-AN278*INDEX(ship_curves,MATCH(AT278,'SHIP CURVES'!$A$9:$A$316,0),MATCH(CONCATENATE(AX$4,AX$5,AX$6,AX$7),'SHIP CURVES'!$A$9:$AZ$9,0))</f>
        <v>0</v>
      </c>
      <c r="AW278" s="209">
        <f>-AP278*INDEX(port_processing_fee,MATCH(AT278,PORTS!$H$626:$H$933,0),MATCH(AX$5,PORTS!$H$626:$Z$626,0))</f>
        <v>0</v>
      </c>
      <c r="AX278" s="405">
        <f>(((VLOOKUP(AT278,curvecalc,4,0))*IF(AN278=0,0,AR278/AN278)-INDEX(ship_curves,MATCH(AT278,'SHIP CURVES'!$A$9:$A$316,0),MATCH(CONCATENATE(AX$4,AX$5,AX$6,AX$7),'SHIP CURVES'!$A$9:$Z$9,0))-INDEX(terminal_curves,MATCH(AT278,'TERMINAL CURVES'!$A$4:$A$313,0),MATCH(AX$5,'TERMINAL CURVES'!$A$4:$N$4,0))*IF(AN278=0,0,AP278/AN278))-(AV$8)*((AV$7-$N$5)-(INDEX(ship_curves,MATCH(AT278,'SHIP CURVES'!$A$9:$A$316,0),MATCH(CONCATENATE(AX$4,AX$5,AX$6,AX$7),'SHIP CURVES'!$A$9:$Z$9,0))-INDEX(ship_curves,MATCH(AT278,'SHIP CURVES'!$A$9:$A$316,0),MATCH(CONCATENATE(AX$4,AV$6,AX$6,AX$7),'SHIP CURVES'!$A$9:$Z$9,0)))-(INDEX(terminal_curves,MATCH(AT278,'TERMINAL CURVES'!$A$4:$A$313,0),MATCH(AX$5,'TERMINAL CURVES'!$A$4:$N$4,0))-INDEX(terminal_curves,MATCH(AT278,'TERMINAL CURVES'!$A$4:$A$313,0),MATCH(AV$6,'TERMINAL CURVES'!$A$4:$N$4,0)))*IF(AN278=0,0,AP278/AN278)))*-AN278</f>
        <v>0</v>
      </c>
      <c r="AY278" s="343">
        <f t="shared" si="142"/>
        <v>0</v>
      </c>
      <c r="AZ278" s="338">
        <f>(-AP278/((HLOOKUP(AX$5,port_specs,2,0)/(365.25))*(AT279-AT278)))*(INDEX(fixed_capacity_charge,MATCH(AT278,PORTS!$H$11:$H$317,0),MATCH(AX$5,PORTS!$H$11:$N$11,0))+INDEX(variable_om_charge,MATCH(AT278,PORTS!$H$318:$H$625,0),MATCH(AX$5,PORTS!$H$318:$N$318,0)))</f>
        <v>0</v>
      </c>
      <c r="BA278" s="232">
        <f t="shared" si="143"/>
        <v>0</v>
      </c>
      <c r="BB278" s="241">
        <f t="shared" si="144"/>
        <v>0</v>
      </c>
      <c r="BC278" s="408"/>
      <c r="BD278" s="338">
        <f>+PORTS!I272+PORTS!I580</f>
        <v>0</v>
      </c>
    </row>
    <row r="279" spans="1:56" x14ac:dyDescent="0.2">
      <c r="A279" s="186">
        <f t="shared" si="145"/>
        <v>44652</v>
      </c>
      <c r="B279" s="215">
        <f>+IF(AND($A279&gt;=$C$8,$A279&lt;=$C$9),1,0)*PORTS!$I$5/(365.25)*(A280-A279)</f>
        <v>0</v>
      </c>
      <c r="C279" s="351">
        <f t="shared" si="124"/>
        <v>0</v>
      </c>
      <c r="D279">
        <f t="shared" si="125"/>
        <v>2022</v>
      </c>
      <c r="E279" s="186">
        <f t="shared" si="146"/>
        <v>44652</v>
      </c>
      <c r="F279" s="215">
        <f t="shared" si="126"/>
        <v>0</v>
      </c>
      <c r="G279" s="191">
        <f t="shared" si="127"/>
        <v>0</v>
      </c>
      <c r="H279" s="218">
        <f t="shared" si="128"/>
        <v>0</v>
      </c>
      <c r="I279" s="118">
        <f t="shared" si="129"/>
        <v>0</v>
      </c>
      <c r="J279" s="215">
        <f t="shared" si="130"/>
        <v>0</v>
      </c>
      <c r="K279" s="202"/>
      <c r="L279" s="186">
        <f t="shared" si="147"/>
        <v>44652</v>
      </c>
      <c r="M279" s="400">
        <f>+J279*(VLOOKUP(L279,CURVECALC!$C$6:$J$312,4,0)+N$5)</f>
        <v>0</v>
      </c>
      <c r="N279" s="208">
        <f>-F279*INDEX(ship_curves,MATCH(L279,'SHIP CURVES'!$A$9:$A$316,0),MATCH(CONCATENATE(P$4,P$5,P$6,P$7),'SHIP CURVES'!$A$9:$AZ$9,0))</f>
        <v>0</v>
      </c>
      <c r="O279" s="209">
        <f>-H279*INDEX(port_processing_fee,MATCH(L279,PORTS!$H$626:$H$933,0),MATCH(P$5,PORTS!$H$626:$Z$626,0))</f>
        <v>0</v>
      </c>
      <c r="P279" s="405">
        <f>(((VLOOKUP(L279,curvecalc,4,0))*IF(F279=0,0,J279/F279)-INDEX(ship_curves,MATCH(L279,'SHIP CURVES'!$A$9:$A$316,0),MATCH(CONCATENATE(P$4,P$5,P$6,P$7),'SHIP CURVES'!$A$9:$Z$9,0))-INDEX(terminal_curves,MATCH(L279,'TERMINAL CURVES'!$A$4:$A$313,0),MATCH(P$5,'TERMINAL CURVES'!$A$4:$N$4,0))*IF(F279=0,0,H279/F279))-(N$8)*((N$7-$N$5)-(INDEX(ship_curves,MATCH(L279,'SHIP CURVES'!$A$9:$A$316,0),MATCH(CONCATENATE(P$4,P$5,P$6,P$7),'SHIP CURVES'!$A$9:$Z$9,0))-INDEX(ship_curves,MATCH(L279,'SHIP CURVES'!$A$9:$A$316,0),MATCH(CONCATENATE(P$4,N$6,P$6,P$7),'SHIP CURVES'!$A$9:$Z$9,0)))-(INDEX(terminal_curves,MATCH(L279,'TERMINAL CURVES'!$A$4:$A$313,0),MATCH(P$5,'TERMINAL CURVES'!$A$4:$N$4,0))-INDEX(terminal_curves,MATCH(L279,'TERMINAL CURVES'!$A$4:$A$313,0),MATCH(N$6,'TERMINAL CURVES'!$A$4:$N$4,0)))*IF(F279=0,0,H279/F279)))*-F279</f>
        <v>0</v>
      </c>
      <c r="Q279" s="403">
        <f t="shared" si="131"/>
        <v>0</v>
      </c>
      <c r="R279" s="338">
        <f>(-H279/((HLOOKUP(P$5,port_specs,2,0)/(365.25))*(L280-L279)))*(INDEX(fixed_capacity_charge,MATCH(L279,PORTS!$H$11:$H$317,0),MATCH(P$5,PORTS!$H$11:$N$11,0))+INDEX(variable_om_charge,MATCH(L279,PORTS!$H$318:$H$625,0),MATCH(P$5,PORTS!$H$318:$N$318,0)))</f>
        <v>0</v>
      </c>
      <c r="S279" s="232">
        <f t="shared" si="132"/>
        <v>0</v>
      </c>
      <c r="T279" s="241">
        <f t="shared" si="133"/>
        <v>0</v>
      </c>
      <c r="V279" s="186">
        <f t="shared" si="148"/>
        <v>44652</v>
      </c>
      <c r="W279" s="215">
        <f t="shared" si="134"/>
        <v>0</v>
      </c>
      <c r="X279" s="191">
        <f t="shared" si="135"/>
        <v>0</v>
      </c>
      <c r="Y279" s="218">
        <f>+IF(AND(X$8&lt;=V279,X$9&gt;=V279),+MIN($B279-SUMIF($H$17:X$17,Y$17,$H279:X279),((INDEX(ROUTE_PER_DAY_BY_SHIP,MATCH(CONCATENATE(X$4,X$5,X$7),ROUTE_PER_DAY_ROUTES,0),MATCH(X$6,ROUTE_PER_DAY_SHIPS,0))*(V280-V279))-(INDEX(ROUTE_PER_DAY_BY_SHIP,MATCH(CONCATENATE(X$4,X$5,X$7),ROUTE_PER_DAY_ROUTES,0),MATCH(X$6,ROUTE_PER_DAY_SHIPS,0))*(V280-V279))*HLOOKUP(X$6,SHIPS,7,0)*INDEX(LADEN_VOYAGE_DAYS,MATCH(CONCATENATE(X$4,X$5,X$7),LADEN_VOYAGE_ROUTES,0),MATCH(X$6,LADEN_VOYAGE_SHIPS,0)))),0)</f>
        <v>0</v>
      </c>
      <c r="Z279" s="118">
        <f t="shared" si="136"/>
        <v>0</v>
      </c>
      <c r="AA279" s="215">
        <f t="shared" si="122"/>
        <v>0</v>
      </c>
      <c r="AB279" s="202"/>
      <c r="AC279" s="186">
        <f t="shared" si="149"/>
        <v>44652</v>
      </c>
      <c r="AD279" s="232">
        <f>+AA279*(VLOOKUP(AC279,CURVECALC!$C$6:$J$312,4,0)+AE$5)</f>
        <v>0</v>
      </c>
      <c r="AE279" s="208">
        <f>-W279*INDEX(ship_curves,MATCH(AC279,'SHIP CURVES'!$A$9:$A$316,0),MATCH(CONCATENATE(AG$4,AG$5,AG$6,AG$7),'SHIP CURVES'!$A$9:$AZ$9,0))</f>
        <v>0</v>
      </c>
      <c r="AF279" s="209">
        <f>-Y279*INDEX(port_processing_fee,MATCH(AC279,PORTS!$H$626:$H$933,0),MATCH(AG$5,PORTS!$H$626:$Z$626,0))</f>
        <v>0</v>
      </c>
      <c r="AG279" s="405">
        <f>(((VLOOKUP(AC279,curvecalc,4,0))*IF(W279=0,0,AA279/W279)-INDEX(ship_curves,MATCH(AC279,'SHIP CURVES'!$A$9:$A$316,0),MATCH(CONCATENATE(AG$4,AG$5,AG$6,AG$7),'SHIP CURVES'!$A$9:$Z$9,0))-INDEX(terminal_curves,MATCH(AC279,'TERMINAL CURVES'!$A$4:$A$313,0),MATCH(AG$5,'TERMINAL CURVES'!$A$4:$N$4,0))*IF(W279=0,0,Y279/W279))-(AE$8)*((AE$7-$N$5)-(INDEX(ship_curves,MATCH(AC279,'SHIP CURVES'!$A$9:$A$316,0),MATCH(CONCATENATE(AG$4,AG$5,AG$6,AG$7),'SHIP CURVES'!$A$9:$Z$9,0))-INDEX(ship_curves,MATCH(AC279,'SHIP CURVES'!$A$9:$A$316,0),MATCH(CONCATENATE(AG$4,AE$6,AG$6,AG$7),'SHIP CURVES'!$A$9:$Z$9,0)))-(INDEX(terminal_curves,MATCH(AC279,'TERMINAL CURVES'!$A$4:$A$313,0),MATCH(AG$5,'TERMINAL CURVES'!$A$4:$N$4,0))-INDEX(terminal_curves,MATCH(AC279,'TERMINAL CURVES'!$A$4:$A$313,0),MATCH(AE$6,'TERMINAL CURVES'!$A$4:$N$4,0)))*IF(W279=0,0,Y279/W279)))*-W279</f>
        <v>0</v>
      </c>
      <c r="AH279" s="343">
        <f t="shared" si="137"/>
        <v>0</v>
      </c>
      <c r="AI279" s="338">
        <f>(-Y279/((HLOOKUP(AG$5,port_specs,2,0)/(365.25))*(AC280-AC279)))*(INDEX(fixed_capacity_charge,MATCH(AC279,PORTS!$H$11:$H$317,0),MATCH(AG$5,PORTS!$H$11:$N$11,0))+INDEX(variable_om_charge,MATCH(AC279,PORTS!$H$318:$H$625,0),MATCH(AG$5,PORTS!$H$318:$N$318,0)))</f>
        <v>0</v>
      </c>
      <c r="AJ279" s="232">
        <f t="shared" si="138"/>
        <v>0</v>
      </c>
      <c r="AK279" s="241">
        <f t="shared" si="139"/>
        <v>0</v>
      </c>
      <c r="AM279" s="186">
        <f t="shared" si="150"/>
        <v>44652</v>
      </c>
      <c r="AN279" s="215">
        <f t="shared" si="140"/>
        <v>0</v>
      </c>
      <c r="AO279" s="191">
        <f t="shared" si="141"/>
        <v>0</v>
      </c>
      <c r="AP279" s="218">
        <f>+IF(AND(AO$8&lt;=AM279,AO$9&gt;=AM279),+MIN($B279-SUMIF($H$17:AO$17,AP$17,$H279:AO279),((INDEX(ROUTE_PER_DAY_BY_SHIP,MATCH(CONCATENATE(AO$4,AO$5,AO$7),ROUTE_PER_DAY_ROUTES,0),MATCH(AO$6,ROUTE_PER_DAY_SHIPS,0))*(AM280-AM279))-(INDEX(ROUTE_PER_DAY_BY_SHIP,MATCH(CONCATENATE(AO$4,AO$5,AO$7),ROUTE_PER_DAY_ROUTES,0),MATCH(AO$6,ROUTE_PER_DAY_SHIPS,0))*(AM280-AM279))*HLOOKUP(AO$6,SHIPS,7,0)*INDEX(LADEN_VOYAGE_DAYS,MATCH(CONCATENATE(AO$4,AO$5,AO$7),LADEN_VOYAGE_ROUTES,0),MATCH(AO$6,LADEN_VOYAGE_SHIPS,0)))),0)</f>
        <v>0</v>
      </c>
      <c r="AQ279" s="118">
        <f>-(AP279)*PORTS!$I$6</f>
        <v>0</v>
      </c>
      <c r="AR279" s="215">
        <f t="shared" si="123"/>
        <v>0</v>
      </c>
      <c r="AS279" s="202"/>
      <c r="AT279" s="186">
        <f t="shared" si="151"/>
        <v>44652</v>
      </c>
      <c r="AU279" s="232">
        <f>+AR279*(VLOOKUP(AT279,CURVECALC!$C$6:$J$312,4,0)+AV$5)</f>
        <v>0</v>
      </c>
      <c r="AV279" s="208">
        <f>-AN279*INDEX(ship_curves,MATCH(AT279,'SHIP CURVES'!$A$9:$A$316,0),MATCH(CONCATENATE(AX$4,AX$5,AX$6,AX$7),'SHIP CURVES'!$A$9:$AZ$9,0))</f>
        <v>0</v>
      </c>
      <c r="AW279" s="209">
        <f>-AP279*INDEX(port_processing_fee,MATCH(AT279,PORTS!$H$626:$H$933,0),MATCH(AX$5,PORTS!$H$626:$Z$626,0))</f>
        <v>0</v>
      </c>
      <c r="AX279" s="405">
        <f>(((VLOOKUP(AT279,curvecalc,4,0))*IF(AN279=0,0,AR279/AN279)-INDEX(ship_curves,MATCH(AT279,'SHIP CURVES'!$A$9:$A$316,0),MATCH(CONCATENATE(AX$4,AX$5,AX$6,AX$7),'SHIP CURVES'!$A$9:$Z$9,0))-INDEX(terminal_curves,MATCH(AT279,'TERMINAL CURVES'!$A$4:$A$313,0),MATCH(AX$5,'TERMINAL CURVES'!$A$4:$N$4,0))*IF(AN279=0,0,AP279/AN279))-(AV$8)*((AV$7-$N$5)-(INDEX(ship_curves,MATCH(AT279,'SHIP CURVES'!$A$9:$A$316,0),MATCH(CONCATENATE(AX$4,AX$5,AX$6,AX$7),'SHIP CURVES'!$A$9:$Z$9,0))-INDEX(ship_curves,MATCH(AT279,'SHIP CURVES'!$A$9:$A$316,0),MATCH(CONCATENATE(AX$4,AV$6,AX$6,AX$7),'SHIP CURVES'!$A$9:$Z$9,0)))-(INDEX(terminal_curves,MATCH(AT279,'TERMINAL CURVES'!$A$4:$A$313,0),MATCH(AX$5,'TERMINAL CURVES'!$A$4:$N$4,0))-INDEX(terminal_curves,MATCH(AT279,'TERMINAL CURVES'!$A$4:$A$313,0),MATCH(AV$6,'TERMINAL CURVES'!$A$4:$N$4,0)))*IF(AN279=0,0,AP279/AN279)))*-AN279</f>
        <v>0</v>
      </c>
      <c r="AY279" s="343">
        <f t="shared" si="142"/>
        <v>0</v>
      </c>
      <c r="AZ279" s="338">
        <f>(-AP279/((HLOOKUP(AX$5,port_specs,2,0)/(365.25))*(AT280-AT279)))*(INDEX(fixed_capacity_charge,MATCH(AT279,PORTS!$H$11:$H$317,0),MATCH(AX$5,PORTS!$H$11:$N$11,0))+INDEX(variable_om_charge,MATCH(AT279,PORTS!$H$318:$H$625,0),MATCH(AX$5,PORTS!$H$318:$N$318,0)))</f>
        <v>0</v>
      </c>
      <c r="BA279" s="232">
        <f t="shared" si="143"/>
        <v>0</v>
      </c>
      <c r="BB279" s="241">
        <f t="shared" si="144"/>
        <v>0</v>
      </c>
      <c r="BC279" s="408"/>
      <c r="BD279" s="338">
        <f>+PORTS!I273+PORTS!I581</f>
        <v>0</v>
      </c>
    </row>
    <row r="280" spans="1:56" x14ac:dyDescent="0.2">
      <c r="A280" s="186">
        <f t="shared" si="145"/>
        <v>44682</v>
      </c>
      <c r="B280" s="215">
        <f>+IF(AND($A280&gt;=$C$8,$A280&lt;=$C$9),1,0)*PORTS!$I$5/(365.25)*(A281-A280)</f>
        <v>0</v>
      </c>
      <c r="C280" s="351">
        <f t="shared" si="124"/>
        <v>0</v>
      </c>
      <c r="D280">
        <f t="shared" si="125"/>
        <v>2022</v>
      </c>
      <c r="E280" s="186">
        <f t="shared" si="146"/>
        <v>44682</v>
      </c>
      <c r="F280" s="215">
        <f t="shared" si="126"/>
        <v>0</v>
      </c>
      <c r="G280" s="191">
        <f t="shared" si="127"/>
        <v>0</v>
      </c>
      <c r="H280" s="218">
        <f t="shared" si="128"/>
        <v>0</v>
      </c>
      <c r="I280" s="118">
        <f t="shared" si="129"/>
        <v>0</v>
      </c>
      <c r="J280" s="215">
        <f t="shared" si="130"/>
        <v>0</v>
      </c>
      <c r="K280" s="202"/>
      <c r="L280" s="186">
        <f t="shared" si="147"/>
        <v>44682</v>
      </c>
      <c r="M280" s="400">
        <f>+J280*(VLOOKUP(L280,CURVECALC!$C$6:$J$312,4,0)+N$5)</f>
        <v>0</v>
      </c>
      <c r="N280" s="208">
        <f>-F280*INDEX(ship_curves,MATCH(L280,'SHIP CURVES'!$A$9:$A$316,0),MATCH(CONCATENATE(P$4,P$5,P$6,P$7),'SHIP CURVES'!$A$9:$AZ$9,0))</f>
        <v>0</v>
      </c>
      <c r="O280" s="209">
        <f>-H280*INDEX(port_processing_fee,MATCH(L280,PORTS!$H$626:$H$933,0),MATCH(P$5,PORTS!$H$626:$Z$626,0))</f>
        <v>0</v>
      </c>
      <c r="P280" s="405">
        <f>(((VLOOKUP(L280,curvecalc,4,0))*IF(F280=0,0,J280/F280)-INDEX(ship_curves,MATCH(L280,'SHIP CURVES'!$A$9:$A$316,0),MATCH(CONCATENATE(P$4,P$5,P$6,P$7),'SHIP CURVES'!$A$9:$Z$9,0))-INDEX(terminal_curves,MATCH(L280,'TERMINAL CURVES'!$A$4:$A$313,0),MATCH(P$5,'TERMINAL CURVES'!$A$4:$N$4,0))*IF(F280=0,0,H280/F280))-(N$8)*((N$7-$N$5)-(INDEX(ship_curves,MATCH(L280,'SHIP CURVES'!$A$9:$A$316,0),MATCH(CONCATENATE(P$4,P$5,P$6,P$7),'SHIP CURVES'!$A$9:$Z$9,0))-INDEX(ship_curves,MATCH(L280,'SHIP CURVES'!$A$9:$A$316,0),MATCH(CONCATENATE(P$4,N$6,P$6,P$7),'SHIP CURVES'!$A$9:$Z$9,0)))-(INDEX(terminal_curves,MATCH(L280,'TERMINAL CURVES'!$A$4:$A$313,0),MATCH(P$5,'TERMINAL CURVES'!$A$4:$N$4,0))-INDEX(terminal_curves,MATCH(L280,'TERMINAL CURVES'!$A$4:$A$313,0),MATCH(N$6,'TERMINAL CURVES'!$A$4:$N$4,0)))*IF(F280=0,0,H280/F280)))*-F280</f>
        <v>0</v>
      </c>
      <c r="Q280" s="403">
        <f t="shared" si="131"/>
        <v>0</v>
      </c>
      <c r="R280" s="338">
        <f>(-H280/((HLOOKUP(P$5,port_specs,2,0)/(365.25))*(L281-L280)))*(INDEX(fixed_capacity_charge,MATCH(L280,PORTS!$H$11:$H$317,0),MATCH(P$5,PORTS!$H$11:$N$11,0))+INDEX(variable_om_charge,MATCH(L280,PORTS!$H$318:$H$625,0),MATCH(P$5,PORTS!$H$318:$N$318,0)))</f>
        <v>0</v>
      </c>
      <c r="S280" s="232">
        <f t="shared" si="132"/>
        <v>0</v>
      </c>
      <c r="T280" s="241">
        <f t="shared" si="133"/>
        <v>0</v>
      </c>
      <c r="V280" s="186">
        <f t="shared" si="148"/>
        <v>44682</v>
      </c>
      <c r="W280" s="215">
        <f t="shared" si="134"/>
        <v>0</v>
      </c>
      <c r="X280" s="191">
        <f t="shared" si="135"/>
        <v>0</v>
      </c>
      <c r="Y280" s="218">
        <f>+IF(AND(X$8&lt;=V280,X$9&gt;=V280),+MIN($B280-SUMIF($H$17:X$17,Y$17,$H280:X280),((INDEX(ROUTE_PER_DAY_BY_SHIP,MATCH(CONCATENATE(X$4,X$5,X$7),ROUTE_PER_DAY_ROUTES,0),MATCH(X$6,ROUTE_PER_DAY_SHIPS,0))*(V281-V280))-(INDEX(ROUTE_PER_DAY_BY_SHIP,MATCH(CONCATENATE(X$4,X$5,X$7),ROUTE_PER_DAY_ROUTES,0),MATCH(X$6,ROUTE_PER_DAY_SHIPS,0))*(V281-V280))*HLOOKUP(X$6,SHIPS,7,0)*INDEX(LADEN_VOYAGE_DAYS,MATCH(CONCATENATE(X$4,X$5,X$7),LADEN_VOYAGE_ROUTES,0),MATCH(X$6,LADEN_VOYAGE_SHIPS,0)))),0)</f>
        <v>0</v>
      </c>
      <c r="Z280" s="118">
        <f t="shared" si="136"/>
        <v>0</v>
      </c>
      <c r="AA280" s="215">
        <f t="shared" si="122"/>
        <v>0</v>
      </c>
      <c r="AB280" s="202"/>
      <c r="AC280" s="186">
        <f t="shared" si="149"/>
        <v>44682</v>
      </c>
      <c r="AD280" s="232">
        <f>+AA280*(VLOOKUP(AC280,CURVECALC!$C$6:$J$312,4,0)+AE$5)</f>
        <v>0</v>
      </c>
      <c r="AE280" s="208">
        <f>-W280*INDEX(ship_curves,MATCH(AC280,'SHIP CURVES'!$A$9:$A$316,0),MATCH(CONCATENATE(AG$4,AG$5,AG$6,AG$7),'SHIP CURVES'!$A$9:$AZ$9,0))</f>
        <v>0</v>
      </c>
      <c r="AF280" s="209">
        <f>-Y280*INDEX(port_processing_fee,MATCH(AC280,PORTS!$H$626:$H$933,0),MATCH(AG$5,PORTS!$H$626:$Z$626,0))</f>
        <v>0</v>
      </c>
      <c r="AG280" s="405">
        <f>(((VLOOKUP(AC280,curvecalc,4,0))*IF(W280=0,0,AA280/W280)-INDEX(ship_curves,MATCH(AC280,'SHIP CURVES'!$A$9:$A$316,0),MATCH(CONCATENATE(AG$4,AG$5,AG$6,AG$7),'SHIP CURVES'!$A$9:$Z$9,0))-INDEX(terminal_curves,MATCH(AC280,'TERMINAL CURVES'!$A$4:$A$313,0),MATCH(AG$5,'TERMINAL CURVES'!$A$4:$N$4,0))*IF(W280=0,0,Y280/W280))-(AE$8)*((AE$7-$N$5)-(INDEX(ship_curves,MATCH(AC280,'SHIP CURVES'!$A$9:$A$316,0),MATCH(CONCATENATE(AG$4,AG$5,AG$6,AG$7),'SHIP CURVES'!$A$9:$Z$9,0))-INDEX(ship_curves,MATCH(AC280,'SHIP CURVES'!$A$9:$A$316,0),MATCH(CONCATENATE(AG$4,AE$6,AG$6,AG$7),'SHIP CURVES'!$A$9:$Z$9,0)))-(INDEX(terminal_curves,MATCH(AC280,'TERMINAL CURVES'!$A$4:$A$313,0),MATCH(AG$5,'TERMINAL CURVES'!$A$4:$N$4,0))-INDEX(terminal_curves,MATCH(AC280,'TERMINAL CURVES'!$A$4:$A$313,0),MATCH(AE$6,'TERMINAL CURVES'!$A$4:$N$4,0)))*IF(W280=0,0,Y280/W280)))*-W280</f>
        <v>0</v>
      </c>
      <c r="AH280" s="343">
        <f t="shared" si="137"/>
        <v>0</v>
      </c>
      <c r="AI280" s="338">
        <f>(-Y280/((HLOOKUP(AG$5,port_specs,2,0)/(365.25))*(AC281-AC280)))*(INDEX(fixed_capacity_charge,MATCH(AC280,PORTS!$H$11:$H$317,0),MATCH(AG$5,PORTS!$H$11:$N$11,0))+INDEX(variable_om_charge,MATCH(AC280,PORTS!$H$318:$H$625,0),MATCH(AG$5,PORTS!$H$318:$N$318,0)))</f>
        <v>0</v>
      </c>
      <c r="AJ280" s="232">
        <f t="shared" si="138"/>
        <v>0</v>
      </c>
      <c r="AK280" s="241">
        <f t="shared" si="139"/>
        <v>0</v>
      </c>
      <c r="AM280" s="186">
        <f t="shared" si="150"/>
        <v>44682</v>
      </c>
      <c r="AN280" s="215">
        <f t="shared" si="140"/>
        <v>0</v>
      </c>
      <c r="AO280" s="191">
        <f t="shared" si="141"/>
        <v>0</v>
      </c>
      <c r="AP280" s="218">
        <f>+IF(AND(AO$8&lt;=AM280,AO$9&gt;=AM280),+MIN($B280-SUMIF($H$17:AO$17,AP$17,$H280:AO280),((INDEX(ROUTE_PER_DAY_BY_SHIP,MATCH(CONCATENATE(AO$4,AO$5,AO$7),ROUTE_PER_DAY_ROUTES,0),MATCH(AO$6,ROUTE_PER_DAY_SHIPS,0))*(AM281-AM280))-(INDEX(ROUTE_PER_DAY_BY_SHIP,MATCH(CONCATENATE(AO$4,AO$5,AO$7),ROUTE_PER_DAY_ROUTES,0),MATCH(AO$6,ROUTE_PER_DAY_SHIPS,0))*(AM281-AM280))*HLOOKUP(AO$6,SHIPS,7,0)*INDEX(LADEN_VOYAGE_DAYS,MATCH(CONCATENATE(AO$4,AO$5,AO$7),LADEN_VOYAGE_ROUTES,0),MATCH(AO$6,LADEN_VOYAGE_SHIPS,0)))),0)</f>
        <v>0</v>
      </c>
      <c r="AQ280" s="118">
        <f>-(AP280)*PORTS!$I$6</f>
        <v>0</v>
      </c>
      <c r="AR280" s="215">
        <f t="shared" si="123"/>
        <v>0</v>
      </c>
      <c r="AS280" s="202"/>
      <c r="AT280" s="186">
        <f t="shared" si="151"/>
        <v>44682</v>
      </c>
      <c r="AU280" s="232">
        <f>+AR280*(VLOOKUP(AT280,CURVECALC!$C$6:$J$312,4,0)+AV$5)</f>
        <v>0</v>
      </c>
      <c r="AV280" s="208">
        <f>-AN280*INDEX(ship_curves,MATCH(AT280,'SHIP CURVES'!$A$9:$A$316,0),MATCH(CONCATENATE(AX$4,AX$5,AX$6,AX$7),'SHIP CURVES'!$A$9:$AZ$9,0))</f>
        <v>0</v>
      </c>
      <c r="AW280" s="209">
        <f>-AP280*INDEX(port_processing_fee,MATCH(AT280,PORTS!$H$626:$H$933,0),MATCH(AX$5,PORTS!$H$626:$Z$626,0))</f>
        <v>0</v>
      </c>
      <c r="AX280" s="405">
        <f>(((VLOOKUP(AT280,curvecalc,4,0))*IF(AN280=0,0,AR280/AN280)-INDEX(ship_curves,MATCH(AT280,'SHIP CURVES'!$A$9:$A$316,0),MATCH(CONCATENATE(AX$4,AX$5,AX$6,AX$7),'SHIP CURVES'!$A$9:$Z$9,0))-INDEX(terminal_curves,MATCH(AT280,'TERMINAL CURVES'!$A$4:$A$313,0),MATCH(AX$5,'TERMINAL CURVES'!$A$4:$N$4,0))*IF(AN280=0,0,AP280/AN280))-(AV$8)*((AV$7-$N$5)-(INDEX(ship_curves,MATCH(AT280,'SHIP CURVES'!$A$9:$A$316,0),MATCH(CONCATENATE(AX$4,AX$5,AX$6,AX$7),'SHIP CURVES'!$A$9:$Z$9,0))-INDEX(ship_curves,MATCH(AT280,'SHIP CURVES'!$A$9:$A$316,0),MATCH(CONCATENATE(AX$4,AV$6,AX$6,AX$7),'SHIP CURVES'!$A$9:$Z$9,0)))-(INDEX(terminal_curves,MATCH(AT280,'TERMINAL CURVES'!$A$4:$A$313,0),MATCH(AX$5,'TERMINAL CURVES'!$A$4:$N$4,0))-INDEX(terminal_curves,MATCH(AT280,'TERMINAL CURVES'!$A$4:$A$313,0),MATCH(AV$6,'TERMINAL CURVES'!$A$4:$N$4,0)))*IF(AN280=0,0,AP280/AN280)))*-AN280</f>
        <v>0</v>
      </c>
      <c r="AY280" s="343">
        <f t="shared" si="142"/>
        <v>0</v>
      </c>
      <c r="AZ280" s="338">
        <f>(-AP280/((HLOOKUP(AX$5,port_specs,2,0)/(365.25))*(AT281-AT280)))*(INDEX(fixed_capacity_charge,MATCH(AT280,PORTS!$H$11:$H$317,0),MATCH(AX$5,PORTS!$H$11:$N$11,0))+INDEX(variable_om_charge,MATCH(AT280,PORTS!$H$318:$H$625,0),MATCH(AX$5,PORTS!$H$318:$N$318,0)))</f>
        <v>0</v>
      </c>
      <c r="BA280" s="232">
        <f t="shared" si="143"/>
        <v>0</v>
      </c>
      <c r="BB280" s="241">
        <f t="shared" si="144"/>
        <v>0</v>
      </c>
      <c r="BC280" s="408"/>
      <c r="BD280" s="338">
        <f>+PORTS!I274+PORTS!I582</f>
        <v>0</v>
      </c>
    </row>
    <row r="281" spans="1:56" x14ac:dyDescent="0.2">
      <c r="A281" s="186">
        <f t="shared" si="145"/>
        <v>44713</v>
      </c>
      <c r="B281" s="215">
        <f>+IF(AND($A281&gt;=$C$8,$A281&lt;=$C$9),1,0)*PORTS!$I$5/(365.25)*(A282-A281)</f>
        <v>0</v>
      </c>
      <c r="C281" s="351">
        <f t="shared" si="124"/>
        <v>0</v>
      </c>
      <c r="D281">
        <f t="shared" si="125"/>
        <v>2022</v>
      </c>
      <c r="E281" s="186">
        <f t="shared" si="146"/>
        <v>44713</v>
      </c>
      <c r="F281" s="215">
        <f t="shared" si="126"/>
        <v>0</v>
      </c>
      <c r="G281" s="191">
        <f t="shared" si="127"/>
        <v>0</v>
      </c>
      <c r="H281" s="218">
        <f t="shared" si="128"/>
        <v>0</v>
      </c>
      <c r="I281" s="118">
        <f t="shared" si="129"/>
        <v>0</v>
      </c>
      <c r="J281" s="215">
        <f t="shared" si="130"/>
        <v>0</v>
      </c>
      <c r="K281" s="202"/>
      <c r="L281" s="186">
        <f t="shared" si="147"/>
        <v>44713</v>
      </c>
      <c r="M281" s="400">
        <f>+J281*(VLOOKUP(L281,CURVECALC!$C$6:$J$312,4,0)+N$5)</f>
        <v>0</v>
      </c>
      <c r="N281" s="208">
        <f>-F281*INDEX(ship_curves,MATCH(L281,'SHIP CURVES'!$A$9:$A$316,0),MATCH(CONCATENATE(P$4,P$5,P$6,P$7),'SHIP CURVES'!$A$9:$AZ$9,0))</f>
        <v>0</v>
      </c>
      <c r="O281" s="209">
        <f>-H281*INDEX(port_processing_fee,MATCH(L281,PORTS!$H$626:$H$933,0),MATCH(P$5,PORTS!$H$626:$Z$626,0))</f>
        <v>0</v>
      </c>
      <c r="P281" s="405">
        <f>(((VLOOKUP(L281,curvecalc,4,0))*IF(F281=0,0,J281/F281)-INDEX(ship_curves,MATCH(L281,'SHIP CURVES'!$A$9:$A$316,0),MATCH(CONCATENATE(P$4,P$5,P$6,P$7),'SHIP CURVES'!$A$9:$Z$9,0))-INDEX(terminal_curves,MATCH(L281,'TERMINAL CURVES'!$A$4:$A$313,0),MATCH(P$5,'TERMINAL CURVES'!$A$4:$N$4,0))*IF(F281=0,0,H281/F281))-(N$8)*((N$7-$N$5)-(INDEX(ship_curves,MATCH(L281,'SHIP CURVES'!$A$9:$A$316,0),MATCH(CONCATENATE(P$4,P$5,P$6,P$7),'SHIP CURVES'!$A$9:$Z$9,0))-INDEX(ship_curves,MATCH(L281,'SHIP CURVES'!$A$9:$A$316,0),MATCH(CONCATENATE(P$4,N$6,P$6,P$7),'SHIP CURVES'!$A$9:$Z$9,0)))-(INDEX(terminal_curves,MATCH(L281,'TERMINAL CURVES'!$A$4:$A$313,0),MATCH(P$5,'TERMINAL CURVES'!$A$4:$N$4,0))-INDEX(terminal_curves,MATCH(L281,'TERMINAL CURVES'!$A$4:$A$313,0),MATCH(N$6,'TERMINAL CURVES'!$A$4:$N$4,0)))*IF(F281=0,0,H281/F281)))*-F281</f>
        <v>0</v>
      </c>
      <c r="Q281" s="403">
        <f t="shared" si="131"/>
        <v>0</v>
      </c>
      <c r="R281" s="338">
        <f>(-H281/((HLOOKUP(P$5,port_specs,2,0)/(365.25))*(L282-L281)))*(INDEX(fixed_capacity_charge,MATCH(L281,PORTS!$H$11:$H$317,0),MATCH(P$5,PORTS!$H$11:$N$11,0))+INDEX(variable_om_charge,MATCH(L281,PORTS!$H$318:$H$625,0),MATCH(P$5,PORTS!$H$318:$N$318,0)))</f>
        <v>0</v>
      </c>
      <c r="S281" s="232">
        <f t="shared" si="132"/>
        <v>0</v>
      </c>
      <c r="T281" s="241">
        <f t="shared" si="133"/>
        <v>0</v>
      </c>
      <c r="V281" s="186">
        <f t="shared" si="148"/>
        <v>44713</v>
      </c>
      <c r="W281" s="215">
        <f t="shared" si="134"/>
        <v>0</v>
      </c>
      <c r="X281" s="191">
        <f t="shared" si="135"/>
        <v>0</v>
      </c>
      <c r="Y281" s="218">
        <f>+IF(AND(X$8&lt;=V281,X$9&gt;=V281),+MIN($B281-SUMIF($H$17:X$17,Y$17,$H281:X281),((INDEX(ROUTE_PER_DAY_BY_SHIP,MATCH(CONCATENATE(X$4,X$5,X$7),ROUTE_PER_DAY_ROUTES,0),MATCH(X$6,ROUTE_PER_DAY_SHIPS,0))*(V282-V281))-(INDEX(ROUTE_PER_DAY_BY_SHIP,MATCH(CONCATENATE(X$4,X$5,X$7),ROUTE_PER_DAY_ROUTES,0),MATCH(X$6,ROUTE_PER_DAY_SHIPS,0))*(V282-V281))*HLOOKUP(X$6,SHIPS,7,0)*INDEX(LADEN_VOYAGE_DAYS,MATCH(CONCATENATE(X$4,X$5,X$7),LADEN_VOYAGE_ROUTES,0),MATCH(X$6,LADEN_VOYAGE_SHIPS,0)))),0)</f>
        <v>0</v>
      </c>
      <c r="Z281" s="118">
        <f t="shared" si="136"/>
        <v>0</v>
      </c>
      <c r="AA281" s="215">
        <f t="shared" si="122"/>
        <v>0</v>
      </c>
      <c r="AB281" s="202"/>
      <c r="AC281" s="186">
        <f t="shared" si="149"/>
        <v>44713</v>
      </c>
      <c r="AD281" s="232">
        <f>+AA281*(VLOOKUP(AC281,CURVECALC!$C$6:$J$312,4,0)+AE$5)</f>
        <v>0</v>
      </c>
      <c r="AE281" s="208">
        <f>-W281*INDEX(ship_curves,MATCH(AC281,'SHIP CURVES'!$A$9:$A$316,0),MATCH(CONCATENATE(AG$4,AG$5,AG$6,AG$7),'SHIP CURVES'!$A$9:$AZ$9,0))</f>
        <v>0</v>
      </c>
      <c r="AF281" s="209">
        <f>-Y281*INDEX(port_processing_fee,MATCH(AC281,PORTS!$H$626:$H$933,0),MATCH(AG$5,PORTS!$H$626:$Z$626,0))</f>
        <v>0</v>
      </c>
      <c r="AG281" s="405">
        <f>(((VLOOKUP(AC281,curvecalc,4,0))*IF(W281=0,0,AA281/W281)-INDEX(ship_curves,MATCH(AC281,'SHIP CURVES'!$A$9:$A$316,0),MATCH(CONCATENATE(AG$4,AG$5,AG$6,AG$7),'SHIP CURVES'!$A$9:$Z$9,0))-INDEX(terminal_curves,MATCH(AC281,'TERMINAL CURVES'!$A$4:$A$313,0),MATCH(AG$5,'TERMINAL CURVES'!$A$4:$N$4,0))*IF(W281=0,0,Y281/W281))-(AE$8)*((AE$7-$N$5)-(INDEX(ship_curves,MATCH(AC281,'SHIP CURVES'!$A$9:$A$316,0),MATCH(CONCATENATE(AG$4,AG$5,AG$6,AG$7),'SHIP CURVES'!$A$9:$Z$9,0))-INDEX(ship_curves,MATCH(AC281,'SHIP CURVES'!$A$9:$A$316,0),MATCH(CONCATENATE(AG$4,AE$6,AG$6,AG$7),'SHIP CURVES'!$A$9:$Z$9,0)))-(INDEX(terminal_curves,MATCH(AC281,'TERMINAL CURVES'!$A$4:$A$313,0),MATCH(AG$5,'TERMINAL CURVES'!$A$4:$N$4,0))-INDEX(terminal_curves,MATCH(AC281,'TERMINAL CURVES'!$A$4:$A$313,0),MATCH(AE$6,'TERMINAL CURVES'!$A$4:$N$4,0)))*IF(W281=0,0,Y281/W281)))*-W281</f>
        <v>0</v>
      </c>
      <c r="AH281" s="343">
        <f t="shared" si="137"/>
        <v>0</v>
      </c>
      <c r="AI281" s="338">
        <f>(-Y281/((HLOOKUP(AG$5,port_specs,2,0)/(365.25))*(AC282-AC281)))*(INDEX(fixed_capacity_charge,MATCH(AC281,PORTS!$H$11:$H$317,0),MATCH(AG$5,PORTS!$H$11:$N$11,0))+INDEX(variable_om_charge,MATCH(AC281,PORTS!$H$318:$H$625,0),MATCH(AG$5,PORTS!$H$318:$N$318,0)))</f>
        <v>0</v>
      </c>
      <c r="AJ281" s="232">
        <f t="shared" si="138"/>
        <v>0</v>
      </c>
      <c r="AK281" s="241">
        <f t="shared" si="139"/>
        <v>0</v>
      </c>
      <c r="AM281" s="186">
        <f t="shared" si="150"/>
        <v>44713</v>
      </c>
      <c r="AN281" s="215">
        <f t="shared" si="140"/>
        <v>0</v>
      </c>
      <c r="AO281" s="191">
        <f t="shared" si="141"/>
        <v>0</v>
      </c>
      <c r="AP281" s="218">
        <f>+IF(AND(AO$8&lt;=AM281,AO$9&gt;=AM281),+MIN($B281-SUMIF($H$17:AO$17,AP$17,$H281:AO281),((INDEX(ROUTE_PER_DAY_BY_SHIP,MATCH(CONCATENATE(AO$4,AO$5,AO$7),ROUTE_PER_DAY_ROUTES,0),MATCH(AO$6,ROUTE_PER_DAY_SHIPS,0))*(AM282-AM281))-(INDEX(ROUTE_PER_DAY_BY_SHIP,MATCH(CONCATENATE(AO$4,AO$5,AO$7),ROUTE_PER_DAY_ROUTES,0),MATCH(AO$6,ROUTE_PER_DAY_SHIPS,0))*(AM282-AM281))*HLOOKUP(AO$6,SHIPS,7,0)*INDEX(LADEN_VOYAGE_DAYS,MATCH(CONCATENATE(AO$4,AO$5,AO$7),LADEN_VOYAGE_ROUTES,0),MATCH(AO$6,LADEN_VOYAGE_SHIPS,0)))),0)</f>
        <v>0</v>
      </c>
      <c r="AQ281" s="118">
        <f>-(AP281)*PORTS!$I$6</f>
        <v>0</v>
      </c>
      <c r="AR281" s="215">
        <f t="shared" si="123"/>
        <v>0</v>
      </c>
      <c r="AS281" s="202"/>
      <c r="AT281" s="186">
        <f t="shared" si="151"/>
        <v>44713</v>
      </c>
      <c r="AU281" s="232">
        <f>+AR281*(VLOOKUP(AT281,CURVECALC!$C$6:$J$312,4,0)+AV$5)</f>
        <v>0</v>
      </c>
      <c r="AV281" s="208">
        <f>-AN281*INDEX(ship_curves,MATCH(AT281,'SHIP CURVES'!$A$9:$A$316,0),MATCH(CONCATENATE(AX$4,AX$5,AX$6,AX$7),'SHIP CURVES'!$A$9:$AZ$9,0))</f>
        <v>0</v>
      </c>
      <c r="AW281" s="209">
        <f>-AP281*INDEX(port_processing_fee,MATCH(AT281,PORTS!$H$626:$H$933,0),MATCH(AX$5,PORTS!$H$626:$Z$626,0))</f>
        <v>0</v>
      </c>
      <c r="AX281" s="405">
        <f>(((VLOOKUP(AT281,curvecalc,4,0))*IF(AN281=0,0,AR281/AN281)-INDEX(ship_curves,MATCH(AT281,'SHIP CURVES'!$A$9:$A$316,0),MATCH(CONCATENATE(AX$4,AX$5,AX$6,AX$7),'SHIP CURVES'!$A$9:$Z$9,0))-INDEX(terminal_curves,MATCH(AT281,'TERMINAL CURVES'!$A$4:$A$313,0),MATCH(AX$5,'TERMINAL CURVES'!$A$4:$N$4,0))*IF(AN281=0,0,AP281/AN281))-(AV$8)*((AV$7-$N$5)-(INDEX(ship_curves,MATCH(AT281,'SHIP CURVES'!$A$9:$A$316,0),MATCH(CONCATENATE(AX$4,AX$5,AX$6,AX$7),'SHIP CURVES'!$A$9:$Z$9,0))-INDEX(ship_curves,MATCH(AT281,'SHIP CURVES'!$A$9:$A$316,0),MATCH(CONCATENATE(AX$4,AV$6,AX$6,AX$7),'SHIP CURVES'!$A$9:$Z$9,0)))-(INDEX(terminal_curves,MATCH(AT281,'TERMINAL CURVES'!$A$4:$A$313,0),MATCH(AX$5,'TERMINAL CURVES'!$A$4:$N$4,0))-INDEX(terminal_curves,MATCH(AT281,'TERMINAL CURVES'!$A$4:$A$313,0),MATCH(AV$6,'TERMINAL CURVES'!$A$4:$N$4,0)))*IF(AN281=0,0,AP281/AN281)))*-AN281</f>
        <v>0</v>
      </c>
      <c r="AY281" s="343">
        <f t="shared" si="142"/>
        <v>0</v>
      </c>
      <c r="AZ281" s="338">
        <f>(-AP281/((HLOOKUP(AX$5,port_specs,2,0)/(365.25))*(AT282-AT281)))*(INDEX(fixed_capacity_charge,MATCH(AT281,PORTS!$H$11:$H$317,0),MATCH(AX$5,PORTS!$H$11:$N$11,0))+INDEX(variable_om_charge,MATCH(AT281,PORTS!$H$318:$H$625,0),MATCH(AX$5,PORTS!$H$318:$N$318,0)))</f>
        <v>0</v>
      </c>
      <c r="BA281" s="232">
        <f t="shared" si="143"/>
        <v>0</v>
      </c>
      <c r="BB281" s="241">
        <f t="shared" si="144"/>
        <v>0</v>
      </c>
      <c r="BC281" s="408"/>
      <c r="BD281" s="338">
        <f>+PORTS!I275+PORTS!I583</f>
        <v>0</v>
      </c>
    </row>
    <row r="282" spans="1:56" x14ac:dyDescent="0.2">
      <c r="A282" s="186">
        <f t="shared" si="145"/>
        <v>44743</v>
      </c>
      <c r="B282" s="215">
        <f>+IF(AND($A282&gt;=$C$8,$A282&lt;=$C$9),1,0)*PORTS!$I$5/(365.25)*(A283-A282)</f>
        <v>0</v>
      </c>
      <c r="C282" s="351">
        <f t="shared" si="124"/>
        <v>0</v>
      </c>
      <c r="D282">
        <f t="shared" si="125"/>
        <v>2022</v>
      </c>
      <c r="E282" s="186">
        <f t="shared" si="146"/>
        <v>44743</v>
      </c>
      <c r="F282" s="215">
        <f t="shared" si="126"/>
        <v>0</v>
      </c>
      <c r="G282" s="191">
        <f t="shared" si="127"/>
        <v>0</v>
      </c>
      <c r="H282" s="218">
        <f t="shared" si="128"/>
        <v>0</v>
      </c>
      <c r="I282" s="118">
        <f t="shared" si="129"/>
        <v>0</v>
      </c>
      <c r="J282" s="215">
        <f t="shared" si="130"/>
        <v>0</v>
      </c>
      <c r="K282" s="202"/>
      <c r="L282" s="186">
        <f t="shared" si="147"/>
        <v>44743</v>
      </c>
      <c r="M282" s="400">
        <f>+J282*(VLOOKUP(L282,CURVECALC!$C$6:$J$312,4,0)+N$5)</f>
        <v>0</v>
      </c>
      <c r="N282" s="208">
        <f>-F282*INDEX(ship_curves,MATCH(L282,'SHIP CURVES'!$A$9:$A$316,0),MATCH(CONCATENATE(P$4,P$5,P$6,P$7),'SHIP CURVES'!$A$9:$AZ$9,0))</f>
        <v>0</v>
      </c>
      <c r="O282" s="209">
        <f>-H282*INDEX(port_processing_fee,MATCH(L282,PORTS!$H$626:$H$933,0),MATCH(P$5,PORTS!$H$626:$Z$626,0))</f>
        <v>0</v>
      </c>
      <c r="P282" s="405">
        <f>(((VLOOKUP(L282,curvecalc,4,0))*IF(F282=0,0,J282/F282)-INDEX(ship_curves,MATCH(L282,'SHIP CURVES'!$A$9:$A$316,0),MATCH(CONCATENATE(P$4,P$5,P$6,P$7),'SHIP CURVES'!$A$9:$Z$9,0))-INDEX(terminal_curves,MATCH(L282,'TERMINAL CURVES'!$A$4:$A$313,0),MATCH(P$5,'TERMINAL CURVES'!$A$4:$N$4,0))*IF(F282=0,0,H282/F282))-(N$8)*((N$7-$N$5)-(INDEX(ship_curves,MATCH(L282,'SHIP CURVES'!$A$9:$A$316,0),MATCH(CONCATENATE(P$4,P$5,P$6,P$7),'SHIP CURVES'!$A$9:$Z$9,0))-INDEX(ship_curves,MATCH(L282,'SHIP CURVES'!$A$9:$A$316,0),MATCH(CONCATENATE(P$4,N$6,P$6,P$7),'SHIP CURVES'!$A$9:$Z$9,0)))-(INDEX(terminal_curves,MATCH(L282,'TERMINAL CURVES'!$A$4:$A$313,0),MATCH(P$5,'TERMINAL CURVES'!$A$4:$N$4,0))-INDEX(terminal_curves,MATCH(L282,'TERMINAL CURVES'!$A$4:$A$313,0),MATCH(N$6,'TERMINAL CURVES'!$A$4:$N$4,0)))*IF(F282=0,0,H282/F282)))*-F282</f>
        <v>0</v>
      </c>
      <c r="Q282" s="403">
        <f t="shared" si="131"/>
        <v>0</v>
      </c>
      <c r="R282" s="338">
        <f>(-H282/((HLOOKUP(P$5,port_specs,2,0)/(365.25))*(L283-L282)))*(INDEX(fixed_capacity_charge,MATCH(L282,PORTS!$H$11:$H$317,0),MATCH(P$5,PORTS!$H$11:$N$11,0))+INDEX(variable_om_charge,MATCH(L282,PORTS!$H$318:$H$625,0),MATCH(P$5,PORTS!$H$318:$N$318,0)))</f>
        <v>0</v>
      </c>
      <c r="S282" s="232">
        <f t="shared" si="132"/>
        <v>0</v>
      </c>
      <c r="T282" s="241">
        <f t="shared" si="133"/>
        <v>0</v>
      </c>
      <c r="V282" s="186">
        <f t="shared" si="148"/>
        <v>44743</v>
      </c>
      <c r="W282" s="215">
        <f t="shared" si="134"/>
        <v>0</v>
      </c>
      <c r="X282" s="191">
        <f t="shared" si="135"/>
        <v>0</v>
      </c>
      <c r="Y282" s="218">
        <f>+IF(AND(X$8&lt;=V282,X$9&gt;=V282),+MIN($B282-SUMIF($H$17:X$17,Y$17,$H282:X282),((INDEX(ROUTE_PER_DAY_BY_SHIP,MATCH(CONCATENATE(X$4,X$5,X$7),ROUTE_PER_DAY_ROUTES,0),MATCH(X$6,ROUTE_PER_DAY_SHIPS,0))*(V283-V282))-(INDEX(ROUTE_PER_DAY_BY_SHIP,MATCH(CONCATENATE(X$4,X$5,X$7),ROUTE_PER_DAY_ROUTES,0),MATCH(X$6,ROUTE_PER_DAY_SHIPS,0))*(V283-V282))*HLOOKUP(X$6,SHIPS,7,0)*INDEX(LADEN_VOYAGE_DAYS,MATCH(CONCATENATE(X$4,X$5,X$7),LADEN_VOYAGE_ROUTES,0),MATCH(X$6,LADEN_VOYAGE_SHIPS,0)))),0)</f>
        <v>0</v>
      </c>
      <c r="Z282" s="118">
        <f t="shared" si="136"/>
        <v>0</v>
      </c>
      <c r="AA282" s="215">
        <f t="shared" si="122"/>
        <v>0</v>
      </c>
      <c r="AB282" s="202"/>
      <c r="AC282" s="186">
        <f t="shared" si="149"/>
        <v>44743</v>
      </c>
      <c r="AD282" s="232">
        <f>+AA282*(VLOOKUP(AC282,CURVECALC!$C$6:$J$312,4,0)+AE$5)</f>
        <v>0</v>
      </c>
      <c r="AE282" s="208">
        <f>-W282*INDEX(ship_curves,MATCH(AC282,'SHIP CURVES'!$A$9:$A$316,0),MATCH(CONCATENATE(AG$4,AG$5,AG$6,AG$7),'SHIP CURVES'!$A$9:$AZ$9,0))</f>
        <v>0</v>
      </c>
      <c r="AF282" s="209">
        <f>-Y282*INDEX(port_processing_fee,MATCH(AC282,PORTS!$H$626:$H$933,0),MATCH(AG$5,PORTS!$H$626:$Z$626,0))</f>
        <v>0</v>
      </c>
      <c r="AG282" s="405">
        <f>(((VLOOKUP(AC282,curvecalc,4,0))*IF(W282=0,0,AA282/W282)-INDEX(ship_curves,MATCH(AC282,'SHIP CURVES'!$A$9:$A$316,0),MATCH(CONCATENATE(AG$4,AG$5,AG$6,AG$7),'SHIP CURVES'!$A$9:$Z$9,0))-INDEX(terminal_curves,MATCH(AC282,'TERMINAL CURVES'!$A$4:$A$313,0),MATCH(AG$5,'TERMINAL CURVES'!$A$4:$N$4,0))*IF(W282=0,0,Y282/W282))-(AE$8)*((AE$7-$N$5)-(INDEX(ship_curves,MATCH(AC282,'SHIP CURVES'!$A$9:$A$316,0),MATCH(CONCATENATE(AG$4,AG$5,AG$6,AG$7),'SHIP CURVES'!$A$9:$Z$9,0))-INDEX(ship_curves,MATCH(AC282,'SHIP CURVES'!$A$9:$A$316,0),MATCH(CONCATENATE(AG$4,AE$6,AG$6,AG$7),'SHIP CURVES'!$A$9:$Z$9,0)))-(INDEX(terminal_curves,MATCH(AC282,'TERMINAL CURVES'!$A$4:$A$313,0),MATCH(AG$5,'TERMINAL CURVES'!$A$4:$N$4,0))-INDEX(terminal_curves,MATCH(AC282,'TERMINAL CURVES'!$A$4:$A$313,0),MATCH(AE$6,'TERMINAL CURVES'!$A$4:$N$4,0)))*IF(W282=0,0,Y282/W282)))*-W282</f>
        <v>0</v>
      </c>
      <c r="AH282" s="343">
        <f t="shared" si="137"/>
        <v>0</v>
      </c>
      <c r="AI282" s="338">
        <f>(-Y282/((HLOOKUP(AG$5,port_specs,2,0)/(365.25))*(AC283-AC282)))*(INDEX(fixed_capacity_charge,MATCH(AC282,PORTS!$H$11:$H$317,0),MATCH(AG$5,PORTS!$H$11:$N$11,0))+INDEX(variable_om_charge,MATCH(AC282,PORTS!$H$318:$H$625,0),MATCH(AG$5,PORTS!$H$318:$N$318,0)))</f>
        <v>0</v>
      </c>
      <c r="AJ282" s="232">
        <f t="shared" si="138"/>
        <v>0</v>
      </c>
      <c r="AK282" s="241">
        <f t="shared" si="139"/>
        <v>0</v>
      </c>
      <c r="AM282" s="186">
        <f t="shared" si="150"/>
        <v>44743</v>
      </c>
      <c r="AN282" s="215">
        <f t="shared" si="140"/>
        <v>0</v>
      </c>
      <c r="AO282" s="191">
        <f t="shared" si="141"/>
        <v>0</v>
      </c>
      <c r="AP282" s="218">
        <f>+IF(AND(AO$8&lt;=AM282,AO$9&gt;=AM282),+MIN($B282-SUMIF($H$17:AO$17,AP$17,$H282:AO282),((INDEX(ROUTE_PER_DAY_BY_SHIP,MATCH(CONCATENATE(AO$4,AO$5,AO$7),ROUTE_PER_DAY_ROUTES,0),MATCH(AO$6,ROUTE_PER_DAY_SHIPS,0))*(AM283-AM282))-(INDEX(ROUTE_PER_DAY_BY_SHIP,MATCH(CONCATENATE(AO$4,AO$5,AO$7),ROUTE_PER_DAY_ROUTES,0),MATCH(AO$6,ROUTE_PER_DAY_SHIPS,0))*(AM283-AM282))*HLOOKUP(AO$6,SHIPS,7,0)*INDEX(LADEN_VOYAGE_DAYS,MATCH(CONCATENATE(AO$4,AO$5,AO$7),LADEN_VOYAGE_ROUTES,0),MATCH(AO$6,LADEN_VOYAGE_SHIPS,0)))),0)</f>
        <v>0</v>
      </c>
      <c r="AQ282" s="118">
        <f>-(AP282)*PORTS!$I$6</f>
        <v>0</v>
      </c>
      <c r="AR282" s="215">
        <f t="shared" si="123"/>
        <v>0</v>
      </c>
      <c r="AS282" s="202"/>
      <c r="AT282" s="186">
        <f t="shared" si="151"/>
        <v>44743</v>
      </c>
      <c r="AU282" s="232">
        <f>+AR282*(VLOOKUP(AT282,CURVECALC!$C$6:$J$312,4,0)+AV$5)</f>
        <v>0</v>
      </c>
      <c r="AV282" s="208">
        <f>-AN282*INDEX(ship_curves,MATCH(AT282,'SHIP CURVES'!$A$9:$A$316,0),MATCH(CONCATENATE(AX$4,AX$5,AX$6,AX$7),'SHIP CURVES'!$A$9:$AZ$9,0))</f>
        <v>0</v>
      </c>
      <c r="AW282" s="209">
        <f>-AP282*INDEX(port_processing_fee,MATCH(AT282,PORTS!$H$626:$H$933,0),MATCH(AX$5,PORTS!$H$626:$Z$626,0))</f>
        <v>0</v>
      </c>
      <c r="AX282" s="405">
        <f>(((VLOOKUP(AT282,curvecalc,4,0))*IF(AN282=0,0,AR282/AN282)-INDEX(ship_curves,MATCH(AT282,'SHIP CURVES'!$A$9:$A$316,0),MATCH(CONCATENATE(AX$4,AX$5,AX$6,AX$7),'SHIP CURVES'!$A$9:$Z$9,0))-INDEX(terminal_curves,MATCH(AT282,'TERMINAL CURVES'!$A$4:$A$313,0),MATCH(AX$5,'TERMINAL CURVES'!$A$4:$N$4,0))*IF(AN282=0,0,AP282/AN282))-(AV$8)*((AV$7-$N$5)-(INDEX(ship_curves,MATCH(AT282,'SHIP CURVES'!$A$9:$A$316,0),MATCH(CONCATENATE(AX$4,AX$5,AX$6,AX$7),'SHIP CURVES'!$A$9:$Z$9,0))-INDEX(ship_curves,MATCH(AT282,'SHIP CURVES'!$A$9:$A$316,0),MATCH(CONCATENATE(AX$4,AV$6,AX$6,AX$7),'SHIP CURVES'!$A$9:$Z$9,0)))-(INDEX(terminal_curves,MATCH(AT282,'TERMINAL CURVES'!$A$4:$A$313,0),MATCH(AX$5,'TERMINAL CURVES'!$A$4:$N$4,0))-INDEX(terminal_curves,MATCH(AT282,'TERMINAL CURVES'!$A$4:$A$313,0),MATCH(AV$6,'TERMINAL CURVES'!$A$4:$N$4,0)))*IF(AN282=0,0,AP282/AN282)))*-AN282</f>
        <v>0</v>
      </c>
      <c r="AY282" s="343">
        <f t="shared" si="142"/>
        <v>0</v>
      </c>
      <c r="AZ282" s="338">
        <f>(-AP282/((HLOOKUP(AX$5,port_specs,2,0)/(365.25))*(AT283-AT282)))*(INDEX(fixed_capacity_charge,MATCH(AT282,PORTS!$H$11:$H$317,0),MATCH(AX$5,PORTS!$H$11:$N$11,0))+INDEX(variable_om_charge,MATCH(AT282,PORTS!$H$318:$H$625,0),MATCH(AX$5,PORTS!$H$318:$N$318,0)))</f>
        <v>0</v>
      </c>
      <c r="BA282" s="232">
        <f t="shared" si="143"/>
        <v>0</v>
      </c>
      <c r="BB282" s="241">
        <f t="shared" si="144"/>
        <v>0</v>
      </c>
      <c r="BC282" s="408"/>
      <c r="BD282" s="338">
        <f>+PORTS!I276+PORTS!I584</f>
        <v>0</v>
      </c>
    </row>
    <row r="283" spans="1:56" x14ac:dyDescent="0.2">
      <c r="A283" s="186">
        <f t="shared" si="145"/>
        <v>44774</v>
      </c>
      <c r="B283" s="215">
        <f>+IF(AND($A283&gt;=$C$8,$A283&lt;=$C$9),1,0)*PORTS!$I$5/(365.25)*(A284-A283)</f>
        <v>0</v>
      </c>
      <c r="C283" s="351">
        <f t="shared" si="124"/>
        <v>0</v>
      </c>
      <c r="D283">
        <f t="shared" si="125"/>
        <v>2022</v>
      </c>
      <c r="E283" s="186">
        <f t="shared" si="146"/>
        <v>44774</v>
      </c>
      <c r="F283" s="215">
        <f t="shared" si="126"/>
        <v>0</v>
      </c>
      <c r="G283" s="191">
        <f t="shared" si="127"/>
        <v>0</v>
      </c>
      <c r="H283" s="218">
        <f t="shared" si="128"/>
        <v>0</v>
      </c>
      <c r="I283" s="118">
        <f t="shared" si="129"/>
        <v>0</v>
      </c>
      <c r="J283" s="215">
        <f t="shared" si="130"/>
        <v>0</v>
      </c>
      <c r="K283" s="202"/>
      <c r="L283" s="186">
        <f t="shared" si="147"/>
        <v>44774</v>
      </c>
      <c r="M283" s="400">
        <f>+J283*(VLOOKUP(L283,CURVECALC!$C$6:$J$312,4,0)+N$5)</f>
        <v>0</v>
      </c>
      <c r="N283" s="208">
        <f>-F283*INDEX(ship_curves,MATCH(L283,'SHIP CURVES'!$A$9:$A$316,0),MATCH(CONCATENATE(P$4,P$5,P$6,P$7),'SHIP CURVES'!$A$9:$AZ$9,0))</f>
        <v>0</v>
      </c>
      <c r="O283" s="209">
        <f>-H283*INDEX(port_processing_fee,MATCH(L283,PORTS!$H$626:$H$933,0),MATCH(P$5,PORTS!$H$626:$Z$626,0))</f>
        <v>0</v>
      </c>
      <c r="P283" s="405">
        <f>(((VLOOKUP(L283,curvecalc,4,0))*IF(F283=0,0,J283/F283)-INDEX(ship_curves,MATCH(L283,'SHIP CURVES'!$A$9:$A$316,0),MATCH(CONCATENATE(P$4,P$5,P$6,P$7),'SHIP CURVES'!$A$9:$Z$9,0))-INDEX(terminal_curves,MATCH(L283,'TERMINAL CURVES'!$A$4:$A$313,0),MATCH(P$5,'TERMINAL CURVES'!$A$4:$N$4,0))*IF(F283=0,0,H283/F283))-(N$8)*((N$7-$N$5)-(INDEX(ship_curves,MATCH(L283,'SHIP CURVES'!$A$9:$A$316,0),MATCH(CONCATENATE(P$4,P$5,P$6,P$7),'SHIP CURVES'!$A$9:$Z$9,0))-INDEX(ship_curves,MATCH(L283,'SHIP CURVES'!$A$9:$A$316,0),MATCH(CONCATENATE(P$4,N$6,P$6,P$7),'SHIP CURVES'!$A$9:$Z$9,0)))-(INDEX(terminal_curves,MATCH(L283,'TERMINAL CURVES'!$A$4:$A$313,0),MATCH(P$5,'TERMINAL CURVES'!$A$4:$N$4,0))-INDEX(terminal_curves,MATCH(L283,'TERMINAL CURVES'!$A$4:$A$313,0),MATCH(N$6,'TERMINAL CURVES'!$A$4:$N$4,0)))*IF(F283=0,0,H283/F283)))*-F283</f>
        <v>0</v>
      </c>
      <c r="Q283" s="403">
        <f t="shared" si="131"/>
        <v>0</v>
      </c>
      <c r="R283" s="338">
        <f>(-H283/((HLOOKUP(P$5,port_specs,2,0)/(365.25))*(L284-L283)))*(INDEX(fixed_capacity_charge,MATCH(L283,PORTS!$H$11:$H$317,0),MATCH(P$5,PORTS!$H$11:$N$11,0))+INDEX(variable_om_charge,MATCH(L283,PORTS!$H$318:$H$625,0),MATCH(P$5,PORTS!$H$318:$N$318,0)))</f>
        <v>0</v>
      </c>
      <c r="S283" s="232">
        <f t="shared" si="132"/>
        <v>0</v>
      </c>
      <c r="T283" s="241">
        <f t="shared" si="133"/>
        <v>0</v>
      </c>
      <c r="V283" s="186">
        <f t="shared" si="148"/>
        <v>44774</v>
      </c>
      <c r="W283" s="215">
        <f t="shared" si="134"/>
        <v>0</v>
      </c>
      <c r="X283" s="191">
        <f t="shared" si="135"/>
        <v>0</v>
      </c>
      <c r="Y283" s="218">
        <f>+IF(AND(X$8&lt;=V283,X$9&gt;=V283),+MIN($B283-SUMIF($H$17:X$17,Y$17,$H283:X283),((INDEX(ROUTE_PER_DAY_BY_SHIP,MATCH(CONCATENATE(X$4,X$5,X$7),ROUTE_PER_DAY_ROUTES,0),MATCH(X$6,ROUTE_PER_DAY_SHIPS,0))*(V284-V283))-(INDEX(ROUTE_PER_DAY_BY_SHIP,MATCH(CONCATENATE(X$4,X$5,X$7),ROUTE_PER_DAY_ROUTES,0),MATCH(X$6,ROUTE_PER_DAY_SHIPS,0))*(V284-V283))*HLOOKUP(X$6,SHIPS,7,0)*INDEX(LADEN_VOYAGE_DAYS,MATCH(CONCATENATE(X$4,X$5,X$7),LADEN_VOYAGE_ROUTES,0),MATCH(X$6,LADEN_VOYAGE_SHIPS,0)))),0)</f>
        <v>0</v>
      </c>
      <c r="Z283" s="118">
        <f t="shared" si="136"/>
        <v>0</v>
      </c>
      <c r="AA283" s="215">
        <f t="shared" si="122"/>
        <v>0</v>
      </c>
      <c r="AB283" s="202"/>
      <c r="AC283" s="186">
        <f t="shared" si="149"/>
        <v>44774</v>
      </c>
      <c r="AD283" s="232">
        <f>+AA283*(VLOOKUP(AC283,CURVECALC!$C$6:$J$312,4,0)+AE$5)</f>
        <v>0</v>
      </c>
      <c r="AE283" s="208">
        <f>-W283*INDEX(ship_curves,MATCH(AC283,'SHIP CURVES'!$A$9:$A$316,0),MATCH(CONCATENATE(AG$4,AG$5,AG$6,AG$7),'SHIP CURVES'!$A$9:$AZ$9,0))</f>
        <v>0</v>
      </c>
      <c r="AF283" s="209">
        <f>-Y283*INDEX(port_processing_fee,MATCH(AC283,PORTS!$H$626:$H$933,0),MATCH(AG$5,PORTS!$H$626:$Z$626,0))</f>
        <v>0</v>
      </c>
      <c r="AG283" s="405">
        <f>(((VLOOKUP(AC283,curvecalc,4,0))*IF(W283=0,0,AA283/W283)-INDEX(ship_curves,MATCH(AC283,'SHIP CURVES'!$A$9:$A$316,0),MATCH(CONCATENATE(AG$4,AG$5,AG$6,AG$7),'SHIP CURVES'!$A$9:$Z$9,0))-INDEX(terminal_curves,MATCH(AC283,'TERMINAL CURVES'!$A$4:$A$313,0),MATCH(AG$5,'TERMINAL CURVES'!$A$4:$N$4,0))*IF(W283=0,0,Y283/W283))-(AE$8)*((AE$7-$N$5)-(INDEX(ship_curves,MATCH(AC283,'SHIP CURVES'!$A$9:$A$316,0),MATCH(CONCATENATE(AG$4,AG$5,AG$6,AG$7),'SHIP CURVES'!$A$9:$Z$9,0))-INDEX(ship_curves,MATCH(AC283,'SHIP CURVES'!$A$9:$A$316,0),MATCH(CONCATENATE(AG$4,AE$6,AG$6,AG$7),'SHIP CURVES'!$A$9:$Z$9,0)))-(INDEX(terminal_curves,MATCH(AC283,'TERMINAL CURVES'!$A$4:$A$313,0),MATCH(AG$5,'TERMINAL CURVES'!$A$4:$N$4,0))-INDEX(terminal_curves,MATCH(AC283,'TERMINAL CURVES'!$A$4:$A$313,0),MATCH(AE$6,'TERMINAL CURVES'!$A$4:$N$4,0)))*IF(W283=0,0,Y283/W283)))*-W283</f>
        <v>0</v>
      </c>
      <c r="AH283" s="343">
        <f t="shared" si="137"/>
        <v>0</v>
      </c>
      <c r="AI283" s="338">
        <f>(-Y283/((HLOOKUP(AG$5,port_specs,2,0)/(365.25))*(AC284-AC283)))*(INDEX(fixed_capacity_charge,MATCH(AC283,PORTS!$H$11:$H$317,0),MATCH(AG$5,PORTS!$H$11:$N$11,0))+INDEX(variable_om_charge,MATCH(AC283,PORTS!$H$318:$H$625,0),MATCH(AG$5,PORTS!$H$318:$N$318,0)))</f>
        <v>0</v>
      </c>
      <c r="AJ283" s="232">
        <f t="shared" si="138"/>
        <v>0</v>
      </c>
      <c r="AK283" s="241">
        <f t="shared" si="139"/>
        <v>0</v>
      </c>
      <c r="AM283" s="186">
        <f t="shared" si="150"/>
        <v>44774</v>
      </c>
      <c r="AN283" s="215">
        <f t="shared" si="140"/>
        <v>0</v>
      </c>
      <c r="AO283" s="191">
        <f t="shared" si="141"/>
        <v>0</v>
      </c>
      <c r="AP283" s="218">
        <f>+IF(AND(AO$8&lt;=AM283,AO$9&gt;=AM283),+MIN($B283-SUMIF($H$17:AO$17,AP$17,$H283:AO283),((INDEX(ROUTE_PER_DAY_BY_SHIP,MATCH(CONCATENATE(AO$4,AO$5,AO$7),ROUTE_PER_DAY_ROUTES,0),MATCH(AO$6,ROUTE_PER_DAY_SHIPS,0))*(AM284-AM283))-(INDEX(ROUTE_PER_DAY_BY_SHIP,MATCH(CONCATENATE(AO$4,AO$5,AO$7),ROUTE_PER_DAY_ROUTES,0),MATCH(AO$6,ROUTE_PER_DAY_SHIPS,0))*(AM284-AM283))*HLOOKUP(AO$6,SHIPS,7,0)*INDEX(LADEN_VOYAGE_DAYS,MATCH(CONCATENATE(AO$4,AO$5,AO$7),LADEN_VOYAGE_ROUTES,0),MATCH(AO$6,LADEN_VOYAGE_SHIPS,0)))),0)</f>
        <v>0</v>
      </c>
      <c r="AQ283" s="118">
        <f>-(AP283)*PORTS!$I$6</f>
        <v>0</v>
      </c>
      <c r="AR283" s="215">
        <f t="shared" si="123"/>
        <v>0</v>
      </c>
      <c r="AS283" s="202"/>
      <c r="AT283" s="186">
        <f t="shared" si="151"/>
        <v>44774</v>
      </c>
      <c r="AU283" s="232">
        <f>+AR283*(VLOOKUP(AT283,CURVECALC!$C$6:$J$312,4,0)+AV$5)</f>
        <v>0</v>
      </c>
      <c r="AV283" s="208">
        <f>-AN283*INDEX(ship_curves,MATCH(AT283,'SHIP CURVES'!$A$9:$A$316,0),MATCH(CONCATENATE(AX$4,AX$5,AX$6,AX$7),'SHIP CURVES'!$A$9:$AZ$9,0))</f>
        <v>0</v>
      </c>
      <c r="AW283" s="209">
        <f>-AP283*INDEX(port_processing_fee,MATCH(AT283,PORTS!$H$626:$H$933,0),MATCH(AX$5,PORTS!$H$626:$Z$626,0))</f>
        <v>0</v>
      </c>
      <c r="AX283" s="405">
        <f>(((VLOOKUP(AT283,curvecalc,4,0))*IF(AN283=0,0,AR283/AN283)-INDEX(ship_curves,MATCH(AT283,'SHIP CURVES'!$A$9:$A$316,0),MATCH(CONCATENATE(AX$4,AX$5,AX$6,AX$7),'SHIP CURVES'!$A$9:$Z$9,0))-INDEX(terminal_curves,MATCH(AT283,'TERMINAL CURVES'!$A$4:$A$313,0),MATCH(AX$5,'TERMINAL CURVES'!$A$4:$N$4,0))*IF(AN283=0,0,AP283/AN283))-(AV$8)*((AV$7-$N$5)-(INDEX(ship_curves,MATCH(AT283,'SHIP CURVES'!$A$9:$A$316,0),MATCH(CONCATENATE(AX$4,AX$5,AX$6,AX$7),'SHIP CURVES'!$A$9:$Z$9,0))-INDEX(ship_curves,MATCH(AT283,'SHIP CURVES'!$A$9:$A$316,0),MATCH(CONCATENATE(AX$4,AV$6,AX$6,AX$7),'SHIP CURVES'!$A$9:$Z$9,0)))-(INDEX(terminal_curves,MATCH(AT283,'TERMINAL CURVES'!$A$4:$A$313,0),MATCH(AX$5,'TERMINAL CURVES'!$A$4:$N$4,0))-INDEX(terminal_curves,MATCH(AT283,'TERMINAL CURVES'!$A$4:$A$313,0),MATCH(AV$6,'TERMINAL CURVES'!$A$4:$N$4,0)))*IF(AN283=0,0,AP283/AN283)))*-AN283</f>
        <v>0</v>
      </c>
      <c r="AY283" s="343">
        <f t="shared" si="142"/>
        <v>0</v>
      </c>
      <c r="AZ283" s="338">
        <f>(-AP283/((HLOOKUP(AX$5,port_specs,2,0)/(365.25))*(AT284-AT283)))*(INDEX(fixed_capacity_charge,MATCH(AT283,PORTS!$H$11:$H$317,0),MATCH(AX$5,PORTS!$H$11:$N$11,0))+INDEX(variable_om_charge,MATCH(AT283,PORTS!$H$318:$H$625,0),MATCH(AX$5,PORTS!$H$318:$N$318,0)))</f>
        <v>0</v>
      </c>
      <c r="BA283" s="232">
        <f t="shared" si="143"/>
        <v>0</v>
      </c>
      <c r="BB283" s="241">
        <f t="shared" si="144"/>
        <v>0</v>
      </c>
      <c r="BC283" s="408"/>
      <c r="BD283" s="338">
        <f>+PORTS!I277+PORTS!I585</f>
        <v>0</v>
      </c>
    </row>
    <row r="284" spans="1:56" x14ac:dyDescent="0.2">
      <c r="A284" s="186">
        <f t="shared" si="145"/>
        <v>44805</v>
      </c>
      <c r="B284" s="215">
        <f>+IF(AND($A284&gt;=$C$8,$A284&lt;=$C$9),1,0)*PORTS!$I$5/(365.25)*(A285-A284)</f>
        <v>0</v>
      </c>
      <c r="C284" s="351">
        <f t="shared" si="124"/>
        <v>0</v>
      </c>
      <c r="D284">
        <f t="shared" si="125"/>
        <v>2022</v>
      </c>
      <c r="E284" s="186">
        <f t="shared" si="146"/>
        <v>44805</v>
      </c>
      <c r="F284" s="215">
        <f t="shared" si="126"/>
        <v>0</v>
      </c>
      <c r="G284" s="191">
        <f t="shared" si="127"/>
        <v>0</v>
      </c>
      <c r="H284" s="218">
        <f t="shared" si="128"/>
        <v>0</v>
      </c>
      <c r="I284" s="118">
        <f t="shared" si="129"/>
        <v>0</v>
      </c>
      <c r="J284" s="215">
        <f t="shared" si="130"/>
        <v>0</v>
      </c>
      <c r="K284" s="202"/>
      <c r="L284" s="186">
        <f t="shared" si="147"/>
        <v>44805</v>
      </c>
      <c r="M284" s="400">
        <f>+J284*(VLOOKUP(L284,CURVECALC!$C$6:$J$312,4,0)+N$5)</f>
        <v>0</v>
      </c>
      <c r="N284" s="208">
        <f>-F284*INDEX(ship_curves,MATCH(L284,'SHIP CURVES'!$A$9:$A$316,0),MATCH(CONCATENATE(P$4,P$5,P$6,P$7),'SHIP CURVES'!$A$9:$AZ$9,0))</f>
        <v>0</v>
      </c>
      <c r="O284" s="209">
        <f>-H284*INDEX(port_processing_fee,MATCH(L284,PORTS!$H$626:$H$933,0),MATCH(P$5,PORTS!$H$626:$Z$626,0))</f>
        <v>0</v>
      </c>
      <c r="P284" s="405">
        <f>(((VLOOKUP(L284,curvecalc,4,0))*IF(F284=0,0,J284/F284)-INDEX(ship_curves,MATCH(L284,'SHIP CURVES'!$A$9:$A$316,0),MATCH(CONCATENATE(P$4,P$5,P$6,P$7),'SHIP CURVES'!$A$9:$Z$9,0))-INDEX(terminal_curves,MATCH(L284,'TERMINAL CURVES'!$A$4:$A$313,0),MATCH(P$5,'TERMINAL CURVES'!$A$4:$N$4,0))*IF(F284=0,0,H284/F284))-(N$8)*((N$7-$N$5)-(INDEX(ship_curves,MATCH(L284,'SHIP CURVES'!$A$9:$A$316,0),MATCH(CONCATENATE(P$4,P$5,P$6,P$7),'SHIP CURVES'!$A$9:$Z$9,0))-INDEX(ship_curves,MATCH(L284,'SHIP CURVES'!$A$9:$A$316,0),MATCH(CONCATENATE(P$4,N$6,P$6,P$7),'SHIP CURVES'!$A$9:$Z$9,0)))-(INDEX(terminal_curves,MATCH(L284,'TERMINAL CURVES'!$A$4:$A$313,0),MATCH(P$5,'TERMINAL CURVES'!$A$4:$N$4,0))-INDEX(terminal_curves,MATCH(L284,'TERMINAL CURVES'!$A$4:$A$313,0),MATCH(N$6,'TERMINAL CURVES'!$A$4:$N$4,0)))*IF(F284=0,0,H284/F284)))*-F284</f>
        <v>0</v>
      </c>
      <c r="Q284" s="403">
        <f t="shared" si="131"/>
        <v>0</v>
      </c>
      <c r="R284" s="338">
        <f>(-H284/((HLOOKUP(P$5,port_specs,2,0)/(365.25))*(L285-L284)))*(INDEX(fixed_capacity_charge,MATCH(L284,PORTS!$H$11:$H$317,0),MATCH(P$5,PORTS!$H$11:$N$11,0))+INDEX(variable_om_charge,MATCH(L284,PORTS!$H$318:$H$625,0),MATCH(P$5,PORTS!$H$318:$N$318,0)))</f>
        <v>0</v>
      </c>
      <c r="S284" s="232">
        <f t="shared" si="132"/>
        <v>0</v>
      </c>
      <c r="T284" s="241">
        <f t="shared" si="133"/>
        <v>0</v>
      </c>
      <c r="V284" s="186">
        <f t="shared" si="148"/>
        <v>44805</v>
      </c>
      <c r="W284" s="215">
        <f t="shared" si="134"/>
        <v>0</v>
      </c>
      <c r="X284" s="191">
        <f t="shared" si="135"/>
        <v>0</v>
      </c>
      <c r="Y284" s="218">
        <f>+IF(AND(X$8&lt;=V284,X$9&gt;=V284),+MIN($B284-SUMIF($H$17:X$17,Y$17,$H284:X284),((INDEX(ROUTE_PER_DAY_BY_SHIP,MATCH(CONCATENATE(X$4,X$5,X$7),ROUTE_PER_DAY_ROUTES,0),MATCH(X$6,ROUTE_PER_DAY_SHIPS,0))*(V285-V284))-(INDEX(ROUTE_PER_DAY_BY_SHIP,MATCH(CONCATENATE(X$4,X$5,X$7),ROUTE_PER_DAY_ROUTES,0),MATCH(X$6,ROUTE_PER_DAY_SHIPS,0))*(V285-V284))*HLOOKUP(X$6,SHIPS,7,0)*INDEX(LADEN_VOYAGE_DAYS,MATCH(CONCATENATE(X$4,X$5,X$7),LADEN_VOYAGE_ROUTES,0),MATCH(X$6,LADEN_VOYAGE_SHIPS,0)))),0)</f>
        <v>0</v>
      </c>
      <c r="Z284" s="118">
        <f t="shared" si="136"/>
        <v>0</v>
      </c>
      <c r="AA284" s="215">
        <f t="shared" si="122"/>
        <v>0</v>
      </c>
      <c r="AB284" s="202"/>
      <c r="AC284" s="186">
        <f t="shared" si="149"/>
        <v>44805</v>
      </c>
      <c r="AD284" s="232">
        <f>+AA284*(VLOOKUP(AC284,CURVECALC!$C$6:$J$312,4,0)+AE$5)</f>
        <v>0</v>
      </c>
      <c r="AE284" s="208">
        <f>-W284*INDEX(ship_curves,MATCH(AC284,'SHIP CURVES'!$A$9:$A$316,0),MATCH(CONCATENATE(AG$4,AG$5,AG$6,AG$7),'SHIP CURVES'!$A$9:$AZ$9,0))</f>
        <v>0</v>
      </c>
      <c r="AF284" s="209">
        <f>-Y284*INDEX(port_processing_fee,MATCH(AC284,PORTS!$H$626:$H$933,0),MATCH(AG$5,PORTS!$H$626:$Z$626,0))</f>
        <v>0</v>
      </c>
      <c r="AG284" s="405">
        <f>(((VLOOKUP(AC284,curvecalc,4,0))*IF(W284=0,0,AA284/W284)-INDEX(ship_curves,MATCH(AC284,'SHIP CURVES'!$A$9:$A$316,0),MATCH(CONCATENATE(AG$4,AG$5,AG$6,AG$7),'SHIP CURVES'!$A$9:$Z$9,0))-INDEX(terminal_curves,MATCH(AC284,'TERMINAL CURVES'!$A$4:$A$313,0),MATCH(AG$5,'TERMINAL CURVES'!$A$4:$N$4,0))*IF(W284=0,0,Y284/W284))-(AE$8)*((AE$7-$N$5)-(INDEX(ship_curves,MATCH(AC284,'SHIP CURVES'!$A$9:$A$316,0),MATCH(CONCATENATE(AG$4,AG$5,AG$6,AG$7),'SHIP CURVES'!$A$9:$Z$9,0))-INDEX(ship_curves,MATCH(AC284,'SHIP CURVES'!$A$9:$A$316,0),MATCH(CONCATENATE(AG$4,AE$6,AG$6,AG$7),'SHIP CURVES'!$A$9:$Z$9,0)))-(INDEX(terminal_curves,MATCH(AC284,'TERMINAL CURVES'!$A$4:$A$313,0),MATCH(AG$5,'TERMINAL CURVES'!$A$4:$N$4,0))-INDEX(terminal_curves,MATCH(AC284,'TERMINAL CURVES'!$A$4:$A$313,0),MATCH(AE$6,'TERMINAL CURVES'!$A$4:$N$4,0)))*IF(W284=0,0,Y284/W284)))*-W284</f>
        <v>0</v>
      </c>
      <c r="AH284" s="343">
        <f t="shared" si="137"/>
        <v>0</v>
      </c>
      <c r="AI284" s="338">
        <f>(-Y284/((HLOOKUP(AG$5,port_specs,2,0)/(365.25))*(AC285-AC284)))*(INDEX(fixed_capacity_charge,MATCH(AC284,PORTS!$H$11:$H$317,0),MATCH(AG$5,PORTS!$H$11:$N$11,0))+INDEX(variable_om_charge,MATCH(AC284,PORTS!$H$318:$H$625,0),MATCH(AG$5,PORTS!$H$318:$N$318,0)))</f>
        <v>0</v>
      </c>
      <c r="AJ284" s="232">
        <f t="shared" si="138"/>
        <v>0</v>
      </c>
      <c r="AK284" s="241">
        <f t="shared" si="139"/>
        <v>0</v>
      </c>
      <c r="AM284" s="186">
        <f t="shared" si="150"/>
        <v>44805</v>
      </c>
      <c r="AN284" s="215">
        <f t="shared" si="140"/>
        <v>0</v>
      </c>
      <c r="AO284" s="191">
        <f t="shared" si="141"/>
        <v>0</v>
      </c>
      <c r="AP284" s="218">
        <f>+IF(AND(AO$8&lt;=AM284,AO$9&gt;=AM284),+MIN($B284-SUMIF($H$17:AO$17,AP$17,$H284:AO284),((INDEX(ROUTE_PER_DAY_BY_SHIP,MATCH(CONCATENATE(AO$4,AO$5,AO$7),ROUTE_PER_DAY_ROUTES,0),MATCH(AO$6,ROUTE_PER_DAY_SHIPS,0))*(AM285-AM284))-(INDEX(ROUTE_PER_DAY_BY_SHIP,MATCH(CONCATENATE(AO$4,AO$5,AO$7),ROUTE_PER_DAY_ROUTES,0),MATCH(AO$6,ROUTE_PER_DAY_SHIPS,0))*(AM285-AM284))*HLOOKUP(AO$6,SHIPS,7,0)*INDEX(LADEN_VOYAGE_DAYS,MATCH(CONCATENATE(AO$4,AO$5,AO$7),LADEN_VOYAGE_ROUTES,0),MATCH(AO$6,LADEN_VOYAGE_SHIPS,0)))),0)</f>
        <v>0</v>
      </c>
      <c r="AQ284" s="118">
        <f>-(AP284)*PORTS!$I$6</f>
        <v>0</v>
      </c>
      <c r="AR284" s="215">
        <f t="shared" si="123"/>
        <v>0</v>
      </c>
      <c r="AS284" s="202"/>
      <c r="AT284" s="186">
        <f t="shared" si="151"/>
        <v>44805</v>
      </c>
      <c r="AU284" s="232">
        <f>+AR284*(VLOOKUP(AT284,CURVECALC!$C$6:$J$312,4,0)+AV$5)</f>
        <v>0</v>
      </c>
      <c r="AV284" s="208">
        <f>-AN284*INDEX(ship_curves,MATCH(AT284,'SHIP CURVES'!$A$9:$A$316,0),MATCH(CONCATENATE(AX$4,AX$5,AX$6,AX$7),'SHIP CURVES'!$A$9:$AZ$9,0))</f>
        <v>0</v>
      </c>
      <c r="AW284" s="209">
        <f>-AP284*INDEX(port_processing_fee,MATCH(AT284,PORTS!$H$626:$H$933,0),MATCH(AX$5,PORTS!$H$626:$Z$626,0))</f>
        <v>0</v>
      </c>
      <c r="AX284" s="405">
        <f>(((VLOOKUP(AT284,curvecalc,4,0))*IF(AN284=0,0,AR284/AN284)-INDEX(ship_curves,MATCH(AT284,'SHIP CURVES'!$A$9:$A$316,0),MATCH(CONCATENATE(AX$4,AX$5,AX$6,AX$7),'SHIP CURVES'!$A$9:$Z$9,0))-INDEX(terminal_curves,MATCH(AT284,'TERMINAL CURVES'!$A$4:$A$313,0),MATCH(AX$5,'TERMINAL CURVES'!$A$4:$N$4,0))*IF(AN284=0,0,AP284/AN284))-(AV$8)*((AV$7-$N$5)-(INDEX(ship_curves,MATCH(AT284,'SHIP CURVES'!$A$9:$A$316,0),MATCH(CONCATENATE(AX$4,AX$5,AX$6,AX$7),'SHIP CURVES'!$A$9:$Z$9,0))-INDEX(ship_curves,MATCH(AT284,'SHIP CURVES'!$A$9:$A$316,0),MATCH(CONCATENATE(AX$4,AV$6,AX$6,AX$7),'SHIP CURVES'!$A$9:$Z$9,0)))-(INDEX(terminal_curves,MATCH(AT284,'TERMINAL CURVES'!$A$4:$A$313,0),MATCH(AX$5,'TERMINAL CURVES'!$A$4:$N$4,0))-INDEX(terminal_curves,MATCH(AT284,'TERMINAL CURVES'!$A$4:$A$313,0),MATCH(AV$6,'TERMINAL CURVES'!$A$4:$N$4,0)))*IF(AN284=0,0,AP284/AN284)))*-AN284</f>
        <v>0</v>
      </c>
      <c r="AY284" s="343">
        <f t="shared" si="142"/>
        <v>0</v>
      </c>
      <c r="AZ284" s="338">
        <f>(-AP284/((HLOOKUP(AX$5,port_specs,2,0)/(365.25))*(AT285-AT284)))*(INDEX(fixed_capacity_charge,MATCH(AT284,PORTS!$H$11:$H$317,0),MATCH(AX$5,PORTS!$H$11:$N$11,0))+INDEX(variable_om_charge,MATCH(AT284,PORTS!$H$318:$H$625,0),MATCH(AX$5,PORTS!$H$318:$N$318,0)))</f>
        <v>0</v>
      </c>
      <c r="BA284" s="232">
        <f t="shared" si="143"/>
        <v>0</v>
      </c>
      <c r="BB284" s="241">
        <f t="shared" si="144"/>
        <v>0</v>
      </c>
      <c r="BC284" s="408"/>
      <c r="BD284" s="338">
        <f>+PORTS!I278+PORTS!I586</f>
        <v>0</v>
      </c>
    </row>
    <row r="285" spans="1:56" x14ac:dyDescent="0.2">
      <c r="A285" s="186">
        <f t="shared" si="145"/>
        <v>44835</v>
      </c>
      <c r="B285" s="215">
        <f>+IF(AND($A285&gt;=$C$8,$A285&lt;=$C$9),1,0)*PORTS!$I$5/(365.25)*(A286-A285)</f>
        <v>0</v>
      </c>
      <c r="C285" s="351">
        <f t="shared" si="124"/>
        <v>0</v>
      </c>
      <c r="D285">
        <f t="shared" si="125"/>
        <v>2022</v>
      </c>
      <c r="E285" s="186">
        <f t="shared" si="146"/>
        <v>44835</v>
      </c>
      <c r="F285" s="215">
        <f t="shared" si="126"/>
        <v>0</v>
      </c>
      <c r="G285" s="191">
        <f t="shared" si="127"/>
        <v>0</v>
      </c>
      <c r="H285" s="218">
        <f t="shared" si="128"/>
        <v>0</v>
      </c>
      <c r="I285" s="118">
        <f t="shared" si="129"/>
        <v>0</v>
      </c>
      <c r="J285" s="215">
        <f t="shared" si="130"/>
        <v>0</v>
      </c>
      <c r="K285" s="202"/>
      <c r="L285" s="186">
        <f t="shared" si="147"/>
        <v>44835</v>
      </c>
      <c r="M285" s="400">
        <f>+J285*(VLOOKUP(L285,CURVECALC!$C$6:$J$312,4,0)+N$5)</f>
        <v>0</v>
      </c>
      <c r="N285" s="208">
        <f>-F285*INDEX(ship_curves,MATCH(L285,'SHIP CURVES'!$A$9:$A$316,0),MATCH(CONCATENATE(P$4,P$5,P$6,P$7),'SHIP CURVES'!$A$9:$AZ$9,0))</f>
        <v>0</v>
      </c>
      <c r="O285" s="209">
        <f>-H285*INDEX(port_processing_fee,MATCH(L285,PORTS!$H$626:$H$933,0),MATCH(P$5,PORTS!$H$626:$Z$626,0))</f>
        <v>0</v>
      </c>
      <c r="P285" s="405">
        <f>(((VLOOKUP(L285,curvecalc,4,0))*IF(F285=0,0,J285/F285)-INDEX(ship_curves,MATCH(L285,'SHIP CURVES'!$A$9:$A$316,0),MATCH(CONCATENATE(P$4,P$5,P$6,P$7),'SHIP CURVES'!$A$9:$Z$9,0))-INDEX(terminal_curves,MATCH(L285,'TERMINAL CURVES'!$A$4:$A$313,0),MATCH(P$5,'TERMINAL CURVES'!$A$4:$N$4,0))*IF(F285=0,0,H285/F285))-(N$8)*((N$7-$N$5)-(INDEX(ship_curves,MATCH(L285,'SHIP CURVES'!$A$9:$A$316,0),MATCH(CONCATENATE(P$4,P$5,P$6,P$7),'SHIP CURVES'!$A$9:$Z$9,0))-INDEX(ship_curves,MATCH(L285,'SHIP CURVES'!$A$9:$A$316,0),MATCH(CONCATENATE(P$4,N$6,P$6,P$7),'SHIP CURVES'!$A$9:$Z$9,0)))-(INDEX(terminal_curves,MATCH(L285,'TERMINAL CURVES'!$A$4:$A$313,0),MATCH(P$5,'TERMINAL CURVES'!$A$4:$N$4,0))-INDEX(terminal_curves,MATCH(L285,'TERMINAL CURVES'!$A$4:$A$313,0),MATCH(N$6,'TERMINAL CURVES'!$A$4:$N$4,0)))*IF(F285=0,0,H285/F285)))*-F285</f>
        <v>0</v>
      </c>
      <c r="Q285" s="403">
        <f t="shared" si="131"/>
        <v>0</v>
      </c>
      <c r="R285" s="338">
        <f>(-H285/((HLOOKUP(P$5,port_specs,2,0)/(365.25))*(L286-L285)))*(INDEX(fixed_capacity_charge,MATCH(L285,PORTS!$H$11:$H$317,0),MATCH(P$5,PORTS!$H$11:$N$11,0))+INDEX(variable_om_charge,MATCH(L285,PORTS!$H$318:$H$625,0),MATCH(P$5,PORTS!$H$318:$N$318,0)))</f>
        <v>0</v>
      </c>
      <c r="S285" s="232">
        <f t="shared" si="132"/>
        <v>0</v>
      </c>
      <c r="T285" s="241">
        <f t="shared" si="133"/>
        <v>0</v>
      </c>
      <c r="V285" s="186">
        <f t="shared" si="148"/>
        <v>44835</v>
      </c>
      <c r="W285" s="215">
        <f t="shared" si="134"/>
        <v>0</v>
      </c>
      <c r="X285" s="191">
        <f t="shared" si="135"/>
        <v>0</v>
      </c>
      <c r="Y285" s="218">
        <f>+IF(AND(X$8&lt;=V285,X$9&gt;=V285),+MIN($B285-SUMIF($H$17:X$17,Y$17,$H285:X285),((INDEX(ROUTE_PER_DAY_BY_SHIP,MATCH(CONCATENATE(X$4,X$5,X$7),ROUTE_PER_DAY_ROUTES,0),MATCH(X$6,ROUTE_PER_DAY_SHIPS,0))*(V286-V285))-(INDEX(ROUTE_PER_DAY_BY_SHIP,MATCH(CONCATENATE(X$4,X$5,X$7),ROUTE_PER_DAY_ROUTES,0),MATCH(X$6,ROUTE_PER_DAY_SHIPS,0))*(V286-V285))*HLOOKUP(X$6,SHIPS,7,0)*INDEX(LADEN_VOYAGE_DAYS,MATCH(CONCATENATE(X$4,X$5,X$7),LADEN_VOYAGE_ROUTES,0),MATCH(X$6,LADEN_VOYAGE_SHIPS,0)))),0)</f>
        <v>0</v>
      </c>
      <c r="Z285" s="118">
        <f t="shared" si="136"/>
        <v>0</v>
      </c>
      <c r="AA285" s="215">
        <f t="shared" si="122"/>
        <v>0</v>
      </c>
      <c r="AB285" s="202"/>
      <c r="AC285" s="186">
        <f t="shared" si="149"/>
        <v>44835</v>
      </c>
      <c r="AD285" s="232">
        <f>+AA285*(VLOOKUP(AC285,CURVECALC!$C$6:$J$312,4,0)+AE$5)</f>
        <v>0</v>
      </c>
      <c r="AE285" s="208">
        <f>-W285*INDEX(ship_curves,MATCH(AC285,'SHIP CURVES'!$A$9:$A$316,0),MATCH(CONCATENATE(AG$4,AG$5,AG$6,AG$7),'SHIP CURVES'!$A$9:$AZ$9,0))</f>
        <v>0</v>
      </c>
      <c r="AF285" s="209">
        <f>-Y285*INDEX(port_processing_fee,MATCH(AC285,PORTS!$H$626:$H$933,0),MATCH(AG$5,PORTS!$H$626:$Z$626,0))</f>
        <v>0</v>
      </c>
      <c r="AG285" s="405">
        <f>(((VLOOKUP(AC285,curvecalc,4,0))*IF(W285=0,0,AA285/W285)-INDEX(ship_curves,MATCH(AC285,'SHIP CURVES'!$A$9:$A$316,0),MATCH(CONCATENATE(AG$4,AG$5,AG$6,AG$7),'SHIP CURVES'!$A$9:$Z$9,0))-INDEX(terminal_curves,MATCH(AC285,'TERMINAL CURVES'!$A$4:$A$313,0),MATCH(AG$5,'TERMINAL CURVES'!$A$4:$N$4,0))*IF(W285=0,0,Y285/W285))-(AE$8)*((AE$7-$N$5)-(INDEX(ship_curves,MATCH(AC285,'SHIP CURVES'!$A$9:$A$316,0),MATCH(CONCATENATE(AG$4,AG$5,AG$6,AG$7),'SHIP CURVES'!$A$9:$Z$9,0))-INDEX(ship_curves,MATCH(AC285,'SHIP CURVES'!$A$9:$A$316,0),MATCH(CONCATENATE(AG$4,AE$6,AG$6,AG$7),'SHIP CURVES'!$A$9:$Z$9,0)))-(INDEX(terminal_curves,MATCH(AC285,'TERMINAL CURVES'!$A$4:$A$313,0),MATCH(AG$5,'TERMINAL CURVES'!$A$4:$N$4,0))-INDEX(terminal_curves,MATCH(AC285,'TERMINAL CURVES'!$A$4:$A$313,0),MATCH(AE$6,'TERMINAL CURVES'!$A$4:$N$4,0)))*IF(W285=0,0,Y285/W285)))*-W285</f>
        <v>0</v>
      </c>
      <c r="AH285" s="343">
        <f t="shared" si="137"/>
        <v>0</v>
      </c>
      <c r="AI285" s="338">
        <f>(-Y285/((HLOOKUP(AG$5,port_specs,2,0)/(365.25))*(AC286-AC285)))*(INDEX(fixed_capacity_charge,MATCH(AC285,PORTS!$H$11:$H$317,0),MATCH(AG$5,PORTS!$H$11:$N$11,0))+INDEX(variable_om_charge,MATCH(AC285,PORTS!$H$318:$H$625,0),MATCH(AG$5,PORTS!$H$318:$N$318,0)))</f>
        <v>0</v>
      </c>
      <c r="AJ285" s="232">
        <f t="shared" si="138"/>
        <v>0</v>
      </c>
      <c r="AK285" s="241">
        <f t="shared" si="139"/>
        <v>0</v>
      </c>
      <c r="AM285" s="186">
        <f t="shared" si="150"/>
        <v>44835</v>
      </c>
      <c r="AN285" s="215">
        <f t="shared" si="140"/>
        <v>0</v>
      </c>
      <c r="AO285" s="191">
        <f t="shared" si="141"/>
        <v>0</v>
      </c>
      <c r="AP285" s="218">
        <f>+IF(AND(AO$8&lt;=AM285,AO$9&gt;=AM285),+MIN($B285-SUMIF($H$17:AO$17,AP$17,$H285:AO285),((INDEX(ROUTE_PER_DAY_BY_SHIP,MATCH(CONCATENATE(AO$4,AO$5,AO$7),ROUTE_PER_DAY_ROUTES,0),MATCH(AO$6,ROUTE_PER_DAY_SHIPS,0))*(AM286-AM285))-(INDEX(ROUTE_PER_DAY_BY_SHIP,MATCH(CONCATENATE(AO$4,AO$5,AO$7),ROUTE_PER_DAY_ROUTES,0),MATCH(AO$6,ROUTE_PER_DAY_SHIPS,0))*(AM286-AM285))*HLOOKUP(AO$6,SHIPS,7,0)*INDEX(LADEN_VOYAGE_DAYS,MATCH(CONCATENATE(AO$4,AO$5,AO$7),LADEN_VOYAGE_ROUTES,0),MATCH(AO$6,LADEN_VOYAGE_SHIPS,0)))),0)</f>
        <v>0</v>
      </c>
      <c r="AQ285" s="118">
        <f>-(AP285)*PORTS!$I$6</f>
        <v>0</v>
      </c>
      <c r="AR285" s="215">
        <f t="shared" si="123"/>
        <v>0</v>
      </c>
      <c r="AS285" s="202"/>
      <c r="AT285" s="186">
        <f t="shared" si="151"/>
        <v>44835</v>
      </c>
      <c r="AU285" s="232">
        <f>+AR285*(VLOOKUP(AT285,CURVECALC!$C$6:$J$312,4,0)+AV$5)</f>
        <v>0</v>
      </c>
      <c r="AV285" s="208">
        <f>-AN285*INDEX(ship_curves,MATCH(AT285,'SHIP CURVES'!$A$9:$A$316,0),MATCH(CONCATENATE(AX$4,AX$5,AX$6,AX$7),'SHIP CURVES'!$A$9:$AZ$9,0))</f>
        <v>0</v>
      </c>
      <c r="AW285" s="209">
        <f>-AP285*INDEX(port_processing_fee,MATCH(AT285,PORTS!$H$626:$H$933,0),MATCH(AX$5,PORTS!$H$626:$Z$626,0))</f>
        <v>0</v>
      </c>
      <c r="AX285" s="405">
        <f>(((VLOOKUP(AT285,curvecalc,4,0))*IF(AN285=0,0,AR285/AN285)-INDEX(ship_curves,MATCH(AT285,'SHIP CURVES'!$A$9:$A$316,0),MATCH(CONCATENATE(AX$4,AX$5,AX$6,AX$7),'SHIP CURVES'!$A$9:$Z$9,0))-INDEX(terminal_curves,MATCH(AT285,'TERMINAL CURVES'!$A$4:$A$313,0),MATCH(AX$5,'TERMINAL CURVES'!$A$4:$N$4,0))*IF(AN285=0,0,AP285/AN285))-(AV$8)*((AV$7-$N$5)-(INDEX(ship_curves,MATCH(AT285,'SHIP CURVES'!$A$9:$A$316,0),MATCH(CONCATENATE(AX$4,AX$5,AX$6,AX$7),'SHIP CURVES'!$A$9:$Z$9,0))-INDEX(ship_curves,MATCH(AT285,'SHIP CURVES'!$A$9:$A$316,0),MATCH(CONCATENATE(AX$4,AV$6,AX$6,AX$7),'SHIP CURVES'!$A$9:$Z$9,0)))-(INDEX(terminal_curves,MATCH(AT285,'TERMINAL CURVES'!$A$4:$A$313,0),MATCH(AX$5,'TERMINAL CURVES'!$A$4:$N$4,0))-INDEX(terminal_curves,MATCH(AT285,'TERMINAL CURVES'!$A$4:$A$313,0),MATCH(AV$6,'TERMINAL CURVES'!$A$4:$N$4,0)))*IF(AN285=0,0,AP285/AN285)))*-AN285</f>
        <v>0</v>
      </c>
      <c r="AY285" s="343">
        <f t="shared" si="142"/>
        <v>0</v>
      </c>
      <c r="AZ285" s="338">
        <f>(-AP285/((HLOOKUP(AX$5,port_specs,2,0)/(365.25))*(AT286-AT285)))*(INDEX(fixed_capacity_charge,MATCH(AT285,PORTS!$H$11:$H$317,0),MATCH(AX$5,PORTS!$H$11:$N$11,0))+INDEX(variable_om_charge,MATCH(AT285,PORTS!$H$318:$H$625,0),MATCH(AX$5,PORTS!$H$318:$N$318,0)))</f>
        <v>0</v>
      </c>
      <c r="BA285" s="232">
        <f t="shared" si="143"/>
        <v>0</v>
      </c>
      <c r="BB285" s="241">
        <f t="shared" si="144"/>
        <v>0</v>
      </c>
      <c r="BC285" s="408"/>
      <c r="BD285" s="338">
        <f>+PORTS!I279+PORTS!I587</f>
        <v>0</v>
      </c>
    </row>
    <row r="286" spans="1:56" x14ac:dyDescent="0.2">
      <c r="A286" s="186">
        <f t="shared" si="145"/>
        <v>44866</v>
      </c>
      <c r="B286" s="215">
        <f>+IF(AND($A286&gt;=$C$8,$A286&lt;=$C$9),1,0)*PORTS!$I$5/(365.25)*(A287-A286)</f>
        <v>0</v>
      </c>
      <c r="C286" s="351">
        <f t="shared" si="124"/>
        <v>0</v>
      </c>
      <c r="D286">
        <f t="shared" si="125"/>
        <v>2022</v>
      </c>
      <c r="E286" s="186">
        <f t="shared" si="146"/>
        <v>44866</v>
      </c>
      <c r="F286" s="215">
        <f t="shared" si="126"/>
        <v>0</v>
      </c>
      <c r="G286" s="191">
        <f t="shared" si="127"/>
        <v>0</v>
      </c>
      <c r="H286" s="218">
        <f t="shared" si="128"/>
        <v>0</v>
      </c>
      <c r="I286" s="118">
        <f t="shared" si="129"/>
        <v>0</v>
      </c>
      <c r="J286" s="215">
        <f t="shared" si="130"/>
        <v>0</v>
      </c>
      <c r="K286" s="202"/>
      <c r="L286" s="186">
        <f t="shared" si="147"/>
        <v>44866</v>
      </c>
      <c r="M286" s="400">
        <f>+J286*(VLOOKUP(L286,CURVECALC!$C$6:$J$312,4,0)+N$5)</f>
        <v>0</v>
      </c>
      <c r="N286" s="208">
        <f>-F286*INDEX(ship_curves,MATCH(L286,'SHIP CURVES'!$A$9:$A$316,0),MATCH(CONCATENATE(P$4,P$5,P$6,P$7),'SHIP CURVES'!$A$9:$AZ$9,0))</f>
        <v>0</v>
      </c>
      <c r="O286" s="209">
        <f>-H286*INDEX(port_processing_fee,MATCH(L286,PORTS!$H$626:$H$933,0),MATCH(P$5,PORTS!$H$626:$Z$626,0))</f>
        <v>0</v>
      </c>
      <c r="P286" s="405">
        <f>(((VLOOKUP(L286,curvecalc,4,0))*IF(F286=0,0,J286/F286)-INDEX(ship_curves,MATCH(L286,'SHIP CURVES'!$A$9:$A$316,0),MATCH(CONCATENATE(P$4,P$5,P$6,P$7),'SHIP CURVES'!$A$9:$Z$9,0))-INDEX(terminal_curves,MATCH(L286,'TERMINAL CURVES'!$A$4:$A$313,0),MATCH(P$5,'TERMINAL CURVES'!$A$4:$N$4,0))*IF(F286=0,0,H286/F286))-(N$8)*((N$7-$N$5)-(INDEX(ship_curves,MATCH(L286,'SHIP CURVES'!$A$9:$A$316,0),MATCH(CONCATENATE(P$4,P$5,P$6,P$7),'SHIP CURVES'!$A$9:$Z$9,0))-INDEX(ship_curves,MATCH(L286,'SHIP CURVES'!$A$9:$A$316,0),MATCH(CONCATENATE(P$4,N$6,P$6,P$7),'SHIP CURVES'!$A$9:$Z$9,0)))-(INDEX(terminal_curves,MATCH(L286,'TERMINAL CURVES'!$A$4:$A$313,0),MATCH(P$5,'TERMINAL CURVES'!$A$4:$N$4,0))-INDEX(terminal_curves,MATCH(L286,'TERMINAL CURVES'!$A$4:$A$313,0),MATCH(N$6,'TERMINAL CURVES'!$A$4:$N$4,0)))*IF(F286=0,0,H286/F286)))*-F286</f>
        <v>0</v>
      </c>
      <c r="Q286" s="403">
        <f t="shared" si="131"/>
        <v>0</v>
      </c>
      <c r="R286" s="338">
        <f>(-H286/((HLOOKUP(P$5,port_specs,2,0)/(365.25))*(L287-L286)))*(INDEX(fixed_capacity_charge,MATCH(L286,PORTS!$H$11:$H$317,0),MATCH(P$5,PORTS!$H$11:$N$11,0))+INDEX(variable_om_charge,MATCH(L286,PORTS!$H$318:$H$625,0),MATCH(P$5,PORTS!$H$318:$N$318,0)))</f>
        <v>0</v>
      </c>
      <c r="S286" s="232">
        <f t="shared" si="132"/>
        <v>0</v>
      </c>
      <c r="T286" s="241">
        <f t="shared" si="133"/>
        <v>0</v>
      </c>
      <c r="V286" s="186">
        <f t="shared" si="148"/>
        <v>44866</v>
      </c>
      <c r="W286" s="215">
        <f t="shared" si="134"/>
        <v>0</v>
      </c>
      <c r="X286" s="191">
        <f t="shared" si="135"/>
        <v>0</v>
      </c>
      <c r="Y286" s="218">
        <f>+IF(AND(X$8&lt;=V286,X$9&gt;=V286),+MIN($B286-SUMIF($H$17:X$17,Y$17,$H286:X286),((INDEX(ROUTE_PER_DAY_BY_SHIP,MATCH(CONCATENATE(X$4,X$5,X$7),ROUTE_PER_DAY_ROUTES,0),MATCH(X$6,ROUTE_PER_DAY_SHIPS,0))*(V287-V286))-(INDEX(ROUTE_PER_DAY_BY_SHIP,MATCH(CONCATENATE(X$4,X$5,X$7),ROUTE_PER_DAY_ROUTES,0),MATCH(X$6,ROUTE_PER_DAY_SHIPS,0))*(V287-V286))*HLOOKUP(X$6,SHIPS,7,0)*INDEX(LADEN_VOYAGE_DAYS,MATCH(CONCATENATE(X$4,X$5,X$7),LADEN_VOYAGE_ROUTES,0),MATCH(X$6,LADEN_VOYAGE_SHIPS,0)))),0)</f>
        <v>0</v>
      </c>
      <c r="Z286" s="118">
        <f t="shared" si="136"/>
        <v>0</v>
      </c>
      <c r="AA286" s="215">
        <f t="shared" si="122"/>
        <v>0</v>
      </c>
      <c r="AB286" s="202"/>
      <c r="AC286" s="186">
        <f t="shared" si="149"/>
        <v>44866</v>
      </c>
      <c r="AD286" s="232">
        <f>+AA286*(VLOOKUP(AC286,CURVECALC!$C$6:$J$312,4,0)+AE$5)</f>
        <v>0</v>
      </c>
      <c r="AE286" s="208">
        <f>-W286*INDEX(ship_curves,MATCH(AC286,'SHIP CURVES'!$A$9:$A$316,0),MATCH(CONCATENATE(AG$4,AG$5,AG$6,AG$7),'SHIP CURVES'!$A$9:$AZ$9,0))</f>
        <v>0</v>
      </c>
      <c r="AF286" s="209">
        <f>-Y286*INDEX(port_processing_fee,MATCH(AC286,PORTS!$H$626:$H$933,0),MATCH(AG$5,PORTS!$H$626:$Z$626,0))</f>
        <v>0</v>
      </c>
      <c r="AG286" s="405">
        <f>(((VLOOKUP(AC286,curvecalc,4,0))*IF(W286=0,0,AA286/W286)-INDEX(ship_curves,MATCH(AC286,'SHIP CURVES'!$A$9:$A$316,0),MATCH(CONCATENATE(AG$4,AG$5,AG$6,AG$7),'SHIP CURVES'!$A$9:$Z$9,0))-INDEX(terminal_curves,MATCH(AC286,'TERMINAL CURVES'!$A$4:$A$313,0),MATCH(AG$5,'TERMINAL CURVES'!$A$4:$N$4,0))*IF(W286=0,0,Y286/W286))-(AE$8)*((AE$7-$N$5)-(INDEX(ship_curves,MATCH(AC286,'SHIP CURVES'!$A$9:$A$316,0),MATCH(CONCATENATE(AG$4,AG$5,AG$6,AG$7),'SHIP CURVES'!$A$9:$Z$9,0))-INDEX(ship_curves,MATCH(AC286,'SHIP CURVES'!$A$9:$A$316,0),MATCH(CONCATENATE(AG$4,AE$6,AG$6,AG$7),'SHIP CURVES'!$A$9:$Z$9,0)))-(INDEX(terminal_curves,MATCH(AC286,'TERMINAL CURVES'!$A$4:$A$313,0),MATCH(AG$5,'TERMINAL CURVES'!$A$4:$N$4,0))-INDEX(terminal_curves,MATCH(AC286,'TERMINAL CURVES'!$A$4:$A$313,0),MATCH(AE$6,'TERMINAL CURVES'!$A$4:$N$4,0)))*IF(W286=0,0,Y286/W286)))*-W286</f>
        <v>0</v>
      </c>
      <c r="AH286" s="343">
        <f t="shared" si="137"/>
        <v>0</v>
      </c>
      <c r="AI286" s="338">
        <f>(-Y286/((HLOOKUP(AG$5,port_specs,2,0)/(365.25))*(AC287-AC286)))*(INDEX(fixed_capacity_charge,MATCH(AC286,PORTS!$H$11:$H$317,0),MATCH(AG$5,PORTS!$H$11:$N$11,0))+INDEX(variable_om_charge,MATCH(AC286,PORTS!$H$318:$H$625,0),MATCH(AG$5,PORTS!$H$318:$N$318,0)))</f>
        <v>0</v>
      </c>
      <c r="AJ286" s="232">
        <f t="shared" si="138"/>
        <v>0</v>
      </c>
      <c r="AK286" s="241">
        <f t="shared" si="139"/>
        <v>0</v>
      </c>
      <c r="AM286" s="186">
        <f t="shared" si="150"/>
        <v>44866</v>
      </c>
      <c r="AN286" s="215">
        <f t="shared" si="140"/>
        <v>0</v>
      </c>
      <c r="AO286" s="191">
        <f t="shared" si="141"/>
        <v>0</v>
      </c>
      <c r="AP286" s="218">
        <f>+IF(AND(AO$8&lt;=AM286,AO$9&gt;=AM286),+MIN($B286-SUMIF($H$17:AO$17,AP$17,$H286:AO286),((INDEX(ROUTE_PER_DAY_BY_SHIP,MATCH(CONCATENATE(AO$4,AO$5,AO$7),ROUTE_PER_DAY_ROUTES,0),MATCH(AO$6,ROUTE_PER_DAY_SHIPS,0))*(AM287-AM286))-(INDEX(ROUTE_PER_DAY_BY_SHIP,MATCH(CONCATENATE(AO$4,AO$5,AO$7),ROUTE_PER_DAY_ROUTES,0),MATCH(AO$6,ROUTE_PER_DAY_SHIPS,0))*(AM287-AM286))*HLOOKUP(AO$6,SHIPS,7,0)*INDEX(LADEN_VOYAGE_DAYS,MATCH(CONCATENATE(AO$4,AO$5,AO$7),LADEN_VOYAGE_ROUTES,0),MATCH(AO$6,LADEN_VOYAGE_SHIPS,0)))),0)</f>
        <v>0</v>
      </c>
      <c r="AQ286" s="118">
        <f>-(AP286)*PORTS!$I$6</f>
        <v>0</v>
      </c>
      <c r="AR286" s="215">
        <f t="shared" si="123"/>
        <v>0</v>
      </c>
      <c r="AS286" s="202"/>
      <c r="AT286" s="186">
        <f t="shared" si="151"/>
        <v>44866</v>
      </c>
      <c r="AU286" s="232">
        <f>+AR286*(VLOOKUP(AT286,CURVECALC!$C$6:$J$312,4,0)+AV$5)</f>
        <v>0</v>
      </c>
      <c r="AV286" s="208">
        <f>-AN286*INDEX(ship_curves,MATCH(AT286,'SHIP CURVES'!$A$9:$A$316,0),MATCH(CONCATENATE(AX$4,AX$5,AX$6,AX$7),'SHIP CURVES'!$A$9:$AZ$9,0))</f>
        <v>0</v>
      </c>
      <c r="AW286" s="209">
        <f>-AP286*INDEX(port_processing_fee,MATCH(AT286,PORTS!$H$626:$H$933,0),MATCH(AX$5,PORTS!$H$626:$Z$626,0))</f>
        <v>0</v>
      </c>
      <c r="AX286" s="405">
        <f>(((VLOOKUP(AT286,curvecalc,4,0))*IF(AN286=0,0,AR286/AN286)-INDEX(ship_curves,MATCH(AT286,'SHIP CURVES'!$A$9:$A$316,0),MATCH(CONCATENATE(AX$4,AX$5,AX$6,AX$7),'SHIP CURVES'!$A$9:$Z$9,0))-INDEX(terminal_curves,MATCH(AT286,'TERMINAL CURVES'!$A$4:$A$313,0),MATCH(AX$5,'TERMINAL CURVES'!$A$4:$N$4,0))*IF(AN286=0,0,AP286/AN286))-(AV$8)*((AV$7-$N$5)-(INDEX(ship_curves,MATCH(AT286,'SHIP CURVES'!$A$9:$A$316,0),MATCH(CONCATENATE(AX$4,AX$5,AX$6,AX$7),'SHIP CURVES'!$A$9:$Z$9,0))-INDEX(ship_curves,MATCH(AT286,'SHIP CURVES'!$A$9:$A$316,0),MATCH(CONCATENATE(AX$4,AV$6,AX$6,AX$7),'SHIP CURVES'!$A$9:$Z$9,0)))-(INDEX(terminal_curves,MATCH(AT286,'TERMINAL CURVES'!$A$4:$A$313,0),MATCH(AX$5,'TERMINAL CURVES'!$A$4:$N$4,0))-INDEX(terminal_curves,MATCH(AT286,'TERMINAL CURVES'!$A$4:$A$313,0),MATCH(AV$6,'TERMINAL CURVES'!$A$4:$N$4,0)))*IF(AN286=0,0,AP286/AN286)))*-AN286</f>
        <v>0</v>
      </c>
      <c r="AY286" s="343">
        <f t="shared" si="142"/>
        <v>0</v>
      </c>
      <c r="AZ286" s="338">
        <f>(-AP286/((HLOOKUP(AX$5,port_specs,2,0)/(365.25))*(AT287-AT286)))*(INDEX(fixed_capacity_charge,MATCH(AT286,PORTS!$H$11:$H$317,0),MATCH(AX$5,PORTS!$H$11:$N$11,0))+INDEX(variable_om_charge,MATCH(AT286,PORTS!$H$318:$H$625,0),MATCH(AX$5,PORTS!$H$318:$N$318,0)))</f>
        <v>0</v>
      </c>
      <c r="BA286" s="232">
        <f t="shared" si="143"/>
        <v>0</v>
      </c>
      <c r="BB286" s="241">
        <f t="shared" si="144"/>
        <v>0</v>
      </c>
      <c r="BC286" s="408"/>
      <c r="BD286" s="338">
        <f>+PORTS!I280+PORTS!I588</f>
        <v>0</v>
      </c>
    </row>
    <row r="287" spans="1:56" x14ac:dyDescent="0.2">
      <c r="A287" s="186">
        <f t="shared" si="145"/>
        <v>44896</v>
      </c>
      <c r="B287" s="215">
        <f>+IF(AND($A287&gt;=$C$8,$A287&lt;=$C$9),1,0)*PORTS!$I$5/(365.25)*(A288-A287)</f>
        <v>0</v>
      </c>
      <c r="C287" s="351">
        <f t="shared" si="124"/>
        <v>0</v>
      </c>
      <c r="D287">
        <f t="shared" si="125"/>
        <v>2022</v>
      </c>
      <c r="E287" s="186">
        <f t="shared" si="146"/>
        <v>44896</v>
      </c>
      <c r="F287" s="215">
        <f t="shared" si="126"/>
        <v>0</v>
      </c>
      <c r="G287" s="191">
        <f t="shared" si="127"/>
        <v>0</v>
      </c>
      <c r="H287" s="218">
        <f t="shared" si="128"/>
        <v>0</v>
      </c>
      <c r="I287" s="118">
        <f t="shared" si="129"/>
        <v>0</v>
      </c>
      <c r="J287" s="215">
        <f t="shared" si="130"/>
        <v>0</v>
      </c>
      <c r="K287" s="202"/>
      <c r="L287" s="186">
        <f t="shared" si="147"/>
        <v>44896</v>
      </c>
      <c r="M287" s="400">
        <f>+J287*(VLOOKUP(L287,CURVECALC!$C$6:$J$312,4,0)+N$5)</f>
        <v>0</v>
      </c>
      <c r="N287" s="208">
        <f>-F287*INDEX(ship_curves,MATCH(L287,'SHIP CURVES'!$A$9:$A$316,0),MATCH(CONCATENATE(P$4,P$5,P$6,P$7),'SHIP CURVES'!$A$9:$AZ$9,0))</f>
        <v>0</v>
      </c>
      <c r="O287" s="209">
        <f>-H287*INDEX(port_processing_fee,MATCH(L287,PORTS!$H$626:$H$933,0),MATCH(P$5,PORTS!$H$626:$Z$626,0))</f>
        <v>0</v>
      </c>
      <c r="P287" s="405">
        <f>(((VLOOKUP(L287,curvecalc,4,0))*IF(F287=0,0,J287/F287)-INDEX(ship_curves,MATCH(L287,'SHIP CURVES'!$A$9:$A$316,0),MATCH(CONCATENATE(P$4,P$5,P$6,P$7),'SHIP CURVES'!$A$9:$Z$9,0))-INDEX(terminal_curves,MATCH(L287,'TERMINAL CURVES'!$A$4:$A$313,0),MATCH(P$5,'TERMINAL CURVES'!$A$4:$N$4,0))*IF(F287=0,0,H287/F287))-(N$8)*((N$7-$N$5)-(INDEX(ship_curves,MATCH(L287,'SHIP CURVES'!$A$9:$A$316,0),MATCH(CONCATENATE(P$4,P$5,P$6,P$7),'SHIP CURVES'!$A$9:$Z$9,0))-INDEX(ship_curves,MATCH(L287,'SHIP CURVES'!$A$9:$A$316,0),MATCH(CONCATENATE(P$4,N$6,P$6,P$7),'SHIP CURVES'!$A$9:$Z$9,0)))-(INDEX(terminal_curves,MATCH(L287,'TERMINAL CURVES'!$A$4:$A$313,0),MATCH(P$5,'TERMINAL CURVES'!$A$4:$N$4,0))-INDEX(terminal_curves,MATCH(L287,'TERMINAL CURVES'!$A$4:$A$313,0),MATCH(N$6,'TERMINAL CURVES'!$A$4:$N$4,0)))*IF(F287=0,0,H287/F287)))*-F287</f>
        <v>0</v>
      </c>
      <c r="Q287" s="403">
        <f t="shared" si="131"/>
        <v>0</v>
      </c>
      <c r="R287" s="338">
        <f>(-H287/((HLOOKUP(P$5,port_specs,2,0)/(365.25))*(L288-L287)))*(INDEX(fixed_capacity_charge,MATCH(L287,PORTS!$H$11:$H$317,0),MATCH(P$5,PORTS!$H$11:$N$11,0))+INDEX(variable_om_charge,MATCH(L287,PORTS!$H$318:$H$625,0),MATCH(P$5,PORTS!$H$318:$N$318,0)))</f>
        <v>0</v>
      </c>
      <c r="S287" s="232">
        <f t="shared" si="132"/>
        <v>0</v>
      </c>
      <c r="T287" s="241">
        <f t="shared" si="133"/>
        <v>0</v>
      </c>
      <c r="V287" s="186">
        <f t="shared" si="148"/>
        <v>44896</v>
      </c>
      <c r="W287" s="215">
        <f t="shared" si="134"/>
        <v>0</v>
      </c>
      <c r="X287" s="191">
        <f t="shared" si="135"/>
        <v>0</v>
      </c>
      <c r="Y287" s="218">
        <f>+IF(AND(X$8&lt;=V287,X$9&gt;=V287),+MIN($B287-SUMIF($H$17:X$17,Y$17,$H287:X287),((INDEX(ROUTE_PER_DAY_BY_SHIP,MATCH(CONCATENATE(X$4,X$5,X$7),ROUTE_PER_DAY_ROUTES,0),MATCH(X$6,ROUTE_PER_DAY_SHIPS,0))*(V288-V287))-(INDEX(ROUTE_PER_DAY_BY_SHIP,MATCH(CONCATENATE(X$4,X$5,X$7),ROUTE_PER_DAY_ROUTES,0),MATCH(X$6,ROUTE_PER_DAY_SHIPS,0))*(V288-V287))*HLOOKUP(X$6,SHIPS,7,0)*INDEX(LADEN_VOYAGE_DAYS,MATCH(CONCATENATE(X$4,X$5,X$7),LADEN_VOYAGE_ROUTES,0),MATCH(X$6,LADEN_VOYAGE_SHIPS,0)))),0)</f>
        <v>0</v>
      </c>
      <c r="Z287" s="118">
        <f t="shared" si="136"/>
        <v>0</v>
      </c>
      <c r="AA287" s="215">
        <f t="shared" si="122"/>
        <v>0</v>
      </c>
      <c r="AB287" s="202"/>
      <c r="AC287" s="186">
        <f t="shared" si="149"/>
        <v>44896</v>
      </c>
      <c r="AD287" s="232">
        <f>+AA287*(VLOOKUP(AC287,CURVECALC!$C$6:$J$312,4,0)+AE$5)</f>
        <v>0</v>
      </c>
      <c r="AE287" s="208">
        <f>-W287*INDEX(ship_curves,MATCH(AC287,'SHIP CURVES'!$A$9:$A$316,0),MATCH(CONCATENATE(AG$4,AG$5,AG$6,AG$7),'SHIP CURVES'!$A$9:$AZ$9,0))</f>
        <v>0</v>
      </c>
      <c r="AF287" s="209">
        <f>-Y287*INDEX(port_processing_fee,MATCH(AC287,PORTS!$H$626:$H$933,0),MATCH(AG$5,PORTS!$H$626:$Z$626,0))</f>
        <v>0</v>
      </c>
      <c r="AG287" s="405">
        <f>(((VLOOKUP(AC287,curvecalc,4,0))*IF(W287=0,0,AA287/W287)-INDEX(ship_curves,MATCH(AC287,'SHIP CURVES'!$A$9:$A$316,0),MATCH(CONCATENATE(AG$4,AG$5,AG$6,AG$7),'SHIP CURVES'!$A$9:$Z$9,0))-INDEX(terminal_curves,MATCH(AC287,'TERMINAL CURVES'!$A$4:$A$313,0),MATCH(AG$5,'TERMINAL CURVES'!$A$4:$N$4,0))*IF(W287=0,0,Y287/W287))-(AE$8)*((AE$7-$N$5)-(INDEX(ship_curves,MATCH(AC287,'SHIP CURVES'!$A$9:$A$316,0),MATCH(CONCATENATE(AG$4,AG$5,AG$6,AG$7),'SHIP CURVES'!$A$9:$Z$9,0))-INDEX(ship_curves,MATCH(AC287,'SHIP CURVES'!$A$9:$A$316,0),MATCH(CONCATENATE(AG$4,AE$6,AG$6,AG$7),'SHIP CURVES'!$A$9:$Z$9,0)))-(INDEX(terminal_curves,MATCH(AC287,'TERMINAL CURVES'!$A$4:$A$313,0),MATCH(AG$5,'TERMINAL CURVES'!$A$4:$N$4,0))-INDEX(terminal_curves,MATCH(AC287,'TERMINAL CURVES'!$A$4:$A$313,0),MATCH(AE$6,'TERMINAL CURVES'!$A$4:$N$4,0)))*IF(W287=0,0,Y287/W287)))*-W287</f>
        <v>0</v>
      </c>
      <c r="AH287" s="343">
        <f t="shared" si="137"/>
        <v>0</v>
      </c>
      <c r="AI287" s="338">
        <f>(-Y287/((HLOOKUP(AG$5,port_specs,2,0)/(365.25))*(AC288-AC287)))*(INDEX(fixed_capacity_charge,MATCH(AC287,PORTS!$H$11:$H$317,0),MATCH(AG$5,PORTS!$H$11:$N$11,0))+INDEX(variable_om_charge,MATCH(AC287,PORTS!$H$318:$H$625,0),MATCH(AG$5,PORTS!$H$318:$N$318,0)))</f>
        <v>0</v>
      </c>
      <c r="AJ287" s="232">
        <f t="shared" si="138"/>
        <v>0</v>
      </c>
      <c r="AK287" s="241">
        <f t="shared" si="139"/>
        <v>0</v>
      </c>
      <c r="AM287" s="186">
        <f t="shared" si="150"/>
        <v>44896</v>
      </c>
      <c r="AN287" s="215">
        <f t="shared" si="140"/>
        <v>0</v>
      </c>
      <c r="AO287" s="191">
        <f t="shared" si="141"/>
        <v>0</v>
      </c>
      <c r="AP287" s="218">
        <f>+IF(AND(AO$8&lt;=AM287,AO$9&gt;=AM287),+MIN($B287-SUMIF($H$17:AO$17,AP$17,$H287:AO287),((INDEX(ROUTE_PER_DAY_BY_SHIP,MATCH(CONCATENATE(AO$4,AO$5,AO$7),ROUTE_PER_DAY_ROUTES,0),MATCH(AO$6,ROUTE_PER_DAY_SHIPS,0))*(AM288-AM287))-(INDEX(ROUTE_PER_DAY_BY_SHIP,MATCH(CONCATENATE(AO$4,AO$5,AO$7),ROUTE_PER_DAY_ROUTES,0),MATCH(AO$6,ROUTE_PER_DAY_SHIPS,0))*(AM288-AM287))*HLOOKUP(AO$6,SHIPS,7,0)*INDEX(LADEN_VOYAGE_DAYS,MATCH(CONCATENATE(AO$4,AO$5,AO$7),LADEN_VOYAGE_ROUTES,0),MATCH(AO$6,LADEN_VOYAGE_SHIPS,0)))),0)</f>
        <v>0</v>
      </c>
      <c r="AQ287" s="118">
        <f>-(AP287)*PORTS!$I$6</f>
        <v>0</v>
      </c>
      <c r="AR287" s="215">
        <f t="shared" si="123"/>
        <v>0</v>
      </c>
      <c r="AS287" s="202"/>
      <c r="AT287" s="186">
        <f t="shared" si="151"/>
        <v>44896</v>
      </c>
      <c r="AU287" s="232">
        <f>+AR287*(VLOOKUP(AT287,CURVECALC!$C$6:$J$312,4,0)+AV$5)</f>
        <v>0</v>
      </c>
      <c r="AV287" s="208">
        <f>-AN287*INDEX(ship_curves,MATCH(AT287,'SHIP CURVES'!$A$9:$A$316,0),MATCH(CONCATENATE(AX$4,AX$5,AX$6,AX$7),'SHIP CURVES'!$A$9:$AZ$9,0))</f>
        <v>0</v>
      </c>
      <c r="AW287" s="209">
        <f>-AP287*INDEX(port_processing_fee,MATCH(AT287,PORTS!$H$626:$H$933,0),MATCH(AX$5,PORTS!$H$626:$Z$626,0))</f>
        <v>0</v>
      </c>
      <c r="AX287" s="405">
        <f>(((VLOOKUP(AT287,curvecalc,4,0))*IF(AN287=0,0,AR287/AN287)-INDEX(ship_curves,MATCH(AT287,'SHIP CURVES'!$A$9:$A$316,0),MATCH(CONCATENATE(AX$4,AX$5,AX$6,AX$7),'SHIP CURVES'!$A$9:$Z$9,0))-INDEX(terminal_curves,MATCH(AT287,'TERMINAL CURVES'!$A$4:$A$313,0),MATCH(AX$5,'TERMINAL CURVES'!$A$4:$N$4,0))*IF(AN287=0,0,AP287/AN287))-(AV$8)*((AV$7-$N$5)-(INDEX(ship_curves,MATCH(AT287,'SHIP CURVES'!$A$9:$A$316,0),MATCH(CONCATENATE(AX$4,AX$5,AX$6,AX$7),'SHIP CURVES'!$A$9:$Z$9,0))-INDEX(ship_curves,MATCH(AT287,'SHIP CURVES'!$A$9:$A$316,0),MATCH(CONCATENATE(AX$4,AV$6,AX$6,AX$7),'SHIP CURVES'!$A$9:$Z$9,0)))-(INDEX(terminal_curves,MATCH(AT287,'TERMINAL CURVES'!$A$4:$A$313,0),MATCH(AX$5,'TERMINAL CURVES'!$A$4:$N$4,0))-INDEX(terminal_curves,MATCH(AT287,'TERMINAL CURVES'!$A$4:$A$313,0),MATCH(AV$6,'TERMINAL CURVES'!$A$4:$N$4,0)))*IF(AN287=0,0,AP287/AN287)))*-AN287</f>
        <v>0</v>
      </c>
      <c r="AY287" s="343">
        <f t="shared" si="142"/>
        <v>0</v>
      </c>
      <c r="AZ287" s="338">
        <f>(-AP287/((HLOOKUP(AX$5,port_specs,2,0)/(365.25))*(AT288-AT287)))*(INDEX(fixed_capacity_charge,MATCH(AT287,PORTS!$H$11:$H$317,0),MATCH(AX$5,PORTS!$H$11:$N$11,0))+INDEX(variable_om_charge,MATCH(AT287,PORTS!$H$318:$H$625,0),MATCH(AX$5,PORTS!$H$318:$N$318,0)))</f>
        <v>0</v>
      </c>
      <c r="BA287" s="232">
        <f t="shared" si="143"/>
        <v>0</v>
      </c>
      <c r="BB287" s="241">
        <f t="shared" si="144"/>
        <v>0</v>
      </c>
      <c r="BC287" s="408"/>
      <c r="BD287" s="338">
        <f>+PORTS!I281+PORTS!I589</f>
        <v>0</v>
      </c>
    </row>
    <row r="288" spans="1:56" x14ac:dyDescent="0.2">
      <c r="A288" s="186">
        <f t="shared" si="145"/>
        <v>44927</v>
      </c>
      <c r="B288" s="215">
        <f>+IF(AND($A288&gt;=$C$8,$A288&lt;=$C$9),1,0)*PORTS!$I$5/(365.25)*(A289-A288)</f>
        <v>0</v>
      </c>
      <c r="C288" s="351">
        <f t="shared" si="124"/>
        <v>0</v>
      </c>
      <c r="D288">
        <f t="shared" si="125"/>
        <v>2023</v>
      </c>
      <c r="E288" s="186">
        <f t="shared" si="146"/>
        <v>44927</v>
      </c>
      <c r="F288" s="215">
        <f t="shared" si="126"/>
        <v>0</v>
      </c>
      <c r="G288" s="191">
        <f t="shared" si="127"/>
        <v>0</v>
      </c>
      <c r="H288" s="218">
        <f t="shared" si="128"/>
        <v>0</v>
      </c>
      <c r="I288" s="118">
        <f t="shared" si="129"/>
        <v>0</v>
      </c>
      <c r="J288" s="215">
        <f t="shared" si="130"/>
        <v>0</v>
      </c>
      <c r="K288" s="202"/>
      <c r="L288" s="186">
        <f t="shared" si="147"/>
        <v>44927</v>
      </c>
      <c r="M288" s="400">
        <f>+J288*(VLOOKUP(L288,CURVECALC!$C$6:$J$312,4,0)+N$5)</f>
        <v>0</v>
      </c>
      <c r="N288" s="208">
        <f>-F288*INDEX(ship_curves,MATCH(L288,'SHIP CURVES'!$A$9:$A$316,0),MATCH(CONCATENATE(P$4,P$5,P$6,P$7),'SHIP CURVES'!$A$9:$AZ$9,0))</f>
        <v>0</v>
      </c>
      <c r="O288" s="209">
        <f>-H288*INDEX(port_processing_fee,MATCH(L288,PORTS!$H$626:$H$933,0),MATCH(P$5,PORTS!$H$626:$Z$626,0))</f>
        <v>0</v>
      </c>
      <c r="P288" s="405">
        <f>(((VLOOKUP(L288,curvecalc,4,0))*IF(F288=0,0,J288/F288)-INDEX(ship_curves,MATCH(L288,'SHIP CURVES'!$A$9:$A$316,0),MATCH(CONCATENATE(P$4,P$5,P$6,P$7),'SHIP CURVES'!$A$9:$Z$9,0))-INDEX(terminal_curves,MATCH(L288,'TERMINAL CURVES'!$A$4:$A$313,0),MATCH(P$5,'TERMINAL CURVES'!$A$4:$N$4,0))*IF(F288=0,0,H288/F288))-(N$8)*((N$7-$N$5)-(INDEX(ship_curves,MATCH(L288,'SHIP CURVES'!$A$9:$A$316,0),MATCH(CONCATENATE(P$4,P$5,P$6,P$7),'SHIP CURVES'!$A$9:$Z$9,0))-INDEX(ship_curves,MATCH(L288,'SHIP CURVES'!$A$9:$A$316,0),MATCH(CONCATENATE(P$4,N$6,P$6,P$7),'SHIP CURVES'!$A$9:$Z$9,0)))-(INDEX(terminal_curves,MATCH(L288,'TERMINAL CURVES'!$A$4:$A$313,0),MATCH(P$5,'TERMINAL CURVES'!$A$4:$N$4,0))-INDEX(terminal_curves,MATCH(L288,'TERMINAL CURVES'!$A$4:$A$313,0),MATCH(N$6,'TERMINAL CURVES'!$A$4:$N$4,0)))*IF(F288=0,0,H288/F288)))*-F288</f>
        <v>0</v>
      </c>
      <c r="Q288" s="403">
        <f t="shared" si="131"/>
        <v>0</v>
      </c>
      <c r="R288" s="338">
        <f>(-H288/((HLOOKUP(P$5,port_specs,2,0)/(365.25))*(L289-L288)))*(INDEX(fixed_capacity_charge,MATCH(L288,PORTS!$H$11:$H$317,0),MATCH(P$5,PORTS!$H$11:$N$11,0))+INDEX(variable_om_charge,MATCH(L288,PORTS!$H$318:$H$625,0),MATCH(P$5,PORTS!$H$318:$N$318,0)))</f>
        <v>0</v>
      </c>
      <c r="S288" s="232">
        <f t="shared" si="132"/>
        <v>0</v>
      </c>
      <c r="T288" s="241">
        <f t="shared" si="133"/>
        <v>0</v>
      </c>
      <c r="V288" s="186">
        <f t="shared" si="148"/>
        <v>44927</v>
      </c>
      <c r="W288" s="215">
        <f t="shared" si="134"/>
        <v>0</v>
      </c>
      <c r="X288" s="191">
        <f t="shared" si="135"/>
        <v>0</v>
      </c>
      <c r="Y288" s="218">
        <f>+IF(AND(X$8&lt;=V288,X$9&gt;=V288),+MIN($B288-SUMIF($H$17:X$17,Y$17,$H288:X288),((INDEX(ROUTE_PER_DAY_BY_SHIP,MATCH(CONCATENATE(X$4,X$5,X$7),ROUTE_PER_DAY_ROUTES,0),MATCH(X$6,ROUTE_PER_DAY_SHIPS,0))*(V289-V288))-(INDEX(ROUTE_PER_DAY_BY_SHIP,MATCH(CONCATENATE(X$4,X$5,X$7),ROUTE_PER_DAY_ROUTES,0),MATCH(X$6,ROUTE_PER_DAY_SHIPS,0))*(V289-V288))*HLOOKUP(X$6,SHIPS,7,0)*INDEX(LADEN_VOYAGE_DAYS,MATCH(CONCATENATE(X$4,X$5,X$7),LADEN_VOYAGE_ROUTES,0),MATCH(X$6,LADEN_VOYAGE_SHIPS,0)))),0)</f>
        <v>0</v>
      </c>
      <c r="Z288" s="118">
        <f t="shared" si="136"/>
        <v>0</v>
      </c>
      <c r="AA288" s="215">
        <f t="shared" si="122"/>
        <v>0</v>
      </c>
      <c r="AB288" s="202"/>
      <c r="AC288" s="186">
        <f t="shared" si="149"/>
        <v>44927</v>
      </c>
      <c r="AD288" s="232">
        <f>+AA288*(VLOOKUP(AC288,CURVECALC!$C$6:$J$312,4,0)+AE$5)</f>
        <v>0</v>
      </c>
      <c r="AE288" s="208">
        <f>-W288*INDEX(ship_curves,MATCH(AC288,'SHIP CURVES'!$A$9:$A$316,0),MATCH(CONCATENATE(AG$4,AG$5,AG$6,AG$7),'SHIP CURVES'!$A$9:$AZ$9,0))</f>
        <v>0</v>
      </c>
      <c r="AF288" s="209">
        <f>-Y288*INDEX(port_processing_fee,MATCH(AC288,PORTS!$H$626:$H$933,0),MATCH(AG$5,PORTS!$H$626:$Z$626,0))</f>
        <v>0</v>
      </c>
      <c r="AG288" s="405">
        <f>(((VLOOKUP(AC288,curvecalc,4,0))*IF(W288=0,0,AA288/W288)-INDEX(ship_curves,MATCH(AC288,'SHIP CURVES'!$A$9:$A$316,0),MATCH(CONCATENATE(AG$4,AG$5,AG$6,AG$7),'SHIP CURVES'!$A$9:$Z$9,0))-INDEX(terminal_curves,MATCH(AC288,'TERMINAL CURVES'!$A$4:$A$313,0),MATCH(AG$5,'TERMINAL CURVES'!$A$4:$N$4,0))*IF(W288=0,0,Y288/W288))-(AE$8)*((AE$7-$N$5)-(INDEX(ship_curves,MATCH(AC288,'SHIP CURVES'!$A$9:$A$316,0),MATCH(CONCATENATE(AG$4,AG$5,AG$6,AG$7),'SHIP CURVES'!$A$9:$Z$9,0))-INDEX(ship_curves,MATCH(AC288,'SHIP CURVES'!$A$9:$A$316,0),MATCH(CONCATENATE(AG$4,AE$6,AG$6,AG$7),'SHIP CURVES'!$A$9:$Z$9,0)))-(INDEX(terminal_curves,MATCH(AC288,'TERMINAL CURVES'!$A$4:$A$313,0),MATCH(AG$5,'TERMINAL CURVES'!$A$4:$N$4,0))-INDEX(terminal_curves,MATCH(AC288,'TERMINAL CURVES'!$A$4:$A$313,0),MATCH(AE$6,'TERMINAL CURVES'!$A$4:$N$4,0)))*IF(W288=0,0,Y288/W288)))*-W288</f>
        <v>0</v>
      </c>
      <c r="AH288" s="343">
        <f t="shared" si="137"/>
        <v>0</v>
      </c>
      <c r="AI288" s="338">
        <f>(-Y288/((HLOOKUP(AG$5,port_specs,2,0)/(365.25))*(AC289-AC288)))*(INDEX(fixed_capacity_charge,MATCH(AC288,PORTS!$H$11:$H$317,0),MATCH(AG$5,PORTS!$H$11:$N$11,0))+INDEX(variable_om_charge,MATCH(AC288,PORTS!$H$318:$H$625,0),MATCH(AG$5,PORTS!$H$318:$N$318,0)))</f>
        <v>0</v>
      </c>
      <c r="AJ288" s="232">
        <f t="shared" si="138"/>
        <v>0</v>
      </c>
      <c r="AK288" s="241">
        <f t="shared" si="139"/>
        <v>0</v>
      </c>
      <c r="AM288" s="186">
        <f t="shared" si="150"/>
        <v>44927</v>
      </c>
      <c r="AN288" s="215">
        <f t="shared" si="140"/>
        <v>0</v>
      </c>
      <c r="AO288" s="191">
        <f t="shared" si="141"/>
        <v>0</v>
      </c>
      <c r="AP288" s="218">
        <f>+IF(AND(AO$8&lt;=AM288,AO$9&gt;=AM288),+MIN($B288-SUMIF($H$17:AO$17,AP$17,$H288:AO288),((INDEX(ROUTE_PER_DAY_BY_SHIP,MATCH(CONCATENATE(AO$4,AO$5,AO$7),ROUTE_PER_DAY_ROUTES,0),MATCH(AO$6,ROUTE_PER_DAY_SHIPS,0))*(AM289-AM288))-(INDEX(ROUTE_PER_DAY_BY_SHIP,MATCH(CONCATENATE(AO$4,AO$5,AO$7),ROUTE_PER_DAY_ROUTES,0),MATCH(AO$6,ROUTE_PER_DAY_SHIPS,0))*(AM289-AM288))*HLOOKUP(AO$6,SHIPS,7,0)*INDEX(LADEN_VOYAGE_DAYS,MATCH(CONCATENATE(AO$4,AO$5,AO$7),LADEN_VOYAGE_ROUTES,0),MATCH(AO$6,LADEN_VOYAGE_SHIPS,0)))),0)</f>
        <v>0</v>
      </c>
      <c r="AQ288" s="118">
        <f>-(AP288)*PORTS!$I$6</f>
        <v>0</v>
      </c>
      <c r="AR288" s="215">
        <f t="shared" si="123"/>
        <v>0</v>
      </c>
      <c r="AS288" s="202"/>
      <c r="AT288" s="186">
        <f t="shared" si="151"/>
        <v>44927</v>
      </c>
      <c r="AU288" s="232">
        <f>+AR288*(VLOOKUP(AT288,CURVECALC!$C$6:$J$312,4,0)+AV$5)</f>
        <v>0</v>
      </c>
      <c r="AV288" s="208">
        <f>-AN288*INDEX(ship_curves,MATCH(AT288,'SHIP CURVES'!$A$9:$A$316,0),MATCH(CONCATENATE(AX$4,AX$5,AX$6,AX$7),'SHIP CURVES'!$A$9:$AZ$9,0))</f>
        <v>0</v>
      </c>
      <c r="AW288" s="209">
        <f>-AP288*INDEX(port_processing_fee,MATCH(AT288,PORTS!$H$626:$H$933,0),MATCH(AX$5,PORTS!$H$626:$Z$626,0))</f>
        <v>0</v>
      </c>
      <c r="AX288" s="405">
        <f>(((VLOOKUP(AT288,curvecalc,4,0))*IF(AN288=0,0,AR288/AN288)-INDEX(ship_curves,MATCH(AT288,'SHIP CURVES'!$A$9:$A$316,0),MATCH(CONCATENATE(AX$4,AX$5,AX$6,AX$7),'SHIP CURVES'!$A$9:$Z$9,0))-INDEX(terminal_curves,MATCH(AT288,'TERMINAL CURVES'!$A$4:$A$313,0),MATCH(AX$5,'TERMINAL CURVES'!$A$4:$N$4,0))*IF(AN288=0,0,AP288/AN288))-(AV$8)*((AV$7-$N$5)-(INDEX(ship_curves,MATCH(AT288,'SHIP CURVES'!$A$9:$A$316,0),MATCH(CONCATENATE(AX$4,AX$5,AX$6,AX$7),'SHIP CURVES'!$A$9:$Z$9,0))-INDEX(ship_curves,MATCH(AT288,'SHIP CURVES'!$A$9:$A$316,0),MATCH(CONCATENATE(AX$4,AV$6,AX$6,AX$7),'SHIP CURVES'!$A$9:$Z$9,0)))-(INDEX(terminal_curves,MATCH(AT288,'TERMINAL CURVES'!$A$4:$A$313,0),MATCH(AX$5,'TERMINAL CURVES'!$A$4:$N$4,0))-INDEX(terminal_curves,MATCH(AT288,'TERMINAL CURVES'!$A$4:$A$313,0),MATCH(AV$6,'TERMINAL CURVES'!$A$4:$N$4,0)))*IF(AN288=0,0,AP288/AN288)))*-AN288</f>
        <v>0</v>
      </c>
      <c r="AY288" s="343">
        <f t="shared" si="142"/>
        <v>0</v>
      </c>
      <c r="AZ288" s="338">
        <f>(-AP288/((HLOOKUP(AX$5,port_specs,2,0)/(365.25))*(AT289-AT288)))*(INDEX(fixed_capacity_charge,MATCH(AT288,PORTS!$H$11:$H$317,0),MATCH(AX$5,PORTS!$H$11:$N$11,0))+INDEX(variable_om_charge,MATCH(AT288,PORTS!$H$318:$H$625,0),MATCH(AX$5,PORTS!$H$318:$N$318,0)))</f>
        <v>0</v>
      </c>
      <c r="BA288" s="232">
        <f t="shared" si="143"/>
        <v>0</v>
      </c>
      <c r="BB288" s="241">
        <f t="shared" si="144"/>
        <v>0</v>
      </c>
      <c r="BC288" s="408"/>
      <c r="BD288" s="338">
        <f>+PORTS!I282+PORTS!I590</f>
        <v>0</v>
      </c>
    </row>
    <row r="289" spans="1:56" x14ac:dyDescent="0.2">
      <c r="A289" s="186">
        <f t="shared" si="145"/>
        <v>44958</v>
      </c>
      <c r="B289" s="215">
        <f>+IF(AND($A289&gt;=$C$8,$A289&lt;=$C$9),1,0)*PORTS!$I$5/(365.25)*(A290-A289)</f>
        <v>0</v>
      </c>
      <c r="C289" s="351">
        <f t="shared" si="124"/>
        <v>0</v>
      </c>
      <c r="D289">
        <f t="shared" si="125"/>
        <v>2023</v>
      </c>
      <c r="E289" s="186">
        <f t="shared" si="146"/>
        <v>44958</v>
      </c>
      <c r="F289" s="215">
        <f t="shared" si="126"/>
        <v>0</v>
      </c>
      <c r="G289" s="191">
        <f t="shared" si="127"/>
        <v>0</v>
      </c>
      <c r="H289" s="218">
        <f t="shared" si="128"/>
        <v>0</v>
      </c>
      <c r="I289" s="118">
        <f t="shared" si="129"/>
        <v>0</v>
      </c>
      <c r="J289" s="215">
        <f t="shared" si="130"/>
        <v>0</v>
      </c>
      <c r="K289" s="202"/>
      <c r="L289" s="186">
        <f t="shared" si="147"/>
        <v>44958</v>
      </c>
      <c r="M289" s="400">
        <f>+J289*(VLOOKUP(L289,CURVECALC!$C$6:$J$312,4,0)+N$5)</f>
        <v>0</v>
      </c>
      <c r="N289" s="208">
        <f>-F289*INDEX(ship_curves,MATCH(L289,'SHIP CURVES'!$A$9:$A$316,0),MATCH(CONCATENATE(P$4,P$5,P$6,P$7),'SHIP CURVES'!$A$9:$AZ$9,0))</f>
        <v>0</v>
      </c>
      <c r="O289" s="209">
        <f>-H289*INDEX(port_processing_fee,MATCH(L289,PORTS!$H$626:$H$933,0),MATCH(P$5,PORTS!$H$626:$Z$626,0))</f>
        <v>0</v>
      </c>
      <c r="P289" s="405">
        <f>(((VLOOKUP(L289,curvecalc,4,0))*IF(F289=0,0,J289/F289)-INDEX(ship_curves,MATCH(L289,'SHIP CURVES'!$A$9:$A$316,0),MATCH(CONCATENATE(P$4,P$5,P$6,P$7),'SHIP CURVES'!$A$9:$Z$9,0))-INDEX(terminal_curves,MATCH(L289,'TERMINAL CURVES'!$A$4:$A$313,0),MATCH(P$5,'TERMINAL CURVES'!$A$4:$N$4,0))*IF(F289=0,0,H289/F289))-(N$8)*((N$7-$N$5)-(INDEX(ship_curves,MATCH(L289,'SHIP CURVES'!$A$9:$A$316,0),MATCH(CONCATENATE(P$4,P$5,P$6,P$7),'SHIP CURVES'!$A$9:$Z$9,0))-INDEX(ship_curves,MATCH(L289,'SHIP CURVES'!$A$9:$A$316,0),MATCH(CONCATENATE(P$4,N$6,P$6,P$7),'SHIP CURVES'!$A$9:$Z$9,0)))-(INDEX(terminal_curves,MATCH(L289,'TERMINAL CURVES'!$A$4:$A$313,0),MATCH(P$5,'TERMINAL CURVES'!$A$4:$N$4,0))-INDEX(terminal_curves,MATCH(L289,'TERMINAL CURVES'!$A$4:$A$313,0),MATCH(N$6,'TERMINAL CURVES'!$A$4:$N$4,0)))*IF(F289=0,0,H289/F289)))*-F289</f>
        <v>0</v>
      </c>
      <c r="Q289" s="403">
        <f t="shared" si="131"/>
        <v>0</v>
      </c>
      <c r="R289" s="338">
        <f>(-H289/((HLOOKUP(P$5,port_specs,2,0)/(365.25))*(L290-L289)))*(INDEX(fixed_capacity_charge,MATCH(L289,PORTS!$H$11:$H$317,0),MATCH(P$5,PORTS!$H$11:$N$11,0))+INDEX(variable_om_charge,MATCH(L289,PORTS!$H$318:$H$625,0),MATCH(P$5,PORTS!$H$318:$N$318,0)))</f>
        <v>0</v>
      </c>
      <c r="S289" s="232">
        <f t="shared" si="132"/>
        <v>0</v>
      </c>
      <c r="T289" s="241">
        <f t="shared" si="133"/>
        <v>0</v>
      </c>
      <c r="V289" s="186">
        <f t="shared" si="148"/>
        <v>44958</v>
      </c>
      <c r="W289" s="215">
        <f t="shared" si="134"/>
        <v>0</v>
      </c>
      <c r="X289" s="191">
        <f t="shared" si="135"/>
        <v>0</v>
      </c>
      <c r="Y289" s="218">
        <f>+IF(AND(X$8&lt;=V289,X$9&gt;=V289),+MIN($B289-SUMIF($H$17:X$17,Y$17,$H289:X289),((INDEX(ROUTE_PER_DAY_BY_SHIP,MATCH(CONCATENATE(X$4,X$5,X$7),ROUTE_PER_DAY_ROUTES,0),MATCH(X$6,ROUTE_PER_DAY_SHIPS,0))*(V290-V289))-(INDEX(ROUTE_PER_DAY_BY_SHIP,MATCH(CONCATENATE(X$4,X$5,X$7),ROUTE_PER_DAY_ROUTES,0),MATCH(X$6,ROUTE_PER_DAY_SHIPS,0))*(V290-V289))*HLOOKUP(X$6,SHIPS,7,0)*INDEX(LADEN_VOYAGE_DAYS,MATCH(CONCATENATE(X$4,X$5,X$7),LADEN_VOYAGE_ROUTES,0),MATCH(X$6,LADEN_VOYAGE_SHIPS,0)))),0)</f>
        <v>0</v>
      </c>
      <c r="Z289" s="118">
        <f t="shared" si="136"/>
        <v>0</v>
      </c>
      <c r="AA289" s="215">
        <f t="shared" si="122"/>
        <v>0</v>
      </c>
      <c r="AB289" s="202"/>
      <c r="AC289" s="186">
        <f t="shared" si="149"/>
        <v>44958</v>
      </c>
      <c r="AD289" s="232">
        <f>+AA289*(VLOOKUP(AC289,CURVECALC!$C$6:$J$312,4,0)+AE$5)</f>
        <v>0</v>
      </c>
      <c r="AE289" s="208">
        <f>-W289*INDEX(ship_curves,MATCH(AC289,'SHIP CURVES'!$A$9:$A$316,0),MATCH(CONCATENATE(AG$4,AG$5,AG$6,AG$7),'SHIP CURVES'!$A$9:$AZ$9,0))</f>
        <v>0</v>
      </c>
      <c r="AF289" s="209">
        <f>-Y289*INDEX(port_processing_fee,MATCH(AC289,PORTS!$H$626:$H$933,0),MATCH(AG$5,PORTS!$H$626:$Z$626,0))</f>
        <v>0</v>
      </c>
      <c r="AG289" s="405">
        <f>(((VLOOKUP(AC289,curvecalc,4,0))*IF(W289=0,0,AA289/W289)-INDEX(ship_curves,MATCH(AC289,'SHIP CURVES'!$A$9:$A$316,0),MATCH(CONCATENATE(AG$4,AG$5,AG$6,AG$7),'SHIP CURVES'!$A$9:$Z$9,0))-INDEX(terminal_curves,MATCH(AC289,'TERMINAL CURVES'!$A$4:$A$313,0),MATCH(AG$5,'TERMINAL CURVES'!$A$4:$N$4,0))*IF(W289=0,0,Y289/W289))-(AE$8)*((AE$7-$N$5)-(INDEX(ship_curves,MATCH(AC289,'SHIP CURVES'!$A$9:$A$316,0),MATCH(CONCATENATE(AG$4,AG$5,AG$6,AG$7),'SHIP CURVES'!$A$9:$Z$9,0))-INDEX(ship_curves,MATCH(AC289,'SHIP CURVES'!$A$9:$A$316,0),MATCH(CONCATENATE(AG$4,AE$6,AG$6,AG$7),'SHIP CURVES'!$A$9:$Z$9,0)))-(INDEX(terminal_curves,MATCH(AC289,'TERMINAL CURVES'!$A$4:$A$313,0),MATCH(AG$5,'TERMINAL CURVES'!$A$4:$N$4,0))-INDEX(terminal_curves,MATCH(AC289,'TERMINAL CURVES'!$A$4:$A$313,0),MATCH(AE$6,'TERMINAL CURVES'!$A$4:$N$4,0)))*IF(W289=0,0,Y289/W289)))*-W289</f>
        <v>0</v>
      </c>
      <c r="AH289" s="343">
        <f t="shared" si="137"/>
        <v>0</v>
      </c>
      <c r="AI289" s="338">
        <f>(-Y289/((HLOOKUP(AG$5,port_specs,2,0)/(365.25))*(AC290-AC289)))*(INDEX(fixed_capacity_charge,MATCH(AC289,PORTS!$H$11:$H$317,0),MATCH(AG$5,PORTS!$H$11:$N$11,0))+INDEX(variable_om_charge,MATCH(AC289,PORTS!$H$318:$H$625,0),MATCH(AG$5,PORTS!$H$318:$N$318,0)))</f>
        <v>0</v>
      </c>
      <c r="AJ289" s="232">
        <f t="shared" si="138"/>
        <v>0</v>
      </c>
      <c r="AK289" s="241">
        <f t="shared" si="139"/>
        <v>0</v>
      </c>
      <c r="AM289" s="186">
        <f t="shared" si="150"/>
        <v>44958</v>
      </c>
      <c r="AN289" s="215">
        <f t="shared" si="140"/>
        <v>0</v>
      </c>
      <c r="AO289" s="191">
        <f t="shared" si="141"/>
        <v>0</v>
      </c>
      <c r="AP289" s="218">
        <f>+IF(AND(AO$8&lt;=AM289,AO$9&gt;=AM289),+MIN($B289-SUMIF($H$17:AO$17,AP$17,$H289:AO289),((INDEX(ROUTE_PER_DAY_BY_SHIP,MATCH(CONCATENATE(AO$4,AO$5,AO$7),ROUTE_PER_DAY_ROUTES,0),MATCH(AO$6,ROUTE_PER_DAY_SHIPS,0))*(AM290-AM289))-(INDEX(ROUTE_PER_DAY_BY_SHIP,MATCH(CONCATENATE(AO$4,AO$5,AO$7),ROUTE_PER_DAY_ROUTES,0),MATCH(AO$6,ROUTE_PER_DAY_SHIPS,0))*(AM290-AM289))*HLOOKUP(AO$6,SHIPS,7,0)*INDEX(LADEN_VOYAGE_DAYS,MATCH(CONCATENATE(AO$4,AO$5,AO$7),LADEN_VOYAGE_ROUTES,0),MATCH(AO$6,LADEN_VOYAGE_SHIPS,0)))),0)</f>
        <v>0</v>
      </c>
      <c r="AQ289" s="118">
        <f>-(AP289)*PORTS!$I$6</f>
        <v>0</v>
      </c>
      <c r="AR289" s="215">
        <f t="shared" si="123"/>
        <v>0</v>
      </c>
      <c r="AS289" s="202"/>
      <c r="AT289" s="186">
        <f t="shared" si="151"/>
        <v>44958</v>
      </c>
      <c r="AU289" s="232">
        <f>+AR289*(VLOOKUP(AT289,CURVECALC!$C$6:$J$312,4,0)+AV$5)</f>
        <v>0</v>
      </c>
      <c r="AV289" s="208">
        <f>-AN289*INDEX(ship_curves,MATCH(AT289,'SHIP CURVES'!$A$9:$A$316,0),MATCH(CONCATENATE(AX$4,AX$5,AX$6,AX$7),'SHIP CURVES'!$A$9:$AZ$9,0))</f>
        <v>0</v>
      </c>
      <c r="AW289" s="209">
        <f>-AP289*INDEX(port_processing_fee,MATCH(AT289,PORTS!$H$626:$H$933,0),MATCH(AX$5,PORTS!$H$626:$Z$626,0))</f>
        <v>0</v>
      </c>
      <c r="AX289" s="405">
        <f>(((VLOOKUP(AT289,curvecalc,4,0))*IF(AN289=0,0,AR289/AN289)-INDEX(ship_curves,MATCH(AT289,'SHIP CURVES'!$A$9:$A$316,0),MATCH(CONCATENATE(AX$4,AX$5,AX$6,AX$7),'SHIP CURVES'!$A$9:$Z$9,0))-INDEX(terminal_curves,MATCH(AT289,'TERMINAL CURVES'!$A$4:$A$313,0),MATCH(AX$5,'TERMINAL CURVES'!$A$4:$N$4,0))*IF(AN289=0,0,AP289/AN289))-(AV$8)*((AV$7-$N$5)-(INDEX(ship_curves,MATCH(AT289,'SHIP CURVES'!$A$9:$A$316,0),MATCH(CONCATENATE(AX$4,AX$5,AX$6,AX$7),'SHIP CURVES'!$A$9:$Z$9,0))-INDEX(ship_curves,MATCH(AT289,'SHIP CURVES'!$A$9:$A$316,0),MATCH(CONCATENATE(AX$4,AV$6,AX$6,AX$7),'SHIP CURVES'!$A$9:$Z$9,0)))-(INDEX(terminal_curves,MATCH(AT289,'TERMINAL CURVES'!$A$4:$A$313,0),MATCH(AX$5,'TERMINAL CURVES'!$A$4:$N$4,0))-INDEX(terminal_curves,MATCH(AT289,'TERMINAL CURVES'!$A$4:$A$313,0),MATCH(AV$6,'TERMINAL CURVES'!$A$4:$N$4,0)))*IF(AN289=0,0,AP289/AN289)))*-AN289</f>
        <v>0</v>
      </c>
      <c r="AY289" s="343">
        <f t="shared" si="142"/>
        <v>0</v>
      </c>
      <c r="AZ289" s="338">
        <f>(-AP289/((HLOOKUP(AX$5,port_specs,2,0)/(365.25))*(AT290-AT289)))*(INDEX(fixed_capacity_charge,MATCH(AT289,PORTS!$H$11:$H$317,0),MATCH(AX$5,PORTS!$H$11:$N$11,0))+INDEX(variable_om_charge,MATCH(AT289,PORTS!$H$318:$H$625,0),MATCH(AX$5,PORTS!$H$318:$N$318,0)))</f>
        <v>0</v>
      </c>
      <c r="BA289" s="232">
        <f t="shared" si="143"/>
        <v>0</v>
      </c>
      <c r="BB289" s="241">
        <f t="shared" si="144"/>
        <v>0</v>
      </c>
      <c r="BC289" s="408"/>
      <c r="BD289" s="338">
        <f>+PORTS!I283+PORTS!I591</f>
        <v>0</v>
      </c>
    </row>
    <row r="290" spans="1:56" x14ac:dyDescent="0.2">
      <c r="A290" s="186">
        <f t="shared" si="145"/>
        <v>44986</v>
      </c>
      <c r="B290" s="215">
        <f>+IF(AND($A290&gt;=$C$8,$A290&lt;=$C$9),1,0)*PORTS!$I$5/(365.25)*(A291-A290)</f>
        <v>0</v>
      </c>
      <c r="C290" s="351">
        <f t="shared" si="124"/>
        <v>0</v>
      </c>
      <c r="D290">
        <f t="shared" si="125"/>
        <v>2023</v>
      </c>
      <c r="E290" s="186">
        <f t="shared" si="146"/>
        <v>44986</v>
      </c>
      <c r="F290" s="215">
        <f t="shared" si="126"/>
        <v>0</v>
      </c>
      <c r="G290" s="191">
        <f t="shared" si="127"/>
        <v>0</v>
      </c>
      <c r="H290" s="218">
        <f t="shared" si="128"/>
        <v>0</v>
      </c>
      <c r="I290" s="118">
        <f t="shared" si="129"/>
        <v>0</v>
      </c>
      <c r="J290" s="215">
        <f t="shared" si="130"/>
        <v>0</v>
      </c>
      <c r="K290" s="202"/>
      <c r="L290" s="186">
        <f t="shared" si="147"/>
        <v>44986</v>
      </c>
      <c r="M290" s="400">
        <f>+J290*(VLOOKUP(L290,CURVECALC!$C$6:$J$312,4,0)+N$5)</f>
        <v>0</v>
      </c>
      <c r="N290" s="208">
        <f>-F290*INDEX(ship_curves,MATCH(L290,'SHIP CURVES'!$A$9:$A$316,0),MATCH(CONCATENATE(P$4,P$5,P$6,P$7),'SHIP CURVES'!$A$9:$AZ$9,0))</f>
        <v>0</v>
      </c>
      <c r="O290" s="209">
        <f>-H290*INDEX(port_processing_fee,MATCH(L290,PORTS!$H$626:$H$933,0),MATCH(P$5,PORTS!$H$626:$Z$626,0))</f>
        <v>0</v>
      </c>
      <c r="P290" s="405">
        <f>(((VLOOKUP(L290,curvecalc,4,0))*IF(F290=0,0,J290/F290)-INDEX(ship_curves,MATCH(L290,'SHIP CURVES'!$A$9:$A$316,0),MATCH(CONCATENATE(P$4,P$5,P$6,P$7),'SHIP CURVES'!$A$9:$Z$9,0))-INDEX(terminal_curves,MATCH(L290,'TERMINAL CURVES'!$A$4:$A$313,0),MATCH(P$5,'TERMINAL CURVES'!$A$4:$N$4,0))*IF(F290=0,0,H290/F290))-(N$8)*((N$7-$N$5)-(INDEX(ship_curves,MATCH(L290,'SHIP CURVES'!$A$9:$A$316,0),MATCH(CONCATENATE(P$4,P$5,P$6,P$7),'SHIP CURVES'!$A$9:$Z$9,0))-INDEX(ship_curves,MATCH(L290,'SHIP CURVES'!$A$9:$A$316,0),MATCH(CONCATENATE(P$4,N$6,P$6,P$7),'SHIP CURVES'!$A$9:$Z$9,0)))-(INDEX(terminal_curves,MATCH(L290,'TERMINAL CURVES'!$A$4:$A$313,0),MATCH(P$5,'TERMINAL CURVES'!$A$4:$N$4,0))-INDEX(terminal_curves,MATCH(L290,'TERMINAL CURVES'!$A$4:$A$313,0),MATCH(N$6,'TERMINAL CURVES'!$A$4:$N$4,0)))*IF(F290=0,0,H290/F290)))*-F290</f>
        <v>0</v>
      </c>
      <c r="Q290" s="403">
        <f t="shared" si="131"/>
        <v>0</v>
      </c>
      <c r="R290" s="338">
        <f>(-H290/((HLOOKUP(P$5,port_specs,2,0)/(365.25))*(L291-L290)))*(INDEX(fixed_capacity_charge,MATCH(L290,PORTS!$H$11:$H$317,0),MATCH(P$5,PORTS!$H$11:$N$11,0))+INDEX(variable_om_charge,MATCH(L290,PORTS!$H$318:$H$625,0),MATCH(P$5,PORTS!$H$318:$N$318,0)))</f>
        <v>0</v>
      </c>
      <c r="S290" s="232">
        <f t="shared" si="132"/>
        <v>0</v>
      </c>
      <c r="T290" s="241">
        <f t="shared" si="133"/>
        <v>0</v>
      </c>
      <c r="V290" s="186">
        <f t="shared" si="148"/>
        <v>44986</v>
      </c>
      <c r="W290" s="215">
        <f t="shared" si="134"/>
        <v>0</v>
      </c>
      <c r="X290" s="191">
        <f t="shared" si="135"/>
        <v>0</v>
      </c>
      <c r="Y290" s="218">
        <f>+IF(AND(X$8&lt;=V290,X$9&gt;=V290),+MIN($B290-SUMIF($H$17:X$17,Y$17,$H290:X290),((INDEX(ROUTE_PER_DAY_BY_SHIP,MATCH(CONCATENATE(X$4,X$5,X$7),ROUTE_PER_DAY_ROUTES,0),MATCH(X$6,ROUTE_PER_DAY_SHIPS,0))*(V291-V290))-(INDEX(ROUTE_PER_DAY_BY_SHIP,MATCH(CONCATENATE(X$4,X$5,X$7),ROUTE_PER_DAY_ROUTES,0),MATCH(X$6,ROUTE_PER_DAY_SHIPS,0))*(V291-V290))*HLOOKUP(X$6,SHIPS,7,0)*INDEX(LADEN_VOYAGE_DAYS,MATCH(CONCATENATE(X$4,X$5,X$7),LADEN_VOYAGE_ROUTES,0),MATCH(X$6,LADEN_VOYAGE_SHIPS,0)))),0)</f>
        <v>0</v>
      </c>
      <c r="Z290" s="118">
        <f t="shared" si="136"/>
        <v>0</v>
      </c>
      <c r="AA290" s="215">
        <f t="shared" si="122"/>
        <v>0</v>
      </c>
      <c r="AB290" s="202"/>
      <c r="AC290" s="186">
        <f t="shared" si="149"/>
        <v>44986</v>
      </c>
      <c r="AD290" s="232">
        <f>+AA290*(VLOOKUP(AC290,CURVECALC!$C$6:$J$312,4,0)+AE$5)</f>
        <v>0</v>
      </c>
      <c r="AE290" s="208">
        <f>-W290*INDEX(ship_curves,MATCH(AC290,'SHIP CURVES'!$A$9:$A$316,0),MATCH(CONCATENATE(AG$4,AG$5,AG$6,AG$7),'SHIP CURVES'!$A$9:$AZ$9,0))</f>
        <v>0</v>
      </c>
      <c r="AF290" s="209">
        <f>-Y290*INDEX(port_processing_fee,MATCH(AC290,PORTS!$H$626:$H$933,0),MATCH(AG$5,PORTS!$H$626:$Z$626,0))</f>
        <v>0</v>
      </c>
      <c r="AG290" s="405">
        <f>(((VLOOKUP(AC290,curvecalc,4,0))*IF(W290=0,0,AA290/W290)-INDEX(ship_curves,MATCH(AC290,'SHIP CURVES'!$A$9:$A$316,0),MATCH(CONCATENATE(AG$4,AG$5,AG$6,AG$7),'SHIP CURVES'!$A$9:$Z$9,0))-INDEX(terminal_curves,MATCH(AC290,'TERMINAL CURVES'!$A$4:$A$313,0),MATCH(AG$5,'TERMINAL CURVES'!$A$4:$N$4,0))*IF(W290=0,0,Y290/W290))-(AE$8)*((AE$7-$N$5)-(INDEX(ship_curves,MATCH(AC290,'SHIP CURVES'!$A$9:$A$316,0),MATCH(CONCATENATE(AG$4,AG$5,AG$6,AG$7),'SHIP CURVES'!$A$9:$Z$9,0))-INDEX(ship_curves,MATCH(AC290,'SHIP CURVES'!$A$9:$A$316,0),MATCH(CONCATENATE(AG$4,AE$6,AG$6,AG$7),'SHIP CURVES'!$A$9:$Z$9,0)))-(INDEX(terminal_curves,MATCH(AC290,'TERMINAL CURVES'!$A$4:$A$313,0),MATCH(AG$5,'TERMINAL CURVES'!$A$4:$N$4,0))-INDEX(terminal_curves,MATCH(AC290,'TERMINAL CURVES'!$A$4:$A$313,0),MATCH(AE$6,'TERMINAL CURVES'!$A$4:$N$4,0)))*IF(W290=0,0,Y290/W290)))*-W290</f>
        <v>0</v>
      </c>
      <c r="AH290" s="343">
        <f t="shared" si="137"/>
        <v>0</v>
      </c>
      <c r="AI290" s="338">
        <f>(-Y290/((HLOOKUP(AG$5,port_specs,2,0)/(365.25))*(AC291-AC290)))*(INDEX(fixed_capacity_charge,MATCH(AC290,PORTS!$H$11:$H$317,0),MATCH(AG$5,PORTS!$H$11:$N$11,0))+INDEX(variable_om_charge,MATCH(AC290,PORTS!$H$318:$H$625,0),MATCH(AG$5,PORTS!$H$318:$N$318,0)))</f>
        <v>0</v>
      </c>
      <c r="AJ290" s="232">
        <f t="shared" si="138"/>
        <v>0</v>
      </c>
      <c r="AK290" s="241">
        <f t="shared" si="139"/>
        <v>0</v>
      </c>
      <c r="AM290" s="186">
        <f t="shared" si="150"/>
        <v>44986</v>
      </c>
      <c r="AN290" s="215">
        <f t="shared" si="140"/>
        <v>0</v>
      </c>
      <c r="AO290" s="191">
        <f t="shared" si="141"/>
        <v>0</v>
      </c>
      <c r="AP290" s="218">
        <f>+IF(AND(AO$8&lt;=AM290,AO$9&gt;=AM290),+MIN($B290-SUMIF($H$17:AO$17,AP$17,$H290:AO290),((INDEX(ROUTE_PER_DAY_BY_SHIP,MATCH(CONCATENATE(AO$4,AO$5,AO$7),ROUTE_PER_DAY_ROUTES,0),MATCH(AO$6,ROUTE_PER_DAY_SHIPS,0))*(AM291-AM290))-(INDEX(ROUTE_PER_DAY_BY_SHIP,MATCH(CONCATENATE(AO$4,AO$5,AO$7),ROUTE_PER_DAY_ROUTES,0),MATCH(AO$6,ROUTE_PER_DAY_SHIPS,0))*(AM291-AM290))*HLOOKUP(AO$6,SHIPS,7,0)*INDEX(LADEN_VOYAGE_DAYS,MATCH(CONCATENATE(AO$4,AO$5,AO$7),LADEN_VOYAGE_ROUTES,0),MATCH(AO$6,LADEN_VOYAGE_SHIPS,0)))),0)</f>
        <v>0</v>
      </c>
      <c r="AQ290" s="118">
        <f>-(AP290)*PORTS!$I$6</f>
        <v>0</v>
      </c>
      <c r="AR290" s="215">
        <f t="shared" si="123"/>
        <v>0</v>
      </c>
      <c r="AS290" s="202"/>
      <c r="AT290" s="186">
        <f t="shared" si="151"/>
        <v>44986</v>
      </c>
      <c r="AU290" s="232">
        <f>+AR290*(VLOOKUP(AT290,CURVECALC!$C$6:$J$312,4,0)+AV$5)</f>
        <v>0</v>
      </c>
      <c r="AV290" s="208">
        <f>-AN290*INDEX(ship_curves,MATCH(AT290,'SHIP CURVES'!$A$9:$A$316,0),MATCH(CONCATENATE(AX$4,AX$5,AX$6,AX$7),'SHIP CURVES'!$A$9:$AZ$9,0))</f>
        <v>0</v>
      </c>
      <c r="AW290" s="209">
        <f>-AP290*INDEX(port_processing_fee,MATCH(AT290,PORTS!$H$626:$H$933,0),MATCH(AX$5,PORTS!$H$626:$Z$626,0))</f>
        <v>0</v>
      </c>
      <c r="AX290" s="405">
        <f>(((VLOOKUP(AT290,curvecalc,4,0))*IF(AN290=0,0,AR290/AN290)-INDEX(ship_curves,MATCH(AT290,'SHIP CURVES'!$A$9:$A$316,0),MATCH(CONCATENATE(AX$4,AX$5,AX$6,AX$7),'SHIP CURVES'!$A$9:$Z$9,0))-INDEX(terminal_curves,MATCH(AT290,'TERMINAL CURVES'!$A$4:$A$313,0),MATCH(AX$5,'TERMINAL CURVES'!$A$4:$N$4,0))*IF(AN290=0,0,AP290/AN290))-(AV$8)*((AV$7-$N$5)-(INDEX(ship_curves,MATCH(AT290,'SHIP CURVES'!$A$9:$A$316,0),MATCH(CONCATENATE(AX$4,AX$5,AX$6,AX$7),'SHIP CURVES'!$A$9:$Z$9,0))-INDEX(ship_curves,MATCH(AT290,'SHIP CURVES'!$A$9:$A$316,0),MATCH(CONCATENATE(AX$4,AV$6,AX$6,AX$7),'SHIP CURVES'!$A$9:$Z$9,0)))-(INDEX(terminal_curves,MATCH(AT290,'TERMINAL CURVES'!$A$4:$A$313,0),MATCH(AX$5,'TERMINAL CURVES'!$A$4:$N$4,0))-INDEX(terminal_curves,MATCH(AT290,'TERMINAL CURVES'!$A$4:$A$313,0),MATCH(AV$6,'TERMINAL CURVES'!$A$4:$N$4,0)))*IF(AN290=0,0,AP290/AN290)))*-AN290</f>
        <v>0</v>
      </c>
      <c r="AY290" s="343">
        <f t="shared" si="142"/>
        <v>0</v>
      </c>
      <c r="AZ290" s="338">
        <f>(-AP290/((HLOOKUP(AX$5,port_specs,2,0)/(365.25))*(AT291-AT290)))*(INDEX(fixed_capacity_charge,MATCH(AT290,PORTS!$H$11:$H$317,0),MATCH(AX$5,PORTS!$H$11:$N$11,0))+INDEX(variable_om_charge,MATCH(AT290,PORTS!$H$318:$H$625,0),MATCH(AX$5,PORTS!$H$318:$N$318,0)))</f>
        <v>0</v>
      </c>
      <c r="BA290" s="232">
        <f t="shared" si="143"/>
        <v>0</v>
      </c>
      <c r="BB290" s="241">
        <f t="shared" si="144"/>
        <v>0</v>
      </c>
      <c r="BC290" s="408"/>
      <c r="BD290" s="338">
        <f>+PORTS!I284+PORTS!I592</f>
        <v>0</v>
      </c>
    </row>
    <row r="291" spans="1:56" x14ac:dyDescent="0.2">
      <c r="A291" s="186">
        <f t="shared" si="145"/>
        <v>45017</v>
      </c>
      <c r="B291" s="215">
        <f>+IF(AND($A291&gt;=$C$8,$A291&lt;=$C$9),1,0)*PORTS!$I$5/(365.25)*(A292-A291)</f>
        <v>0</v>
      </c>
      <c r="C291" s="351">
        <f t="shared" si="124"/>
        <v>0</v>
      </c>
      <c r="D291">
        <f t="shared" si="125"/>
        <v>2023</v>
      </c>
      <c r="E291" s="186">
        <f t="shared" si="146"/>
        <v>45017</v>
      </c>
      <c r="F291" s="215">
        <f t="shared" si="126"/>
        <v>0</v>
      </c>
      <c r="G291" s="191">
        <f t="shared" si="127"/>
        <v>0</v>
      </c>
      <c r="H291" s="218">
        <f t="shared" si="128"/>
        <v>0</v>
      </c>
      <c r="I291" s="118">
        <f t="shared" si="129"/>
        <v>0</v>
      </c>
      <c r="J291" s="215">
        <f t="shared" si="130"/>
        <v>0</v>
      </c>
      <c r="K291" s="202"/>
      <c r="L291" s="186">
        <f t="shared" si="147"/>
        <v>45017</v>
      </c>
      <c r="M291" s="400">
        <f>+J291*(VLOOKUP(L291,CURVECALC!$C$6:$J$312,4,0)+N$5)</f>
        <v>0</v>
      </c>
      <c r="N291" s="208">
        <f>-F291*INDEX(ship_curves,MATCH(L291,'SHIP CURVES'!$A$9:$A$316,0),MATCH(CONCATENATE(P$4,P$5,P$6,P$7),'SHIP CURVES'!$A$9:$AZ$9,0))</f>
        <v>0</v>
      </c>
      <c r="O291" s="209">
        <f>-H291*INDEX(port_processing_fee,MATCH(L291,PORTS!$H$626:$H$933,0),MATCH(P$5,PORTS!$H$626:$Z$626,0))</f>
        <v>0</v>
      </c>
      <c r="P291" s="405">
        <f>(((VLOOKUP(L291,curvecalc,4,0))*IF(F291=0,0,J291/F291)-INDEX(ship_curves,MATCH(L291,'SHIP CURVES'!$A$9:$A$316,0),MATCH(CONCATENATE(P$4,P$5,P$6,P$7),'SHIP CURVES'!$A$9:$Z$9,0))-INDEX(terminal_curves,MATCH(L291,'TERMINAL CURVES'!$A$4:$A$313,0),MATCH(P$5,'TERMINAL CURVES'!$A$4:$N$4,0))*IF(F291=0,0,H291/F291))-(N$8)*((N$7-$N$5)-(INDEX(ship_curves,MATCH(L291,'SHIP CURVES'!$A$9:$A$316,0),MATCH(CONCATENATE(P$4,P$5,P$6,P$7),'SHIP CURVES'!$A$9:$Z$9,0))-INDEX(ship_curves,MATCH(L291,'SHIP CURVES'!$A$9:$A$316,0),MATCH(CONCATENATE(P$4,N$6,P$6,P$7),'SHIP CURVES'!$A$9:$Z$9,0)))-(INDEX(terminal_curves,MATCH(L291,'TERMINAL CURVES'!$A$4:$A$313,0),MATCH(P$5,'TERMINAL CURVES'!$A$4:$N$4,0))-INDEX(terminal_curves,MATCH(L291,'TERMINAL CURVES'!$A$4:$A$313,0),MATCH(N$6,'TERMINAL CURVES'!$A$4:$N$4,0)))*IF(F291=0,0,H291/F291)))*-F291</f>
        <v>0</v>
      </c>
      <c r="Q291" s="403">
        <f t="shared" si="131"/>
        <v>0</v>
      </c>
      <c r="R291" s="338">
        <f>(-H291/((HLOOKUP(P$5,port_specs,2,0)/(365.25))*(L292-L291)))*(INDEX(fixed_capacity_charge,MATCH(L291,PORTS!$H$11:$H$317,0),MATCH(P$5,PORTS!$H$11:$N$11,0))+INDEX(variable_om_charge,MATCH(L291,PORTS!$H$318:$H$625,0),MATCH(P$5,PORTS!$H$318:$N$318,0)))</f>
        <v>0</v>
      </c>
      <c r="S291" s="232">
        <f t="shared" si="132"/>
        <v>0</v>
      </c>
      <c r="T291" s="241">
        <f t="shared" si="133"/>
        <v>0</v>
      </c>
      <c r="V291" s="186">
        <f t="shared" si="148"/>
        <v>45017</v>
      </c>
      <c r="W291" s="215">
        <f t="shared" si="134"/>
        <v>0</v>
      </c>
      <c r="X291" s="191">
        <f t="shared" si="135"/>
        <v>0</v>
      </c>
      <c r="Y291" s="218">
        <f>+IF(AND(X$8&lt;=V291,X$9&gt;=V291),+MIN($B291-SUMIF($H$17:X$17,Y$17,$H291:X291),((INDEX(ROUTE_PER_DAY_BY_SHIP,MATCH(CONCATENATE(X$4,X$5,X$7),ROUTE_PER_DAY_ROUTES,0),MATCH(X$6,ROUTE_PER_DAY_SHIPS,0))*(V292-V291))-(INDEX(ROUTE_PER_DAY_BY_SHIP,MATCH(CONCATENATE(X$4,X$5,X$7),ROUTE_PER_DAY_ROUTES,0),MATCH(X$6,ROUTE_PER_DAY_SHIPS,0))*(V292-V291))*HLOOKUP(X$6,SHIPS,7,0)*INDEX(LADEN_VOYAGE_DAYS,MATCH(CONCATENATE(X$4,X$5,X$7),LADEN_VOYAGE_ROUTES,0),MATCH(X$6,LADEN_VOYAGE_SHIPS,0)))),0)</f>
        <v>0</v>
      </c>
      <c r="Z291" s="118">
        <f t="shared" si="136"/>
        <v>0</v>
      </c>
      <c r="AA291" s="215">
        <f t="shared" si="122"/>
        <v>0</v>
      </c>
      <c r="AB291" s="202"/>
      <c r="AC291" s="186">
        <f t="shared" si="149"/>
        <v>45017</v>
      </c>
      <c r="AD291" s="232">
        <f>+AA291*(VLOOKUP(AC291,CURVECALC!$C$6:$J$312,4,0)+AE$5)</f>
        <v>0</v>
      </c>
      <c r="AE291" s="208">
        <f>-W291*INDEX(ship_curves,MATCH(AC291,'SHIP CURVES'!$A$9:$A$316,0),MATCH(CONCATENATE(AG$4,AG$5,AG$6,AG$7),'SHIP CURVES'!$A$9:$AZ$9,0))</f>
        <v>0</v>
      </c>
      <c r="AF291" s="209">
        <f>-Y291*INDEX(port_processing_fee,MATCH(AC291,PORTS!$H$626:$H$933,0),MATCH(AG$5,PORTS!$H$626:$Z$626,0))</f>
        <v>0</v>
      </c>
      <c r="AG291" s="405">
        <f>(((VLOOKUP(AC291,curvecalc,4,0))*IF(W291=0,0,AA291/W291)-INDEX(ship_curves,MATCH(AC291,'SHIP CURVES'!$A$9:$A$316,0),MATCH(CONCATENATE(AG$4,AG$5,AG$6,AG$7),'SHIP CURVES'!$A$9:$Z$9,0))-INDEX(terminal_curves,MATCH(AC291,'TERMINAL CURVES'!$A$4:$A$313,0),MATCH(AG$5,'TERMINAL CURVES'!$A$4:$N$4,0))*IF(W291=0,0,Y291/W291))-(AE$8)*((AE$7-$N$5)-(INDEX(ship_curves,MATCH(AC291,'SHIP CURVES'!$A$9:$A$316,0),MATCH(CONCATENATE(AG$4,AG$5,AG$6,AG$7),'SHIP CURVES'!$A$9:$Z$9,0))-INDEX(ship_curves,MATCH(AC291,'SHIP CURVES'!$A$9:$A$316,0),MATCH(CONCATENATE(AG$4,AE$6,AG$6,AG$7),'SHIP CURVES'!$A$9:$Z$9,0)))-(INDEX(terminal_curves,MATCH(AC291,'TERMINAL CURVES'!$A$4:$A$313,0),MATCH(AG$5,'TERMINAL CURVES'!$A$4:$N$4,0))-INDEX(terminal_curves,MATCH(AC291,'TERMINAL CURVES'!$A$4:$A$313,0),MATCH(AE$6,'TERMINAL CURVES'!$A$4:$N$4,0)))*IF(W291=0,0,Y291/W291)))*-W291</f>
        <v>0</v>
      </c>
      <c r="AH291" s="343">
        <f t="shared" si="137"/>
        <v>0</v>
      </c>
      <c r="AI291" s="338">
        <f>(-Y291/((HLOOKUP(AG$5,port_specs,2,0)/(365.25))*(AC292-AC291)))*(INDEX(fixed_capacity_charge,MATCH(AC291,PORTS!$H$11:$H$317,0),MATCH(AG$5,PORTS!$H$11:$N$11,0))+INDEX(variable_om_charge,MATCH(AC291,PORTS!$H$318:$H$625,0),MATCH(AG$5,PORTS!$H$318:$N$318,0)))</f>
        <v>0</v>
      </c>
      <c r="AJ291" s="232">
        <f t="shared" si="138"/>
        <v>0</v>
      </c>
      <c r="AK291" s="241">
        <f t="shared" si="139"/>
        <v>0</v>
      </c>
      <c r="AM291" s="186">
        <f t="shared" si="150"/>
        <v>45017</v>
      </c>
      <c r="AN291" s="215">
        <f t="shared" si="140"/>
        <v>0</v>
      </c>
      <c r="AO291" s="191">
        <f t="shared" si="141"/>
        <v>0</v>
      </c>
      <c r="AP291" s="218">
        <f>+IF(AND(AO$8&lt;=AM291,AO$9&gt;=AM291),+MIN($B291-SUMIF($H$17:AO$17,AP$17,$H291:AO291),((INDEX(ROUTE_PER_DAY_BY_SHIP,MATCH(CONCATENATE(AO$4,AO$5,AO$7),ROUTE_PER_DAY_ROUTES,0),MATCH(AO$6,ROUTE_PER_DAY_SHIPS,0))*(AM292-AM291))-(INDEX(ROUTE_PER_DAY_BY_SHIP,MATCH(CONCATENATE(AO$4,AO$5,AO$7),ROUTE_PER_DAY_ROUTES,0),MATCH(AO$6,ROUTE_PER_DAY_SHIPS,0))*(AM292-AM291))*HLOOKUP(AO$6,SHIPS,7,0)*INDEX(LADEN_VOYAGE_DAYS,MATCH(CONCATENATE(AO$4,AO$5,AO$7),LADEN_VOYAGE_ROUTES,0),MATCH(AO$6,LADEN_VOYAGE_SHIPS,0)))),0)</f>
        <v>0</v>
      </c>
      <c r="AQ291" s="118">
        <f>-(AP291)*PORTS!$I$6</f>
        <v>0</v>
      </c>
      <c r="AR291" s="215">
        <f t="shared" si="123"/>
        <v>0</v>
      </c>
      <c r="AS291" s="202"/>
      <c r="AT291" s="186">
        <f t="shared" si="151"/>
        <v>45017</v>
      </c>
      <c r="AU291" s="232">
        <f>+AR291*(VLOOKUP(AT291,CURVECALC!$C$6:$J$312,4,0)+AV$5)</f>
        <v>0</v>
      </c>
      <c r="AV291" s="208">
        <f>-AN291*INDEX(ship_curves,MATCH(AT291,'SHIP CURVES'!$A$9:$A$316,0),MATCH(CONCATENATE(AX$4,AX$5,AX$6,AX$7),'SHIP CURVES'!$A$9:$AZ$9,0))</f>
        <v>0</v>
      </c>
      <c r="AW291" s="209">
        <f>-AP291*INDEX(port_processing_fee,MATCH(AT291,PORTS!$H$626:$H$933,0),MATCH(AX$5,PORTS!$H$626:$Z$626,0))</f>
        <v>0</v>
      </c>
      <c r="AX291" s="405">
        <f>(((VLOOKUP(AT291,curvecalc,4,0))*IF(AN291=0,0,AR291/AN291)-INDEX(ship_curves,MATCH(AT291,'SHIP CURVES'!$A$9:$A$316,0),MATCH(CONCATENATE(AX$4,AX$5,AX$6,AX$7),'SHIP CURVES'!$A$9:$Z$9,0))-INDEX(terminal_curves,MATCH(AT291,'TERMINAL CURVES'!$A$4:$A$313,0),MATCH(AX$5,'TERMINAL CURVES'!$A$4:$N$4,0))*IF(AN291=0,0,AP291/AN291))-(AV$8)*((AV$7-$N$5)-(INDEX(ship_curves,MATCH(AT291,'SHIP CURVES'!$A$9:$A$316,0),MATCH(CONCATENATE(AX$4,AX$5,AX$6,AX$7),'SHIP CURVES'!$A$9:$Z$9,0))-INDEX(ship_curves,MATCH(AT291,'SHIP CURVES'!$A$9:$A$316,0),MATCH(CONCATENATE(AX$4,AV$6,AX$6,AX$7),'SHIP CURVES'!$A$9:$Z$9,0)))-(INDEX(terminal_curves,MATCH(AT291,'TERMINAL CURVES'!$A$4:$A$313,0),MATCH(AX$5,'TERMINAL CURVES'!$A$4:$N$4,0))-INDEX(terminal_curves,MATCH(AT291,'TERMINAL CURVES'!$A$4:$A$313,0),MATCH(AV$6,'TERMINAL CURVES'!$A$4:$N$4,0)))*IF(AN291=0,0,AP291/AN291)))*-AN291</f>
        <v>0</v>
      </c>
      <c r="AY291" s="343">
        <f t="shared" si="142"/>
        <v>0</v>
      </c>
      <c r="AZ291" s="338">
        <f>(-AP291/((HLOOKUP(AX$5,port_specs,2,0)/(365.25))*(AT292-AT291)))*(INDEX(fixed_capacity_charge,MATCH(AT291,PORTS!$H$11:$H$317,0),MATCH(AX$5,PORTS!$H$11:$N$11,0))+INDEX(variable_om_charge,MATCH(AT291,PORTS!$H$318:$H$625,0),MATCH(AX$5,PORTS!$H$318:$N$318,0)))</f>
        <v>0</v>
      </c>
      <c r="BA291" s="232">
        <f t="shared" si="143"/>
        <v>0</v>
      </c>
      <c r="BB291" s="241">
        <f t="shared" si="144"/>
        <v>0</v>
      </c>
      <c r="BC291" s="408"/>
      <c r="BD291" s="338">
        <f>+PORTS!I285+PORTS!I593</f>
        <v>0</v>
      </c>
    </row>
    <row r="292" spans="1:56" x14ac:dyDescent="0.2">
      <c r="A292" s="186">
        <f t="shared" si="145"/>
        <v>45047</v>
      </c>
      <c r="B292" s="215">
        <f>+IF(AND($A292&gt;=$C$8,$A292&lt;=$C$9),1,0)*PORTS!$I$5/(365.25)*(A293-A292)</f>
        <v>0</v>
      </c>
      <c r="C292" s="351">
        <f t="shared" si="124"/>
        <v>0</v>
      </c>
      <c r="D292">
        <f t="shared" si="125"/>
        <v>2023</v>
      </c>
      <c r="E292" s="186">
        <f t="shared" si="146"/>
        <v>45047</v>
      </c>
      <c r="F292" s="215">
        <f t="shared" si="126"/>
        <v>0</v>
      </c>
      <c r="G292" s="191">
        <f t="shared" si="127"/>
        <v>0</v>
      </c>
      <c r="H292" s="218">
        <f t="shared" si="128"/>
        <v>0</v>
      </c>
      <c r="I292" s="118">
        <f t="shared" si="129"/>
        <v>0</v>
      </c>
      <c r="J292" s="215">
        <f t="shared" si="130"/>
        <v>0</v>
      </c>
      <c r="K292" s="202"/>
      <c r="L292" s="186">
        <f t="shared" si="147"/>
        <v>45047</v>
      </c>
      <c r="M292" s="400">
        <f>+J292*(VLOOKUP(L292,CURVECALC!$C$6:$J$312,4,0)+N$5)</f>
        <v>0</v>
      </c>
      <c r="N292" s="208">
        <f>-F292*INDEX(ship_curves,MATCH(L292,'SHIP CURVES'!$A$9:$A$316,0),MATCH(CONCATENATE(P$4,P$5,P$6,P$7),'SHIP CURVES'!$A$9:$AZ$9,0))</f>
        <v>0</v>
      </c>
      <c r="O292" s="209">
        <f>-H292*INDEX(port_processing_fee,MATCH(L292,PORTS!$H$626:$H$933,0),MATCH(P$5,PORTS!$H$626:$Z$626,0))</f>
        <v>0</v>
      </c>
      <c r="P292" s="405">
        <f>(((VLOOKUP(L292,curvecalc,4,0))*IF(F292=0,0,J292/F292)-INDEX(ship_curves,MATCH(L292,'SHIP CURVES'!$A$9:$A$316,0),MATCH(CONCATENATE(P$4,P$5,P$6,P$7),'SHIP CURVES'!$A$9:$Z$9,0))-INDEX(terminal_curves,MATCH(L292,'TERMINAL CURVES'!$A$4:$A$313,0),MATCH(P$5,'TERMINAL CURVES'!$A$4:$N$4,0))*IF(F292=0,0,H292/F292))-(N$8)*((N$7-$N$5)-(INDEX(ship_curves,MATCH(L292,'SHIP CURVES'!$A$9:$A$316,0),MATCH(CONCATENATE(P$4,P$5,P$6,P$7),'SHIP CURVES'!$A$9:$Z$9,0))-INDEX(ship_curves,MATCH(L292,'SHIP CURVES'!$A$9:$A$316,0),MATCH(CONCATENATE(P$4,N$6,P$6,P$7),'SHIP CURVES'!$A$9:$Z$9,0)))-(INDEX(terminal_curves,MATCH(L292,'TERMINAL CURVES'!$A$4:$A$313,0),MATCH(P$5,'TERMINAL CURVES'!$A$4:$N$4,0))-INDEX(terminal_curves,MATCH(L292,'TERMINAL CURVES'!$A$4:$A$313,0),MATCH(N$6,'TERMINAL CURVES'!$A$4:$N$4,0)))*IF(F292=0,0,H292/F292)))*-F292</f>
        <v>0</v>
      </c>
      <c r="Q292" s="403">
        <f t="shared" si="131"/>
        <v>0</v>
      </c>
      <c r="R292" s="338">
        <f>(-H292/((HLOOKUP(P$5,port_specs,2,0)/(365.25))*(L293-L292)))*(INDEX(fixed_capacity_charge,MATCH(L292,PORTS!$H$11:$H$317,0),MATCH(P$5,PORTS!$H$11:$N$11,0))+INDEX(variable_om_charge,MATCH(L292,PORTS!$H$318:$H$625,0),MATCH(P$5,PORTS!$H$318:$N$318,0)))</f>
        <v>0</v>
      </c>
      <c r="S292" s="232">
        <f t="shared" si="132"/>
        <v>0</v>
      </c>
      <c r="T292" s="241">
        <f t="shared" si="133"/>
        <v>0</v>
      </c>
      <c r="V292" s="186">
        <f t="shared" si="148"/>
        <v>45047</v>
      </c>
      <c r="W292" s="215">
        <f t="shared" si="134"/>
        <v>0</v>
      </c>
      <c r="X292" s="191">
        <f t="shared" si="135"/>
        <v>0</v>
      </c>
      <c r="Y292" s="218">
        <f>+IF(AND(X$8&lt;=V292,X$9&gt;=V292),+MIN($B292-SUMIF($H$17:X$17,Y$17,$H292:X292),((INDEX(ROUTE_PER_DAY_BY_SHIP,MATCH(CONCATENATE(X$4,X$5,X$7),ROUTE_PER_DAY_ROUTES,0),MATCH(X$6,ROUTE_PER_DAY_SHIPS,0))*(V293-V292))-(INDEX(ROUTE_PER_DAY_BY_SHIP,MATCH(CONCATENATE(X$4,X$5,X$7),ROUTE_PER_DAY_ROUTES,0),MATCH(X$6,ROUTE_PER_DAY_SHIPS,0))*(V293-V292))*HLOOKUP(X$6,SHIPS,7,0)*INDEX(LADEN_VOYAGE_DAYS,MATCH(CONCATENATE(X$4,X$5,X$7),LADEN_VOYAGE_ROUTES,0),MATCH(X$6,LADEN_VOYAGE_SHIPS,0)))),0)</f>
        <v>0</v>
      </c>
      <c r="Z292" s="118">
        <f t="shared" si="136"/>
        <v>0</v>
      </c>
      <c r="AA292" s="215">
        <f t="shared" si="122"/>
        <v>0</v>
      </c>
      <c r="AB292" s="202"/>
      <c r="AC292" s="186">
        <f t="shared" si="149"/>
        <v>45047</v>
      </c>
      <c r="AD292" s="232">
        <f>+AA292*(VLOOKUP(AC292,CURVECALC!$C$6:$J$312,4,0)+AE$5)</f>
        <v>0</v>
      </c>
      <c r="AE292" s="208">
        <f>-W292*INDEX(ship_curves,MATCH(AC292,'SHIP CURVES'!$A$9:$A$316,0),MATCH(CONCATENATE(AG$4,AG$5,AG$6,AG$7),'SHIP CURVES'!$A$9:$AZ$9,0))</f>
        <v>0</v>
      </c>
      <c r="AF292" s="209">
        <f>-Y292*INDEX(port_processing_fee,MATCH(AC292,PORTS!$H$626:$H$933,0),MATCH(AG$5,PORTS!$H$626:$Z$626,0))</f>
        <v>0</v>
      </c>
      <c r="AG292" s="405">
        <f>(((VLOOKUP(AC292,curvecalc,4,0))*IF(W292=0,0,AA292/W292)-INDEX(ship_curves,MATCH(AC292,'SHIP CURVES'!$A$9:$A$316,0),MATCH(CONCATENATE(AG$4,AG$5,AG$6,AG$7),'SHIP CURVES'!$A$9:$Z$9,0))-INDEX(terminal_curves,MATCH(AC292,'TERMINAL CURVES'!$A$4:$A$313,0),MATCH(AG$5,'TERMINAL CURVES'!$A$4:$N$4,0))*IF(W292=0,0,Y292/W292))-(AE$8)*((AE$7-$N$5)-(INDEX(ship_curves,MATCH(AC292,'SHIP CURVES'!$A$9:$A$316,0),MATCH(CONCATENATE(AG$4,AG$5,AG$6,AG$7),'SHIP CURVES'!$A$9:$Z$9,0))-INDEX(ship_curves,MATCH(AC292,'SHIP CURVES'!$A$9:$A$316,0),MATCH(CONCATENATE(AG$4,AE$6,AG$6,AG$7),'SHIP CURVES'!$A$9:$Z$9,0)))-(INDEX(terminal_curves,MATCH(AC292,'TERMINAL CURVES'!$A$4:$A$313,0),MATCH(AG$5,'TERMINAL CURVES'!$A$4:$N$4,0))-INDEX(terminal_curves,MATCH(AC292,'TERMINAL CURVES'!$A$4:$A$313,0),MATCH(AE$6,'TERMINAL CURVES'!$A$4:$N$4,0)))*IF(W292=0,0,Y292/W292)))*-W292</f>
        <v>0</v>
      </c>
      <c r="AH292" s="343">
        <f t="shared" si="137"/>
        <v>0</v>
      </c>
      <c r="AI292" s="338">
        <f>(-Y292/((HLOOKUP(AG$5,port_specs,2,0)/(365.25))*(AC293-AC292)))*(INDEX(fixed_capacity_charge,MATCH(AC292,PORTS!$H$11:$H$317,0),MATCH(AG$5,PORTS!$H$11:$N$11,0))+INDEX(variable_om_charge,MATCH(AC292,PORTS!$H$318:$H$625,0),MATCH(AG$5,PORTS!$H$318:$N$318,0)))</f>
        <v>0</v>
      </c>
      <c r="AJ292" s="232">
        <f t="shared" si="138"/>
        <v>0</v>
      </c>
      <c r="AK292" s="241">
        <f t="shared" si="139"/>
        <v>0</v>
      </c>
      <c r="AM292" s="186">
        <f t="shared" si="150"/>
        <v>45047</v>
      </c>
      <c r="AN292" s="215">
        <f t="shared" si="140"/>
        <v>0</v>
      </c>
      <c r="AO292" s="191">
        <f t="shared" si="141"/>
        <v>0</v>
      </c>
      <c r="AP292" s="218">
        <f>+IF(AND(AO$8&lt;=AM292,AO$9&gt;=AM292),+MIN($B292-SUMIF($H$17:AO$17,AP$17,$H292:AO292),((INDEX(ROUTE_PER_DAY_BY_SHIP,MATCH(CONCATENATE(AO$4,AO$5,AO$7),ROUTE_PER_DAY_ROUTES,0),MATCH(AO$6,ROUTE_PER_DAY_SHIPS,0))*(AM293-AM292))-(INDEX(ROUTE_PER_DAY_BY_SHIP,MATCH(CONCATENATE(AO$4,AO$5,AO$7),ROUTE_PER_DAY_ROUTES,0),MATCH(AO$6,ROUTE_PER_DAY_SHIPS,0))*(AM293-AM292))*HLOOKUP(AO$6,SHIPS,7,0)*INDEX(LADEN_VOYAGE_DAYS,MATCH(CONCATENATE(AO$4,AO$5,AO$7),LADEN_VOYAGE_ROUTES,0),MATCH(AO$6,LADEN_VOYAGE_SHIPS,0)))),0)</f>
        <v>0</v>
      </c>
      <c r="AQ292" s="118">
        <f>-(AP292)*PORTS!$I$6</f>
        <v>0</v>
      </c>
      <c r="AR292" s="215">
        <f t="shared" si="123"/>
        <v>0</v>
      </c>
      <c r="AS292" s="202"/>
      <c r="AT292" s="186">
        <f t="shared" si="151"/>
        <v>45047</v>
      </c>
      <c r="AU292" s="232">
        <f>+AR292*(VLOOKUP(AT292,CURVECALC!$C$6:$J$312,4,0)+AV$5)</f>
        <v>0</v>
      </c>
      <c r="AV292" s="208">
        <f>-AN292*INDEX(ship_curves,MATCH(AT292,'SHIP CURVES'!$A$9:$A$316,0),MATCH(CONCATENATE(AX$4,AX$5,AX$6,AX$7),'SHIP CURVES'!$A$9:$AZ$9,0))</f>
        <v>0</v>
      </c>
      <c r="AW292" s="209">
        <f>-AP292*INDEX(port_processing_fee,MATCH(AT292,PORTS!$H$626:$H$933,0),MATCH(AX$5,PORTS!$H$626:$Z$626,0))</f>
        <v>0</v>
      </c>
      <c r="AX292" s="405">
        <f>(((VLOOKUP(AT292,curvecalc,4,0))*IF(AN292=0,0,AR292/AN292)-INDEX(ship_curves,MATCH(AT292,'SHIP CURVES'!$A$9:$A$316,0),MATCH(CONCATENATE(AX$4,AX$5,AX$6,AX$7),'SHIP CURVES'!$A$9:$Z$9,0))-INDEX(terminal_curves,MATCH(AT292,'TERMINAL CURVES'!$A$4:$A$313,0),MATCH(AX$5,'TERMINAL CURVES'!$A$4:$N$4,0))*IF(AN292=0,0,AP292/AN292))-(AV$8)*((AV$7-$N$5)-(INDEX(ship_curves,MATCH(AT292,'SHIP CURVES'!$A$9:$A$316,0),MATCH(CONCATENATE(AX$4,AX$5,AX$6,AX$7),'SHIP CURVES'!$A$9:$Z$9,0))-INDEX(ship_curves,MATCH(AT292,'SHIP CURVES'!$A$9:$A$316,0),MATCH(CONCATENATE(AX$4,AV$6,AX$6,AX$7),'SHIP CURVES'!$A$9:$Z$9,0)))-(INDEX(terminal_curves,MATCH(AT292,'TERMINAL CURVES'!$A$4:$A$313,0),MATCH(AX$5,'TERMINAL CURVES'!$A$4:$N$4,0))-INDEX(terminal_curves,MATCH(AT292,'TERMINAL CURVES'!$A$4:$A$313,0),MATCH(AV$6,'TERMINAL CURVES'!$A$4:$N$4,0)))*IF(AN292=0,0,AP292/AN292)))*-AN292</f>
        <v>0</v>
      </c>
      <c r="AY292" s="343">
        <f t="shared" si="142"/>
        <v>0</v>
      </c>
      <c r="AZ292" s="338">
        <f>(-AP292/((HLOOKUP(AX$5,port_specs,2,0)/(365.25))*(AT293-AT292)))*(INDEX(fixed_capacity_charge,MATCH(AT292,PORTS!$H$11:$H$317,0),MATCH(AX$5,PORTS!$H$11:$N$11,0))+INDEX(variable_om_charge,MATCH(AT292,PORTS!$H$318:$H$625,0),MATCH(AX$5,PORTS!$H$318:$N$318,0)))</f>
        <v>0</v>
      </c>
      <c r="BA292" s="232">
        <f t="shared" si="143"/>
        <v>0</v>
      </c>
      <c r="BB292" s="241">
        <f t="shared" si="144"/>
        <v>0</v>
      </c>
      <c r="BC292" s="408"/>
      <c r="BD292" s="338">
        <f>+PORTS!I286+PORTS!I594</f>
        <v>0</v>
      </c>
    </row>
    <row r="293" spans="1:56" x14ac:dyDescent="0.2">
      <c r="A293" s="186">
        <f t="shared" si="145"/>
        <v>45078</v>
      </c>
      <c r="B293" s="215">
        <f>+IF(AND($A293&gt;=$C$8,$A293&lt;=$C$9),1,0)*PORTS!$I$5/(365.25)*(A294-A293)</f>
        <v>0</v>
      </c>
      <c r="C293" s="351">
        <f t="shared" si="124"/>
        <v>0</v>
      </c>
      <c r="D293">
        <f t="shared" si="125"/>
        <v>2023</v>
      </c>
      <c r="E293" s="186">
        <f t="shared" si="146"/>
        <v>45078</v>
      </c>
      <c r="F293" s="215">
        <f t="shared" si="126"/>
        <v>0</v>
      </c>
      <c r="G293" s="191">
        <f t="shared" si="127"/>
        <v>0</v>
      </c>
      <c r="H293" s="218">
        <f t="shared" si="128"/>
        <v>0</v>
      </c>
      <c r="I293" s="118">
        <f t="shared" si="129"/>
        <v>0</v>
      </c>
      <c r="J293" s="215">
        <f t="shared" si="130"/>
        <v>0</v>
      </c>
      <c r="K293" s="202"/>
      <c r="L293" s="186">
        <f t="shared" si="147"/>
        <v>45078</v>
      </c>
      <c r="M293" s="400">
        <f>+J293*(VLOOKUP(L293,CURVECALC!$C$6:$J$312,4,0)+N$5)</f>
        <v>0</v>
      </c>
      <c r="N293" s="208">
        <f>-F293*INDEX(ship_curves,MATCH(L293,'SHIP CURVES'!$A$9:$A$316,0),MATCH(CONCATENATE(P$4,P$5,P$6,P$7),'SHIP CURVES'!$A$9:$AZ$9,0))</f>
        <v>0</v>
      </c>
      <c r="O293" s="209">
        <f>-H293*INDEX(port_processing_fee,MATCH(L293,PORTS!$H$626:$H$933,0),MATCH(P$5,PORTS!$H$626:$Z$626,0))</f>
        <v>0</v>
      </c>
      <c r="P293" s="405">
        <f>(((VLOOKUP(L293,curvecalc,4,0))*IF(F293=0,0,J293/F293)-INDEX(ship_curves,MATCH(L293,'SHIP CURVES'!$A$9:$A$316,0),MATCH(CONCATENATE(P$4,P$5,P$6,P$7),'SHIP CURVES'!$A$9:$Z$9,0))-INDEX(terminal_curves,MATCH(L293,'TERMINAL CURVES'!$A$4:$A$313,0),MATCH(P$5,'TERMINAL CURVES'!$A$4:$N$4,0))*IF(F293=0,0,H293/F293))-(N$8)*((N$7-$N$5)-(INDEX(ship_curves,MATCH(L293,'SHIP CURVES'!$A$9:$A$316,0),MATCH(CONCATENATE(P$4,P$5,P$6,P$7),'SHIP CURVES'!$A$9:$Z$9,0))-INDEX(ship_curves,MATCH(L293,'SHIP CURVES'!$A$9:$A$316,0),MATCH(CONCATENATE(P$4,N$6,P$6,P$7),'SHIP CURVES'!$A$9:$Z$9,0)))-(INDEX(terminal_curves,MATCH(L293,'TERMINAL CURVES'!$A$4:$A$313,0),MATCH(P$5,'TERMINAL CURVES'!$A$4:$N$4,0))-INDEX(terminal_curves,MATCH(L293,'TERMINAL CURVES'!$A$4:$A$313,0),MATCH(N$6,'TERMINAL CURVES'!$A$4:$N$4,0)))*IF(F293=0,0,H293/F293)))*-F293</f>
        <v>0</v>
      </c>
      <c r="Q293" s="403">
        <f t="shared" si="131"/>
        <v>0</v>
      </c>
      <c r="R293" s="338">
        <f>(-H293/((HLOOKUP(P$5,port_specs,2,0)/(365.25))*(L294-L293)))*(INDEX(fixed_capacity_charge,MATCH(L293,PORTS!$H$11:$H$317,0),MATCH(P$5,PORTS!$H$11:$N$11,0))+INDEX(variable_om_charge,MATCH(L293,PORTS!$H$318:$H$625,0),MATCH(P$5,PORTS!$H$318:$N$318,0)))</f>
        <v>0</v>
      </c>
      <c r="S293" s="232">
        <f t="shared" si="132"/>
        <v>0</v>
      </c>
      <c r="T293" s="241">
        <f t="shared" si="133"/>
        <v>0</v>
      </c>
      <c r="V293" s="186">
        <f t="shared" si="148"/>
        <v>45078</v>
      </c>
      <c r="W293" s="215">
        <f t="shared" si="134"/>
        <v>0</v>
      </c>
      <c r="X293" s="191">
        <f t="shared" si="135"/>
        <v>0</v>
      </c>
      <c r="Y293" s="218">
        <f>+IF(AND(X$8&lt;=V293,X$9&gt;=V293),+MIN($B293-SUMIF($H$17:X$17,Y$17,$H293:X293),((INDEX(ROUTE_PER_DAY_BY_SHIP,MATCH(CONCATENATE(X$4,X$5,X$7),ROUTE_PER_DAY_ROUTES,0),MATCH(X$6,ROUTE_PER_DAY_SHIPS,0))*(V294-V293))-(INDEX(ROUTE_PER_DAY_BY_SHIP,MATCH(CONCATENATE(X$4,X$5,X$7),ROUTE_PER_DAY_ROUTES,0),MATCH(X$6,ROUTE_PER_DAY_SHIPS,0))*(V294-V293))*HLOOKUP(X$6,SHIPS,7,0)*INDEX(LADEN_VOYAGE_DAYS,MATCH(CONCATENATE(X$4,X$5,X$7),LADEN_VOYAGE_ROUTES,0),MATCH(X$6,LADEN_VOYAGE_SHIPS,0)))),0)</f>
        <v>0</v>
      </c>
      <c r="Z293" s="118">
        <f t="shared" si="136"/>
        <v>0</v>
      </c>
      <c r="AA293" s="215">
        <f t="shared" si="122"/>
        <v>0</v>
      </c>
      <c r="AB293" s="202"/>
      <c r="AC293" s="186">
        <f t="shared" si="149"/>
        <v>45078</v>
      </c>
      <c r="AD293" s="232">
        <f>+AA293*(VLOOKUP(AC293,CURVECALC!$C$6:$J$312,4,0)+AE$5)</f>
        <v>0</v>
      </c>
      <c r="AE293" s="208">
        <f>-W293*INDEX(ship_curves,MATCH(AC293,'SHIP CURVES'!$A$9:$A$316,0),MATCH(CONCATENATE(AG$4,AG$5,AG$6,AG$7),'SHIP CURVES'!$A$9:$AZ$9,0))</f>
        <v>0</v>
      </c>
      <c r="AF293" s="209">
        <f>-Y293*INDEX(port_processing_fee,MATCH(AC293,PORTS!$H$626:$H$933,0),MATCH(AG$5,PORTS!$H$626:$Z$626,0))</f>
        <v>0</v>
      </c>
      <c r="AG293" s="405">
        <f>(((VLOOKUP(AC293,curvecalc,4,0))*IF(W293=0,0,AA293/W293)-INDEX(ship_curves,MATCH(AC293,'SHIP CURVES'!$A$9:$A$316,0),MATCH(CONCATENATE(AG$4,AG$5,AG$6,AG$7),'SHIP CURVES'!$A$9:$Z$9,0))-INDEX(terminal_curves,MATCH(AC293,'TERMINAL CURVES'!$A$4:$A$313,0),MATCH(AG$5,'TERMINAL CURVES'!$A$4:$N$4,0))*IF(W293=0,0,Y293/W293))-(AE$8)*((AE$7-$N$5)-(INDEX(ship_curves,MATCH(AC293,'SHIP CURVES'!$A$9:$A$316,0),MATCH(CONCATENATE(AG$4,AG$5,AG$6,AG$7),'SHIP CURVES'!$A$9:$Z$9,0))-INDEX(ship_curves,MATCH(AC293,'SHIP CURVES'!$A$9:$A$316,0),MATCH(CONCATENATE(AG$4,AE$6,AG$6,AG$7),'SHIP CURVES'!$A$9:$Z$9,0)))-(INDEX(terminal_curves,MATCH(AC293,'TERMINAL CURVES'!$A$4:$A$313,0),MATCH(AG$5,'TERMINAL CURVES'!$A$4:$N$4,0))-INDEX(terminal_curves,MATCH(AC293,'TERMINAL CURVES'!$A$4:$A$313,0),MATCH(AE$6,'TERMINAL CURVES'!$A$4:$N$4,0)))*IF(W293=0,0,Y293/W293)))*-W293</f>
        <v>0</v>
      </c>
      <c r="AH293" s="343">
        <f t="shared" si="137"/>
        <v>0</v>
      </c>
      <c r="AI293" s="338">
        <f>(-Y293/((HLOOKUP(AG$5,port_specs,2,0)/(365.25))*(AC294-AC293)))*(INDEX(fixed_capacity_charge,MATCH(AC293,PORTS!$H$11:$H$317,0),MATCH(AG$5,PORTS!$H$11:$N$11,0))+INDEX(variable_om_charge,MATCH(AC293,PORTS!$H$318:$H$625,0),MATCH(AG$5,PORTS!$H$318:$N$318,0)))</f>
        <v>0</v>
      </c>
      <c r="AJ293" s="232">
        <f t="shared" si="138"/>
        <v>0</v>
      </c>
      <c r="AK293" s="241">
        <f t="shared" si="139"/>
        <v>0</v>
      </c>
      <c r="AM293" s="186">
        <f t="shared" si="150"/>
        <v>45078</v>
      </c>
      <c r="AN293" s="215">
        <f t="shared" si="140"/>
        <v>0</v>
      </c>
      <c r="AO293" s="191">
        <f t="shared" si="141"/>
        <v>0</v>
      </c>
      <c r="AP293" s="218">
        <f>+IF(AND(AO$8&lt;=AM293,AO$9&gt;=AM293),+MIN($B293-SUMIF($H$17:AO$17,AP$17,$H293:AO293),((INDEX(ROUTE_PER_DAY_BY_SHIP,MATCH(CONCATENATE(AO$4,AO$5,AO$7),ROUTE_PER_DAY_ROUTES,0),MATCH(AO$6,ROUTE_PER_DAY_SHIPS,0))*(AM294-AM293))-(INDEX(ROUTE_PER_DAY_BY_SHIP,MATCH(CONCATENATE(AO$4,AO$5,AO$7),ROUTE_PER_DAY_ROUTES,0),MATCH(AO$6,ROUTE_PER_DAY_SHIPS,0))*(AM294-AM293))*HLOOKUP(AO$6,SHIPS,7,0)*INDEX(LADEN_VOYAGE_DAYS,MATCH(CONCATENATE(AO$4,AO$5,AO$7),LADEN_VOYAGE_ROUTES,0),MATCH(AO$6,LADEN_VOYAGE_SHIPS,0)))),0)</f>
        <v>0</v>
      </c>
      <c r="AQ293" s="118">
        <f>-(AP293)*PORTS!$I$6</f>
        <v>0</v>
      </c>
      <c r="AR293" s="215">
        <f t="shared" si="123"/>
        <v>0</v>
      </c>
      <c r="AS293" s="202"/>
      <c r="AT293" s="186">
        <f t="shared" si="151"/>
        <v>45078</v>
      </c>
      <c r="AU293" s="232">
        <f>+AR293*(VLOOKUP(AT293,CURVECALC!$C$6:$J$312,4,0)+AV$5)</f>
        <v>0</v>
      </c>
      <c r="AV293" s="208">
        <f>-AN293*INDEX(ship_curves,MATCH(AT293,'SHIP CURVES'!$A$9:$A$316,0),MATCH(CONCATENATE(AX$4,AX$5,AX$6,AX$7),'SHIP CURVES'!$A$9:$AZ$9,0))</f>
        <v>0</v>
      </c>
      <c r="AW293" s="209">
        <f>-AP293*INDEX(port_processing_fee,MATCH(AT293,PORTS!$H$626:$H$933,0),MATCH(AX$5,PORTS!$H$626:$Z$626,0))</f>
        <v>0</v>
      </c>
      <c r="AX293" s="405">
        <f>(((VLOOKUP(AT293,curvecalc,4,0))*IF(AN293=0,0,AR293/AN293)-INDEX(ship_curves,MATCH(AT293,'SHIP CURVES'!$A$9:$A$316,0),MATCH(CONCATENATE(AX$4,AX$5,AX$6,AX$7),'SHIP CURVES'!$A$9:$Z$9,0))-INDEX(terminal_curves,MATCH(AT293,'TERMINAL CURVES'!$A$4:$A$313,0),MATCH(AX$5,'TERMINAL CURVES'!$A$4:$N$4,0))*IF(AN293=0,0,AP293/AN293))-(AV$8)*((AV$7-$N$5)-(INDEX(ship_curves,MATCH(AT293,'SHIP CURVES'!$A$9:$A$316,0),MATCH(CONCATENATE(AX$4,AX$5,AX$6,AX$7),'SHIP CURVES'!$A$9:$Z$9,0))-INDEX(ship_curves,MATCH(AT293,'SHIP CURVES'!$A$9:$A$316,0),MATCH(CONCATENATE(AX$4,AV$6,AX$6,AX$7),'SHIP CURVES'!$A$9:$Z$9,0)))-(INDEX(terminal_curves,MATCH(AT293,'TERMINAL CURVES'!$A$4:$A$313,0),MATCH(AX$5,'TERMINAL CURVES'!$A$4:$N$4,0))-INDEX(terminal_curves,MATCH(AT293,'TERMINAL CURVES'!$A$4:$A$313,0),MATCH(AV$6,'TERMINAL CURVES'!$A$4:$N$4,0)))*IF(AN293=0,0,AP293/AN293)))*-AN293</f>
        <v>0</v>
      </c>
      <c r="AY293" s="343">
        <f t="shared" si="142"/>
        <v>0</v>
      </c>
      <c r="AZ293" s="338">
        <f>(-AP293/((HLOOKUP(AX$5,port_specs,2,0)/(365.25))*(AT294-AT293)))*(INDEX(fixed_capacity_charge,MATCH(AT293,PORTS!$H$11:$H$317,0),MATCH(AX$5,PORTS!$H$11:$N$11,0))+INDEX(variable_om_charge,MATCH(AT293,PORTS!$H$318:$H$625,0),MATCH(AX$5,PORTS!$H$318:$N$318,0)))</f>
        <v>0</v>
      </c>
      <c r="BA293" s="232">
        <f t="shared" si="143"/>
        <v>0</v>
      </c>
      <c r="BB293" s="241">
        <f t="shared" si="144"/>
        <v>0</v>
      </c>
      <c r="BC293" s="408"/>
      <c r="BD293" s="338">
        <f>+PORTS!I287+PORTS!I595</f>
        <v>0</v>
      </c>
    </row>
    <row r="294" spans="1:56" x14ac:dyDescent="0.2">
      <c r="A294" s="186">
        <f t="shared" si="145"/>
        <v>45108</v>
      </c>
      <c r="B294" s="215">
        <f>+IF(AND($A294&gt;=$C$8,$A294&lt;=$C$9),1,0)*PORTS!$I$5/(365.25)*(A295-A294)</f>
        <v>0</v>
      </c>
      <c r="C294" s="351">
        <f t="shared" si="124"/>
        <v>0</v>
      </c>
      <c r="D294">
        <f t="shared" si="125"/>
        <v>2023</v>
      </c>
      <c r="E294" s="186">
        <f t="shared" si="146"/>
        <v>45108</v>
      </c>
      <c r="F294" s="215">
        <f t="shared" si="126"/>
        <v>0</v>
      </c>
      <c r="G294" s="191">
        <f t="shared" si="127"/>
        <v>0</v>
      </c>
      <c r="H294" s="218">
        <f t="shared" si="128"/>
        <v>0</v>
      </c>
      <c r="I294" s="118">
        <f t="shared" si="129"/>
        <v>0</v>
      </c>
      <c r="J294" s="215">
        <f t="shared" si="130"/>
        <v>0</v>
      </c>
      <c r="K294" s="202"/>
      <c r="L294" s="186">
        <f t="shared" si="147"/>
        <v>45108</v>
      </c>
      <c r="M294" s="400">
        <f>+J294*(VLOOKUP(L294,CURVECALC!$C$6:$J$312,4,0)+N$5)</f>
        <v>0</v>
      </c>
      <c r="N294" s="208">
        <f>-F294*INDEX(ship_curves,MATCH(L294,'SHIP CURVES'!$A$9:$A$316,0),MATCH(CONCATENATE(P$4,P$5,P$6,P$7),'SHIP CURVES'!$A$9:$AZ$9,0))</f>
        <v>0</v>
      </c>
      <c r="O294" s="209">
        <f>-H294*INDEX(port_processing_fee,MATCH(L294,PORTS!$H$626:$H$933,0),MATCH(P$5,PORTS!$H$626:$Z$626,0))</f>
        <v>0</v>
      </c>
      <c r="P294" s="405">
        <f>(((VLOOKUP(L294,curvecalc,4,0))*IF(F294=0,0,J294/F294)-INDEX(ship_curves,MATCH(L294,'SHIP CURVES'!$A$9:$A$316,0),MATCH(CONCATENATE(P$4,P$5,P$6,P$7),'SHIP CURVES'!$A$9:$Z$9,0))-INDEX(terminal_curves,MATCH(L294,'TERMINAL CURVES'!$A$4:$A$313,0),MATCH(P$5,'TERMINAL CURVES'!$A$4:$N$4,0))*IF(F294=0,0,H294/F294))-(N$8)*((N$7-$N$5)-(INDEX(ship_curves,MATCH(L294,'SHIP CURVES'!$A$9:$A$316,0),MATCH(CONCATENATE(P$4,P$5,P$6,P$7),'SHIP CURVES'!$A$9:$Z$9,0))-INDEX(ship_curves,MATCH(L294,'SHIP CURVES'!$A$9:$A$316,0),MATCH(CONCATENATE(P$4,N$6,P$6,P$7),'SHIP CURVES'!$A$9:$Z$9,0)))-(INDEX(terminal_curves,MATCH(L294,'TERMINAL CURVES'!$A$4:$A$313,0),MATCH(P$5,'TERMINAL CURVES'!$A$4:$N$4,0))-INDEX(terminal_curves,MATCH(L294,'TERMINAL CURVES'!$A$4:$A$313,0),MATCH(N$6,'TERMINAL CURVES'!$A$4:$N$4,0)))*IF(F294=0,0,H294/F294)))*-F294</f>
        <v>0</v>
      </c>
      <c r="Q294" s="403">
        <f t="shared" si="131"/>
        <v>0</v>
      </c>
      <c r="R294" s="338">
        <f>(-H294/((HLOOKUP(P$5,port_specs,2,0)/(365.25))*(L295-L294)))*(INDEX(fixed_capacity_charge,MATCH(L294,PORTS!$H$11:$H$317,0),MATCH(P$5,PORTS!$H$11:$N$11,0))+INDEX(variable_om_charge,MATCH(L294,PORTS!$H$318:$H$625,0),MATCH(P$5,PORTS!$H$318:$N$318,0)))</f>
        <v>0</v>
      </c>
      <c r="S294" s="232">
        <f t="shared" si="132"/>
        <v>0</v>
      </c>
      <c r="T294" s="241">
        <f t="shared" si="133"/>
        <v>0</v>
      </c>
      <c r="V294" s="186">
        <f t="shared" si="148"/>
        <v>45108</v>
      </c>
      <c r="W294" s="215">
        <f t="shared" si="134"/>
        <v>0</v>
      </c>
      <c r="X294" s="191">
        <f t="shared" si="135"/>
        <v>0</v>
      </c>
      <c r="Y294" s="218">
        <f>+IF(AND(X$8&lt;=V294,X$9&gt;=V294),+MIN($B294-SUMIF($H$17:X$17,Y$17,$H294:X294),((INDEX(ROUTE_PER_DAY_BY_SHIP,MATCH(CONCATENATE(X$4,X$5,X$7),ROUTE_PER_DAY_ROUTES,0),MATCH(X$6,ROUTE_PER_DAY_SHIPS,0))*(V295-V294))-(INDEX(ROUTE_PER_DAY_BY_SHIP,MATCH(CONCATENATE(X$4,X$5,X$7),ROUTE_PER_DAY_ROUTES,0),MATCH(X$6,ROUTE_PER_DAY_SHIPS,0))*(V295-V294))*HLOOKUP(X$6,SHIPS,7,0)*INDEX(LADEN_VOYAGE_DAYS,MATCH(CONCATENATE(X$4,X$5,X$7),LADEN_VOYAGE_ROUTES,0),MATCH(X$6,LADEN_VOYAGE_SHIPS,0)))),0)</f>
        <v>0</v>
      </c>
      <c r="Z294" s="118">
        <f t="shared" si="136"/>
        <v>0</v>
      </c>
      <c r="AA294" s="215">
        <f t="shared" si="122"/>
        <v>0</v>
      </c>
      <c r="AB294" s="202"/>
      <c r="AC294" s="186">
        <f t="shared" si="149"/>
        <v>45108</v>
      </c>
      <c r="AD294" s="232">
        <f>+AA294*(VLOOKUP(AC294,CURVECALC!$C$6:$J$312,4,0)+AE$5)</f>
        <v>0</v>
      </c>
      <c r="AE294" s="208">
        <f>-W294*INDEX(ship_curves,MATCH(AC294,'SHIP CURVES'!$A$9:$A$316,0),MATCH(CONCATENATE(AG$4,AG$5,AG$6,AG$7),'SHIP CURVES'!$A$9:$AZ$9,0))</f>
        <v>0</v>
      </c>
      <c r="AF294" s="209">
        <f>-Y294*INDEX(port_processing_fee,MATCH(AC294,PORTS!$H$626:$H$933,0),MATCH(AG$5,PORTS!$H$626:$Z$626,0))</f>
        <v>0</v>
      </c>
      <c r="AG294" s="405">
        <f>(((VLOOKUP(AC294,curvecalc,4,0))*IF(W294=0,0,AA294/W294)-INDEX(ship_curves,MATCH(AC294,'SHIP CURVES'!$A$9:$A$316,0),MATCH(CONCATENATE(AG$4,AG$5,AG$6,AG$7),'SHIP CURVES'!$A$9:$Z$9,0))-INDEX(terminal_curves,MATCH(AC294,'TERMINAL CURVES'!$A$4:$A$313,0),MATCH(AG$5,'TERMINAL CURVES'!$A$4:$N$4,0))*IF(W294=0,0,Y294/W294))-(AE$8)*((AE$7-$N$5)-(INDEX(ship_curves,MATCH(AC294,'SHIP CURVES'!$A$9:$A$316,0),MATCH(CONCATENATE(AG$4,AG$5,AG$6,AG$7),'SHIP CURVES'!$A$9:$Z$9,0))-INDEX(ship_curves,MATCH(AC294,'SHIP CURVES'!$A$9:$A$316,0),MATCH(CONCATENATE(AG$4,AE$6,AG$6,AG$7),'SHIP CURVES'!$A$9:$Z$9,0)))-(INDEX(terminal_curves,MATCH(AC294,'TERMINAL CURVES'!$A$4:$A$313,0),MATCH(AG$5,'TERMINAL CURVES'!$A$4:$N$4,0))-INDEX(terminal_curves,MATCH(AC294,'TERMINAL CURVES'!$A$4:$A$313,0),MATCH(AE$6,'TERMINAL CURVES'!$A$4:$N$4,0)))*IF(W294=0,0,Y294/W294)))*-W294</f>
        <v>0</v>
      </c>
      <c r="AH294" s="343">
        <f t="shared" si="137"/>
        <v>0</v>
      </c>
      <c r="AI294" s="338">
        <f>(-Y294/((HLOOKUP(AG$5,port_specs,2,0)/(365.25))*(AC295-AC294)))*(INDEX(fixed_capacity_charge,MATCH(AC294,PORTS!$H$11:$H$317,0),MATCH(AG$5,PORTS!$H$11:$N$11,0))+INDEX(variable_om_charge,MATCH(AC294,PORTS!$H$318:$H$625,0),MATCH(AG$5,PORTS!$H$318:$N$318,0)))</f>
        <v>0</v>
      </c>
      <c r="AJ294" s="232">
        <f t="shared" si="138"/>
        <v>0</v>
      </c>
      <c r="AK294" s="241">
        <f t="shared" si="139"/>
        <v>0</v>
      </c>
      <c r="AM294" s="186">
        <f t="shared" si="150"/>
        <v>45108</v>
      </c>
      <c r="AN294" s="215">
        <f t="shared" si="140"/>
        <v>0</v>
      </c>
      <c r="AO294" s="191">
        <f t="shared" si="141"/>
        <v>0</v>
      </c>
      <c r="AP294" s="218">
        <f>+IF(AND(AO$8&lt;=AM294,AO$9&gt;=AM294),+MIN($B294-SUMIF($H$17:AO$17,AP$17,$H294:AO294),((INDEX(ROUTE_PER_DAY_BY_SHIP,MATCH(CONCATENATE(AO$4,AO$5,AO$7),ROUTE_PER_DAY_ROUTES,0),MATCH(AO$6,ROUTE_PER_DAY_SHIPS,0))*(AM295-AM294))-(INDEX(ROUTE_PER_DAY_BY_SHIP,MATCH(CONCATENATE(AO$4,AO$5,AO$7),ROUTE_PER_DAY_ROUTES,0),MATCH(AO$6,ROUTE_PER_DAY_SHIPS,0))*(AM295-AM294))*HLOOKUP(AO$6,SHIPS,7,0)*INDEX(LADEN_VOYAGE_DAYS,MATCH(CONCATENATE(AO$4,AO$5,AO$7),LADEN_VOYAGE_ROUTES,0),MATCH(AO$6,LADEN_VOYAGE_SHIPS,0)))),0)</f>
        <v>0</v>
      </c>
      <c r="AQ294" s="118">
        <f>-(AP294)*PORTS!$I$6</f>
        <v>0</v>
      </c>
      <c r="AR294" s="215">
        <f t="shared" si="123"/>
        <v>0</v>
      </c>
      <c r="AS294" s="202"/>
      <c r="AT294" s="186">
        <f t="shared" si="151"/>
        <v>45108</v>
      </c>
      <c r="AU294" s="232">
        <f>+AR294*(VLOOKUP(AT294,CURVECALC!$C$6:$J$312,4,0)+AV$5)</f>
        <v>0</v>
      </c>
      <c r="AV294" s="208">
        <f>-AN294*INDEX(ship_curves,MATCH(AT294,'SHIP CURVES'!$A$9:$A$316,0),MATCH(CONCATENATE(AX$4,AX$5,AX$6,AX$7),'SHIP CURVES'!$A$9:$AZ$9,0))</f>
        <v>0</v>
      </c>
      <c r="AW294" s="209">
        <f>-AP294*INDEX(port_processing_fee,MATCH(AT294,PORTS!$H$626:$H$933,0),MATCH(AX$5,PORTS!$H$626:$Z$626,0))</f>
        <v>0</v>
      </c>
      <c r="AX294" s="405">
        <f>(((VLOOKUP(AT294,curvecalc,4,0))*IF(AN294=0,0,AR294/AN294)-INDEX(ship_curves,MATCH(AT294,'SHIP CURVES'!$A$9:$A$316,0),MATCH(CONCATENATE(AX$4,AX$5,AX$6,AX$7),'SHIP CURVES'!$A$9:$Z$9,0))-INDEX(terminal_curves,MATCH(AT294,'TERMINAL CURVES'!$A$4:$A$313,0),MATCH(AX$5,'TERMINAL CURVES'!$A$4:$N$4,0))*IF(AN294=0,0,AP294/AN294))-(AV$8)*((AV$7-$N$5)-(INDEX(ship_curves,MATCH(AT294,'SHIP CURVES'!$A$9:$A$316,0),MATCH(CONCATENATE(AX$4,AX$5,AX$6,AX$7),'SHIP CURVES'!$A$9:$Z$9,0))-INDEX(ship_curves,MATCH(AT294,'SHIP CURVES'!$A$9:$A$316,0),MATCH(CONCATENATE(AX$4,AV$6,AX$6,AX$7),'SHIP CURVES'!$A$9:$Z$9,0)))-(INDEX(terminal_curves,MATCH(AT294,'TERMINAL CURVES'!$A$4:$A$313,0),MATCH(AX$5,'TERMINAL CURVES'!$A$4:$N$4,0))-INDEX(terminal_curves,MATCH(AT294,'TERMINAL CURVES'!$A$4:$A$313,0),MATCH(AV$6,'TERMINAL CURVES'!$A$4:$N$4,0)))*IF(AN294=0,0,AP294/AN294)))*-AN294</f>
        <v>0</v>
      </c>
      <c r="AY294" s="343">
        <f t="shared" si="142"/>
        <v>0</v>
      </c>
      <c r="AZ294" s="338">
        <f>(-AP294/((HLOOKUP(AX$5,port_specs,2,0)/(365.25))*(AT295-AT294)))*(INDEX(fixed_capacity_charge,MATCH(AT294,PORTS!$H$11:$H$317,0),MATCH(AX$5,PORTS!$H$11:$N$11,0))+INDEX(variable_om_charge,MATCH(AT294,PORTS!$H$318:$H$625,0),MATCH(AX$5,PORTS!$H$318:$N$318,0)))</f>
        <v>0</v>
      </c>
      <c r="BA294" s="232">
        <f t="shared" si="143"/>
        <v>0</v>
      </c>
      <c r="BB294" s="241">
        <f t="shared" si="144"/>
        <v>0</v>
      </c>
      <c r="BC294" s="408"/>
      <c r="BD294" s="338">
        <f>+PORTS!I288+PORTS!I596</f>
        <v>0</v>
      </c>
    </row>
    <row r="295" spans="1:56" x14ac:dyDescent="0.2">
      <c r="A295" s="186">
        <f t="shared" si="145"/>
        <v>45139</v>
      </c>
      <c r="B295" s="215">
        <f>+IF(AND($A295&gt;=$C$8,$A295&lt;=$C$9),1,0)*PORTS!$I$5/(365.25)*(A296-A295)</f>
        <v>0</v>
      </c>
      <c r="C295" s="351">
        <f t="shared" si="124"/>
        <v>0</v>
      </c>
      <c r="D295">
        <f t="shared" si="125"/>
        <v>2023</v>
      </c>
      <c r="E295" s="186">
        <f t="shared" si="146"/>
        <v>45139</v>
      </c>
      <c r="F295" s="215">
        <f t="shared" si="126"/>
        <v>0</v>
      </c>
      <c r="G295" s="191">
        <f t="shared" si="127"/>
        <v>0</v>
      </c>
      <c r="H295" s="218">
        <f t="shared" si="128"/>
        <v>0</v>
      </c>
      <c r="I295" s="118">
        <f t="shared" si="129"/>
        <v>0</v>
      </c>
      <c r="J295" s="215">
        <f t="shared" si="130"/>
        <v>0</v>
      </c>
      <c r="K295" s="202"/>
      <c r="L295" s="186">
        <f t="shared" si="147"/>
        <v>45139</v>
      </c>
      <c r="M295" s="400">
        <f>+J295*(VLOOKUP(L295,CURVECALC!$C$6:$J$312,4,0)+N$5)</f>
        <v>0</v>
      </c>
      <c r="N295" s="208">
        <f>-F295*INDEX(ship_curves,MATCH(L295,'SHIP CURVES'!$A$9:$A$316,0),MATCH(CONCATENATE(P$4,P$5,P$6,P$7),'SHIP CURVES'!$A$9:$AZ$9,0))</f>
        <v>0</v>
      </c>
      <c r="O295" s="209">
        <f>-H295*INDEX(port_processing_fee,MATCH(L295,PORTS!$H$626:$H$933,0),MATCH(P$5,PORTS!$H$626:$Z$626,0))</f>
        <v>0</v>
      </c>
      <c r="P295" s="405">
        <f>(((VLOOKUP(L295,curvecalc,4,0))*IF(F295=0,0,J295/F295)-INDEX(ship_curves,MATCH(L295,'SHIP CURVES'!$A$9:$A$316,0),MATCH(CONCATENATE(P$4,P$5,P$6,P$7),'SHIP CURVES'!$A$9:$Z$9,0))-INDEX(terminal_curves,MATCH(L295,'TERMINAL CURVES'!$A$4:$A$313,0),MATCH(P$5,'TERMINAL CURVES'!$A$4:$N$4,0))*IF(F295=0,0,H295/F295))-(N$8)*((N$7-$N$5)-(INDEX(ship_curves,MATCH(L295,'SHIP CURVES'!$A$9:$A$316,0),MATCH(CONCATENATE(P$4,P$5,P$6,P$7),'SHIP CURVES'!$A$9:$Z$9,0))-INDEX(ship_curves,MATCH(L295,'SHIP CURVES'!$A$9:$A$316,0),MATCH(CONCATENATE(P$4,N$6,P$6,P$7),'SHIP CURVES'!$A$9:$Z$9,0)))-(INDEX(terminal_curves,MATCH(L295,'TERMINAL CURVES'!$A$4:$A$313,0),MATCH(P$5,'TERMINAL CURVES'!$A$4:$N$4,0))-INDEX(terminal_curves,MATCH(L295,'TERMINAL CURVES'!$A$4:$A$313,0),MATCH(N$6,'TERMINAL CURVES'!$A$4:$N$4,0)))*IF(F295=0,0,H295/F295)))*-F295</f>
        <v>0</v>
      </c>
      <c r="Q295" s="403">
        <f t="shared" si="131"/>
        <v>0</v>
      </c>
      <c r="R295" s="338">
        <f>(-H295/((HLOOKUP(P$5,port_specs,2,0)/(365.25))*(L296-L295)))*(INDEX(fixed_capacity_charge,MATCH(L295,PORTS!$H$11:$H$317,0),MATCH(P$5,PORTS!$H$11:$N$11,0))+INDEX(variable_om_charge,MATCH(L295,PORTS!$H$318:$H$625,0),MATCH(P$5,PORTS!$H$318:$N$318,0)))</f>
        <v>0</v>
      </c>
      <c r="S295" s="232">
        <f t="shared" si="132"/>
        <v>0</v>
      </c>
      <c r="T295" s="241">
        <f t="shared" si="133"/>
        <v>0</v>
      </c>
      <c r="V295" s="186">
        <f t="shared" si="148"/>
        <v>45139</v>
      </c>
      <c r="W295" s="215">
        <f t="shared" si="134"/>
        <v>0</v>
      </c>
      <c r="X295" s="191">
        <f t="shared" si="135"/>
        <v>0</v>
      </c>
      <c r="Y295" s="218">
        <f>+IF(AND(X$8&lt;=V295,X$9&gt;=V295),+MIN($B295-SUMIF($H$17:X$17,Y$17,$H295:X295),((INDEX(ROUTE_PER_DAY_BY_SHIP,MATCH(CONCATENATE(X$4,X$5,X$7),ROUTE_PER_DAY_ROUTES,0),MATCH(X$6,ROUTE_PER_DAY_SHIPS,0))*(V296-V295))-(INDEX(ROUTE_PER_DAY_BY_SHIP,MATCH(CONCATENATE(X$4,X$5,X$7),ROUTE_PER_DAY_ROUTES,0),MATCH(X$6,ROUTE_PER_DAY_SHIPS,0))*(V296-V295))*HLOOKUP(X$6,SHIPS,7,0)*INDEX(LADEN_VOYAGE_DAYS,MATCH(CONCATENATE(X$4,X$5,X$7),LADEN_VOYAGE_ROUTES,0),MATCH(X$6,LADEN_VOYAGE_SHIPS,0)))),0)</f>
        <v>0</v>
      </c>
      <c r="Z295" s="118">
        <f t="shared" si="136"/>
        <v>0</v>
      </c>
      <c r="AA295" s="215">
        <f t="shared" si="122"/>
        <v>0</v>
      </c>
      <c r="AB295" s="202"/>
      <c r="AC295" s="186">
        <f t="shared" si="149"/>
        <v>45139</v>
      </c>
      <c r="AD295" s="232">
        <f>+AA295*(VLOOKUP(AC295,CURVECALC!$C$6:$J$312,4,0)+AE$5)</f>
        <v>0</v>
      </c>
      <c r="AE295" s="208">
        <f>-W295*INDEX(ship_curves,MATCH(AC295,'SHIP CURVES'!$A$9:$A$316,0),MATCH(CONCATENATE(AG$4,AG$5,AG$6,AG$7),'SHIP CURVES'!$A$9:$AZ$9,0))</f>
        <v>0</v>
      </c>
      <c r="AF295" s="209">
        <f>-Y295*INDEX(port_processing_fee,MATCH(AC295,PORTS!$H$626:$H$933,0),MATCH(AG$5,PORTS!$H$626:$Z$626,0))</f>
        <v>0</v>
      </c>
      <c r="AG295" s="405">
        <f>(((VLOOKUP(AC295,curvecalc,4,0))*IF(W295=0,0,AA295/W295)-INDEX(ship_curves,MATCH(AC295,'SHIP CURVES'!$A$9:$A$316,0),MATCH(CONCATENATE(AG$4,AG$5,AG$6,AG$7),'SHIP CURVES'!$A$9:$Z$9,0))-INDEX(terminal_curves,MATCH(AC295,'TERMINAL CURVES'!$A$4:$A$313,0),MATCH(AG$5,'TERMINAL CURVES'!$A$4:$N$4,0))*IF(W295=0,0,Y295/W295))-(AE$8)*((AE$7-$N$5)-(INDEX(ship_curves,MATCH(AC295,'SHIP CURVES'!$A$9:$A$316,0),MATCH(CONCATENATE(AG$4,AG$5,AG$6,AG$7),'SHIP CURVES'!$A$9:$Z$9,0))-INDEX(ship_curves,MATCH(AC295,'SHIP CURVES'!$A$9:$A$316,0),MATCH(CONCATENATE(AG$4,AE$6,AG$6,AG$7),'SHIP CURVES'!$A$9:$Z$9,0)))-(INDEX(terminal_curves,MATCH(AC295,'TERMINAL CURVES'!$A$4:$A$313,0),MATCH(AG$5,'TERMINAL CURVES'!$A$4:$N$4,0))-INDEX(terminal_curves,MATCH(AC295,'TERMINAL CURVES'!$A$4:$A$313,0),MATCH(AE$6,'TERMINAL CURVES'!$A$4:$N$4,0)))*IF(W295=0,0,Y295/W295)))*-W295</f>
        <v>0</v>
      </c>
      <c r="AH295" s="343">
        <f t="shared" si="137"/>
        <v>0</v>
      </c>
      <c r="AI295" s="338">
        <f>(-Y295/((HLOOKUP(AG$5,port_specs,2,0)/(365.25))*(AC296-AC295)))*(INDEX(fixed_capacity_charge,MATCH(AC295,PORTS!$H$11:$H$317,0),MATCH(AG$5,PORTS!$H$11:$N$11,0))+INDEX(variable_om_charge,MATCH(AC295,PORTS!$H$318:$H$625,0),MATCH(AG$5,PORTS!$H$318:$N$318,0)))</f>
        <v>0</v>
      </c>
      <c r="AJ295" s="232">
        <f t="shared" si="138"/>
        <v>0</v>
      </c>
      <c r="AK295" s="241">
        <f t="shared" si="139"/>
        <v>0</v>
      </c>
      <c r="AM295" s="186">
        <f t="shared" si="150"/>
        <v>45139</v>
      </c>
      <c r="AN295" s="215">
        <f t="shared" si="140"/>
        <v>0</v>
      </c>
      <c r="AO295" s="191">
        <f t="shared" si="141"/>
        <v>0</v>
      </c>
      <c r="AP295" s="218">
        <f>+IF(AND(AO$8&lt;=AM295,AO$9&gt;=AM295),+MIN($B295-SUMIF($H$17:AO$17,AP$17,$H295:AO295),((INDEX(ROUTE_PER_DAY_BY_SHIP,MATCH(CONCATENATE(AO$4,AO$5,AO$7),ROUTE_PER_DAY_ROUTES,0),MATCH(AO$6,ROUTE_PER_DAY_SHIPS,0))*(AM296-AM295))-(INDEX(ROUTE_PER_DAY_BY_SHIP,MATCH(CONCATENATE(AO$4,AO$5,AO$7),ROUTE_PER_DAY_ROUTES,0),MATCH(AO$6,ROUTE_PER_DAY_SHIPS,0))*(AM296-AM295))*HLOOKUP(AO$6,SHIPS,7,0)*INDEX(LADEN_VOYAGE_DAYS,MATCH(CONCATENATE(AO$4,AO$5,AO$7),LADEN_VOYAGE_ROUTES,0),MATCH(AO$6,LADEN_VOYAGE_SHIPS,0)))),0)</f>
        <v>0</v>
      </c>
      <c r="AQ295" s="118">
        <f>-(AP295)*PORTS!$I$6</f>
        <v>0</v>
      </c>
      <c r="AR295" s="215">
        <f t="shared" si="123"/>
        <v>0</v>
      </c>
      <c r="AS295" s="202"/>
      <c r="AT295" s="186">
        <f t="shared" si="151"/>
        <v>45139</v>
      </c>
      <c r="AU295" s="232">
        <f>+AR295*(VLOOKUP(AT295,CURVECALC!$C$6:$J$312,4,0)+AV$5)</f>
        <v>0</v>
      </c>
      <c r="AV295" s="208">
        <f>-AN295*INDEX(ship_curves,MATCH(AT295,'SHIP CURVES'!$A$9:$A$316,0),MATCH(CONCATENATE(AX$4,AX$5,AX$6,AX$7),'SHIP CURVES'!$A$9:$AZ$9,0))</f>
        <v>0</v>
      </c>
      <c r="AW295" s="209">
        <f>-AP295*INDEX(port_processing_fee,MATCH(AT295,PORTS!$H$626:$H$933,0),MATCH(AX$5,PORTS!$H$626:$Z$626,0))</f>
        <v>0</v>
      </c>
      <c r="AX295" s="405">
        <f>(((VLOOKUP(AT295,curvecalc,4,0))*IF(AN295=0,0,AR295/AN295)-INDEX(ship_curves,MATCH(AT295,'SHIP CURVES'!$A$9:$A$316,0),MATCH(CONCATENATE(AX$4,AX$5,AX$6,AX$7),'SHIP CURVES'!$A$9:$Z$9,0))-INDEX(terminal_curves,MATCH(AT295,'TERMINAL CURVES'!$A$4:$A$313,0),MATCH(AX$5,'TERMINAL CURVES'!$A$4:$N$4,0))*IF(AN295=0,0,AP295/AN295))-(AV$8)*((AV$7-$N$5)-(INDEX(ship_curves,MATCH(AT295,'SHIP CURVES'!$A$9:$A$316,0),MATCH(CONCATENATE(AX$4,AX$5,AX$6,AX$7),'SHIP CURVES'!$A$9:$Z$9,0))-INDEX(ship_curves,MATCH(AT295,'SHIP CURVES'!$A$9:$A$316,0),MATCH(CONCATENATE(AX$4,AV$6,AX$6,AX$7),'SHIP CURVES'!$A$9:$Z$9,0)))-(INDEX(terminal_curves,MATCH(AT295,'TERMINAL CURVES'!$A$4:$A$313,0),MATCH(AX$5,'TERMINAL CURVES'!$A$4:$N$4,0))-INDEX(terminal_curves,MATCH(AT295,'TERMINAL CURVES'!$A$4:$A$313,0),MATCH(AV$6,'TERMINAL CURVES'!$A$4:$N$4,0)))*IF(AN295=0,0,AP295/AN295)))*-AN295</f>
        <v>0</v>
      </c>
      <c r="AY295" s="343">
        <f t="shared" si="142"/>
        <v>0</v>
      </c>
      <c r="AZ295" s="338">
        <f>(-AP295/((HLOOKUP(AX$5,port_specs,2,0)/(365.25))*(AT296-AT295)))*(INDEX(fixed_capacity_charge,MATCH(AT295,PORTS!$H$11:$H$317,0),MATCH(AX$5,PORTS!$H$11:$N$11,0))+INDEX(variable_om_charge,MATCH(AT295,PORTS!$H$318:$H$625,0),MATCH(AX$5,PORTS!$H$318:$N$318,0)))</f>
        <v>0</v>
      </c>
      <c r="BA295" s="232">
        <f t="shared" si="143"/>
        <v>0</v>
      </c>
      <c r="BB295" s="241">
        <f t="shared" si="144"/>
        <v>0</v>
      </c>
      <c r="BC295" s="408"/>
      <c r="BD295" s="338">
        <f>+PORTS!I289+PORTS!I597</f>
        <v>0</v>
      </c>
    </row>
    <row r="296" spans="1:56" x14ac:dyDescent="0.2">
      <c r="A296" s="186">
        <f t="shared" si="145"/>
        <v>45170</v>
      </c>
      <c r="B296" s="215">
        <f>+IF(AND($A296&gt;=$C$8,$A296&lt;=$C$9),1,0)*PORTS!$I$5/(365.25)*(A297-A296)</f>
        <v>0</v>
      </c>
      <c r="C296" s="351">
        <f t="shared" si="124"/>
        <v>0</v>
      </c>
      <c r="D296">
        <f t="shared" si="125"/>
        <v>2023</v>
      </c>
      <c r="E296" s="186">
        <f t="shared" si="146"/>
        <v>45170</v>
      </c>
      <c r="F296" s="215">
        <f t="shared" si="126"/>
        <v>0</v>
      </c>
      <c r="G296" s="191">
        <f t="shared" si="127"/>
        <v>0</v>
      </c>
      <c r="H296" s="218">
        <f t="shared" si="128"/>
        <v>0</v>
      </c>
      <c r="I296" s="118">
        <f t="shared" si="129"/>
        <v>0</v>
      </c>
      <c r="J296" s="215">
        <f t="shared" si="130"/>
        <v>0</v>
      </c>
      <c r="K296" s="202"/>
      <c r="L296" s="186">
        <f t="shared" si="147"/>
        <v>45170</v>
      </c>
      <c r="M296" s="400">
        <f>+J296*(VLOOKUP(L296,CURVECALC!$C$6:$J$312,4,0)+N$5)</f>
        <v>0</v>
      </c>
      <c r="N296" s="208">
        <f>-F296*INDEX(ship_curves,MATCH(L296,'SHIP CURVES'!$A$9:$A$316,0),MATCH(CONCATENATE(P$4,P$5,P$6,P$7),'SHIP CURVES'!$A$9:$AZ$9,0))</f>
        <v>0</v>
      </c>
      <c r="O296" s="209">
        <f>-H296*INDEX(port_processing_fee,MATCH(L296,PORTS!$H$626:$H$933,0),MATCH(P$5,PORTS!$H$626:$Z$626,0))</f>
        <v>0</v>
      </c>
      <c r="P296" s="405">
        <f>(((VLOOKUP(L296,curvecalc,4,0))*IF(F296=0,0,J296/F296)-INDEX(ship_curves,MATCH(L296,'SHIP CURVES'!$A$9:$A$316,0),MATCH(CONCATENATE(P$4,P$5,P$6,P$7),'SHIP CURVES'!$A$9:$Z$9,0))-INDEX(terminal_curves,MATCH(L296,'TERMINAL CURVES'!$A$4:$A$313,0),MATCH(P$5,'TERMINAL CURVES'!$A$4:$N$4,0))*IF(F296=0,0,H296/F296))-(N$8)*((N$7-$N$5)-(INDEX(ship_curves,MATCH(L296,'SHIP CURVES'!$A$9:$A$316,0),MATCH(CONCATENATE(P$4,P$5,P$6,P$7),'SHIP CURVES'!$A$9:$Z$9,0))-INDEX(ship_curves,MATCH(L296,'SHIP CURVES'!$A$9:$A$316,0),MATCH(CONCATENATE(P$4,N$6,P$6,P$7),'SHIP CURVES'!$A$9:$Z$9,0)))-(INDEX(terminal_curves,MATCH(L296,'TERMINAL CURVES'!$A$4:$A$313,0),MATCH(P$5,'TERMINAL CURVES'!$A$4:$N$4,0))-INDEX(terminal_curves,MATCH(L296,'TERMINAL CURVES'!$A$4:$A$313,0),MATCH(N$6,'TERMINAL CURVES'!$A$4:$N$4,0)))*IF(F296=0,0,H296/F296)))*-F296</f>
        <v>0</v>
      </c>
      <c r="Q296" s="403">
        <f t="shared" si="131"/>
        <v>0</v>
      </c>
      <c r="R296" s="338">
        <f>(-H296/((HLOOKUP(P$5,port_specs,2,0)/(365.25))*(L297-L296)))*(INDEX(fixed_capacity_charge,MATCH(L296,PORTS!$H$11:$H$317,0),MATCH(P$5,PORTS!$H$11:$N$11,0))+INDEX(variable_om_charge,MATCH(L296,PORTS!$H$318:$H$625,0),MATCH(P$5,PORTS!$H$318:$N$318,0)))</f>
        <v>0</v>
      </c>
      <c r="S296" s="232">
        <f t="shared" si="132"/>
        <v>0</v>
      </c>
      <c r="T296" s="241">
        <f t="shared" si="133"/>
        <v>0</v>
      </c>
      <c r="V296" s="186">
        <f t="shared" si="148"/>
        <v>45170</v>
      </c>
      <c r="W296" s="215">
        <f t="shared" si="134"/>
        <v>0</v>
      </c>
      <c r="X296" s="191">
        <f t="shared" si="135"/>
        <v>0</v>
      </c>
      <c r="Y296" s="218">
        <f>+IF(AND(X$8&lt;=V296,X$9&gt;=V296),+MIN($B296-SUMIF($H$17:X$17,Y$17,$H296:X296),((INDEX(ROUTE_PER_DAY_BY_SHIP,MATCH(CONCATENATE(X$4,X$5,X$7),ROUTE_PER_DAY_ROUTES,0),MATCH(X$6,ROUTE_PER_DAY_SHIPS,0))*(V297-V296))-(INDEX(ROUTE_PER_DAY_BY_SHIP,MATCH(CONCATENATE(X$4,X$5,X$7),ROUTE_PER_DAY_ROUTES,0),MATCH(X$6,ROUTE_PER_DAY_SHIPS,0))*(V297-V296))*HLOOKUP(X$6,SHIPS,7,0)*INDEX(LADEN_VOYAGE_DAYS,MATCH(CONCATENATE(X$4,X$5,X$7),LADEN_VOYAGE_ROUTES,0),MATCH(X$6,LADEN_VOYAGE_SHIPS,0)))),0)</f>
        <v>0</v>
      </c>
      <c r="Z296" s="118">
        <f t="shared" si="136"/>
        <v>0</v>
      </c>
      <c r="AA296" s="215">
        <f t="shared" si="122"/>
        <v>0</v>
      </c>
      <c r="AB296" s="202"/>
      <c r="AC296" s="186">
        <f t="shared" si="149"/>
        <v>45170</v>
      </c>
      <c r="AD296" s="232">
        <f>+AA296*(VLOOKUP(AC296,CURVECALC!$C$6:$J$312,4,0)+AE$5)</f>
        <v>0</v>
      </c>
      <c r="AE296" s="208">
        <f>-W296*INDEX(ship_curves,MATCH(AC296,'SHIP CURVES'!$A$9:$A$316,0),MATCH(CONCATENATE(AG$4,AG$5,AG$6,AG$7),'SHIP CURVES'!$A$9:$AZ$9,0))</f>
        <v>0</v>
      </c>
      <c r="AF296" s="209">
        <f>-Y296*INDEX(port_processing_fee,MATCH(AC296,PORTS!$H$626:$H$933,0),MATCH(AG$5,PORTS!$H$626:$Z$626,0))</f>
        <v>0</v>
      </c>
      <c r="AG296" s="405">
        <f>(((VLOOKUP(AC296,curvecalc,4,0))*IF(W296=0,0,AA296/W296)-INDEX(ship_curves,MATCH(AC296,'SHIP CURVES'!$A$9:$A$316,0),MATCH(CONCATENATE(AG$4,AG$5,AG$6,AG$7),'SHIP CURVES'!$A$9:$Z$9,0))-INDEX(terminal_curves,MATCH(AC296,'TERMINAL CURVES'!$A$4:$A$313,0),MATCH(AG$5,'TERMINAL CURVES'!$A$4:$N$4,0))*IF(W296=0,0,Y296/W296))-(AE$8)*((AE$7-$N$5)-(INDEX(ship_curves,MATCH(AC296,'SHIP CURVES'!$A$9:$A$316,0),MATCH(CONCATENATE(AG$4,AG$5,AG$6,AG$7),'SHIP CURVES'!$A$9:$Z$9,0))-INDEX(ship_curves,MATCH(AC296,'SHIP CURVES'!$A$9:$A$316,0),MATCH(CONCATENATE(AG$4,AE$6,AG$6,AG$7),'SHIP CURVES'!$A$9:$Z$9,0)))-(INDEX(terminal_curves,MATCH(AC296,'TERMINAL CURVES'!$A$4:$A$313,0),MATCH(AG$5,'TERMINAL CURVES'!$A$4:$N$4,0))-INDEX(terminal_curves,MATCH(AC296,'TERMINAL CURVES'!$A$4:$A$313,0),MATCH(AE$6,'TERMINAL CURVES'!$A$4:$N$4,0)))*IF(W296=0,0,Y296/W296)))*-W296</f>
        <v>0</v>
      </c>
      <c r="AH296" s="343">
        <f t="shared" si="137"/>
        <v>0</v>
      </c>
      <c r="AI296" s="338">
        <f>(-Y296/((HLOOKUP(AG$5,port_specs,2,0)/(365.25))*(AC297-AC296)))*(INDEX(fixed_capacity_charge,MATCH(AC296,PORTS!$H$11:$H$317,0),MATCH(AG$5,PORTS!$H$11:$N$11,0))+INDEX(variable_om_charge,MATCH(AC296,PORTS!$H$318:$H$625,0),MATCH(AG$5,PORTS!$H$318:$N$318,0)))</f>
        <v>0</v>
      </c>
      <c r="AJ296" s="232">
        <f t="shared" si="138"/>
        <v>0</v>
      </c>
      <c r="AK296" s="241">
        <f t="shared" si="139"/>
        <v>0</v>
      </c>
      <c r="AM296" s="186">
        <f t="shared" si="150"/>
        <v>45170</v>
      </c>
      <c r="AN296" s="215">
        <f t="shared" si="140"/>
        <v>0</v>
      </c>
      <c r="AO296" s="191">
        <f t="shared" si="141"/>
        <v>0</v>
      </c>
      <c r="AP296" s="218">
        <f>+IF(AND(AO$8&lt;=AM296,AO$9&gt;=AM296),+MIN($B296-SUMIF($H$17:AO$17,AP$17,$H296:AO296),((INDEX(ROUTE_PER_DAY_BY_SHIP,MATCH(CONCATENATE(AO$4,AO$5,AO$7),ROUTE_PER_DAY_ROUTES,0),MATCH(AO$6,ROUTE_PER_DAY_SHIPS,0))*(AM297-AM296))-(INDEX(ROUTE_PER_DAY_BY_SHIP,MATCH(CONCATENATE(AO$4,AO$5,AO$7),ROUTE_PER_DAY_ROUTES,0),MATCH(AO$6,ROUTE_PER_DAY_SHIPS,0))*(AM297-AM296))*HLOOKUP(AO$6,SHIPS,7,0)*INDEX(LADEN_VOYAGE_DAYS,MATCH(CONCATENATE(AO$4,AO$5,AO$7),LADEN_VOYAGE_ROUTES,0),MATCH(AO$6,LADEN_VOYAGE_SHIPS,0)))),0)</f>
        <v>0</v>
      </c>
      <c r="AQ296" s="118">
        <f>-(AP296)*PORTS!$I$6</f>
        <v>0</v>
      </c>
      <c r="AR296" s="215">
        <f t="shared" si="123"/>
        <v>0</v>
      </c>
      <c r="AS296" s="202"/>
      <c r="AT296" s="186">
        <f t="shared" si="151"/>
        <v>45170</v>
      </c>
      <c r="AU296" s="232">
        <f>+AR296*(VLOOKUP(AT296,CURVECALC!$C$6:$J$312,4,0)+AV$5)</f>
        <v>0</v>
      </c>
      <c r="AV296" s="208">
        <f>-AN296*INDEX(ship_curves,MATCH(AT296,'SHIP CURVES'!$A$9:$A$316,0),MATCH(CONCATENATE(AX$4,AX$5,AX$6,AX$7),'SHIP CURVES'!$A$9:$AZ$9,0))</f>
        <v>0</v>
      </c>
      <c r="AW296" s="209">
        <f>-AP296*INDEX(port_processing_fee,MATCH(AT296,PORTS!$H$626:$H$933,0),MATCH(AX$5,PORTS!$H$626:$Z$626,0))</f>
        <v>0</v>
      </c>
      <c r="AX296" s="405">
        <f>(((VLOOKUP(AT296,curvecalc,4,0))*IF(AN296=0,0,AR296/AN296)-INDEX(ship_curves,MATCH(AT296,'SHIP CURVES'!$A$9:$A$316,0),MATCH(CONCATENATE(AX$4,AX$5,AX$6,AX$7),'SHIP CURVES'!$A$9:$Z$9,0))-INDEX(terminal_curves,MATCH(AT296,'TERMINAL CURVES'!$A$4:$A$313,0),MATCH(AX$5,'TERMINAL CURVES'!$A$4:$N$4,0))*IF(AN296=0,0,AP296/AN296))-(AV$8)*((AV$7-$N$5)-(INDEX(ship_curves,MATCH(AT296,'SHIP CURVES'!$A$9:$A$316,0),MATCH(CONCATENATE(AX$4,AX$5,AX$6,AX$7),'SHIP CURVES'!$A$9:$Z$9,0))-INDEX(ship_curves,MATCH(AT296,'SHIP CURVES'!$A$9:$A$316,0),MATCH(CONCATENATE(AX$4,AV$6,AX$6,AX$7),'SHIP CURVES'!$A$9:$Z$9,0)))-(INDEX(terminal_curves,MATCH(AT296,'TERMINAL CURVES'!$A$4:$A$313,0),MATCH(AX$5,'TERMINAL CURVES'!$A$4:$N$4,0))-INDEX(terminal_curves,MATCH(AT296,'TERMINAL CURVES'!$A$4:$A$313,0),MATCH(AV$6,'TERMINAL CURVES'!$A$4:$N$4,0)))*IF(AN296=0,0,AP296/AN296)))*-AN296</f>
        <v>0</v>
      </c>
      <c r="AY296" s="343">
        <f t="shared" si="142"/>
        <v>0</v>
      </c>
      <c r="AZ296" s="338">
        <f>(-AP296/((HLOOKUP(AX$5,port_specs,2,0)/(365.25))*(AT297-AT296)))*(INDEX(fixed_capacity_charge,MATCH(AT296,PORTS!$H$11:$H$317,0),MATCH(AX$5,PORTS!$H$11:$N$11,0))+INDEX(variable_om_charge,MATCH(AT296,PORTS!$H$318:$H$625,0),MATCH(AX$5,PORTS!$H$318:$N$318,0)))</f>
        <v>0</v>
      </c>
      <c r="BA296" s="232">
        <f t="shared" si="143"/>
        <v>0</v>
      </c>
      <c r="BB296" s="241">
        <f t="shared" si="144"/>
        <v>0</v>
      </c>
      <c r="BC296" s="408"/>
      <c r="BD296" s="338">
        <f>+PORTS!I290+PORTS!I598</f>
        <v>0</v>
      </c>
    </row>
    <row r="297" spans="1:56" x14ac:dyDescent="0.2">
      <c r="A297" s="186">
        <f t="shared" si="145"/>
        <v>45200</v>
      </c>
      <c r="B297" s="215">
        <f>+IF(AND($A297&gt;=$C$8,$A297&lt;=$C$9),1,0)*PORTS!$I$5/(365.25)*(A298-A297)</f>
        <v>0</v>
      </c>
      <c r="C297" s="351">
        <f t="shared" si="124"/>
        <v>0</v>
      </c>
      <c r="D297">
        <f t="shared" si="125"/>
        <v>2023</v>
      </c>
      <c r="E297" s="186">
        <f t="shared" si="146"/>
        <v>45200</v>
      </c>
      <c r="F297" s="215">
        <f t="shared" si="126"/>
        <v>0</v>
      </c>
      <c r="G297" s="191">
        <f t="shared" si="127"/>
        <v>0</v>
      </c>
      <c r="H297" s="218">
        <f t="shared" si="128"/>
        <v>0</v>
      </c>
      <c r="I297" s="118">
        <f t="shared" si="129"/>
        <v>0</v>
      </c>
      <c r="J297" s="215">
        <f t="shared" si="130"/>
        <v>0</v>
      </c>
      <c r="K297" s="202"/>
      <c r="L297" s="186">
        <f t="shared" si="147"/>
        <v>45200</v>
      </c>
      <c r="M297" s="400">
        <f>+J297*(VLOOKUP(L297,CURVECALC!$C$6:$J$312,4,0)+N$5)</f>
        <v>0</v>
      </c>
      <c r="N297" s="208">
        <f>-F297*INDEX(ship_curves,MATCH(L297,'SHIP CURVES'!$A$9:$A$316,0),MATCH(CONCATENATE(P$4,P$5,P$6,P$7),'SHIP CURVES'!$A$9:$AZ$9,0))</f>
        <v>0</v>
      </c>
      <c r="O297" s="209">
        <f>-H297*INDEX(port_processing_fee,MATCH(L297,PORTS!$H$626:$H$933,0),MATCH(P$5,PORTS!$H$626:$Z$626,0))</f>
        <v>0</v>
      </c>
      <c r="P297" s="405">
        <f>(((VLOOKUP(L297,curvecalc,4,0))*IF(F297=0,0,J297/F297)-INDEX(ship_curves,MATCH(L297,'SHIP CURVES'!$A$9:$A$316,0),MATCH(CONCATENATE(P$4,P$5,P$6,P$7),'SHIP CURVES'!$A$9:$Z$9,0))-INDEX(terminal_curves,MATCH(L297,'TERMINAL CURVES'!$A$4:$A$313,0),MATCH(P$5,'TERMINAL CURVES'!$A$4:$N$4,0))*IF(F297=0,0,H297/F297))-(N$8)*((N$7-$N$5)-(INDEX(ship_curves,MATCH(L297,'SHIP CURVES'!$A$9:$A$316,0),MATCH(CONCATENATE(P$4,P$5,P$6,P$7),'SHIP CURVES'!$A$9:$Z$9,0))-INDEX(ship_curves,MATCH(L297,'SHIP CURVES'!$A$9:$A$316,0),MATCH(CONCATENATE(P$4,N$6,P$6,P$7),'SHIP CURVES'!$A$9:$Z$9,0)))-(INDEX(terminal_curves,MATCH(L297,'TERMINAL CURVES'!$A$4:$A$313,0),MATCH(P$5,'TERMINAL CURVES'!$A$4:$N$4,0))-INDEX(terminal_curves,MATCH(L297,'TERMINAL CURVES'!$A$4:$A$313,0),MATCH(N$6,'TERMINAL CURVES'!$A$4:$N$4,0)))*IF(F297=0,0,H297/F297)))*-F297</f>
        <v>0</v>
      </c>
      <c r="Q297" s="403">
        <f t="shared" si="131"/>
        <v>0</v>
      </c>
      <c r="R297" s="338">
        <f>(-H297/((HLOOKUP(P$5,port_specs,2,0)/(365.25))*(L298-L297)))*(INDEX(fixed_capacity_charge,MATCH(L297,PORTS!$H$11:$H$317,0),MATCH(P$5,PORTS!$H$11:$N$11,0))+INDEX(variable_om_charge,MATCH(L297,PORTS!$H$318:$H$625,0),MATCH(P$5,PORTS!$H$318:$N$318,0)))</f>
        <v>0</v>
      </c>
      <c r="S297" s="232">
        <f t="shared" si="132"/>
        <v>0</v>
      </c>
      <c r="T297" s="241">
        <f t="shared" si="133"/>
        <v>0</v>
      </c>
      <c r="V297" s="186">
        <f t="shared" si="148"/>
        <v>45200</v>
      </c>
      <c r="W297" s="215">
        <f t="shared" si="134"/>
        <v>0</v>
      </c>
      <c r="X297" s="191">
        <f t="shared" si="135"/>
        <v>0</v>
      </c>
      <c r="Y297" s="218">
        <f>+IF(AND(X$8&lt;=V297,X$9&gt;=V297),+MIN($B297-SUMIF($H$17:X$17,Y$17,$H297:X297),((INDEX(ROUTE_PER_DAY_BY_SHIP,MATCH(CONCATENATE(X$4,X$5,X$7),ROUTE_PER_DAY_ROUTES,0),MATCH(X$6,ROUTE_PER_DAY_SHIPS,0))*(V298-V297))-(INDEX(ROUTE_PER_DAY_BY_SHIP,MATCH(CONCATENATE(X$4,X$5,X$7),ROUTE_PER_DAY_ROUTES,0),MATCH(X$6,ROUTE_PER_DAY_SHIPS,0))*(V298-V297))*HLOOKUP(X$6,SHIPS,7,0)*INDEX(LADEN_VOYAGE_DAYS,MATCH(CONCATENATE(X$4,X$5,X$7),LADEN_VOYAGE_ROUTES,0),MATCH(X$6,LADEN_VOYAGE_SHIPS,0)))),0)</f>
        <v>0</v>
      </c>
      <c r="Z297" s="118">
        <f t="shared" si="136"/>
        <v>0</v>
      </c>
      <c r="AA297" s="215">
        <f t="shared" si="122"/>
        <v>0</v>
      </c>
      <c r="AB297" s="202"/>
      <c r="AC297" s="186">
        <f t="shared" si="149"/>
        <v>45200</v>
      </c>
      <c r="AD297" s="232">
        <f>+AA297*(VLOOKUP(AC297,CURVECALC!$C$6:$J$312,4,0)+AE$5)</f>
        <v>0</v>
      </c>
      <c r="AE297" s="208">
        <f>-W297*INDEX(ship_curves,MATCH(AC297,'SHIP CURVES'!$A$9:$A$316,0),MATCH(CONCATENATE(AG$4,AG$5,AG$6,AG$7),'SHIP CURVES'!$A$9:$AZ$9,0))</f>
        <v>0</v>
      </c>
      <c r="AF297" s="209">
        <f>-Y297*INDEX(port_processing_fee,MATCH(AC297,PORTS!$H$626:$H$933,0),MATCH(AG$5,PORTS!$H$626:$Z$626,0))</f>
        <v>0</v>
      </c>
      <c r="AG297" s="405">
        <f>(((VLOOKUP(AC297,curvecalc,4,0))*IF(W297=0,0,AA297/W297)-INDEX(ship_curves,MATCH(AC297,'SHIP CURVES'!$A$9:$A$316,0),MATCH(CONCATENATE(AG$4,AG$5,AG$6,AG$7),'SHIP CURVES'!$A$9:$Z$9,0))-INDEX(terminal_curves,MATCH(AC297,'TERMINAL CURVES'!$A$4:$A$313,0),MATCH(AG$5,'TERMINAL CURVES'!$A$4:$N$4,0))*IF(W297=0,0,Y297/W297))-(AE$8)*((AE$7-$N$5)-(INDEX(ship_curves,MATCH(AC297,'SHIP CURVES'!$A$9:$A$316,0),MATCH(CONCATENATE(AG$4,AG$5,AG$6,AG$7),'SHIP CURVES'!$A$9:$Z$9,0))-INDEX(ship_curves,MATCH(AC297,'SHIP CURVES'!$A$9:$A$316,0),MATCH(CONCATENATE(AG$4,AE$6,AG$6,AG$7),'SHIP CURVES'!$A$9:$Z$9,0)))-(INDEX(terminal_curves,MATCH(AC297,'TERMINAL CURVES'!$A$4:$A$313,0),MATCH(AG$5,'TERMINAL CURVES'!$A$4:$N$4,0))-INDEX(terminal_curves,MATCH(AC297,'TERMINAL CURVES'!$A$4:$A$313,0),MATCH(AE$6,'TERMINAL CURVES'!$A$4:$N$4,0)))*IF(W297=0,0,Y297/W297)))*-W297</f>
        <v>0</v>
      </c>
      <c r="AH297" s="343">
        <f t="shared" si="137"/>
        <v>0</v>
      </c>
      <c r="AI297" s="338">
        <f>(-Y297/((HLOOKUP(AG$5,port_specs,2,0)/(365.25))*(AC298-AC297)))*(INDEX(fixed_capacity_charge,MATCH(AC297,PORTS!$H$11:$H$317,0),MATCH(AG$5,PORTS!$H$11:$N$11,0))+INDEX(variable_om_charge,MATCH(AC297,PORTS!$H$318:$H$625,0),MATCH(AG$5,PORTS!$H$318:$N$318,0)))</f>
        <v>0</v>
      </c>
      <c r="AJ297" s="232">
        <f t="shared" si="138"/>
        <v>0</v>
      </c>
      <c r="AK297" s="241">
        <f t="shared" si="139"/>
        <v>0</v>
      </c>
      <c r="AM297" s="186">
        <f t="shared" si="150"/>
        <v>45200</v>
      </c>
      <c r="AN297" s="215">
        <f t="shared" si="140"/>
        <v>0</v>
      </c>
      <c r="AO297" s="191">
        <f t="shared" si="141"/>
        <v>0</v>
      </c>
      <c r="AP297" s="218">
        <f>+IF(AND(AO$8&lt;=AM297,AO$9&gt;=AM297),+MIN($B297-SUMIF($H$17:AO$17,AP$17,$H297:AO297),((INDEX(ROUTE_PER_DAY_BY_SHIP,MATCH(CONCATENATE(AO$4,AO$5,AO$7),ROUTE_PER_DAY_ROUTES,0),MATCH(AO$6,ROUTE_PER_DAY_SHIPS,0))*(AM298-AM297))-(INDEX(ROUTE_PER_DAY_BY_SHIP,MATCH(CONCATENATE(AO$4,AO$5,AO$7),ROUTE_PER_DAY_ROUTES,0),MATCH(AO$6,ROUTE_PER_DAY_SHIPS,0))*(AM298-AM297))*HLOOKUP(AO$6,SHIPS,7,0)*INDEX(LADEN_VOYAGE_DAYS,MATCH(CONCATENATE(AO$4,AO$5,AO$7),LADEN_VOYAGE_ROUTES,0),MATCH(AO$6,LADEN_VOYAGE_SHIPS,0)))),0)</f>
        <v>0</v>
      </c>
      <c r="AQ297" s="118">
        <f>-(AP297)*PORTS!$I$6</f>
        <v>0</v>
      </c>
      <c r="AR297" s="215">
        <f t="shared" si="123"/>
        <v>0</v>
      </c>
      <c r="AS297" s="202"/>
      <c r="AT297" s="186">
        <f t="shared" si="151"/>
        <v>45200</v>
      </c>
      <c r="AU297" s="232">
        <f>+AR297*(VLOOKUP(AT297,CURVECALC!$C$6:$J$312,4,0)+AV$5)</f>
        <v>0</v>
      </c>
      <c r="AV297" s="208">
        <f>-AN297*INDEX(ship_curves,MATCH(AT297,'SHIP CURVES'!$A$9:$A$316,0),MATCH(CONCATENATE(AX$4,AX$5,AX$6,AX$7),'SHIP CURVES'!$A$9:$AZ$9,0))</f>
        <v>0</v>
      </c>
      <c r="AW297" s="209">
        <f>-AP297*INDEX(port_processing_fee,MATCH(AT297,PORTS!$H$626:$H$933,0),MATCH(AX$5,PORTS!$H$626:$Z$626,0))</f>
        <v>0</v>
      </c>
      <c r="AX297" s="405">
        <f>(((VLOOKUP(AT297,curvecalc,4,0))*IF(AN297=0,0,AR297/AN297)-INDEX(ship_curves,MATCH(AT297,'SHIP CURVES'!$A$9:$A$316,0),MATCH(CONCATENATE(AX$4,AX$5,AX$6,AX$7),'SHIP CURVES'!$A$9:$Z$9,0))-INDEX(terminal_curves,MATCH(AT297,'TERMINAL CURVES'!$A$4:$A$313,0),MATCH(AX$5,'TERMINAL CURVES'!$A$4:$N$4,0))*IF(AN297=0,0,AP297/AN297))-(AV$8)*((AV$7-$N$5)-(INDEX(ship_curves,MATCH(AT297,'SHIP CURVES'!$A$9:$A$316,0),MATCH(CONCATENATE(AX$4,AX$5,AX$6,AX$7),'SHIP CURVES'!$A$9:$Z$9,0))-INDEX(ship_curves,MATCH(AT297,'SHIP CURVES'!$A$9:$A$316,0),MATCH(CONCATENATE(AX$4,AV$6,AX$6,AX$7),'SHIP CURVES'!$A$9:$Z$9,0)))-(INDEX(terminal_curves,MATCH(AT297,'TERMINAL CURVES'!$A$4:$A$313,0),MATCH(AX$5,'TERMINAL CURVES'!$A$4:$N$4,0))-INDEX(terminal_curves,MATCH(AT297,'TERMINAL CURVES'!$A$4:$A$313,0),MATCH(AV$6,'TERMINAL CURVES'!$A$4:$N$4,0)))*IF(AN297=0,0,AP297/AN297)))*-AN297</f>
        <v>0</v>
      </c>
      <c r="AY297" s="343">
        <f t="shared" si="142"/>
        <v>0</v>
      </c>
      <c r="AZ297" s="338">
        <f>(-AP297/((HLOOKUP(AX$5,port_specs,2,0)/(365.25))*(AT298-AT297)))*(INDEX(fixed_capacity_charge,MATCH(AT297,PORTS!$H$11:$H$317,0),MATCH(AX$5,PORTS!$H$11:$N$11,0))+INDEX(variable_om_charge,MATCH(AT297,PORTS!$H$318:$H$625,0),MATCH(AX$5,PORTS!$H$318:$N$318,0)))</f>
        <v>0</v>
      </c>
      <c r="BA297" s="232">
        <f t="shared" si="143"/>
        <v>0</v>
      </c>
      <c r="BB297" s="241">
        <f t="shared" si="144"/>
        <v>0</v>
      </c>
      <c r="BC297" s="408"/>
      <c r="BD297" s="338">
        <f>+PORTS!I291+PORTS!I599</f>
        <v>0</v>
      </c>
    </row>
    <row r="298" spans="1:56" x14ac:dyDescent="0.2">
      <c r="A298" s="186">
        <f t="shared" si="145"/>
        <v>45231</v>
      </c>
      <c r="B298" s="215">
        <f>+IF(AND($A298&gt;=$C$8,$A298&lt;=$C$9),1,0)*PORTS!$I$5/(365.25)*(A299-A298)</f>
        <v>0</v>
      </c>
      <c r="C298" s="351">
        <f t="shared" si="124"/>
        <v>0</v>
      </c>
      <c r="D298">
        <f t="shared" si="125"/>
        <v>2023</v>
      </c>
      <c r="E298" s="186">
        <f t="shared" si="146"/>
        <v>45231</v>
      </c>
      <c r="F298" s="215">
        <f t="shared" si="126"/>
        <v>0</v>
      </c>
      <c r="G298" s="191">
        <f t="shared" si="127"/>
        <v>0</v>
      </c>
      <c r="H298" s="218">
        <f t="shared" si="128"/>
        <v>0</v>
      </c>
      <c r="I298" s="118">
        <f t="shared" si="129"/>
        <v>0</v>
      </c>
      <c r="J298" s="215">
        <f t="shared" si="130"/>
        <v>0</v>
      </c>
      <c r="K298" s="202"/>
      <c r="L298" s="186">
        <f t="shared" si="147"/>
        <v>45231</v>
      </c>
      <c r="M298" s="400">
        <f>+J298*(VLOOKUP(L298,CURVECALC!$C$6:$J$312,4,0)+N$5)</f>
        <v>0</v>
      </c>
      <c r="N298" s="208">
        <f>-F298*INDEX(ship_curves,MATCH(L298,'SHIP CURVES'!$A$9:$A$316,0),MATCH(CONCATENATE(P$4,P$5,P$6,P$7),'SHIP CURVES'!$A$9:$AZ$9,0))</f>
        <v>0</v>
      </c>
      <c r="O298" s="209">
        <f>-H298*INDEX(port_processing_fee,MATCH(L298,PORTS!$H$626:$H$933,0),MATCH(P$5,PORTS!$H$626:$Z$626,0))</f>
        <v>0</v>
      </c>
      <c r="P298" s="405">
        <f>(((VLOOKUP(L298,curvecalc,4,0))*IF(F298=0,0,J298/F298)-INDEX(ship_curves,MATCH(L298,'SHIP CURVES'!$A$9:$A$316,0),MATCH(CONCATENATE(P$4,P$5,P$6,P$7),'SHIP CURVES'!$A$9:$Z$9,0))-INDEX(terminal_curves,MATCH(L298,'TERMINAL CURVES'!$A$4:$A$313,0),MATCH(P$5,'TERMINAL CURVES'!$A$4:$N$4,0))*IF(F298=0,0,H298/F298))-(N$8)*((N$7-$N$5)-(INDEX(ship_curves,MATCH(L298,'SHIP CURVES'!$A$9:$A$316,0),MATCH(CONCATENATE(P$4,P$5,P$6,P$7),'SHIP CURVES'!$A$9:$Z$9,0))-INDEX(ship_curves,MATCH(L298,'SHIP CURVES'!$A$9:$A$316,0),MATCH(CONCATENATE(P$4,N$6,P$6,P$7),'SHIP CURVES'!$A$9:$Z$9,0)))-(INDEX(terminal_curves,MATCH(L298,'TERMINAL CURVES'!$A$4:$A$313,0),MATCH(P$5,'TERMINAL CURVES'!$A$4:$N$4,0))-INDEX(terminal_curves,MATCH(L298,'TERMINAL CURVES'!$A$4:$A$313,0),MATCH(N$6,'TERMINAL CURVES'!$A$4:$N$4,0)))*IF(F298=0,0,H298/F298)))*-F298</f>
        <v>0</v>
      </c>
      <c r="Q298" s="403">
        <f t="shared" si="131"/>
        <v>0</v>
      </c>
      <c r="R298" s="338">
        <f>(-H298/((HLOOKUP(P$5,port_specs,2,0)/(365.25))*(L299-L298)))*(INDEX(fixed_capacity_charge,MATCH(L298,PORTS!$H$11:$H$317,0),MATCH(P$5,PORTS!$H$11:$N$11,0))+INDEX(variable_om_charge,MATCH(L298,PORTS!$H$318:$H$625,0),MATCH(P$5,PORTS!$H$318:$N$318,0)))</f>
        <v>0</v>
      </c>
      <c r="S298" s="232">
        <f t="shared" si="132"/>
        <v>0</v>
      </c>
      <c r="T298" s="241">
        <f t="shared" si="133"/>
        <v>0</v>
      </c>
      <c r="V298" s="186">
        <f t="shared" si="148"/>
        <v>45231</v>
      </c>
      <c r="W298" s="215">
        <f t="shared" si="134"/>
        <v>0</v>
      </c>
      <c r="X298" s="191">
        <f t="shared" si="135"/>
        <v>0</v>
      </c>
      <c r="Y298" s="218">
        <f>+IF(AND(X$8&lt;=V298,X$9&gt;=V298),+MIN($B298-SUMIF($H$17:X$17,Y$17,$H298:X298),((INDEX(ROUTE_PER_DAY_BY_SHIP,MATCH(CONCATENATE(X$4,X$5,X$7),ROUTE_PER_DAY_ROUTES,0),MATCH(X$6,ROUTE_PER_DAY_SHIPS,0))*(V299-V298))-(INDEX(ROUTE_PER_DAY_BY_SHIP,MATCH(CONCATENATE(X$4,X$5,X$7),ROUTE_PER_DAY_ROUTES,0),MATCH(X$6,ROUTE_PER_DAY_SHIPS,0))*(V299-V298))*HLOOKUP(X$6,SHIPS,7,0)*INDEX(LADEN_VOYAGE_DAYS,MATCH(CONCATENATE(X$4,X$5,X$7),LADEN_VOYAGE_ROUTES,0),MATCH(X$6,LADEN_VOYAGE_SHIPS,0)))),0)</f>
        <v>0</v>
      </c>
      <c r="Z298" s="118">
        <f t="shared" si="136"/>
        <v>0</v>
      </c>
      <c r="AA298" s="215">
        <f t="shared" si="122"/>
        <v>0</v>
      </c>
      <c r="AB298" s="202"/>
      <c r="AC298" s="186">
        <f t="shared" si="149"/>
        <v>45231</v>
      </c>
      <c r="AD298" s="232">
        <f>+AA298*(VLOOKUP(AC298,CURVECALC!$C$6:$J$312,4,0)+AE$5)</f>
        <v>0</v>
      </c>
      <c r="AE298" s="208">
        <f>-W298*INDEX(ship_curves,MATCH(AC298,'SHIP CURVES'!$A$9:$A$316,0),MATCH(CONCATENATE(AG$4,AG$5,AG$6,AG$7),'SHIP CURVES'!$A$9:$AZ$9,0))</f>
        <v>0</v>
      </c>
      <c r="AF298" s="209">
        <f>-Y298*INDEX(port_processing_fee,MATCH(AC298,PORTS!$H$626:$H$933,0),MATCH(AG$5,PORTS!$H$626:$Z$626,0))</f>
        <v>0</v>
      </c>
      <c r="AG298" s="405">
        <f>(((VLOOKUP(AC298,curvecalc,4,0))*IF(W298=0,0,AA298/W298)-INDEX(ship_curves,MATCH(AC298,'SHIP CURVES'!$A$9:$A$316,0),MATCH(CONCATENATE(AG$4,AG$5,AG$6,AG$7),'SHIP CURVES'!$A$9:$Z$9,0))-INDEX(terminal_curves,MATCH(AC298,'TERMINAL CURVES'!$A$4:$A$313,0),MATCH(AG$5,'TERMINAL CURVES'!$A$4:$N$4,0))*IF(W298=0,0,Y298/W298))-(AE$8)*((AE$7-$N$5)-(INDEX(ship_curves,MATCH(AC298,'SHIP CURVES'!$A$9:$A$316,0),MATCH(CONCATENATE(AG$4,AG$5,AG$6,AG$7),'SHIP CURVES'!$A$9:$Z$9,0))-INDEX(ship_curves,MATCH(AC298,'SHIP CURVES'!$A$9:$A$316,0),MATCH(CONCATENATE(AG$4,AE$6,AG$6,AG$7),'SHIP CURVES'!$A$9:$Z$9,0)))-(INDEX(terminal_curves,MATCH(AC298,'TERMINAL CURVES'!$A$4:$A$313,0),MATCH(AG$5,'TERMINAL CURVES'!$A$4:$N$4,0))-INDEX(terminal_curves,MATCH(AC298,'TERMINAL CURVES'!$A$4:$A$313,0),MATCH(AE$6,'TERMINAL CURVES'!$A$4:$N$4,0)))*IF(W298=0,0,Y298/W298)))*-W298</f>
        <v>0</v>
      </c>
      <c r="AH298" s="343">
        <f t="shared" si="137"/>
        <v>0</v>
      </c>
      <c r="AI298" s="338">
        <f>(-Y298/((HLOOKUP(AG$5,port_specs,2,0)/(365.25))*(AC299-AC298)))*(INDEX(fixed_capacity_charge,MATCH(AC298,PORTS!$H$11:$H$317,0),MATCH(AG$5,PORTS!$H$11:$N$11,0))+INDEX(variable_om_charge,MATCH(AC298,PORTS!$H$318:$H$625,0),MATCH(AG$5,PORTS!$H$318:$N$318,0)))</f>
        <v>0</v>
      </c>
      <c r="AJ298" s="232">
        <f t="shared" si="138"/>
        <v>0</v>
      </c>
      <c r="AK298" s="241">
        <f t="shared" si="139"/>
        <v>0</v>
      </c>
      <c r="AM298" s="186">
        <f t="shared" si="150"/>
        <v>45231</v>
      </c>
      <c r="AN298" s="215">
        <f t="shared" si="140"/>
        <v>0</v>
      </c>
      <c r="AO298" s="191">
        <f t="shared" si="141"/>
        <v>0</v>
      </c>
      <c r="AP298" s="218">
        <f>+IF(AND(AO$8&lt;=AM298,AO$9&gt;=AM298),+MIN($B298-SUMIF($H$17:AO$17,AP$17,$H298:AO298),((INDEX(ROUTE_PER_DAY_BY_SHIP,MATCH(CONCATENATE(AO$4,AO$5,AO$7),ROUTE_PER_DAY_ROUTES,0),MATCH(AO$6,ROUTE_PER_DAY_SHIPS,0))*(AM299-AM298))-(INDEX(ROUTE_PER_DAY_BY_SHIP,MATCH(CONCATENATE(AO$4,AO$5,AO$7),ROUTE_PER_DAY_ROUTES,0),MATCH(AO$6,ROUTE_PER_DAY_SHIPS,0))*(AM299-AM298))*HLOOKUP(AO$6,SHIPS,7,0)*INDEX(LADEN_VOYAGE_DAYS,MATCH(CONCATENATE(AO$4,AO$5,AO$7),LADEN_VOYAGE_ROUTES,0),MATCH(AO$6,LADEN_VOYAGE_SHIPS,0)))),0)</f>
        <v>0</v>
      </c>
      <c r="AQ298" s="118">
        <f>-(AP298)*PORTS!$I$6</f>
        <v>0</v>
      </c>
      <c r="AR298" s="215">
        <f t="shared" si="123"/>
        <v>0</v>
      </c>
      <c r="AS298" s="202"/>
      <c r="AT298" s="186">
        <f t="shared" si="151"/>
        <v>45231</v>
      </c>
      <c r="AU298" s="232">
        <f>+AR298*(VLOOKUP(AT298,CURVECALC!$C$6:$J$312,4,0)+AV$5)</f>
        <v>0</v>
      </c>
      <c r="AV298" s="208">
        <f>-AN298*INDEX(ship_curves,MATCH(AT298,'SHIP CURVES'!$A$9:$A$316,0),MATCH(CONCATENATE(AX$4,AX$5,AX$6,AX$7),'SHIP CURVES'!$A$9:$AZ$9,0))</f>
        <v>0</v>
      </c>
      <c r="AW298" s="209">
        <f>-AP298*INDEX(port_processing_fee,MATCH(AT298,PORTS!$H$626:$H$933,0),MATCH(AX$5,PORTS!$H$626:$Z$626,0))</f>
        <v>0</v>
      </c>
      <c r="AX298" s="405">
        <f>(((VLOOKUP(AT298,curvecalc,4,0))*IF(AN298=0,0,AR298/AN298)-INDEX(ship_curves,MATCH(AT298,'SHIP CURVES'!$A$9:$A$316,0),MATCH(CONCATENATE(AX$4,AX$5,AX$6,AX$7),'SHIP CURVES'!$A$9:$Z$9,0))-INDEX(terminal_curves,MATCH(AT298,'TERMINAL CURVES'!$A$4:$A$313,0),MATCH(AX$5,'TERMINAL CURVES'!$A$4:$N$4,0))*IF(AN298=0,0,AP298/AN298))-(AV$8)*((AV$7-$N$5)-(INDEX(ship_curves,MATCH(AT298,'SHIP CURVES'!$A$9:$A$316,0),MATCH(CONCATENATE(AX$4,AX$5,AX$6,AX$7),'SHIP CURVES'!$A$9:$Z$9,0))-INDEX(ship_curves,MATCH(AT298,'SHIP CURVES'!$A$9:$A$316,0),MATCH(CONCATENATE(AX$4,AV$6,AX$6,AX$7),'SHIP CURVES'!$A$9:$Z$9,0)))-(INDEX(terminal_curves,MATCH(AT298,'TERMINAL CURVES'!$A$4:$A$313,0),MATCH(AX$5,'TERMINAL CURVES'!$A$4:$N$4,0))-INDEX(terminal_curves,MATCH(AT298,'TERMINAL CURVES'!$A$4:$A$313,0),MATCH(AV$6,'TERMINAL CURVES'!$A$4:$N$4,0)))*IF(AN298=0,0,AP298/AN298)))*-AN298</f>
        <v>0</v>
      </c>
      <c r="AY298" s="343">
        <f t="shared" si="142"/>
        <v>0</v>
      </c>
      <c r="AZ298" s="338">
        <f>(-AP298/((HLOOKUP(AX$5,port_specs,2,0)/(365.25))*(AT299-AT298)))*(INDEX(fixed_capacity_charge,MATCH(AT298,PORTS!$H$11:$H$317,0),MATCH(AX$5,PORTS!$H$11:$N$11,0))+INDEX(variable_om_charge,MATCH(AT298,PORTS!$H$318:$H$625,0),MATCH(AX$5,PORTS!$H$318:$N$318,0)))</f>
        <v>0</v>
      </c>
      <c r="BA298" s="232">
        <f t="shared" si="143"/>
        <v>0</v>
      </c>
      <c r="BB298" s="241">
        <f t="shared" si="144"/>
        <v>0</v>
      </c>
      <c r="BC298" s="408"/>
      <c r="BD298" s="338">
        <f>+PORTS!I292+PORTS!I600</f>
        <v>0</v>
      </c>
    </row>
    <row r="299" spans="1:56" x14ac:dyDescent="0.2">
      <c r="A299" s="186">
        <f t="shared" si="145"/>
        <v>45261</v>
      </c>
      <c r="B299" s="215">
        <f>+IF(AND($A299&gt;=$C$8,$A299&lt;=$C$9),1,0)*PORTS!$I$5/(365.25)*(A300-A299)</f>
        <v>0</v>
      </c>
      <c r="C299" s="351">
        <f t="shared" si="124"/>
        <v>0</v>
      </c>
      <c r="D299">
        <f t="shared" si="125"/>
        <v>2023</v>
      </c>
      <c r="E299" s="186">
        <f t="shared" si="146"/>
        <v>45261</v>
      </c>
      <c r="F299" s="215">
        <f t="shared" si="126"/>
        <v>0</v>
      </c>
      <c r="G299" s="191">
        <f t="shared" si="127"/>
        <v>0</v>
      </c>
      <c r="H299" s="218">
        <f t="shared" si="128"/>
        <v>0</v>
      </c>
      <c r="I299" s="118">
        <f t="shared" si="129"/>
        <v>0</v>
      </c>
      <c r="J299" s="215">
        <f t="shared" si="130"/>
        <v>0</v>
      </c>
      <c r="K299" s="202"/>
      <c r="L299" s="186">
        <f t="shared" si="147"/>
        <v>45261</v>
      </c>
      <c r="M299" s="400">
        <f>+J299*(VLOOKUP(L299,CURVECALC!$C$6:$J$312,4,0)+N$5)</f>
        <v>0</v>
      </c>
      <c r="N299" s="208">
        <f>-F299*INDEX(ship_curves,MATCH(L299,'SHIP CURVES'!$A$9:$A$316,0),MATCH(CONCATENATE(P$4,P$5,P$6,P$7),'SHIP CURVES'!$A$9:$AZ$9,0))</f>
        <v>0</v>
      </c>
      <c r="O299" s="209">
        <f>-H299*INDEX(port_processing_fee,MATCH(L299,PORTS!$H$626:$H$933,0),MATCH(P$5,PORTS!$H$626:$Z$626,0))</f>
        <v>0</v>
      </c>
      <c r="P299" s="405">
        <f>(((VLOOKUP(L299,curvecalc,4,0))*IF(F299=0,0,J299/F299)-INDEX(ship_curves,MATCH(L299,'SHIP CURVES'!$A$9:$A$316,0),MATCH(CONCATENATE(P$4,P$5,P$6,P$7),'SHIP CURVES'!$A$9:$Z$9,0))-INDEX(terminal_curves,MATCH(L299,'TERMINAL CURVES'!$A$4:$A$313,0),MATCH(P$5,'TERMINAL CURVES'!$A$4:$N$4,0))*IF(F299=0,0,H299/F299))-(N$8)*((N$7-$N$5)-(INDEX(ship_curves,MATCH(L299,'SHIP CURVES'!$A$9:$A$316,0),MATCH(CONCATENATE(P$4,P$5,P$6,P$7),'SHIP CURVES'!$A$9:$Z$9,0))-INDEX(ship_curves,MATCH(L299,'SHIP CURVES'!$A$9:$A$316,0),MATCH(CONCATENATE(P$4,N$6,P$6,P$7),'SHIP CURVES'!$A$9:$Z$9,0)))-(INDEX(terminal_curves,MATCH(L299,'TERMINAL CURVES'!$A$4:$A$313,0),MATCH(P$5,'TERMINAL CURVES'!$A$4:$N$4,0))-INDEX(terminal_curves,MATCH(L299,'TERMINAL CURVES'!$A$4:$A$313,0),MATCH(N$6,'TERMINAL CURVES'!$A$4:$N$4,0)))*IF(F299=0,0,H299/F299)))*-F299</f>
        <v>0</v>
      </c>
      <c r="Q299" s="403">
        <f t="shared" si="131"/>
        <v>0</v>
      </c>
      <c r="R299" s="338">
        <f>(-H299/((HLOOKUP(P$5,port_specs,2,0)/(365.25))*(L300-L299)))*(INDEX(fixed_capacity_charge,MATCH(L299,PORTS!$H$11:$H$317,0),MATCH(P$5,PORTS!$H$11:$N$11,0))+INDEX(variable_om_charge,MATCH(L299,PORTS!$H$318:$H$625,0),MATCH(P$5,PORTS!$H$318:$N$318,0)))</f>
        <v>0</v>
      </c>
      <c r="S299" s="232">
        <f t="shared" si="132"/>
        <v>0</v>
      </c>
      <c r="T299" s="241">
        <f t="shared" si="133"/>
        <v>0</v>
      </c>
      <c r="V299" s="186">
        <f t="shared" si="148"/>
        <v>45261</v>
      </c>
      <c r="W299" s="215">
        <f t="shared" si="134"/>
        <v>0</v>
      </c>
      <c r="X299" s="191">
        <f t="shared" si="135"/>
        <v>0</v>
      </c>
      <c r="Y299" s="218">
        <f>+IF(AND(X$8&lt;=V299,X$9&gt;=V299),+MIN($B299-SUMIF($H$17:X$17,Y$17,$H299:X299),((INDEX(ROUTE_PER_DAY_BY_SHIP,MATCH(CONCATENATE(X$4,X$5,X$7),ROUTE_PER_DAY_ROUTES,0),MATCH(X$6,ROUTE_PER_DAY_SHIPS,0))*(V300-V299))-(INDEX(ROUTE_PER_DAY_BY_SHIP,MATCH(CONCATENATE(X$4,X$5,X$7),ROUTE_PER_DAY_ROUTES,0),MATCH(X$6,ROUTE_PER_DAY_SHIPS,0))*(V300-V299))*HLOOKUP(X$6,SHIPS,7,0)*INDEX(LADEN_VOYAGE_DAYS,MATCH(CONCATENATE(X$4,X$5,X$7),LADEN_VOYAGE_ROUTES,0),MATCH(X$6,LADEN_VOYAGE_SHIPS,0)))),0)</f>
        <v>0</v>
      </c>
      <c r="Z299" s="118">
        <f t="shared" si="136"/>
        <v>0</v>
      </c>
      <c r="AA299" s="215">
        <f t="shared" si="122"/>
        <v>0</v>
      </c>
      <c r="AB299" s="202"/>
      <c r="AC299" s="186">
        <f t="shared" si="149"/>
        <v>45261</v>
      </c>
      <c r="AD299" s="232">
        <f>+AA299*(VLOOKUP(AC299,CURVECALC!$C$6:$J$312,4,0)+AE$5)</f>
        <v>0</v>
      </c>
      <c r="AE299" s="208">
        <f>-W299*INDEX(ship_curves,MATCH(AC299,'SHIP CURVES'!$A$9:$A$316,0),MATCH(CONCATENATE(AG$4,AG$5,AG$6,AG$7),'SHIP CURVES'!$A$9:$AZ$9,0))</f>
        <v>0</v>
      </c>
      <c r="AF299" s="209">
        <f>-Y299*INDEX(port_processing_fee,MATCH(AC299,PORTS!$H$626:$H$933,0),MATCH(AG$5,PORTS!$H$626:$Z$626,0))</f>
        <v>0</v>
      </c>
      <c r="AG299" s="405">
        <f>(((VLOOKUP(AC299,curvecalc,4,0))*IF(W299=0,0,AA299/W299)-INDEX(ship_curves,MATCH(AC299,'SHIP CURVES'!$A$9:$A$316,0),MATCH(CONCATENATE(AG$4,AG$5,AG$6,AG$7),'SHIP CURVES'!$A$9:$Z$9,0))-INDEX(terminal_curves,MATCH(AC299,'TERMINAL CURVES'!$A$4:$A$313,0),MATCH(AG$5,'TERMINAL CURVES'!$A$4:$N$4,0))*IF(W299=0,0,Y299/W299))-(AE$8)*((AE$7-$N$5)-(INDEX(ship_curves,MATCH(AC299,'SHIP CURVES'!$A$9:$A$316,0),MATCH(CONCATENATE(AG$4,AG$5,AG$6,AG$7),'SHIP CURVES'!$A$9:$Z$9,0))-INDEX(ship_curves,MATCH(AC299,'SHIP CURVES'!$A$9:$A$316,0),MATCH(CONCATENATE(AG$4,AE$6,AG$6,AG$7),'SHIP CURVES'!$A$9:$Z$9,0)))-(INDEX(terminal_curves,MATCH(AC299,'TERMINAL CURVES'!$A$4:$A$313,0),MATCH(AG$5,'TERMINAL CURVES'!$A$4:$N$4,0))-INDEX(terminal_curves,MATCH(AC299,'TERMINAL CURVES'!$A$4:$A$313,0),MATCH(AE$6,'TERMINAL CURVES'!$A$4:$N$4,0)))*IF(W299=0,0,Y299/W299)))*-W299</f>
        <v>0</v>
      </c>
      <c r="AH299" s="343">
        <f t="shared" si="137"/>
        <v>0</v>
      </c>
      <c r="AI299" s="338">
        <f>(-Y299/((HLOOKUP(AG$5,port_specs,2,0)/(365.25))*(AC300-AC299)))*(INDEX(fixed_capacity_charge,MATCH(AC299,PORTS!$H$11:$H$317,0),MATCH(AG$5,PORTS!$H$11:$N$11,0))+INDEX(variable_om_charge,MATCH(AC299,PORTS!$H$318:$H$625,0),MATCH(AG$5,PORTS!$H$318:$N$318,0)))</f>
        <v>0</v>
      </c>
      <c r="AJ299" s="232">
        <f t="shared" si="138"/>
        <v>0</v>
      </c>
      <c r="AK299" s="241">
        <f t="shared" si="139"/>
        <v>0</v>
      </c>
      <c r="AM299" s="186">
        <f t="shared" si="150"/>
        <v>45261</v>
      </c>
      <c r="AN299" s="215">
        <f t="shared" si="140"/>
        <v>0</v>
      </c>
      <c r="AO299" s="191">
        <f t="shared" si="141"/>
        <v>0</v>
      </c>
      <c r="AP299" s="218">
        <f>+IF(AND(AO$8&lt;=AM299,AO$9&gt;=AM299),+MIN($B299-SUMIF($H$17:AO$17,AP$17,$H299:AO299),((INDEX(ROUTE_PER_DAY_BY_SHIP,MATCH(CONCATENATE(AO$4,AO$5,AO$7),ROUTE_PER_DAY_ROUTES,0),MATCH(AO$6,ROUTE_PER_DAY_SHIPS,0))*(AM300-AM299))-(INDEX(ROUTE_PER_DAY_BY_SHIP,MATCH(CONCATENATE(AO$4,AO$5,AO$7),ROUTE_PER_DAY_ROUTES,0),MATCH(AO$6,ROUTE_PER_DAY_SHIPS,0))*(AM300-AM299))*HLOOKUP(AO$6,SHIPS,7,0)*INDEX(LADEN_VOYAGE_DAYS,MATCH(CONCATENATE(AO$4,AO$5,AO$7),LADEN_VOYAGE_ROUTES,0),MATCH(AO$6,LADEN_VOYAGE_SHIPS,0)))),0)</f>
        <v>0</v>
      </c>
      <c r="AQ299" s="118">
        <f>-(AP299)*PORTS!$I$6</f>
        <v>0</v>
      </c>
      <c r="AR299" s="215">
        <f t="shared" si="123"/>
        <v>0</v>
      </c>
      <c r="AS299" s="202"/>
      <c r="AT299" s="186">
        <f t="shared" si="151"/>
        <v>45261</v>
      </c>
      <c r="AU299" s="232">
        <f>+AR299*(VLOOKUP(AT299,CURVECALC!$C$6:$J$312,4,0)+AV$5)</f>
        <v>0</v>
      </c>
      <c r="AV299" s="208">
        <f>-AN299*INDEX(ship_curves,MATCH(AT299,'SHIP CURVES'!$A$9:$A$316,0),MATCH(CONCATENATE(AX$4,AX$5,AX$6,AX$7),'SHIP CURVES'!$A$9:$AZ$9,0))</f>
        <v>0</v>
      </c>
      <c r="AW299" s="209">
        <f>-AP299*INDEX(port_processing_fee,MATCH(AT299,PORTS!$H$626:$H$933,0),MATCH(AX$5,PORTS!$H$626:$Z$626,0))</f>
        <v>0</v>
      </c>
      <c r="AX299" s="405">
        <f>(((VLOOKUP(AT299,curvecalc,4,0))*IF(AN299=0,0,AR299/AN299)-INDEX(ship_curves,MATCH(AT299,'SHIP CURVES'!$A$9:$A$316,0),MATCH(CONCATENATE(AX$4,AX$5,AX$6,AX$7),'SHIP CURVES'!$A$9:$Z$9,0))-INDEX(terminal_curves,MATCH(AT299,'TERMINAL CURVES'!$A$4:$A$313,0),MATCH(AX$5,'TERMINAL CURVES'!$A$4:$N$4,0))*IF(AN299=0,0,AP299/AN299))-(AV$8)*((AV$7-$N$5)-(INDEX(ship_curves,MATCH(AT299,'SHIP CURVES'!$A$9:$A$316,0),MATCH(CONCATENATE(AX$4,AX$5,AX$6,AX$7),'SHIP CURVES'!$A$9:$Z$9,0))-INDEX(ship_curves,MATCH(AT299,'SHIP CURVES'!$A$9:$A$316,0),MATCH(CONCATENATE(AX$4,AV$6,AX$6,AX$7),'SHIP CURVES'!$A$9:$Z$9,0)))-(INDEX(terminal_curves,MATCH(AT299,'TERMINAL CURVES'!$A$4:$A$313,0),MATCH(AX$5,'TERMINAL CURVES'!$A$4:$N$4,0))-INDEX(terminal_curves,MATCH(AT299,'TERMINAL CURVES'!$A$4:$A$313,0),MATCH(AV$6,'TERMINAL CURVES'!$A$4:$N$4,0)))*IF(AN299=0,0,AP299/AN299)))*-AN299</f>
        <v>0</v>
      </c>
      <c r="AY299" s="343">
        <f t="shared" si="142"/>
        <v>0</v>
      </c>
      <c r="AZ299" s="338">
        <f>(-AP299/((HLOOKUP(AX$5,port_specs,2,0)/(365.25))*(AT300-AT299)))*(INDEX(fixed_capacity_charge,MATCH(AT299,PORTS!$H$11:$H$317,0),MATCH(AX$5,PORTS!$H$11:$N$11,0))+INDEX(variable_om_charge,MATCH(AT299,PORTS!$H$318:$H$625,0),MATCH(AX$5,PORTS!$H$318:$N$318,0)))</f>
        <v>0</v>
      </c>
      <c r="BA299" s="232">
        <f t="shared" si="143"/>
        <v>0</v>
      </c>
      <c r="BB299" s="241">
        <f t="shared" si="144"/>
        <v>0</v>
      </c>
      <c r="BC299" s="408"/>
      <c r="BD299" s="338">
        <f>+PORTS!I293+PORTS!I601</f>
        <v>0</v>
      </c>
    </row>
    <row r="300" spans="1:56" x14ac:dyDescent="0.2">
      <c r="A300" s="186">
        <f t="shared" si="145"/>
        <v>45292</v>
      </c>
      <c r="B300" s="215">
        <f>+IF(AND($A300&gt;=$C$8,$A300&lt;=$C$9),1,0)*PORTS!$I$5/(365.25)*(A301-A300)</f>
        <v>0</v>
      </c>
      <c r="C300" s="351">
        <f t="shared" si="124"/>
        <v>0</v>
      </c>
      <c r="D300">
        <f t="shared" si="125"/>
        <v>2024</v>
      </c>
      <c r="E300" s="186">
        <f t="shared" si="146"/>
        <v>45292</v>
      </c>
      <c r="F300" s="215">
        <f t="shared" si="126"/>
        <v>0</v>
      </c>
      <c r="G300" s="191">
        <f t="shared" si="127"/>
        <v>0</v>
      </c>
      <c r="H300" s="218">
        <f t="shared" si="128"/>
        <v>0</v>
      </c>
      <c r="I300" s="118">
        <f t="shared" si="129"/>
        <v>0</v>
      </c>
      <c r="J300" s="215">
        <f t="shared" si="130"/>
        <v>0</v>
      </c>
      <c r="K300" s="202"/>
      <c r="L300" s="186">
        <f t="shared" si="147"/>
        <v>45292</v>
      </c>
      <c r="M300" s="400">
        <f>+J300*(VLOOKUP(L300,CURVECALC!$C$6:$J$312,4,0)+N$5)</f>
        <v>0</v>
      </c>
      <c r="N300" s="208">
        <f>-F300*INDEX(ship_curves,MATCH(L300,'SHIP CURVES'!$A$9:$A$316,0),MATCH(CONCATENATE(P$4,P$5,P$6,P$7),'SHIP CURVES'!$A$9:$AZ$9,0))</f>
        <v>0</v>
      </c>
      <c r="O300" s="209">
        <f>-H300*INDEX(port_processing_fee,MATCH(L300,PORTS!$H$626:$H$933,0),MATCH(P$5,PORTS!$H$626:$Z$626,0))</f>
        <v>0</v>
      </c>
      <c r="P300" s="405">
        <f>(((VLOOKUP(L300,curvecalc,4,0))*IF(F300=0,0,J300/F300)-INDEX(ship_curves,MATCH(L300,'SHIP CURVES'!$A$9:$A$316,0),MATCH(CONCATENATE(P$4,P$5,P$6,P$7),'SHIP CURVES'!$A$9:$Z$9,0))-INDEX(terminal_curves,MATCH(L300,'TERMINAL CURVES'!$A$4:$A$313,0),MATCH(P$5,'TERMINAL CURVES'!$A$4:$N$4,0))*IF(F300=0,0,H300/F300))-(N$8)*((N$7-$N$5)-(INDEX(ship_curves,MATCH(L300,'SHIP CURVES'!$A$9:$A$316,0),MATCH(CONCATENATE(P$4,P$5,P$6,P$7),'SHIP CURVES'!$A$9:$Z$9,0))-INDEX(ship_curves,MATCH(L300,'SHIP CURVES'!$A$9:$A$316,0),MATCH(CONCATENATE(P$4,N$6,P$6,P$7),'SHIP CURVES'!$A$9:$Z$9,0)))-(INDEX(terminal_curves,MATCH(L300,'TERMINAL CURVES'!$A$4:$A$313,0),MATCH(P$5,'TERMINAL CURVES'!$A$4:$N$4,0))-INDEX(terminal_curves,MATCH(L300,'TERMINAL CURVES'!$A$4:$A$313,0),MATCH(N$6,'TERMINAL CURVES'!$A$4:$N$4,0)))*IF(F300=0,0,H300/F300)))*-F300</f>
        <v>0</v>
      </c>
      <c r="Q300" s="403">
        <f t="shared" si="131"/>
        <v>0</v>
      </c>
      <c r="R300" s="338">
        <f>(-H300/((HLOOKUP(P$5,port_specs,2,0)/(365.25))*(L301-L300)))*(INDEX(fixed_capacity_charge,MATCH(L300,PORTS!$H$11:$H$317,0),MATCH(P$5,PORTS!$H$11:$N$11,0))+INDEX(variable_om_charge,MATCH(L300,PORTS!$H$318:$H$625,0),MATCH(P$5,PORTS!$H$318:$N$318,0)))</f>
        <v>0</v>
      </c>
      <c r="S300" s="232">
        <f t="shared" si="132"/>
        <v>0</v>
      </c>
      <c r="T300" s="241">
        <f t="shared" si="133"/>
        <v>0</v>
      </c>
      <c r="V300" s="186">
        <f t="shared" si="148"/>
        <v>45292</v>
      </c>
      <c r="W300" s="215">
        <f t="shared" si="134"/>
        <v>0</v>
      </c>
      <c r="X300" s="191">
        <f t="shared" si="135"/>
        <v>0</v>
      </c>
      <c r="Y300" s="218">
        <f>+IF(AND(X$8&lt;=V300,X$9&gt;=V300),+MIN($B300-SUMIF($H$17:X$17,Y$17,$H300:X300),((INDEX(ROUTE_PER_DAY_BY_SHIP,MATCH(CONCATENATE(X$4,X$5,X$7),ROUTE_PER_DAY_ROUTES,0),MATCH(X$6,ROUTE_PER_DAY_SHIPS,0))*(V301-V300))-(INDEX(ROUTE_PER_DAY_BY_SHIP,MATCH(CONCATENATE(X$4,X$5,X$7),ROUTE_PER_DAY_ROUTES,0),MATCH(X$6,ROUTE_PER_DAY_SHIPS,0))*(V301-V300))*HLOOKUP(X$6,SHIPS,7,0)*INDEX(LADEN_VOYAGE_DAYS,MATCH(CONCATENATE(X$4,X$5,X$7),LADEN_VOYAGE_ROUTES,0),MATCH(X$6,LADEN_VOYAGE_SHIPS,0)))),0)</f>
        <v>0</v>
      </c>
      <c r="Z300" s="118">
        <f t="shared" si="136"/>
        <v>0</v>
      </c>
      <c r="AA300" s="215">
        <f t="shared" si="122"/>
        <v>0</v>
      </c>
      <c r="AB300" s="202"/>
      <c r="AC300" s="186">
        <f t="shared" si="149"/>
        <v>45292</v>
      </c>
      <c r="AD300" s="232">
        <f>+AA300*(VLOOKUP(AC300,CURVECALC!$C$6:$J$312,4,0)+AE$5)</f>
        <v>0</v>
      </c>
      <c r="AE300" s="208">
        <f>-W300*INDEX(ship_curves,MATCH(AC300,'SHIP CURVES'!$A$9:$A$316,0),MATCH(CONCATENATE(AG$4,AG$5,AG$6,AG$7),'SHIP CURVES'!$A$9:$AZ$9,0))</f>
        <v>0</v>
      </c>
      <c r="AF300" s="209">
        <f>-Y300*INDEX(port_processing_fee,MATCH(AC300,PORTS!$H$626:$H$933,0),MATCH(AG$5,PORTS!$H$626:$Z$626,0))</f>
        <v>0</v>
      </c>
      <c r="AG300" s="405">
        <f>(((VLOOKUP(AC300,curvecalc,4,0))*IF(W300=0,0,AA300/W300)-INDEX(ship_curves,MATCH(AC300,'SHIP CURVES'!$A$9:$A$316,0),MATCH(CONCATENATE(AG$4,AG$5,AG$6,AG$7),'SHIP CURVES'!$A$9:$Z$9,0))-INDEX(terminal_curves,MATCH(AC300,'TERMINAL CURVES'!$A$4:$A$313,0),MATCH(AG$5,'TERMINAL CURVES'!$A$4:$N$4,0))*IF(W300=0,0,Y300/W300))-(AE$8)*((AE$7-$N$5)-(INDEX(ship_curves,MATCH(AC300,'SHIP CURVES'!$A$9:$A$316,0),MATCH(CONCATENATE(AG$4,AG$5,AG$6,AG$7),'SHIP CURVES'!$A$9:$Z$9,0))-INDEX(ship_curves,MATCH(AC300,'SHIP CURVES'!$A$9:$A$316,0),MATCH(CONCATENATE(AG$4,AE$6,AG$6,AG$7),'SHIP CURVES'!$A$9:$Z$9,0)))-(INDEX(terminal_curves,MATCH(AC300,'TERMINAL CURVES'!$A$4:$A$313,0),MATCH(AG$5,'TERMINAL CURVES'!$A$4:$N$4,0))-INDEX(terminal_curves,MATCH(AC300,'TERMINAL CURVES'!$A$4:$A$313,0),MATCH(AE$6,'TERMINAL CURVES'!$A$4:$N$4,0)))*IF(W300=0,0,Y300/W300)))*-W300</f>
        <v>0</v>
      </c>
      <c r="AH300" s="343">
        <f t="shared" si="137"/>
        <v>0</v>
      </c>
      <c r="AI300" s="338">
        <f>(-Y300/((HLOOKUP(AG$5,port_specs,2,0)/(365.25))*(AC301-AC300)))*(INDEX(fixed_capacity_charge,MATCH(AC300,PORTS!$H$11:$H$317,0),MATCH(AG$5,PORTS!$H$11:$N$11,0))+INDEX(variable_om_charge,MATCH(AC300,PORTS!$H$318:$H$625,0),MATCH(AG$5,PORTS!$H$318:$N$318,0)))</f>
        <v>0</v>
      </c>
      <c r="AJ300" s="232">
        <f t="shared" si="138"/>
        <v>0</v>
      </c>
      <c r="AK300" s="241">
        <f t="shared" si="139"/>
        <v>0</v>
      </c>
      <c r="AM300" s="186">
        <f t="shared" si="150"/>
        <v>45292</v>
      </c>
      <c r="AN300" s="215">
        <f t="shared" si="140"/>
        <v>0</v>
      </c>
      <c r="AO300" s="191">
        <f t="shared" si="141"/>
        <v>0</v>
      </c>
      <c r="AP300" s="218">
        <f>+IF(AND(AO$8&lt;=AM300,AO$9&gt;=AM300),+MIN($B300-SUMIF($H$17:AO$17,AP$17,$H300:AO300),((INDEX(ROUTE_PER_DAY_BY_SHIP,MATCH(CONCATENATE(AO$4,AO$5,AO$7),ROUTE_PER_DAY_ROUTES,0),MATCH(AO$6,ROUTE_PER_DAY_SHIPS,0))*(AM301-AM300))-(INDEX(ROUTE_PER_DAY_BY_SHIP,MATCH(CONCATENATE(AO$4,AO$5,AO$7),ROUTE_PER_DAY_ROUTES,0),MATCH(AO$6,ROUTE_PER_DAY_SHIPS,0))*(AM301-AM300))*HLOOKUP(AO$6,SHIPS,7,0)*INDEX(LADEN_VOYAGE_DAYS,MATCH(CONCATENATE(AO$4,AO$5,AO$7),LADEN_VOYAGE_ROUTES,0),MATCH(AO$6,LADEN_VOYAGE_SHIPS,0)))),0)</f>
        <v>0</v>
      </c>
      <c r="AQ300" s="118">
        <f>-(AP300)*PORTS!$I$6</f>
        <v>0</v>
      </c>
      <c r="AR300" s="215">
        <f t="shared" si="123"/>
        <v>0</v>
      </c>
      <c r="AS300" s="202"/>
      <c r="AT300" s="186">
        <f t="shared" si="151"/>
        <v>45292</v>
      </c>
      <c r="AU300" s="232">
        <f>+AR300*(VLOOKUP(AT300,CURVECALC!$C$6:$J$312,4,0)+AV$5)</f>
        <v>0</v>
      </c>
      <c r="AV300" s="208">
        <f>-AN300*INDEX(ship_curves,MATCH(AT300,'SHIP CURVES'!$A$9:$A$316,0),MATCH(CONCATENATE(AX$4,AX$5,AX$6,AX$7),'SHIP CURVES'!$A$9:$AZ$9,0))</f>
        <v>0</v>
      </c>
      <c r="AW300" s="209">
        <f>-AP300*INDEX(port_processing_fee,MATCH(AT300,PORTS!$H$626:$H$933,0),MATCH(AX$5,PORTS!$H$626:$Z$626,0))</f>
        <v>0</v>
      </c>
      <c r="AX300" s="405">
        <f>(((VLOOKUP(AT300,curvecalc,4,0))*IF(AN300=0,0,AR300/AN300)-INDEX(ship_curves,MATCH(AT300,'SHIP CURVES'!$A$9:$A$316,0),MATCH(CONCATENATE(AX$4,AX$5,AX$6,AX$7),'SHIP CURVES'!$A$9:$Z$9,0))-INDEX(terminal_curves,MATCH(AT300,'TERMINAL CURVES'!$A$4:$A$313,0),MATCH(AX$5,'TERMINAL CURVES'!$A$4:$N$4,0))*IF(AN300=0,0,AP300/AN300))-(AV$8)*((AV$7-$N$5)-(INDEX(ship_curves,MATCH(AT300,'SHIP CURVES'!$A$9:$A$316,0),MATCH(CONCATENATE(AX$4,AX$5,AX$6,AX$7),'SHIP CURVES'!$A$9:$Z$9,0))-INDEX(ship_curves,MATCH(AT300,'SHIP CURVES'!$A$9:$A$316,0),MATCH(CONCATENATE(AX$4,AV$6,AX$6,AX$7),'SHIP CURVES'!$A$9:$Z$9,0)))-(INDEX(terminal_curves,MATCH(AT300,'TERMINAL CURVES'!$A$4:$A$313,0),MATCH(AX$5,'TERMINAL CURVES'!$A$4:$N$4,0))-INDEX(terminal_curves,MATCH(AT300,'TERMINAL CURVES'!$A$4:$A$313,0),MATCH(AV$6,'TERMINAL CURVES'!$A$4:$N$4,0)))*IF(AN300=0,0,AP300/AN300)))*-AN300</f>
        <v>0</v>
      </c>
      <c r="AY300" s="343">
        <f t="shared" si="142"/>
        <v>0</v>
      </c>
      <c r="AZ300" s="338">
        <f>(-AP300/((HLOOKUP(AX$5,port_specs,2,0)/(365.25))*(AT301-AT300)))*(INDEX(fixed_capacity_charge,MATCH(AT300,PORTS!$H$11:$H$317,0),MATCH(AX$5,PORTS!$H$11:$N$11,0))+INDEX(variable_om_charge,MATCH(AT300,PORTS!$H$318:$H$625,0),MATCH(AX$5,PORTS!$H$318:$N$318,0)))</f>
        <v>0</v>
      </c>
      <c r="BA300" s="232">
        <f t="shared" si="143"/>
        <v>0</v>
      </c>
      <c r="BB300" s="241">
        <f t="shared" si="144"/>
        <v>0</v>
      </c>
      <c r="BC300" s="408"/>
      <c r="BD300" s="338">
        <f>+PORTS!I294+PORTS!I602</f>
        <v>0</v>
      </c>
    </row>
    <row r="301" spans="1:56" x14ac:dyDescent="0.2">
      <c r="A301" s="186">
        <f t="shared" si="145"/>
        <v>45323</v>
      </c>
      <c r="B301" s="215">
        <f>+IF(AND($A301&gt;=$C$8,$A301&lt;=$C$9),1,0)*PORTS!$I$5/(365.25)*(A302-A301)</f>
        <v>0</v>
      </c>
      <c r="C301" s="351">
        <f t="shared" si="124"/>
        <v>0</v>
      </c>
      <c r="D301">
        <f t="shared" si="125"/>
        <v>2024</v>
      </c>
      <c r="E301" s="186">
        <f t="shared" si="146"/>
        <v>45323</v>
      </c>
      <c r="F301" s="215">
        <f t="shared" si="126"/>
        <v>0</v>
      </c>
      <c r="G301" s="191">
        <f t="shared" si="127"/>
        <v>0</v>
      </c>
      <c r="H301" s="218">
        <f t="shared" si="128"/>
        <v>0</v>
      </c>
      <c r="I301" s="118">
        <f t="shared" si="129"/>
        <v>0</v>
      </c>
      <c r="J301" s="215">
        <f t="shared" si="130"/>
        <v>0</v>
      </c>
      <c r="K301" s="202"/>
      <c r="L301" s="186">
        <f t="shared" si="147"/>
        <v>45323</v>
      </c>
      <c r="M301" s="400">
        <f>+J301*(VLOOKUP(L301,CURVECALC!$C$6:$J$312,4,0)+N$5)</f>
        <v>0</v>
      </c>
      <c r="N301" s="208">
        <f>-F301*INDEX(ship_curves,MATCH(L301,'SHIP CURVES'!$A$9:$A$316,0),MATCH(CONCATENATE(P$4,P$5,P$6,P$7),'SHIP CURVES'!$A$9:$AZ$9,0))</f>
        <v>0</v>
      </c>
      <c r="O301" s="209">
        <f>-H301*INDEX(port_processing_fee,MATCH(L301,PORTS!$H$626:$H$933,0),MATCH(P$5,PORTS!$H$626:$Z$626,0))</f>
        <v>0</v>
      </c>
      <c r="P301" s="405">
        <f>(((VLOOKUP(L301,curvecalc,4,0))*IF(F301=0,0,J301/F301)-INDEX(ship_curves,MATCH(L301,'SHIP CURVES'!$A$9:$A$316,0),MATCH(CONCATENATE(P$4,P$5,P$6,P$7),'SHIP CURVES'!$A$9:$Z$9,0))-INDEX(terminal_curves,MATCH(L301,'TERMINAL CURVES'!$A$4:$A$313,0),MATCH(P$5,'TERMINAL CURVES'!$A$4:$N$4,0))*IF(F301=0,0,H301/F301))-(N$8)*((N$7-$N$5)-(INDEX(ship_curves,MATCH(L301,'SHIP CURVES'!$A$9:$A$316,0),MATCH(CONCATENATE(P$4,P$5,P$6,P$7),'SHIP CURVES'!$A$9:$Z$9,0))-INDEX(ship_curves,MATCH(L301,'SHIP CURVES'!$A$9:$A$316,0),MATCH(CONCATENATE(P$4,N$6,P$6,P$7),'SHIP CURVES'!$A$9:$Z$9,0)))-(INDEX(terminal_curves,MATCH(L301,'TERMINAL CURVES'!$A$4:$A$313,0),MATCH(P$5,'TERMINAL CURVES'!$A$4:$N$4,0))-INDEX(terminal_curves,MATCH(L301,'TERMINAL CURVES'!$A$4:$A$313,0),MATCH(N$6,'TERMINAL CURVES'!$A$4:$N$4,0)))*IF(F301=0,0,H301/F301)))*-F301</f>
        <v>0</v>
      </c>
      <c r="Q301" s="403">
        <f t="shared" si="131"/>
        <v>0</v>
      </c>
      <c r="R301" s="338">
        <f>(-H301/((HLOOKUP(P$5,port_specs,2,0)/(365.25))*(L302-L301)))*(INDEX(fixed_capacity_charge,MATCH(L301,PORTS!$H$11:$H$317,0),MATCH(P$5,PORTS!$H$11:$N$11,0))+INDEX(variable_om_charge,MATCH(L301,PORTS!$H$318:$H$625,0),MATCH(P$5,PORTS!$H$318:$N$318,0)))</f>
        <v>0</v>
      </c>
      <c r="S301" s="232">
        <f t="shared" si="132"/>
        <v>0</v>
      </c>
      <c r="T301" s="241">
        <f t="shared" si="133"/>
        <v>0</v>
      </c>
      <c r="V301" s="186">
        <f t="shared" si="148"/>
        <v>45323</v>
      </c>
      <c r="W301" s="215">
        <f t="shared" si="134"/>
        <v>0</v>
      </c>
      <c r="X301" s="191">
        <f t="shared" si="135"/>
        <v>0</v>
      </c>
      <c r="Y301" s="218">
        <f>+IF(AND(X$8&lt;=V301,X$9&gt;=V301),+MIN($B301-SUMIF($H$17:X$17,Y$17,$H301:X301),((INDEX(ROUTE_PER_DAY_BY_SHIP,MATCH(CONCATENATE(X$4,X$5,X$7),ROUTE_PER_DAY_ROUTES,0),MATCH(X$6,ROUTE_PER_DAY_SHIPS,0))*(V302-V301))-(INDEX(ROUTE_PER_DAY_BY_SHIP,MATCH(CONCATENATE(X$4,X$5,X$7),ROUTE_PER_DAY_ROUTES,0),MATCH(X$6,ROUTE_PER_DAY_SHIPS,0))*(V302-V301))*HLOOKUP(X$6,SHIPS,7,0)*INDEX(LADEN_VOYAGE_DAYS,MATCH(CONCATENATE(X$4,X$5,X$7),LADEN_VOYAGE_ROUTES,0),MATCH(X$6,LADEN_VOYAGE_SHIPS,0)))),0)</f>
        <v>0</v>
      </c>
      <c r="Z301" s="118">
        <f t="shared" si="136"/>
        <v>0</v>
      </c>
      <c r="AA301" s="215">
        <f t="shared" si="122"/>
        <v>0</v>
      </c>
      <c r="AB301" s="202"/>
      <c r="AC301" s="186">
        <f t="shared" si="149"/>
        <v>45323</v>
      </c>
      <c r="AD301" s="232">
        <f>+AA301*(VLOOKUP(AC301,CURVECALC!$C$6:$J$312,4,0)+AE$5)</f>
        <v>0</v>
      </c>
      <c r="AE301" s="208">
        <f>-W301*INDEX(ship_curves,MATCH(AC301,'SHIP CURVES'!$A$9:$A$316,0),MATCH(CONCATENATE(AG$4,AG$5,AG$6,AG$7),'SHIP CURVES'!$A$9:$AZ$9,0))</f>
        <v>0</v>
      </c>
      <c r="AF301" s="209">
        <f>-Y301*INDEX(port_processing_fee,MATCH(AC301,PORTS!$H$626:$H$933,0),MATCH(AG$5,PORTS!$H$626:$Z$626,0))</f>
        <v>0</v>
      </c>
      <c r="AG301" s="405">
        <f>(((VLOOKUP(AC301,curvecalc,4,0))*IF(W301=0,0,AA301/W301)-INDEX(ship_curves,MATCH(AC301,'SHIP CURVES'!$A$9:$A$316,0),MATCH(CONCATENATE(AG$4,AG$5,AG$6,AG$7),'SHIP CURVES'!$A$9:$Z$9,0))-INDEX(terminal_curves,MATCH(AC301,'TERMINAL CURVES'!$A$4:$A$313,0),MATCH(AG$5,'TERMINAL CURVES'!$A$4:$N$4,0))*IF(W301=0,0,Y301/W301))-(AE$8)*((AE$7-$N$5)-(INDEX(ship_curves,MATCH(AC301,'SHIP CURVES'!$A$9:$A$316,0),MATCH(CONCATENATE(AG$4,AG$5,AG$6,AG$7),'SHIP CURVES'!$A$9:$Z$9,0))-INDEX(ship_curves,MATCH(AC301,'SHIP CURVES'!$A$9:$A$316,0),MATCH(CONCATENATE(AG$4,AE$6,AG$6,AG$7),'SHIP CURVES'!$A$9:$Z$9,0)))-(INDEX(terminal_curves,MATCH(AC301,'TERMINAL CURVES'!$A$4:$A$313,0),MATCH(AG$5,'TERMINAL CURVES'!$A$4:$N$4,0))-INDEX(terminal_curves,MATCH(AC301,'TERMINAL CURVES'!$A$4:$A$313,0),MATCH(AE$6,'TERMINAL CURVES'!$A$4:$N$4,0)))*IF(W301=0,0,Y301/W301)))*-W301</f>
        <v>0</v>
      </c>
      <c r="AH301" s="343">
        <f t="shared" si="137"/>
        <v>0</v>
      </c>
      <c r="AI301" s="338">
        <f>(-Y301/((HLOOKUP(AG$5,port_specs,2,0)/(365.25))*(AC302-AC301)))*(INDEX(fixed_capacity_charge,MATCH(AC301,PORTS!$H$11:$H$317,0),MATCH(AG$5,PORTS!$H$11:$N$11,0))+INDEX(variable_om_charge,MATCH(AC301,PORTS!$H$318:$H$625,0),MATCH(AG$5,PORTS!$H$318:$N$318,0)))</f>
        <v>0</v>
      </c>
      <c r="AJ301" s="232">
        <f t="shared" si="138"/>
        <v>0</v>
      </c>
      <c r="AK301" s="241">
        <f t="shared" si="139"/>
        <v>0</v>
      </c>
      <c r="AM301" s="186">
        <f t="shared" si="150"/>
        <v>45323</v>
      </c>
      <c r="AN301" s="215">
        <f t="shared" si="140"/>
        <v>0</v>
      </c>
      <c r="AO301" s="191">
        <f t="shared" si="141"/>
        <v>0</v>
      </c>
      <c r="AP301" s="218">
        <f>+IF(AND(AO$8&lt;=AM301,AO$9&gt;=AM301),+MIN($B301-SUMIF($H$17:AO$17,AP$17,$H301:AO301),((INDEX(ROUTE_PER_DAY_BY_SHIP,MATCH(CONCATENATE(AO$4,AO$5,AO$7),ROUTE_PER_DAY_ROUTES,0),MATCH(AO$6,ROUTE_PER_DAY_SHIPS,0))*(AM302-AM301))-(INDEX(ROUTE_PER_DAY_BY_SHIP,MATCH(CONCATENATE(AO$4,AO$5,AO$7),ROUTE_PER_DAY_ROUTES,0),MATCH(AO$6,ROUTE_PER_DAY_SHIPS,0))*(AM302-AM301))*HLOOKUP(AO$6,SHIPS,7,0)*INDEX(LADEN_VOYAGE_DAYS,MATCH(CONCATENATE(AO$4,AO$5,AO$7),LADEN_VOYAGE_ROUTES,0),MATCH(AO$6,LADEN_VOYAGE_SHIPS,0)))),0)</f>
        <v>0</v>
      </c>
      <c r="AQ301" s="118">
        <f>-(AP301)*PORTS!$I$6</f>
        <v>0</v>
      </c>
      <c r="AR301" s="215">
        <f t="shared" si="123"/>
        <v>0</v>
      </c>
      <c r="AS301" s="202"/>
      <c r="AT301" s="186">
        <f t="shared" si="151"/>
        <v>45323</v>
      </c>
      <c r="AU301" s="232">
        <f>+AR301*(VLOOKUP(AT301,CURVECALC!$C$6:$J$312,4,0)+AV$5)</f>
        <v>0</v>
      </c>
      <c r="AV301" s="208">
        <f>-AN301*INDEX(ship_curves,MATCH(AT301,'SHIP CURVES'!$A$9:$A$316,0),MATCH(CONCATENATE(AX$4,AX$5,AX$6,AX$7),'SHIP CURVES'!$A$9:$AZ$9,0))</f>
        <v>0</v>
      </c>
      <c r="AW301" s="209">
        <f>-AP301*INDEX(port_processing_fee,MATCH(AT301,PORTS!$H$626:$H$933,0),MATCH(AX$5,PORTS!$H$626:$Z$626,0))</f>
        <v>0</v>
      </c>
      <c r="AX301" s="405">
        <f>(((VLOOKUP(AT301,curvecalc,4,0))*IF(AN301=0,0,AR301/AN301)-INDEX(ship_curves,MATCH(AT301,'SHIP CURVES'!$A$9:$A$316,0),MATCH(CONCATENATE(AX$4,AX$5,AX$6,AX$7),'SHIP CURVES'!$A$9:$Z$9,0))-INDEX(terminal_curves,MATCH(AT301,'TERMINAL CURVES'!$A$4:$A$313,0),MATCH(AX$5,'TERMINAL CURVES'!$A$4:$N$4,0))*IF(AN301=0,0,AP301/AN301))-(AV$8)*((AV$7-$N$5)-(INDEX(ship_curves,MATCH(AT301,'SHIP CURVES'!$A$9:$A$316,0),MATCH(CONCATENATE(AX$4,AX$5,AX$6,AX$7),'SHIP CURVES'!$A$9:$Z$9,0))-INDEX(ship_curves,MATCH(AT301,'SHIP CURVES'!$A$9:$A$316,0),MATCH(CONCATENATE(AX$4,AV$6,AX$6,AX$7),'SHIP CURVES'!$A$9:$Z$9,0)))-(INDEX(terminal_curves,MATCH(AT301,'TERMINAL CURVES'!$A$4:$A$313,0),MATCH(AX$5,'TERMINAL CURVES'!$A$4:$N$4,0))-INDEX(terminal_curves,MATCH(AT301,'TERMINAL CURVES'!$A$4:$A$313,0),MATCH(AV$6,'TERMINAL CURVES'!$A$4:$N$4,0)))*IF(AN301=0,0,AP301/AN301)))*-AN301</f>
        <v>0</v>
      </c>
      <c r="AY301" s="343">
        <f t="shared" si="142"/>
        <v>0</v>
      </c>
      <c r="AZ301" s="338">
        <f>(-AP301/((HLOOKUP(AX$5,port_specs,2,0)/(365.25))*(AT302-AT301)))*(INDEX(fixed_capacity_charge,MATCH(AT301,PORTS!$H$11:$H$317,0),MATCH(AX$5,PORTS!$H$11:$N$11,0))+INDEX(variable_om_charge,MATCH(AT301,PORTS!$H$318:$H$625,0),MATCH(AX$5,PORTS!$H$318:$N$318,0)))</f>
        <v>0</v>
      </c>
      <c r="BA301" s="232">
        <f t="shared" si="143"/>
        <v>0</v>
      </c>
      <c r="BB301" s="241">
        <f t="shared" si="144"/>
        <v>0</v>
      </c>
      <c r="BC301" s="408"/>
      <c r="BD301" s="338">
        <f>+PORTS!I295+PORTS!I603</f>
        <v>0</v>
      </c>
    </row>
    <row r="302" spans="1:56" x14ac:dyDescent="0.2">
      <c r="A302" s="186">
        <f t="shared" si="145"/>
        <v>45352</v>
      </c>
      <c r="B302" s="215">
        <f>+IF(AND($A302&gt;=$C$8,$A302&lt;=$C$9),1,0)*PORTS!$I$5/(365.25)*(A303-A302)</f>
        <v>0</v>
      </c>
      <c r="C302" s="351">
        <f t="shared" si="124"/>
        <v>0</v>
      </c>
      <c r="D302">
        <f t="shared" si="125"/>
        <v>2024</v>
      </c>
      <c r="E302" s="186">
        <f t="shared" si="146"/>
        <v>45352</v>
      </c>
      <c r="F302" s="215">
        <f t="shared" si="126"/>
        <v>0</v>
      </c>
      <c r="G302" s="191">
        <f t="shared" si="127"/>
        <v>0</v>
      </c>
      <c r="H302" s="218">
        <f t="shared" si="128"/>
        <v>0</v>
      </c>
      <c r="I302" s="118">
        <f t="shared" si="129"/>
        <v>0</v>
      </c>
      <c r="J302" s="215">
        <f t="shared" si="130"/>
        <v>0</v>
      </c>
      <c r="K302" s="202"/>
      <c r="L302" s="186">
        <f t="shared" si="147"/>
        <v>45352</v>
      </c>
      <c r="M302" s="400">
        <f>+J302*(VLOOKUP(L302,CURVECALC!$C$6:$J$312,4,0)+N$5)</f>
        <v>0</v>
      </c>
      <c r="N302" s="208">
        <f>-F302*INDEX(ship_curves,MATCH(L302,'SHIP CURVES'!$A$9:$A$316,0),MATCH(CONCATENATE(P$4,P$5,P$6,P$7),'SHIP CURVES'!$A$9:$AZ$9,0))</f>
        <v>0</v>
      </c>
      <c r="O302" s="209">
        <f>-H302*INDEX(port_processing_fee,MATCH(L302,PORTS!$H$626:$H$933,0),MATCH(P$5,PORTS!$H$626:$Z$626,0))</f>
        <v>0</v>
      </c>
      <c r="P302" s="405">
        <f>(((VLOOKUP(L302,curvecalc,4,0))*IF(F302=0,0,J302/F302)-INDEX(ship_curves,MATCH(L302,'SHIP CURVES'!$A$9:$A$316,0),MATCH(CONCATENATE(P$4,P$5,P$6,P$7),'SHIP CURVES'!$A$9:$Z$9,0))-INDEX(terminal_curves,MATCH(L302,'TERMINAL CURVES'!$A$4:$A$313,0),MATCH(P$5,'TERMINAL CURVES'!$A$4:$N$4,0))*IF(F302=0,0,H302/F302))-(N$8)*((N$7-$N$5)-(INDEX(ship_curves,MATCH(L302,'SHIP CURVES'!$A$9:$A$316,0),MATCH(CONCATENATE(P$4,P$5,P$6,P$7),'SHIP CURVES'!$A$9:$Z$9,0))-INDEX(ship_curves,MATCH(L302,'SHIP CURVES'!$A$9:$A$316,0),MATCH(CONCATENATE(P$4,N$6,P$6,P$7),'SHIP CURVES'!$A$9:$Z$9,0)))-(INDEX(terminal_curves,MATCH(L302,'TERMINAL CURVES'!$A$4:$A$313,0),MATCH(P$5,'TERMINAL CURVES'!$A$4:$N$4,0))-INDEX(terminal_curves,MATCH(L302,'TERMINAL CURVES'!$A$4:$A$313,0),MATCH(N$6,'TERMINAL CURVES'!$A$4:$N$4,0)))*IF(F302=0,0,H302/F302)))*-F302</f>
        <v>0</v>
      </c>
      <c r="Q302" s="403">
        <f t="shared" si="131"/>
        <v>0</v>
      </c>
      <c r="R302" s="338">
        <f>(-H302/((HLOOKUP(P$5,port_specs,2,0)/(365.25))*(L303-L302)))*(INDEX(fixed_capacity_charge,MATCH(L302,PORTS!$H$11:$H$317,0),MATCH(P$5,PORTS!$H$11:$N$11,0))+INDEX(variable_om_charge,MATCH(L302,PORTS!$H$318:$H$625,0),MATCH(P$5,PORTS!$H$318:$N$318,0)))</f>
        <v>0</v>
      </c>
      <c r="S302" s="232">
        <f t="shared" si="132"/>
        <v>0</v>
      </c>
      <c r="T302" s="241">
        <f t="shared" si="133"/>
        <v>0</v>
      </c>
      <c r="V302" s="186">
        <f t="shared" si="148"/>
        <v>45352</v>
      </c>
      <c r="W302" s="215">
        <f t="shared" si="134"/>
        <v>0</v>
      </c>
      <c r="X302" s="191">
        <f t="shared" si="135"/>
        <v>0</v>
      </c>
      <c r="Y302" s="218">
        <f>+IF(AND(X$8&lt;=V302,X$9&gt;=V302),+MIN($B302-SUMIF($H$17:X$17,Y$17,$H302:X302),((INDEX(ROUTE_PER_DAY_BY_SHIP,MATCH(CONCATENATE(X$4,X$5,X$7),ROUTE_PER_DAY_ROUTES,0),MATCH(X$6,ROUTE_PER_DAY_SHIPS,0))*(V303-V302))-(INDEX(ROUTE_PER_DAY_BY_SHIP,MATCH(CONCATENATE(X$4,X$5,X$7),ROUTE_PER_DAY_ROUTES,0),MATCH(X$6,ROUTE_PER_DAY_SHIPS,0))*(V303-V302))*HLOOKUP(X$6,SHIPS,7,0)*INDEX(LADEN_VOYAGE_DAYS,MATCH(CONCATENATE(X$4,X$5,X$7),LADEN_VOYAGE_ROUTES,0),MATCH(X$6,LADEN_VOYAGE_SHIPS,0)))),0)</f>
        <v>0</v>
      </c>
      <c r="Z302" s="118">
        <f t="shared" si="136"/>
        <v>0</v>
      </c>
      <c r="AA302" s="215">
        <f t="shared" si="122"/>
        <v>0</v>
      </c>
      <c r="AB302" s="202"/>
      <c r="AC302" s="186">
        <f t="shared" si="149"/>
        <v>45352</v>
      </c>
      <c r="AD302" s="232">
        <f>+AA302*(VLOOKUP(AC302,CURVECALC!$C$6:$J$312,4,0)+AE$5)</f>
        <v>0</v>
      </c>
      <c r="AE302" s="208">
        <f>-W302*INDEX(ship_curves,MATCH(AC302,'SHIP CURVES'!$A$9:$A$316,0),MATCH(CONCATENATE(AG$4,AG$5,AG$6,AG$7),'SHIP CURVES'!$A$9:$AZ$9,0))</f>
        <v>0</v>
      </c>
      <c r="AF302" s="209">
        <f>-Y302*INDEX(port_processing_fee,MATCH(AC302,PORTS!$H$626:$H$933,0),MATCH(AG$5,PORTS!$H$626:$Z$626,0))</f>
        <v>0</v>
      </c>
      <c r="AG302" s="405">
        <f>(((VLOOKUP(AC302,curvecalc,4,0))*IF(W302=0,0,AA302/W302)-INDEX(ship_curves,MATCH(AC302,'SHIP CURVES'!$A$9:$A$316,0),MATCH(CONCATENATE(AG$4,AG$5,AG$6,AG$7),'SHIP CURVES'!$A$9:$Z$9,0))-INDEX(terminal_curves,MATCH(AC302,'TERMINAL CURVES'!$A$4:$A$313,0),MATCH(AG$5,'TERMINAL CURVES'!$A$4:$N$4,0))*IF(W302=0,0,Y302/W302))-(AE$8)*((AE$7-$N$5)-(INDEX(ship_curves,MATCH(AC302,'SHIP CURVES'!$A$9:$A$316,0),MATCH(CONCATENATE(AG$4,AG$5,AG$6,AG$7),'SHIP CURVES'!$A$9:$Z$9,0))-INDEX(ship_curves,MATCH(AC302,'SHIP CURVES'!$A$9:$A$316,0),MATCH(CONCATENATE(AG$4,AE$6,AG$6,AG$7),'SHIP CURVES'!$A$9:$Z$9,0)))-(INDEX(terminal_curves,MATCH(AC302,'TERMINAL CURVES'!$A$4:$A$313,0),MATCH(AG$5,'TERMINAL CURVES'!$A$4:$N$4,0))-INDEX(terminal_curves,MATCH(AC302,'TERMINAL CURVES'!$A$4:$A$313,0),MATCH(AE$6,'TERMINAL CURVES'!$A$4:$N$4,0)))*IF(W302=0,0,Y302/W302)))*-W302</f>
        <v>0</v>
      </c>
      <c r="AH302" s="343">
        <f t="shared" si="137"/>
        <v>0</v>
      </c>
      <c r="AI302" s="338">
        <f>(-Y302/((HLOOKUP(AG$5,port_specs,2,0)/(365.25))*(AC303-AC302)))*(INDEX(fixed_capacity_charge,MATCH(AC302,PORTS!$H$11:$H$317,0),MATCH(AG$5,PORTS!$H$11:$N$11,0))+INDEX(variable_om_charge,MATCH(AC302,PORTS!$H$318:$H$625,0),MATCH(AG$5,PORTS!$H$318:$N$318,0)))</f>
        <v>0</v>
      </c>
      <c r="AJ302" s="232">
        <f t="shared" si="138"/>
        <v>0</v>
      </c>
      <c r="AK302" s="241">
        <f t="shared" si="139"/>
        <v>0</v>
      </c>
      <c r="AM302" s="186">
        <f t="shared" si="150"/>
        <v>45352</v>
      </c>
      <c r="AN302" s="215">
        <f t="shared" si="140"/>
        <v>0</v>
      </c>
      <c r="AO302" s="191">
        <f t="shared" si="141"/>
        <v>0</v>
      </c>
      <c r="AP302" s="218">
        <f>+IF(AND(AO$8&lt;=AM302,AO$9&gt;=AM302),+MIN($B302-SUMIF($H$17:AO$17,AP$17,$H302:AO302),((INDEX(ROUTE_PER_DAY_BY_SHIP,MATCH(CONCATENATE(AO$4,AO$5,AO$7),ROUTE_PER_DAY_ROUTES,0),MATCH(AO$6,ROUTE_PER_DAY_SHIPS,0))*(AM303-AM302))-(INDEX(ROUTE_PER_DAY_BY_SHIP,MATCH(CONCATENATE(AO$4,AO$5,AO$7),ROUTE_PER_DAY_ROUTES,0),MATCH(AO$6,ROUTE_PER_DAY_SHIPS,0))*(AM303-AM302))*HLOOKUP(AO$6,SHIPS,7,0)*INDEX(LADEN_VOYAGE_DAYS,MATCH(CONCATENATE(AO$4,AO$5,AO$7),LADEN_VOYAGE_ROUTES,0),MATCH(AO$6,LADEN_VOYAGE_SHIPS,0)))),0)</f>
        <v>0</v>
      </c>
      <c r="AQ302" s="118">
        <f>-(AP302)*PORTS!$I$6</f>
        <v>0</v>
      </c>
      <c r="AR302" s="215">
        <f t="shared" si="123"/>
        <v>0</v>
      </c>
      <c r="AS302" s="202"/>
      <c r="AT302" s="186">
        <f t="shared" si="151"/>
        <v>45352</v>
      </c>
      <c r="AU302" s="232">
        <f>+AR302*(VLOOKUP(AT302,CURVECALC!$C$6:$J$312,4,0)+AV$5)</f>
        <v>0</v>
      </c>
      <c r="AV302" s="208">
        <f>-AN302*INDEX(ship_curves,MATCH(AT302,'SHIP CURVES'!$A$9:$A$316,0),MATCH(CONCATENATE(AX$4,AX$5,AX$6,AX$7),'SHIP CURVES'!$A$9:$AZ$9,0))</f>
        <v>0</v>
      </c>
      <c r="AW302" s="209">
        <f>-AP302*INDEX(port_processing_fee,MATCH(AT302,PORTS!$H$626:$H$933,0),MATCH(AX$5,PORTS!$H$626:$Z$626,0))</f>
        <v>0</v>
      </c>
      <c r="AX302" s="405">
        <f>(((VLOOKUP(AT302,curvecalc,4,0))*IF(AN302=0,0,AR302/AN302)-INDEX(ship_curves,MATCH(AT302,'SHIP CURVES'!$A$9:$A$316,0),MATCH(CONCATENATE(AX$4,AX$5,AX$6,AX$7),'SHIP CURVES'!$A$9:$Z$9,0))-INDEX(terminal_curves,MATCH(AT302,'TERMINAL CURVES'!$A$4:$A$313,0),MATCH(AX$5,'TERMINAL CURVES'!$A$4:$N$4,0))*IF(AN302=0,0,AP302/AN302))-(AV$8)*((AV$7-$N$5)-(INDEX(ship_curves,MATCH(AT302,'SHIP CURVES'!$A$9:$A$316,0),MATCH(CONCATENATE(AX$4,AX$5,AX$6,AX$7),'SHIP CURVES'!$A$9:$Z$9,0))-INDEX(ship_curves,MATCH(AT302,'SHIP CURVES'!$A$9:$A$316,0),MATCH(CONCATENATE(AX$4,AV$6,AX$6,AX$7),'SHIP CURVES'!$A$9:$Z$9,0)))-(INDEX(terminal_curves,MATCH(AT302,'TERMINAL CURVES'!$A$4:$A$313,0),MATCH(AX$5,'TERMINAL CURVES'!$A$4:$N$4,0))-INDEX(terminal_curves,MATCH(AT302,'TERMINAL CURVES'!$A$4:$A$313,0),MATCH(AV$6,'TERMINAL CURVES'!$A$4:$N$4,0)))*IF(AN302=0,0,AP302/AN302)))*-AN302</f>
        <v>0</v>
      </c>
      <c r="AY302" s="343">
        <f t="shared" si="142"/>
        <v>0</v>
      </c>
      <c r="AZ302" s="338">
        <f>(-AP302/((HLOOKUP(AX$5,port_specs,2,0)/(365.25))*(AT303-AT302)))*(INDEX(fixed_capacity_charge,MATCH(AT302,PORTS!$H$11:$H$317,0),MATCH(AX$5,PORTS!$H$11:$N$11,0))+INDEX(variable_om_charge,MATCH(AT302,PORTS!$H$318:$H$625,0),MATCH(AX$5,PORTS!$H$318:$N$318,0)))</f>
        <v>0</v>
      </c>
      <c r="BA302" s="232">
        <f t="shared" si="143"/>
        <v>0</v>
      </c>
      <c r="BB302" s="241">
        <f t="shared" si="144"/>
        <v>0</v>
      </c>
      <c r="BC302" s="408"/>
      <c r="BD302" s="338">
        <f>+PORTS!I296+PORTS!I604</f>
        <v>0</v>
      </c>
    </row>
    <row r="303" spans="1:56" x14ac:dyDescent="0.2">
      <c r="A303" s="186">
        <f t="shared" si="145"/>
        <v>45383</v>
      </c>
      <c r="B303" s="215">
        <f>+IF(AND($A303&gt;=$C$8,$A303&lt;=$C$9),1,0)*PORTS!$I$5/(365.25)*(A304-A303)</f>
        <v>0</v>
      </c>
      <c r="C303" s="351">
        <f t="shared" si="124"/>
        <v>0</v>
      </c>
      <c r="D303">
        <f t="shared" si="125"/>
        <v>2024</v>
      </c>
      <c r="E303" s="186">
        <f t="shared" si="146"/>
        <v>45383</v>
      </c>
      <c r="F303" s="215">
        <f t="shared" si="126"/>
        <v>0</v>
      </c>
      <c r="G303" s="191">
        <f t="shared" si="127"/>
        <v>0</v>
      </c>
      <c r="H303" s="218">
        <f t="shared" si="128"/>
        <v>0</v>
      </c>
      <c r="I303" s="118">
        <f t="shared" si="129"/>
        <v>0</v>
      </c>
      <c r="J303" s="215">
        <f t="shared" si="130"/>
        <v>0</v>
      </c>
      <c r="K303" s="202"/>
      <c r="L303" s="186">
        <f t="shared" si="147"/>
        <v>45383</v>
      </c>
      <c r="M303" s="400">
        <f>+J303*(VLOOKUP(L303,CURVECALC!$C$6:$J$312,4,0)+N$5)</f>
        <v>0</v>
      </c>
      <c r="N303" s="208">
        <f>-F303*INDEX(ship_curves,MATCH(L303,'SHIP CURVES'!$A$9:$A$316,0),MATCH(CONCATENATE(P$4,P$5,P$6,P$7),'SHIP CURVES'!$A$9:$AZ$9,0))</f>
        <v>0</v>
      </c>
      <c r="O303" s="209">
        <f>-H303*INDEX(port_processing_fee,MATCH(L303,PORTS!$H$626:$H$933,0),MATCH(P$5,PORTS!$H$626:$Z$626,0))</f>
        <v>0</v>
      </c>
      <c r="P303" s="405">
        <f>(((VLOOKUP(L303,curvecalc,4,0))*IF(F303=0,0,J303/F303)-INDEX(ship_curves,MATCH(L303,'SHIP CURVES'!$A$9:$A$316,0),MATCH(CONCATENATE(P$4,P$5,P$6,P$7),'SHIP CURVES'!$A$9:$Z$9,0))-INDEX(terminal_curves,MATCH(L303,'TERMINAL CURVES'!$A$4:$A$313,0),MATCH(P$5,'TERMINAL CURVES'!$A$4:$N$4,0))*IF(F303=0,0,H303/F303))-(N$8)*((N$7-$N$5)-(INDEX(ship_curves,MATCH(L303,'SHIP CURVES'!$A$9:$A$316,0),MATCH(CONCATENATE(P$4,P$5,P$6,P$7),'SHIP CURVES'!$A$9:$Z$9,0))-INDEX(ship_curves,MATCH(L303,'SHIP CURVES'!$A$9:$A$316,0),MATCH(CONCATENATE(P$4,N$6,P$6,P$7),'SHIP CURVES'!$A$9:$Z$9,0)))-(INDEX(terminal_curves,MATCH(L303,'TERMINAL CURVES'!$A$4:$A$313,0),MATCH(P$5,'TERMINAL CURVES'!$A$4:$N$4,0))-INDEX(terminal_curves,MATCH(L303,'TERMINAL CURVES'!$A$4:$A$313,0),MATCH(N$6,'TERMINAL CURVES'!$A$4:$N$4,0)))*IF(F303=0,0,H303/F303)))*-F303</f>
        <v>0</v>
      </c>
      <c r="Q303" s="403">
        <f t="shared" si="131"/>
        <v>0</v>
      </c>
      <c r="R303" s="338">
        <f>(-H303/((HLOOKUP(P$5,port_specs,2,0)/(365.25))*(L304-L303)))*(INDEX(fixed_capacity_charge,MATCH(L303,PORTS!$H$11:$H$317,0),MATCH(P$5,PORTS!$H$11:$N$11,0))+INDEX(variable_om_charge,MATCH(L303,PORTS!$H$318:$H$625,0),MATCH(P$5,PORTS!$H$318:$N$318,0)))</f>
        <v>0</v>
      </c>
      <c r="S303" s="232">
        <f t="shared" si="132"/>
        <v>0</v>
      </c>
      <c r="T303" s="241">
        <f t="shared" si="133"/>
        <v>0</v>
      </c>
      <c r="V303" s="186">
        <f t="shared" si="148"/>
        <v>45383</v>
      </c>
      <c r="W303" s="215">
        <f t="shared" si="134"/>
        <v>0</v>
      </c>
      <c r="X303" s="191">
        <f t="shared" si="135"/>
        <v>0</v>
      </c>
      <c r="Y303" s="218">
        <f>+IF(AND(X$8&lt;=V303,X$9&gt;=V303),+MIN($B303-SUMIF($H$17:X$17,Y$17,$H303:X303),((INDEX(ROUTE_PER_DAY_BY_SHIP,MATCH(CONCATENATE(X$4,X$5,X$7),ROUTE_PER_DAY_ROUTES,0),MATCH(X$6,ROUTE_PER_DAY_SHIPS,0))*(V304-V303))-(INDEX(ROUTE_PER_DAY_BY_SHIP,MATCH(CONCATENATE(X$4,X$5,X$7),ROUTE_PER_DAY_ROUTES,0),MATCH(X$6,ROUTE_PER_DAY_SHIPS,0))*(V304-V303))*HLOOKUP(X$6,SHIPS,7,0)*INDEX(LADEN_VOYAGE_DAYS,MATCH(CONCATENATE(X$4,X$5,X$7),LADEN_VOYAGE_ROUTES,0),MATCH(X$6,LADEN_VOYAGE_SHIPS,0)))),0)</f>
        <v>0</v>
      </c>
      <c r="Z303" s="118">
        <f t="shared" si="136"/>
        <v>0</v>
      </c>
      <c r="AA303" s="215">
        <f t="shared" si="122"/>
        <v>0</v>
      </c>
      <c r="AB303" s="202"/>
      <c r="AC303" s="186">
        <f t="shared" si="149"/>
        <v>45383</v>
      </c>
      <c r="AD303" s="232">
        <f>+AA303*(VLOOKUP(AC303,CURVECALC!$C$6:$J$312,4,0)+AE$5)</f>
        <v>0</v>
      </c>
      <c r="AE303" s="208">
        <f>-W303*INDEX(ship_curves,MATCH(AC303,'SHIP CURVES'!$A$9:$A$316,0),MATCH(CONCATENATE(AG$4,AG$5,AG$6,AG$7),'SHIP CURVES'!$A$9:$AZ$9,0))</f>
        <v>0</v>
      </c>
      <c r="AF303" s="209">
        <f>-Y303*INDEX(port_processing_fee,MATCH(AC303,PORTS!$H$626:$H$933,0),MATCH(AG$5,PORTS!$H$626:$Z$626,0))</f>
        <v>0</v>
      </c>
      <c r="AG303" s="405">
        <f>(((VLOOKUP(AC303,curvecalc,4,0))*IF(W303=0,0,AA303/W303)-INDEX(ship_curves,MATCH(AC303,'SHIP CURVES'!$A$9:$A$316,0),MATCH(CONCATENATE(AG$4,AG$5,AG$6,AG$7),'SHIP CURVES'!$A$9:$Z$9,0))-INDEX(terminal_curves,MATCH(AC303,'TERMINAL CURVES'!$A$4:$A$313,0),MATCH(AG$5,'TERMINAL CURVES'!$A$4:$N$4,0))*IF(W303=0,0,Y303/W303))-(AE$8)*((AE$7-$N$5)-(INDEX(ship_curves,MATCH(AC303,'SHIP CURVES'!$A$9:$A$316,0),MATCH(CONCATENATE(AG$4,AG$5,AG$6,AG$7),'SHIP CURVES'!$A$9:$Z$9,0))-INDEX(ship_curves,MATCH(AC303,'SHIP CURVES'!$A$9:$A$316,0),MATCH(CONCATENATE(AG$4,AE$6,AG$6,AG$7),'SHIP CURVES'!$A$9:$Z$9,0)))-(INDEX(terminal_curves,MATCH(AC303,'TERMINAL CURVES'!$A$4:$A$313,0),MATCH(AG$5,'TERMINAL CURVES'!$A$4:$N$4,0))-INDEX(terminal_curves,MATCH(AC303,'TERMINAL CURVES'!$A$4:$A$313,0),MATCH(AE$6,'TERMINAL CURVES'!$A$4:$N$4,0)))*IF(W303=0,0,Y303/W303)))*-W303</f>
        <v>0</v>
      </c>
      <c r="AH303" s="343">
        <f t="shared" si="137"/>
        <v>0</v>
      </c>
      <c r="AI303" s="338">
        <f>(-Y303/((HLOOKUP(AG$5,port_specs,2,0)/(365.25))*(AC304-AC303)))*(INDEX(fixed_capacity_charge,MATCH(AC303,PORTS!$H$11:$H$317,0),MATCH(AG$5,PORTS!$H$11:$N$11,0))+INDEX(variable_om_charge,MATCH(AC303,PORTS!$H$318:$H$625,0),MATCH(AG$5,PORTS!$H$318:$N$318,0)))</f>
        <v>0</v>
      </c>
      <c r="AJ303" s="232">
        <f t="shared" si="138"/>
        <v>0</v>
      </c>
      <c r="AK303" s="241">
        <f t="shared" si="139"/>
        <v>0</v>
      </c>
      <c r="AM303" s="186">
        <f t="shared" si="150"/>
        <v>45383</v>
      </c>
      <c r="AN303" s="215">
        <f t="shared" si="140"/>
        <v>0</v>
      </c>
      <c r="AO303" s="191">
        <f t="shared" si="141"/>
        <v>0</v>
      </c>
      <c r="AP303" s="218">
        <f>+IF(AND(AO$8&lt;=AM303,AO$9&gt;=AM303),+MIN($B303-SUMIF($H$17:AO$17,AP$17,$H303:AO303),((INDEX(ROUTE_PER_DAY_BY_SHIP,MATCH(CONCATENATE(AO$4,AO$5,AO$7),ROUTE_PER_DAY_ROUTES,0),MATCH(AO$6,ROUTE_PER_DAY_SHIPS,0))*(AM304-AM303))-(INDEX(ROUTE_PER_DAY_BY_SHIP,MATCH(CONCATENATE(AO$4,AO$5,AO$7),ROUTE_PER_DAY_ROUTES,0),MATCH(AO$6,ROUTE_PER_DAY_SHIPS,0))*(AM304-AM303))*HLOOKUP(AO$6,SHIPS,7,0)*INDEX(LADEN_VOYAGE_DAYS,MATCH(CONCATENATE(AO$4,AO$5,AO$7),LADEN_VOYAGE_ROUTES,0),MATCH(AO$6,LADEN_VOYAGE_SHIPS,0)))),0)</f>
        <v>0</v>
      </c>
      <c r="AQ303" s="118">
        <f>-(AP303)*PORTS!$I$6</f>
        <v>0</v>
      </c>
      <c r="AR303" s="215">
        <f t="shared" si="123"/>
        <v>0</v>
      </c>
      <c r="AS303" s="202"/>
      <c r="AT303" s="186">
        <f t="shared" si="151"/>
        <v>45383</v>
      </c>
      <c r="AU303" s="232">
        <f>+AR303*(VLOOKUP(AT303,CURVECALC!$C$6:$J$312,4,0)+AV$5)</f>
        <v>0</v>
      </c>
      <c r="AV303" s="208">
        <f>-AN303*INDEX(ship_curves,MATCH(AT303,'SHIP CURVES'!$A$9:$A$316,0),MATCH(CONCATENATE(AX$4,AX$5,AX$6,AX$7),'SHIP CURVES'!$A$9:$AZ$9,0))</f>
        <v>0</v>
      </c>
      <c r="AW303" s="209">
        <f>-AP303*INDEX(port_processing_fee,MATCH(AT303,PORTS!$H$626:$H$933,0),MATCH(AX$5,PORTS!$H$626:$Z$626,0))</f>
        <v>0</v>
      </c>
      <c r="AX303" s="405">
        <f>(((VLOOKUP(AT303,curvecalc,4,0))*IF(AN303=0,0,AR303/AN303)-INDEX(ship_curves,MATCH(AT303,'SHIP CURVES'!$A$9:$A$316,0),MATCH(CONCATENATE(AX$4,AX$5,AX$6,AX$7),'SHIP CURVES'!$A$9:$Z$9,0))-INDEX(terminal_curves,MATCH(AT303,'TERMINAL CURVES'!$A$4:$A$313,0),MATCH(AX$5,'TERMINAL CURVES'!$A$4:$N$4,0))*IF(AN303=0,0,AP303/AN303))-(AV$8)*((AV$7-$N$5)-(INDEX(ship_curves,MATCH(AT303,'SHIP CURVES'!$A$9:$A$316,0),MATCH(CONCATENATE(AX$4,AX$5,AX$6,AX$7),'SHIP CURVES'!$A$9:$Z$9,0))-INDEX(ship_curves,MATCH(AT303,'SHIP CURVES'!$A$9:$A$316,0),MATCH(CONCATENATE(AX$4,AV$6,AX$6,AX$7),'SHIP CURVES'!$A$9:$Z$9,0)))-(INDEX(terminal_curves,MATCH(AT303,'TERMINAL CURVES'!$A$4:$A$313,0),MATCH(AX$5,'TERMINAL CURVES'!$A$4:$N$4,0))-INDEX(terminal_curves,MATCH(AT303,'TERMINAL CURVES'!$A$4:$A$313,0),MATCH(AV$6,'TERMINAL CURVES'!$A$4:$N$4,0)))*IF(AN303=0,0,AP303/AN303)))*-AN303</f>
        <v>0</v>
      </c>
      <c r="AY303" s="343">
        <f t="shared" si="142"/>
        <v>0</v>
      </c>
      <c r="AZ303" s="338">
        <f>(-AP303/((HLOOKUP(AX$5,port_specs,2,0)/(365.25))*(AT304-AT303)))*(INDEX(fixed_capacity_charge,MATCH(AT303,PORTS!$H$11:$H$317,0),MATCH(AX$5,PORTS!$H$11:$N$11,0))+INDEX(variable_om_charge,MATCH(AT303,PORTS!$H$318:$H$625,0),MATCH(AX$5,PORTS!$H$318:$N$318,0)))</f>
        <v>0</v>
      </c>
      <c r="BA303" s="232">
        <f t="shared" si="143"/>
        <v>0</v>
      </c>
      <c r="BB303" s="241">
        <f t="shared" si="144"/>
        <v>0</v>
      </c>
      <c r="BC303" s="408"/>
      <c r="BD303" s="338">
        <f>+PORTS!I297+PORTS!I605</f>
        <v>0</v>
      </c>
    </row>
    <row r="304" spans="1:56" x14ac:dyDescent="0.2">
      <c r="A304" s="186">
        <f t="shared" si="145"/>
        <v>45413</v>
      </c>
      <c r="B304" s="215">
        <f>+IF(AND($A304&gt;=$C$8,$A304&lt;=$C$9),1,0)*PORTS!$I$5/(365.25)*(A305-A304)</f>
        <v>0</v>
      </c>
      <c r="C304" s="351">
        <f t="shared" si="124"/>
        <v>0</v>
      </c>
      <c r="D304">
        <f t="shared" si="125"/>
        <v>2024</v>
      </c>
      <c r="E304" s="186">
        <f t="shared" si="146"/>
        <v>45413</v>
      </c>
      <c r="F304" s="215">
        <f t="shared" si="126"/>
        <v>0</v>
      </c>
      <c r="G304" s="191">
        <f t="shared" si="127"/>
        <v>0</v>
      </c>
      <c r="H304" s="218">
        <f t="shared" si="128"/>
        <v>0</v>
      </c>
      <c r="I304" s="118">
        <f t="shared" si="129"/>
        <v>0</v>
      </c>
      <c r="J304" s="215">
        <f t="shared" si="130"/>
        <v>0</v>
      </c>
      <c r="K304" s="202"/>
      <c r="L304" s="186">
        <f t="shared" si="147"/>
        <v>45413</v>
      </c>
      <c r="M304" s="400">
        <f>+J304*(VLOOKUP(L304,CURVECALC!$C$6:$J$312,4,0)+N$5)</f>
        <v>0</v>
      </c>
      <c r="N304" s="208">
        <f>-F304*INDEX(ship_curves,MATCH(L304,'SHIP CURVES'!$A$9:$A$316,0),MATCH(CONCATENATE(P$4,P$5,P$6,P$7),'SHIP CURVES'!$A$9:$AZ$9,0))</f>
        <v>0</v>
      </c>
      <c r="O304" s="209">
        <f>-H304*INDEX(port_processing_fee,MATCH(L304,PORTS!$H$626:$H$933,0),MATCH(P$5,PORTS!$H$626:$Z$626,0))</f>
        <v>0</v>
      </c>
      <c r="P304" s="405">
        <f>(((VLOOKUP(L304,curvecalc,4,0))*IF(F304=0,0,J304/F304)-INDEX(ship_curves,MATCH(L304,'SHIP CURVES'!$A$9:$A$316,0),MATCH(CONCATENATE(P$4,P$5,P$6,P$7),'SHIP CURVES'!$A$9:$Z$9,0))-INDEX(terminal_curves,MATCH(L304,'TERMINAL CURVES'!$A$4:$A$313,0),MATCH(P$5,'TERMINAL CURVES'!$A$4:$N$4,0))*IF(F304=0,0,H304/F304))-(N$8)*((N$7-$N$5)-(INDEX(ship_curves,MATCH(L304,'SHIP CURVES'!$A$9:$A$316,0),MATCH(CONCATENATE(P$4,P$5,P$6,P$7),'SHIP CURVES'!$A$9:$Z$9,0))-INDEX(ship_curves,MATCH(L304,'SHIP CURVES'!$A$9:$A$316,0),MATCH(CONCATENATE(P$4,N$6,P$6,P$7),'SHIP CURVES'!$A$9:$Z$9,0)))-(INDEX(terminal_curves,MATCH(L304,'TERMINAL CURVES'!$A$4:$A$313,0),MATCH(P$5,'TERMINAL CURVES'!$A$4:$N$4,0))-INDEX(terminal_curves,MATCH(L304,'TERMINAL CURVES'!$A$4:$A$313,0),MATCH(N$6,'TERMINAL CURVES'!$A$4:$N$4,0)))*IF(F304=0,0,H304/F304)))*-F304</f>
        <v>0</v>
      </c>
      <c r="Q304" s="403">
        <f t="shared" si="131"/>
        <v>0</v>
      </c>
      <c r="R304" s="338">
        <f>(-H304/((HLOOKUP(P$5,port_specs,2,0)/(365.25))*(L305-L304)))*(INDEX(fixed_capacity_charge,MATCH(L304,PORTS!$H$11:$H$317,0),MATCH(P$5,PORTS!$H$11:$N$11,0))+INDEX(variable_om_charge,MATCH(L304,PORTS!$H$318:$H$625,0),MATCH(P$5,PORTS!$H$318:$N$318,0)))</f>
        <v>0</v>
      </c>
      <c r="S304" s="232">
        <f t="shared" si="132"/>
        <v>0</v>
      </c>
      <c r="T304" s="241">
        <f t="shared" si="133"/>
        <v>0</v>
      </c>
      <c r="V304" s="186">
        <f t="shared" si="148"/>
        <v>45413</v>
      </c>
      <c r="W304" s="215">
        <f t="shared" si="134"/>
        <v>0</v>
      </c>
      <c r="X304" s="191">
        <f t="shared" si="135"/>
        <v>0</v>
      </c>
      <c r="Y304" s="218">
        <f>+IF(AND(X$8&lt;=V304,X$9&gt;=V304),+MIN($B304-SUMIF($H$17:X$17,Y$17,$H304:X304),((INDEX(ROUTE_PER_DAY_BY_SHIP,MATCH(CONCATENATE(X$4,X$5,X$7),ROUTE_PER_DAY_ROUTES,0),MATCH(X$6,ROUTE_PER_DAY_SHIPS,0))*(V305-V304))-(INDEX(ROUTE_PER_DAY_BY_SHIP,MATCH(CONCATENATE(X$4,X$5,X$7),ROUTE_PER_DAY_ROUTES,0),MATCH(X$6,ROUTE_PER_DAY_SHIPS,0))*(V305-V304))*HLOOKUP(X$6,SHIPS,7,0)*INDEX(LADEN_VOYAGE_DAYS,MATCH(CONCATENATE(X$4,X$5,X$7),LADEN_VOYAGE_ROUTES,0),MATCH(X$6,LADEN_VOYAGE_SHIPS,0)))),0)</f>
        <v>0</v>
      </c>
      <c r="Z304" s="118">
        <f t="shared" si="136"/>
        <v>0</v>
      </c>
      <c r="AA304" s="215">
        <f t="shared" si="122"/>
        <v>0</v>
      </c>
      <c r="AB304" s="202"/>
      <c r="AC304" s="186">
        <f t="shared" si="149"/>
        <v>45413</v>
      </c>
      <c r="AD304" s="232">
        <f>+AA304*(VLOOKUP(AC304,CURVECALC!$C$6:$J$312,4,0)+AE$5)</f>
        <v>0</v>
      </c>
      <c r="AE304" s="208">
        <f>-W304*INDEX(ship_curves,MATCH(AC304,'SHIP CURVES'!$A$9:$A$316,0),MATCH(CONCATENATE(AG$4,AG$5,AG$6,AG$7),'SHIP CURVES'!$A$9:$AZ$9,0))</f>
        <v>0</v>
      </c>
      <c r="AF304" s="209">
        <f>-Y304*INDEX(port_processing_fee,MATCH(AC304,PORTS!$H$626:$H$933,0),MATCH(AG$5,PORTS!$H$626:$Z$626,0))</f>
        <v>0</v>
      </c>
      <c r="AG304" s="405">
        <f>(((VLOOKUP(AC304,curvecalc,4,0))*IF(W304=0,0,AA304/W304)-INDEX(ship_curves,MATCH(AC304,'SHIP CURVES'!$A$9:$A$316,0),MATCH(CONCATENATE(AG$4,AG$5,AG$6,AG$7),'SHIP CURVES'!$A$9:$Z$9,0))-INDEX(terminal_curves,MATCH(AC304,'TERMINAL CURVES'!$A$4:$A$313,0),MATCH(AG$5,'TERMINAL CURVES'!$A$4:$N$4,0))*IF(W304=0,0,Y304/W304))-(AE$8)*((AE$7-$N$5)-(INDEX(ship_curves,MATCH(AC304,'SHIP CURVES'!$A$9:$A$316,0),MATCH(CONCATENATE(AG$4,AG$5,AG$6,AG$7),'SHIP CURVES'!$A$9:$Z$9,0))-INDEX(ship_curves,MATCH(AC304,'SHIP CURVES'!$A$9:$A$316,0),MATCH(CONCATENATE(AG$4,AE$6,AG$6,AG$7),'SHIP CURVES'!$A$9:$Z$9,0)))-(INDEX(terminal_curves,MATCH(AC304,'TERMINAL CURVES'!$A$4:$A$313,0),MATCH(AG$5,'TERMINAL CURVES'!$A$4:$N$4,0))-INDEX(terminal_curves,MATCH(AC304,'TERMINAL CURVES'!$A$4:$A$313,0),MATCH(AE$6,'TERMINAL CURVES'!$A$4:$N$4,0)))*IF(W304=0,0,Y304/W304)))*-W304</f>
        <v>0</v>
      </c>
      <c r="AH304" s="343">
        <f t="shared" si="137"/>
        <v>0</v>
      </c>
      <c r="AI304" s="338">
        <f>(-Y304/((HLOOKUP(AG$5,port_specs,2,0)/(365.25))*(AC305-AC304)))*(INDEX(fixed_capacity_charge,MATCH(AC304,PORTS!$H$11:$H$317,0),MATCH(AG$5,PORTS!$H$11:$N$11,0))+INDEX(variable_om_charge,MATCH(AC304,PORTS!$H$318:$H$625,0),MATCH(AG$5,PORTS!$H$318:$N$318,0)))</f>
        <v>0</v>
      </c>
      <c r="AJ304" s="232">
        <f t="shared" si="138"/>
        <v>0</v>
      </c>
      <c r="AK304" s="241">
        <f t="shared" si="139"/>
        <v>0</v>
      </c>
      <c r="AM304" s="186">
        <f t="shared" si="150"/>
        <v>45413</v>
      </c>
      <c r="AN304" s="215">
        <f t="shared" si="140"/>
        <v>0</v>
      </c>
      <c r="AO304" s="191">
        <f t="shared" si="141"/>
        <v>0</v>
      </c>
      <c r="AP304" s="218">
        <f>+IF(AND(AO$8&lt;=AM304,AO$9&gt;=AM304),+MIN($B304-SUMIF($H$17:AO$17,AP$17,$H304:AO304),((INDEX(ROUTE_PER_DAY_BY_SHIP,MATCH(CONCATENATE(AO$4,AO$5,AO$7),ROUTE_PER_DAY_ROUTES,0),MATCH(AO$6,ROUTE_PER_DAY_SHIPS,0))*(AM305-AM304))-(INDEX(ROUTE_PER_DAY_BY_SHIP,MATCH(CONCATENATE(AO$4,AO$5,AO$7),ROUTE_PER_DAY_ROUTES,0),MATCH(AO$6,ROUTE_PER_DAY_SHIPS,0))*(AM305-AM304))*HLOOKUP(AO$6,SHIPS,7,0)*INDEX(LADEN_VOYAGE_DAYS,MATCH(CONCATENATE(AO$4,AO$5,AO$7),LADEN_VOYAGE_ROUTES,0),MATCH(AO$6,LADEN_VOYAGE_SHIPS,0)))),0)</f>
        <v>0</v>
      </c>
      <c r="AQ304" s="118">
        <f>-(AP304)*PORTS!$I$6</f>
        <v>0</v>
      </c>
      <c r="AR304" s="215">
        <f t="shared" si="123"/>
        <v>0</v>
      </c>
      <c r="AS304" s="202"/>
      <c r="AT304" s="186">
        <f t="shared" si="151"/>
        <v>45413</v>
      </c>
      <c r="AU304" s="232">
        <f>+AR304*(VLOOKUP(AT304,CURVECALC!$C$6:$J$312,4,0)+AV$5)</f>
        <v>0</v>
      </c>
      <c r="AV304" s="208">
        <f>-AN304*INDEX(ship_curves,MATCH(AT304,'SHIP CURVES'!$A$9:$A$316,0),MATCH(CONCATENATE(AX$4,AX$5,AX$6,AX$7),'SHIP CURVES'!$A$9:$AZ$9,0))</f>
        <v>0</v>
      </c>
      <c r="AW304" s="209">
        <f>-AP304*INDEX(port_processing_fee,MATCH(AT304,PORTS!$H$626:$H$933,0),MATCH(AX$5,PORTS!$H$626:$Z$626,0))</f>
        <v>0</v>
      </c>
      <c r="AX304" s="405">
        <f>(((VLOOKUP(AT304,curvecalc,4,0))*IF(AN304=0,0,AR304/AN304)-INDEX(ship_curves,MATCH(AT304,'SHIP CURVES'!$A$9:$A$316,0),MATCH(CONCATENATE(AX$4,AX$5,AX$6,AX$7),'SHIP CURVES'!$A$9:$Z$9,0))-INDEX(terminal_curves,MATCH(AT304,'TERMINAL CURVES'!$A$4:$A$313,0),MATCH(AX$5,'TERMINAL CURVES'!$A$4:$N$4,0))*IF(AN304=0,0,AP304/AN304))-(AV$8)*((AV$7-$N$5)-(INDEX(ship_curves,MATCH(AT304,'SHIP CURVES'!$A$9:$A$316,0),MATCH(CONCATENATE(AX$4,AX$5,AX$6,AX$7),'SHIP CURVES'!$A$9:$Z$9,0))-INDEX(ship_curves,MATCH(AT304,'SHIP CURVES'!$A$9:$A$316,0),MATCH(CONCATENATE(AX$4,AV$6,AX$6,AX$7),'SHIP CURVES'!$A$9:$Z$9,0)))-(INDEX(terminal_curves,MATCH(AT304,'TERMINAL CURVES'!$A$4:$A$313,0),MATCH(AX$5,'TERMINAL CURVES'!$A$4:$N$4,0))-INDEX(terminal_curves,MATCH(AT304,'TERMINAL CURVES'!$A$4:$A$313,0),MATCH(AV$6,'TERMINAL CURVES'!$A$4:$N$4,0)))*IF(AN304=0,0,AP304/AN304)))*-AN304</f>
        <v>0</v>
      </c>
      <c r="AY304" s="343">
        <f t="shared" si="142"/>
        <v>0</v>
      </c>
      <c r="AZ304" s="338">
        <f>(-AP304/((HLOOKUP(AX$5,port_specs,2,0)/(365.25))*(AT305-AT304)))*(INDEX(fixed_capacity_charge,MATCH(AT304,PORTS!$H$11:$H$317,0),MATCH(AX$5,PORTS!$H$11:$N$11,0))+INDEX(variable_om_charge,MATCH(AT304,PORTS!$H$318:$H$625,0),MATCH(AX$5,PORTS!$H$318:$N$318,0)))</f>
        <v>0</v>
      </c>
      <c r="BA304" s="232">
        <f t="shared" si="143"/>
        <v>0</v>
      </c>
      <c r="BB304" s="241">
        <f t="shared" si="144"/>
        <v>0</v>
      </c>
      <c r="BC304" s="408"/>
      <c r="BD304" s="338">
        <f>+PORTS!I298+PORTS!I606</f>
        <v>0</v>
      </c>
    </row>
    <row r="305" spans="1:56" x14ac:dyDescent="0.2">
      <c r="A305" s="186">
        <f t="shared" si="145"/>
        <v>45444</v>
      </c>
      <c r="B305" s="215">
        <f>+IF(AND($A305&gt;=$C$8,$A305&lt;=$C$9),1,0)*PORTS!$I$5/(365.25)*(A306-A305)</f>
        <v>0</v>
      </c>
      <c r="C305" s="351">
        <f t="shared" si="124"/>
        <v>0</v>
      </c>
      <c r="D305">
        <f t="shared" si="125"/>
        <v>2024</v>
      </c>
      <c r="E305" s="186">
        <f t="shared" si="146"/>
        <v>45444</v>
      </c>
      <c r="F305" s="215">
        <f t="shared" si="126"/>
        <v>0</v>
      </c>
      <c r="G305" s="191">
        <f t="shared" si="127"/>
        <v>0</v>
      </c>
      <c r="H305" s="218">
        <f t="shared" si="128"/>
        <v>0</v>
      </c>
      <c r="I305" s="118">
        <f t="shared" si="129"/>
        <v>0</v>
      </c>
      <c r="J305" s="215">
        <f t="shared" si="130"/>
        <v>0</v>
      </c>
      <c r="K305" s="202"/>
      <c r="L305" s="186">
        <f t="shared" si="147"/>
        <v>45444</v>
      </c>
      <c r="M305" s="400">
        <f>+J305*(VLOOKUP(L305,CURVECALC!$C$6:$J$312,4,0)+N$5)</f>
        <v>0</v>
      </c>
      <c r="N305" s="208">
        <f>-F305*INDEX(ship_curves,MATCH(L305,'SHIP CURVES'!$A$9:$A$316,0),MATCH(CONCATENATE(P$4,P$5,P$6,P$7),'SHIP CURVES'!$A$9:$AZ$9,0))</f>
        <v>0</v>
      </c>
      <c r="O305" s="209">
        <f>-H305*INDEX(port_processing_fee,MATCH(L305,PORTS!$H$626:$H$933,0),MATCH(P$5,PORTS!$H$626:$Z$626,0))</f>
        <v>0</v>
      </c>
      <c r="P305" s="405">
        <f>(((VLOOKUP(L305,curvecalc,4,0))*IF(F305=0,0,J305/F305)-INDEX(ship_curves,MATCH(L305,'SHIP CURVES'!$A$9:$A$316,0),MATCH(CONCATENATE(P$4,P$5,P$6,P$7),'SHIP CURVES'!$A$9:$Z$9,0))-INDEX(terminal_curves,MATCH(L305,'TERMINAL CURVES'!$A$4:$A$313,0),MATCH(P$5,'TERMINAL CURVES'!$A$4:$N$4,0))*IF(F305=0,0,H305/F305))-(N$8)*((N$7-$N$5)-(INDEX(ship_curves,MATCH(L305,'SHIP CURVES'!$A$9:$A$316,0),MATCH(CONCATENATE(P$4,P$5,P$6,P$7),'SHIP CURVES'!$A$9:$Z$9,0))-INDEX(ship_curves,MATCH(L305,'SHIP CURVES'!$A$9:$A$316,0),MATCH(CONCATENATE(P$4,N$6,P$6,P$7),'SHIP CURVES'!$A$9:$Z$9,0)))-(INDEX(terminal_curves,MATCH(L305,'TERMINAL CURVES'!$A$4:$A$313,0),MATCH(P$5,'TERMINAL CURVES'!$A$4:$N$4,0))-INDEX(terminal_curves,MATCH(L305,'TERMINAL CURVES'!$A$4:$A$313,0),MATCH(N$6,'TERMINAL CURVES'!$A$4:$N$4,0)))*IF(F305=0,0,H305/F305)))*-F305</f>
        <v>0</v>
      </c>
      <c r="Q305" s="403">
        <f t="shared" si="131"/>
        <v>0</v>
      </c>
      <c r="R305" s="338">
        <f>(-H305/((HLOOKUP(P$5,port_specs,2,0)/(365.25))*(L306-L305)))*(INDEX(fixed_capacity_charge,MATCH(L305,PORTS!$H$11:$H$317,0),MATCH(P$5,PORTS!$H$11:$N$11,0))+INDEX(variable_om_charge,MATCH(L305,PORTS!$H$318:$H$625,0),MATCH(P$5,PORTS!$H$318:$N$318,0)))</f>
        <v>0</v>
      </c>
      <c r="S305" s="232">
        <f t="shared" si="132"/>
        <v>0</v>
      </c>
      <c r="T305" s="241">
        <f t="shared" si="133"/>
        <v>0</v>
      </c>
      <c r="V305" s="186">
        <f t="shared" si="148"/>
        <v>45444</v>
      </c>
      <c r="W305" s="215">
        <f t="shared" si="134"/>
        <v>0</v>
      </c>
      <c r="X305" s="191">
        <f t="shared" si="135"/>
        <v>0</v>
      </c>
      <c r="Y305" s="218">
        <f>+IF(AND(X$8&lt;=V305,X$9&gt;=V305),+MIN($B305-SUMIF($H$17:X$17,Y$17,$H305:X305),((INDEX(ROUTE_PER_DAY_BY_SHIP,MATCH(CONCATENATE(X$4,X$5,X$7),ROUTE_PER_DAY_ROUTES,0),MATCH(X$6,ROUTE_PER_DAY_SHIPS,0))*(V306-V305))-(INDEX(ROUTE_PER_DAY_BY_SHIP,MATCH(CONCATENATE(X$4,X$5,X$7),ROUTE_PER_DAY_ROUTES,0),MATCH(X$6,ROUTE_PER_DAY_SHIPS,0))*(V306-V305))*HLOOKUP(X$6,SHIPS,7,0)*INDEX(LADEN_VOYAGE_DAYS,MATCH(CONCATENATE(X$4,X$5,X$7),LADEN_VOYAGE_ROUTES,0),MATCH(X$6,LADEN_VOYAGE_SHIPS,0)))),0)</f>
        <v>0</v>
      </c>
      <c r="Z305" s="118">
        <f t="shared" si="136"/>
        <v>0</v>
      </c>
      <c r="AA305" s="215">
        <f t="shared" si="122"/>
        <v>0</v>
      </c>
      <c r="AB305" s="202"/>
      <c r="AC305" s="186">
        <f t="shared" si="149"/>
        <v>45444</v>
      </c>
      <c r="AD305" s="232">
        <f>+AA305*(VLOOKUP(AC305,CURVECALC!$C$6:$J$312,4,0)+AE$5)</f>
        <v>0</v>
      </c>
      <c r="AE305" s="208">
        <f>-W305*INDEX(ship_curves,MATCH(AC305,'SHIP CURVES'!$A$9:$A$316,0),MATCH(CONCATENATE(AG$4,AG$5,AG$6,AG$7),'SHIP CURVES'!$A$9:$AZ$9,0))</f>
        <v>0</v>
      </c>
      <c r="AF305" s="209">
        <f>-Y305*INDEX(port_processing_fee,MATCH(AC305,PORTS!$H$626:$H$933,0),MATCH(AG$5,PORTS!$H$626:$Z$626,0))</f>
        <v>0</v>
      </c>
      <c r="AG305" s="405">
        <f>(((VLOOKUP(AC305,curvecalc,4,0))*IF(W305=0,0,AA305/W305)-INDEX(ship_curves,MATCH(AC305,'SHIP CURVES'!$A$9:$A$316,0),MATCH(CONCATENATE(AG$4,AG$5,AG$6,AG$7),'SHIP CURVES'!$A$9:$Z$9,0))-INDEX(terminal_curves,MATCH(AC305,'TERMINAL CURVES'!$A$4:$A$313,0),MATCH(AG$5,'TERMINAL CURVES'!$A$4:$N$4,0))*IF(W305=0,0,Y305/W305))-(AE$8)*((AE$7-$N$5)-(INDEX(ship_curves,MATCH(AC305,'SHIP CURVES'!$A$9:$A$316,0),MATCH(CONCATENATE(AG$4,AG$5,AG$6,AG$7),'SHIP CURVES'!$A$9:$Z$9,0))-INDEX(ship_curves,MATCH(AC305,'SHIP CURVES'!$A$9:$A$316,0),MATCH(CONCATENATE(AG$4,AE$6,AG$6,AG$7),'SHIP CURVES'!$A$9:$Z$9,0)))-(INDEX(terminal_curves,MATCH(AC305,'TERMINAL CURVES'!$A$4:$A$313,0),MATCH(AG$5,'TERMINAL CURVES'!$A$4:$N$4,0))-INDEX(terminal_curves,MATCH(AC305,'TERMINAL CURVES'!$A$4:$A$313,0),MATCH(AE$6,'TERMINAL CURVES'!$A$4:$N$4,0)))*IF(W305=0,0,Y305/W305)))*-W305</f>
        <v>0</v>
      </c>
      <c r="AH305" s="343">
        <f t="shared" si="137"/>
        <v>0</v>
      </c>
      <c r="AI305" s="338">
        <f>(-Y305/((HLOOKUP(AG$5,port_specs,2,0)/(365.25))*(AC306-AC305)))*(INDEX(fixed_capacity_charge,MATCH(AC305,PORTS!$H$11:$H$317,0),MATCH(AG$5,PORTS!$H$11:$N$11,0))+INDEX(variable_om_charge,MATCH(AC305,PORTS!$H$318:$H$625,0),MATCH(AG$5,PORTS!$H$318:$N$318,0)))</f>
        <v>0</v>
      </c>
      <c r="AJ305" s="232">
        <f t="shared" si="138"/>
        <v>0</v>
      </c>
      <c r="AK305" s="241">
        <f t="shared" si="139"/>
        <v>0</v>
      </c>
      <c r="AM305" s="186">
        <f t="shared" si="150"/>
        <v>45444</v>
      </c>
      <c r="AN305" s="215">
        <f t="shared" si="140"/>
        <v>0</v>
      </c>
      <c r="AO305" s="191">
        <f t="shared" si="141"/>
        <v>0</v>
      </c>
      <c r="AP305" s="218">
        <f>+IF(AND(AO$8&lt;=AM305,AO$9&gt;=AM305),+MIN($B305-SUMIF($H$17:AO$17,AP$17,$H305:AO305),((INDEX(ROUTE_PER_DAY_BY_SHIP,MATCH(CONCATENATE(AO$4,AO$5,AO$7),ROUTE_PER_DAY_ROUTES,0),MATCH(AO$6,ROUTE_PER_DAY_SHIPS,0))*(AM306-AM305))-(INDEX(ROUTE_PER_DAY_BY_SHIP,MATCH(CONCATENATE(AO$4,AO$5,AO$7),ROUTE_PER_DAY_ROUTES,0),MATCH(AO$6,ROUTE_PER_DAY_SHIPS,0))*(AM306-AM305))*HLOOKUP(AO$6,SHIPS,7,0)*INDEX(LADEN_VOYAGE_DAYS,MATCH(CONCATENATE(AO$4,AO$5,AO$7),LADEN_VOYAGE_ROUTES,0),MATCH(AO$6,LADEN_VOYAGE_SHIPS,0)))),0)</f>
        <v>0</v>
      </c>
      <c r="AQ305" s="118">
        <f>-(AP305)*PORTS!$I$6</f>
        <v>0</v>
      </c>
      <c r="AR305" s="215">
        <f t="shared" si="123"/>
        <v>0</v>
      </c>
      <c r="AS305" s="202"/>
      <c r="AT305" s="186">
        <f t="shared" si="151"/>
        <v>45444</v>
      </c>
      <c r="AU305" s="232">
        <f>+AR305*(VLOOKUP(AT305,CURVECALC!$C$6:$J$312,4,0)+AV$5)</f>
        <v>0</v>
      </c>
      <c r="AV305" s="208">
        <f>-AN305*INDEX(ship_curves,MATCH(AT305,'SHIP CURVES'!$A$9:$A$316,0),MATCH(CONCATENATE(AX$4,AX$5,AX$6,AX$7),'SHIP CURVES'!$A$9:$AZ$9,0))</f>
        <v>0</v>
      </c>
      <c r="AW305" s="209">
        <f>-AP305*INDEX(port_processing_fee,MATCH(AT305,PORTS!$H$626:$H$933,0),MATCH(AX$5,PORTS!$H$626:$Z$626,0))</f>
        <v>0</v>
      </c>
      <c r="AX305" s="405">
        <f>(((VLOOKUP(AT305,curvecalc,4,0))*IF(AN305=0,0,AR305/AN305)-INDEX(ship_curves,MATCH(AT305,'SHIP CURVES'!$A$9:$A$316,0),MATCH(CONCATENATE(AX$4,AX$5,AX$6,AX$7),'SHIP CURVES'!$A$9:$Z$9,0))-INDEX(terminal_curves,MATCH(AT305,'TERMINAL CURVES'!$A$4:$A$313,0),MATCH(AX$5,'TERMINAL CURVES'!$A$4:$N$4,0))*IF(AN305=0,0,AP305/AN305))-(AV$8)*((AV$7-$N$5)-(INDEX(ship_curves,MATCH(AT305,'SHIP CURVES'!$A$9:$A$316,0),MATCH(CONCATENATE(AX$4,AX$5,AX$6,AX$7),'SHIP CURVES'!$A$9:$Z$9,0))-INDEX(ship_curves,MATCH(AT305,'SHIP CURVES'!$A$9:$A$316,0),MATCH(CONCATENATE(AX$4,AV$6,AX$6,AX$7),'SHIP CURVES'!$A$9:$Z$9,0)))-(INDEX(terminal_curves,MATCH(AT305,'TERMINAL CURVES'!$A$4:$A$313,0),MATCH(AX$5,'TERMINAL CURVES'!$A$4:$N$4,0))-INDEX(terminal_curves,MATCH(AT305,'TERMINAL CURVES'!$A$4:$A$313,0),MATCH(AV$6,'TERMINAL CURVES'!$A$4:$N$4,0)))*IF(AN305=0,0,AP305/AN305)))*-AN305</f>
        <v>0</v>
      </c>
      <c r="AY305" s="343">
        <f t="shared" si="142"/>
        <v>0</v>
      </c>
      <c r="AZ305" s="338">
        <f>(-AP305/((HLOOKUP(AX$5,port_specs,2,0)/(365.25))*(AT306-AT305)))*(INDEX(fixed_capacity_charge,MATCH(AT305,PORTS!$H$11:$H$317,0),MATCH(AX$5,PORTS!$H$11:$N$11,0))+INDEX(variable_om_charge,MATCH(AT305,PORTS!$H$318:$H$625,0),MATCH(AX$5,PORTS!$H$318:$N$318,0)))</f>
        <v>0</v>
      </c>
      <c r="BA305" s="232">
        <f t="shared" si="143"/>
        <v>0</v>
      </c>
      <c r="BB305" s="241">
        <f t="shared" si="144"/>
        <v>0</v>
      </c>
      <c r="BC305" s="408"/>
      <c r="BD305" s="338">
        <f>+PORTS!I299+PORTS!I607</f>
        <v>0</v>
      </c>
    </row>
    <row r="306" spans="1:56" x14ac:dyDescent="0.2">
      <c r="A306" s="186">
        <f t="shared" si="145"/>
        <v>45474</v>
      </c>
      <c r="B306" s="215">
        <f>+IF(AND($A306&gt;=$C$8,$A306&lt;=$C$9),1,0)*PORTS!$I$5/(365.25)*(A307-A306)</f>
        <v>0</v>
      </c>
      <c r="C306" s="351">
        <f t="shared" si="124"/>
        <v>0</v>
      </c>
      <c r="D306">
        <f t="shared" si="125"/>
        <v>2024</v>
      </c>
      <c r="E306" s="186">
        <f t="shared" si="146"/>
        <v>45474</v>
      </c>
      <c r="F306" s="215">
        <f t="shared" si="126"/>
        <v>0</v>
      </c>
      <c r="G306" s="191">
        <f t="shared" si="127"/>
        <v>0</v>
      </c>
      <c r="H306" s="218">
        <f t="shared" si="128"/>
        <v>0</v>
      </c>
      <c r="I306" s="118">
        <f t="shared" si="129"/>
        <v>0</v>
      </c>
      <c r="J306" s="215">
        <f t="shared" si="130"/>
        <v>0</v>
      </c>
      <c r="K306" s="202"/>
      <c r="L306" s="186">
        <f t="shared" si="147"/>
        <v>45474</v>
      </c>
      <c r="M306" s="400">
        <f>+J306*(VLOOKUP(L306,CURVECALC!$C$6:$J$312,4,0)+N$5)</f>
        <v>0</v>
      </c>
      <c r="N306" s="208">
        <f>-F306*INDEX(ship_curves,MATCH(L306,'SHIP CURVES'!$A$9:$A$316,0),MATCH(CONCATENATE(P$4,P$5,P$6,P$7),'SHIP CURVES'!$A$9:$AZ$9,0))</f>
        <v>0</v>
      </c>
      <c r="O306" s="209">
        <f>-H306*INDEX(port_processing_fee,MATCH(L306,PORTS!$H$626:$H$933,0),MATCH(P$5,PORTS!$H$626:$Z$626,0))</f>
        <v>0</v>
      </c>
      <c r="P306" s="405">
        <f>(((VLOOKUP(L306,curvecalc,4,0))*IF(F306=0,0,J306/F306)-INDEX(ship_curves,MATCH(L306,'SHIP CURVES'!$A$9:$A$316,0),MATCH(CONCATENATE(P$4,P$5,P$6,P$7),'SHIP CURVES'!$A$9:$Z$9,0))-INDEX(terminal_curves,MATCH(L306,'TERMINAL CURVES'!$A$4:$A$313,0),MATCH(P$5,'TERMINAL CURVES'!$A$4:$N$4,0))*IF(F306=0,0,H306/F306))-(N$8)*((N$7-$N$5)-(INDEX(ship_curves,MATCH(L306,'SHIP CURVES'!$A$9:$A$316,0),MATCH(CONCATENATE(P$4,P$5,P$6,P$7),'SHIP CURVES'!$A$9:$Z$9,0))-INDEX(ship_curves,MATCH(L306,'SHIP CURVES'!$A$9:$A$316,0),MATCH(CONCATENATE(P$4,N$6,P$6,P$7),'SHIP CURVES'!$A$9:$Z$9,0)))-(INDEX(terminal_curves,MATCH(L306,'TERMINAL CURVES'!$A$4:$A$313,0),MATCH(P$5,'TERMINAL CURVES'!$A$4:$N$4,0))-INDEX(terminal_curves,MATCH(L306,'TERMINAL CURVES'!$A$4:$A$313,0),MATCH(N$6,'TERMINAL CURVES'!$A$4:$N$4,0)))*IF(F306=0,0,H306/F306)))*-F306</f>
        <v>0</v>
      </c>
      <c r="Q306" s="403">
        <f t="shared" si="131"/>
        <v>0</v>
      </c>
      <c r="R306" s="338">
        <f>(-H306/((HLOOKUP(P$5,port_specs,2,0)/(365.25))*(L307-L306)))*(INDEX(fixed_capacity_charge,MATCH(L306,PORTS!$H$11:$H$317,0),MATCH(P$5,PORTS!$H$11:$N$11,0))+INDEX(variable_om_charge,MATCH(L306,PORTS!$H$318:$H$625,0),MATCH(P$5,PORTS!$H$318:$N$318,0)))</f>
        <v>0</v>
      </c>
      <c r="S306" s="232">
        <f t="shared" si="132"/>
        <v>0</v>
      </c>
      <c r="T306" s="241">
        <f t="shared" si="133"/>
        <v>0</v>
      </c>
      <c r="V306" s="186">
        <f t="shared" si="148"/>
        <v>45474</v>
      </c>
      <c r="W306" s="215">
        <f t="shared" si="134"/>
        <v>0</v>
      </c>
      <c r="X306" s="191">
        <f t="shared" si="135"/>
        <v>0</v>
      </c>
      <c r="Y306" s="218">
        <f>+IF(AND(X$8&lt;=V306,X$9&gt;=V306),+MIN($B306-SUMIF($H$17:X$17,Y$17,$H306:X306),((INDEX(ROUTE_PER_DAY_BY_SHIP,MATCH(CONCATENATE(X$4,X$5,X$7),ROUTE_PER_DAY_ROUTES,0),MATCH(X$6,ROUTE_PER_DAY_SHIPS,0))*(V307-V306))-(INDEX(ROUTE_PER_DAY_BY_SHIP,MATCH(CONCATENATE(X$4,X$5,X$7),ROUTE_PER_DAY_ROUTES,0),MATCH(X$6,ROUTE_PER_DAY_SHIPS,0))*(V307-V306))*HLOOKUP(X$6,SHIPS,7,0)*INDEX(LADEN_VOYAGE_DAYS,MATCH(CONCATENATE(X$4,X$5,X$7),LADEN_VOYAGE_ROUTES,0),MATCH(X$6,LADEN_VOYAGE_SHIPS,0)))),0)</f>
        <v>0</v>
      </c>
      <c r="Z306" s="118">
        <f t="shared" si="136"/>
        <v>0</v>
      </c>
      <c r="AA306" s="215">
        <f t="shared" si="122"/>
        <v>0</v>
      </c>
      <c r="AB306" s="202"/>
      <c r="AC306" s="186">
        <f t="shared" si="149"/>
        <v>45474</v>
      </c>
      <c r="AD306" s="232">
        <f>+AA306*(VLOOKUP(AC306,CURVECALC!$C$6:$J$312,4,0)+AE$5)</f>
        <v>0</v>
      </c>
      <c r="AE306" s="208">
        <f>-W306*INDEX(ship_curves,MATCH(AC306,'SHIP CURVES'!$A$9:$A$316,0),MATCH(CONCATENATE(AG$4,AG$5,AG$6,AG$7),'SHIP CURVES'!$A$9:$AZ$9,0))</f>
        <v>0</v>
      </c>
      <c r="AF306" s="209">
        <f>-Y306*INDEX(port_processing_fee,MATCH(AC306,PORTS!$H$626:$H$933,0),MATCH(AG$5,PORTS!$H$626:$Z$626,0))</f>
        <v>0</v>
      </c>
      <c r="AG306" s="405">
        <f>(((VLOOKUP(AC306,curvecalc,4,0))*IF(W306=0,0,AA306/W306)-INDEX(ship_curves,MATCH(AC306,'SHIP CURVES'!$A$9:$A$316,0),MATCH(CONCATENATE(AG$4,AG$5,AG$6,AG$7),'SHIP CURVES'!$A$9:$Z$9,0))-INDEX(terminal_curves,MATCH(AC306,'TERMINAL CURVES'!$A$4:$A$313,0),MATCH(AG$5,'TERMINAL CURVES'!$A$4:$N$4,0))*IF(W306=0,0,Y306/W306))-(AE$8)*((AE$7-$N$5)-(INDEX(ship_curves,MATCH(AC306,'SHIP CURVES'!$A$9:$A$316,0),MATCH(CONCATENATE(AG$4,AG$5,AG$6,AG$7),'SHIP CURVES'!$A$9:$Z$9,0))-INDEX(ship_curves,MATCH(AC306,'SHIP CURVES'!$A$9:$A$316,0),MATCH(CONCATENATE(AG$4,AE$6,AG$6,AG$7),'SHIP CURVES'!$A$9:$Z$9,0)))-(INDEX(terminal_curves,MATCH(AC306,'TERMINAL CURVES'!$A$4:$A$313,0),MATCH(AG$5,'TERMINAL CURVES'!$A$4:$N$4,0))-INDEX(terminal_curves,MATCH(AC306,'TERMINAL CURVES'!$A$4:$A$313,0),MATCH(AE$6,'TERMINAL CURVES'!$A$4:$N$4,0)))*IF(W306=0,0,Y306/W306)))*-W306</f>
        <v>0</v>
      </c>
      <c r="AH306" s="343">
        <f t="shared" si="137"/>
        <v>0</v>
      </c>
      <c r="AI306" s="338">
        <f>(-Y306/((HLOOKUP(AG$5,port_specs,2,0)/(365.25))*(AC307-AC306)))*(INDEX(fixed_capacity_charge,MATCH(AC306,PORTS!$H$11:$H$317,0),MATCH(AG$5,PORTS!$H$11:$N$11,0))+INDEX(variable_om_charge,MATCH(AC306,PORTS!$H$318:$H$625,0),MATCH(AG$5,PORTS!$H$318:$N$318,0)))</f>
        <v>0</v>
      </c>
      <c r="AJ306" s="232">
        <f t="shared" si="138"/>
        <v>0</v>
      </c>
      <c r="AK306" s="241">
        <f t="shared" si="139"/>
        <v>0</v>
      </c>
      <c r="AM306" s="186">
        <f t="shared" si="150"/>
        <v>45474</v>
      </c>
      <c r="AN306" s="215">
        <f t="shared" si="140"/>
        <v>0</v>
      </c>
      <c r="AO306" s="191">
        <f t="shared" si="141"/>
        <v>0</v>
      </c>
      <c r="AP306" s="218">
        <f>+IF(AND(AO$8&lt;=AM306,AO$9&gt;=AM306),+MIN($B306-SUMIF($H$17:AO$17,AP$17,$H306:AO306),((INDEX(ROUTE_PER_DAY_BY_SHIP,MATCH(CONCATENATE(AO$4,AO$5,AO$7),ROUTE_PER_DAY_ROUTES,0),MATCH(AO$6,ROUTE_PER_DAY_SHIPS,0))*(AM307-AM306))-(INDEX(ROUTE_PER_DAY_BY_SHIP,MATCH(CONCATENATE(AO$4,AO$5,AO$7),ROUTE_PER_DAY_ROUTES,0),MATCH(AO$6,ROUTE_PER_DAY_SHIPS,0))*(AM307-AM306))*HLOOKUP(AO$6,SHIPS,7,0)*INDEX(LADEN_VOYAGE_DAYS,MATCH(CONCATENATE(AO$4,AO$5,AO$7),LADEN_VOYAGE_ROUTES,0),MATCH(AO$6,LADEN_VOYAGE_SHIPS,0)))),0)</f>
        <v>0</v>
      </c>
      <c r="AQ306" s="118">
        <f>-(AP306)*PORTS!$I$6</f>
        <v>0</v>
      </c>
      <c r="AR306" s="215">
        <f t="shared" si="123"/>
        <v>0</v>
      </c>
      <c r="AS306" s="202"/>
      <c r="AT306" s="186">
        <f t="shared" si="151"/>
        <v>45474</v>
      </c>
      <c r="AU306" s="232">
        <f>+AR306*(VLOOKUP(AT306,CURVECALC!$C$6:$J$312,4,0)+AV$5)</f>
        <v>0</v>
      </c>
      <c r="AV306" s="208">
        <f>-AN306*INDEX(ship_curves,MATCH(AT306,'SHIP CURVES'!$A$9:$A$316,0),MATCH(CONCATENATE(AX$4,AX$5,AX$6,AX$7),'SHIP CURVES'!$A$9:$AZ$9,0))</f>
        <v>0</v>
      </c>
      <c r="AW306" s="209">
        <f>-AP306*INDEX(port_processing_fee,MATCH(AT306,PORTS!$H$626:$H$933,0),MATCH(AX$5,PORTS!$H$626:$Z$626,0))</f>
        <v>0</v>
      </c>
      <c r="AX306" s="405">
        <f>(((VLOOKUP(AT306,curvecalc,4,0))*IF(AN306=0,0,AR306/AN306)-INDEX(ship_curves,MATCH(AT306,'SHIP CURVES'!$A$9:$A$316,0),MATCH(CONCATENATE(AX$4,AX$5,AX$6,AX$7),'SHIP CURVES'!$A$9:$Z$9,0))-INDEX(terminal_curves,MATCH(AT306,'TERMINAL CURVES'!$A$4:$A$313,0),MATCH(AX$5,'TERMINAL CURVES'!$A$4:$N$4,0))*IF(AN306=0,0,AP306/AN306))-(AV$8)*((AV$7-$N$5)-(INDEX(ship_curves,MATCH(AT306,'SHIP CURVES'!$A$9:$A$316,0),MATCH(CONCATENATE(AX$4,AX$5,AX$6,AX$7),'SHIP CURVES'!$A$9:$Z$9,0))-INDEX(ship_curves,MATCH(AT306,'SHIP CURVES'!$A$9:$A$316,0),MATCH(CONCATENATE(AX$4,AV$6,AX$6,AX$7),'SHIP CURVES'!$A$9:$Z$9,0)))-(INDEX(terminal_curves,MATCH(AT306,'TERMINAL CURVES'!$A$4:$A$313,0),MATCH(AX$5,'TERMINAL CURVES'!$A$4:$N$4,0))-INDEX(terminal_curves,MATCH(AT306,'TERMINAL CURVES'!$A$4:$A$313,0),MATCH(AV$6,'TERMINAL CURVES'!$A$4:$N$4,0)))*IF(AN306=0,0,AP306/AN306)))*-AN306</f>
        <v>0</v>
      </c>
      <c r="AY306" s="343">
        <f t="shared" si="142"/>
        <v>0</v>
      </c>
      <c r="AZ306" s="338">
        <f>(-AP306/((HLOOKUP(AX$5,port_specs,2,0)/(365.25))*(AT307-AT306)))*(INDEX(fixed_capacity_charge,MATCH(AT306,PORTS!$H$11:$H$317,0),MATCH(AX$5,PORTS!$H$11:$N$11,0))+INDEX(variable_om_charge,MATCH(AT306,PORTS!$H$318:$H$625,0),MATCH(AX$5,PORTS!$H$318:$N$318,0)))</f>
        <v>0</v>
      </c>
      <c r="BA306" s="232">
        <f t="shared" si="143"/>
        <v>0</v>
      </c>
      <c r="BB306" s="241">
        <f t="shared" si="144"/>
        <v>0</v>
      </c>
      <c r="BC306" s="408"/>
      <c r="BD306" s="338">
        <f>+PORTS!I300+PORTS!I608</f>
        <v>0</v>
      </c>
    </row>
    <row r="307" spans="1:56" x14ac:dyDescent="0.2">
      <c r="A307" s="186">
        <f t="shared" si="145"/>
        <v>45505</v>
      </c>
      <c r="B307" s="215">
        <f>+IF(AND($A307&gt;=$C$8,$A307&lt;=$C$9),1,0)*PORTS!$I$5/(365.25)*(A308-A307)</f>
        <v>0</v>
      </c>
      <c r="C307" s="351">
        <f t="shared" si="124"/>
        <v>0</v>
      </c>
      <c r="D307">
        <f t="shared" si="125"/>
        <v>2024</v>
      </c>
      <c r="E307" s="186">
        <f t="shared" si="146"/>
        <v>45505</v>
      </c>
      <c r="F307" s="215">
        <f t="shared" si="126"/>
        <v>0</v>
      </c>
      <c r="G307" s="191">
        <f t="shared" si="127"/>
        <v>0</v>
      </c>
      <c r="H307" s="218">
        <f t="shared" si="128"/>
        <v>0</v>
      </c>
      <c r="I307" s="118">
        <f t="shared" si="129"/>
        <v>0</v>
      </c>
      <c r="J307" s="215">
        <f t="shared" si="130"/>
        <v>0</v>
      </c>
      <c r="K307" s="202"/>
      <c r="L307" s="186">
        <f t="shared" si="147"/>
        <v>45505</v>
      </c>
      <c r="M307" s="400">
        <f>+J307*(VLOOKUP(L307,CURVECALC!$C$6:$J$312,4,0)+N$5)</f>
        <v>0</v>
      </c>
      <c r="N307" s="208">
        <f>-F307*INDEX(ship_curves,MATCH(L307,'SHIP CURVES'!$A$9:$A$316,0),MATCH(CONCATENATE(P$4,P$5,P$6,P$7),'SHIP CURVES'!$A$9:$AZ$9,0))</f>
        <v>0</v>
      </c>
      <c r="O307" s="209">
        <f>-H307*INDEX(port_processing_fee,MATCH(L307,PORTS!$H$626:$H$933,0),MATCH(P$5,PORTS!$H$626:$Z$626,0))</f>
        <v>0</v>
      </c>
      <c r="P307" s="405">
        <f>(((VLOOKUP(L307,curvecalc,4,0))*IF(F307=0,0,J307/F307)-INDEX(ship_curves,MATCH(L307,'SHIP CURVES'!$A$9:$A$316,0),MATCH(CONCATENATE(P$4,P$5,P$6,P$7),'SHIP CURVES'!$A$9:$Z$9,0))-INDEX(terminal_curves,MATCH(L307,'TERMINAL CURVES'!$A$4:$A$313,0),MATCH(P$5,'TERMINAL CURVES'!$A$4:$N$4,0))*IF(F307=0,0,H307/F307))-(N$8)*((N$7-$N$5)-(INDEX(ship_curves,MATCH(L307,'SHIP CURVES'!$A$9:$A$316,0),MATCH(CONCATENATE(P$4,P$5,P$6,P$7),'SHIP CURVES'!$A$9:$Z$9,0))-INDEX(ship_curves,MATCH(L307,'SHIP CURVES'!$A$9:$A$316,0),MATCH(CONCATENATE(P$4,N$6,P$6,P$7),'SHIP CURVES'!$A$9:$Z$9,0)))-(INDEX(terminal_curves,MATCH(L307,'TERMINAL CURVES'!$A$4:$A$313,0),MATCH(P$5,'TERMINAL CURVES'!$A$4:$N$4,0))-INDEX(terminal_curves,MATCH(L307,'TERMINAL CURVES'!$A$4:$A$313,0),MATCH(N$6,'TERMINAL CURVES'!$A$4:$N$4,0)))*IF(F307=0,0,H307/F307)))*-F307</f>
        <v>0</v>
      </c>
      <c r="Q307" s="403">
        <f t="shared" si="131"/>
        <v>0</v>
      </c>
      <c r="R307" s="338">
        <f>(-H307/((HLOOKUP(P$5,port_specs,2,0)/(365.25))*(L308-L307)))*(INDEX(fixed_capacity_charge,MATCH(L307,PORTS!$H$11:$H$317,0),MATCH(P$5,PORTS!$H$11:$N$11,0))+INDEX(variable_om_charge,MATCH(L307,PORTS!$H$318:$H$625,0),MATCH(P$5,PORTS!$H$318:$N$318,0)))</f>
        <v>0</v>
      </c>
      <c r="S307" s="232">
        <f t="shared" si="132"/>
        <v>0</v>
      </c>
      <c r="T307" s="241">
        <f t="shared" si="133"/>
        <v>0</v>
      </c>
      <c r="V307" s="186">
        <f t="shared" si="148"/>
        <v>45505</v>
      </c>
      <c r="W307" s="215">
        <f t="shared" si="134"/>
        <v>0</v>
      </c>
      <c r="X307" s="191">
        <f t="shared" si="135"/>
        <v>0</v>
      </c>
      <c r="Y307" s="218">
        <f>+IF(AND(X$8&lt;=V307,X$9&gt;=V307),+MIN($B307-SUMIF($H$17:X$17,Y$17,$H307:X307),((INDEX(ROUTE_PER_DAY_BY_SHIP,MATCH(CONCATENATE(X$4,X$5,X$7),ROUTE_PER_DAY_ROUTES,0),MATCH(X$6,ROUTE_PER_DAY_SHIPS,0))*(V308-V307))-(INDEX(ROUTE_PER_DAY_BY_SHIP,MATCH(CONCATENATE(X$4,X$5,X$7),ROUTE_PER_DAY_ROUTES,0),MATCH(X$6,ROUTE_PER_DAY_SHIPS,0))*(V308-V307))*HLOOKUP(X$6,SHIPS,7,0)*INDEX(LADEN_VOYAGE_DAYS,MATCH(CONCATENATE(X$4,X$5,X$7),LADEN_VOYAGE_ROUTES,0),MATCH(X$6,LADEN_VOYAGE_SHIPS,0)))),0)</f>
        <v>0</v>
      </c>
      <c r="Z307" s="118">
        <f t="shared" si="136"/>
        <v>0</v>
      </c>
      <c r="AA307" s="215">
        <f t="shared" si="122"/>
        <v>0</v>
      </c>
      <c r="AB307" s="202"/>
      <c r="AC307" s="186">
        <f t="shared" si="149"/>
        <v>45505</v>
      </c>
      <c r="AD307" s="232">
        <f>+AA307*(VLOOKUP(AC307,CURVECALC!$C$6:$J$312,4,0)+AE$5)</f>
        <v>0</v>
      </c>
      <c r="AE307" s="208">
        <f>-W307*INDEX(ship_curves,MATCH(AC307,'SHIP CURVES'!$A$9:$A$316,0),MATCH(CONCATENATE(AG$4,AG$5,AG$6,AG$7),'SHIP CURVES'!$A$9:$AZ$9,0))</f>
        <v>0</v>
      </c>
      <c r="AF307" s="209">
        <f>-Y307*INDEX(port_processing_fee,MATCH(AC307,PORTS!$H$626:$H$933,0),MATCH(AG$5,PORTS!$H$626:$Z$626,0))</f>
        <v>0</v>
      </c>
      <c r="AG307" s="405">
        <f>(((VLOOKUP(AC307,curvecalc,4,0))*IF(W307=0,0,AA307/W307)-INDEX(ship_curves,MATCH(AC307,'SHIP CURVES'!$A$9:$A$316,0),MATCH(CONCATENATE(AG$4,AG$5,AG$6,AG$7),'SHIP CURVES'!$A$9:$Z$9,0))-INDEX(terminal_curves,MATCH(AC307,'TERMINAL CURVES'!$A$4:$A$313,0),MATCH(AG$5,'TERMINAL CURVES'!$A$4:$N$4,0))*IF(W307=0,0,Y307/W307))-(AE$8)*((AE$7-$N$5)-(INDEX(ship_curves,MATCH(AC307,'SHIP CURVES'!$A$9:$A$316,0),MATCH(CONCATENATE(AG$4,AG$5,AG$6,AG$7),'SHIP CURVES'!$A$9:$Z$9,0))-INDEX(ship_curves,MATCH(AC307,'SHIP CURVES'!$A$9:$A$316,0),MATCH(CONCATENATE(AG$4,AE$6,AG$6,AG$7),'SHIP CURVES'!$A$9:$Z$9,0)))-(INDEX(terminal_curves,MATCH(AC307,'TERMINAL CURVES'!$A$4:$A$313,0),MATCH(AG$5,'TERMINAL CURVES'!$A$4:$N$4,0))-INDEX(terminal_curves,MATCH(AC307,'TERMINAL CURVES'!$A$4:$A$313,0),MATCH(AE$6,'TERMINAL CURVES'!$A$4:$N$4,0)))*IF(W307=0,0,Y307/W307)))*-W307</f>
        <v>0</v>
      </c>
      <c r="AH307" s="343">
        <f t="shared" si="137"/>
        <v>0</v>
      </c>
      <c r="AI307" s="338">
        <f>(-Y307/((HLOOKUP(AG$5,port_specs,2,0)/(365.25))*(AC308-AC307)))*(INDEX(fixed_capacity_charge,MATCH(AC307,PORTS!$H$11:$H$317,0),MATCH(AG$5,PORTS!$H$11:$N$11,0))+INDEX(variable_om_charge,MATCH(AC307,PORTS!$H$318:$H$625,0),MATCH(AG$5,PORTS!$H$318:$N$318,0)))</f>
        <v>0</v>
      </c>
      <c r="AJ307" s="232">
        <f t="shared" si="138"/>
        <v>0</v>
      </c>
      <c r="AK307" s="241">
        <f t="shared" si="139"/>
        <v>0</v>
      </c>
      <c r="AM307" s="186">
        <f t="shared" si="150"/>
        <v>45505</v>
      </c>
      <c r="AN307" s="215">
        <f t="shared" si="140"/>
        <v>0</v>
      </c>
      <c r="AO307" s="191">
        <f t="shared" si="141"/>
        <v>0</v>
      </c>
      <c r="AP307" s="218">
        <f>+IF(AND(AO$8&lt;=AM307,AO$9&gt;=AM307),+MIN($B307-SUMIF($H$17:AO$17,AP$17,$H307:AO307),((INDEX(ROUTE_PER_DAY_BY_SHIP,MATCH(CONCATENATE(AO$4,AO$5,AO$7),ROUTE_PER_DAY_ROUTES,0),MATCH(AO$6,ROUTE_PER_DAY_SHIPS,0))*(AM308-AM307))-(INDEX(ROUTE_PER_DAY_BY_SHIP,MATCH(CONCATENATE(AO$4,AO$5,AO$7),ROUTE_PER_DAY_ROUTES,0),MATCH(AO$6,ROUTE_PER_DAY_SHIPS,0))*(AM308-AM307))*HLOOKUP(AO$6,SHIPS,7,0)*INDEX(LADEN_VOYAGE_DAYS,MATCH(CONCATENATE(AO$4,AO$5,AO$7),LADEN_VOYAGE_ROUTES,0),MATCH(AO$6,LADEN_VOYAGE_SHIPS,0)))),0)</f>
        <v>0</v>
      </c>
      <c r="AQ307" s="118">
        <f>-(AP307)*PORTS!$I$6</f>
        <v>0</v>
      </c>
      <c r="AR307" s="215">
        <f t="shared" si="123"/>
        <v>0</v>
      </c>
      <c r="AS307" s="202"/>
      <c r="AT307" s="186">
        <f t="shared" si="151"/>
        <v>45505</v>
      </c>
      <c r="AU307" s="232">
        <f>+AR307*(VLOOKUP(AT307,CURVECALC!$C$6:$J$312,4,0)+AV$5)</f>
        <v>0</v>
      </c>
      <c r="AV307" s="208">
        <f>-AN307*INDEX(ship_curves,MATCH(AT307,'SHIP CURVES'!$A$9:$A$316,0),MATCH(CONCATENATE(AX$4,AX$5,AX$6,AX$7),'SHIP CURVES'!$A$9:$AZ$9,0))</f>
        <v>0</v>
      </c>
      <c r="AW307" s="209">
        <f>-AP307*INDEX(port_processing_fee,MATCH(AT307,PORTS!$H$626:$H$933,0),MATCH(AX$5,PORTS!$H$626:$Z$626,0))</f>
        <v>0</v>
      </c>
      <c r="AX307" s="405">
        <f>(((VLOOKUP(AT307,curvecalc,4,0))*IF(AN307=0,0,AR307/AN307)-INDEX(ship_curves,MATCH(AT307,'SHIP CURVES'!$A$9:$A$316,0),MATCH(CONCATENATE(AX$4,AX$5,AX$6,AX$7),'SHIP CURVES'!$A$9:$Z$9,0))-INDEX(terminal_curves,MATCH(AT307,'TERMINAL CURVES'!$A$4:$A$313,0),MATCH(AX$5,'TERMINAL CURVES'!$A$4:$N$4,0))*IF(AN307=0,0,AP307/AN307))-(AV$8)*((AV$7-$N$5)-(INDEX(ship_curves,MATCH(AT307,'SHIP CURVES'!$A$9:$A$316,0),MATCH(CONCATENATE(AX$4,AX$5,AX$6,AX$7),'SHIP CURVES'!$A$9:$Z$9,0))-INDEX(ship_curves,MATCH(AT307,'SHIP CURVES'!$A$9:$A$316,0),MATCH(CONCATENATE(AX$4,AV$6,AX$6,AX$7),'SHIP CURVES'!$A$9:$Z$9,0)))-(INDEX(terminal_curves,MATCH(AT307,'TERMINAL CURVES'!$A$4:$A$313,0),MATCH(AX$5,'TERMINAL CURVES'!$A$4:$N$4,0))-INDEX(terminal_curves,MATCH(AT307,'TERMINAL CURVES'!$A$4:$A$313,0),MATCH(AV$6,'TERMINAL CURVES'!$A$4:$N$4,0)))*IF(AN307=0,0,AP307/AN307)))*-AN307</f>
        <v>0</v>
      </c>
      <c r="AY307" s="343">
        <f t="shared" si="142"/>
        <v>0</v>
      </c>
      <c r="AZ307" s="338">
        <f>(-AP307/((HLOOKUP(AX$5,port_specs,2,0)/(365.25))*(AT308-AT307)))*(INDEX(fixed_capacity_charge,MATCH(AT307,PORTS!$H$11:$H$317,0),MATCH(AX$5,PORTS!$H$11:$N$11,0))+INDEX(variable_om_charge,MATCH(AT307,PORTS!$H$318:$H$625,0),MATCH(AX$5,PORTS!$H$318:$N$318,0)))</f>
        <v>0</v>
      </c>
      <c r="BA307" s="232">
        <f t="shared" si="143"/>
        <v>0</v>
      </c>
      <c r="BB307" s="241">
        <f t="shared" si="144"/>
        <v>0</v>
      </c>
      <c r="BC307" s="408"/>
      <c r="BD307" s="338">
        <f>+PORTS!I301+PORTS!I609</f>
        <v>0</v>
      </c>
    </row>
    <row r="308" spans="1:56" x14ac:dyDescent="0.2">
      <c r="A308" s="186">
        <f t="shared" si="145"/>
        <v>45536</v>
      </c>
      <c r="B308" s="215">
        <f>+IF(AND($A308&gt;=$C$8,$A308&lt;=$C$9),1,0)*PORTS!$I$5/(365.25)*(A309-A308)</f>
        <v>0</v>
      </c>
      <c r="C308" s="351">
        <f t="shared" si="124"/>
        <v>0</v>
      </c>
      <c r="D308">
        <f t="shared" si="125"/>
        <v>2024</v>
      </c>
      <c r="E308" s="186">
        <f t="shared" si="146"/>
        <v>45536</v>
      </c>
      <c r="F308" s="215">
        <f t="shared" si="126"/>
        <v>0</v>
      </c>
      <c r="G308" s="191">
        <f t="shared" si="127"/>
        <v>0</v>
      </c>
      <c r="H308" s="218">
        <f t="shared" si="128"/>
        <v>0</v>
      </c>
      <c r="I308" s="118">
        <f t="shared" si="129"/>
        <v>0</v>
      </c>
      <c r="J308" s="215">
        <f t="shared" si="130"/>
        <v>0</v>
      </c>
      <c r="K308" s="202"/>
      <c r="L308" s="186">
        <f t="shared" si="147"/>
        <v>45536</v>
      </c>
      <c r="M308" s="400">
        <f>+J308*(VLOOKUP(L308,CURVECALC!$C$6:$J$312,4,0)+N$5)</f>
        <v>0</v>
      </c>
      <c r="N308" s="208">
        <f>-F308*INDEX(ship_curves,MATCH(L308,'SHIP CURVES'!$A$9:$A$316,0),MATCH(CONCATENATE(P$4,P$5,P$6,P$7),'SHIP CURVES'!$A$9:$AZ$9,0))</f>
        <v>0</v>
      </c>
      <c r="O308" s="209">
        <f>-H308*INDEX(port_processing_fee,MATCH(L308,PORTS!$H$626:$H$933,0),MATCH(P$5,PORTS!$H$626:$Z$626,0))</f>
        <v>0</v>
      </c>
      <c r="P308" s="405">
        <f>(((VLOOKUP(L308,curvecalc,4,0))*IF(F308=0,0,J308/F308)-INDEX(ship_curves,MATCH(L308,'SHIP CURVES'!$A$9:$A$316,0),MATCH(CONCATENATE(P$4,P$5,P$6,P$7),'SHIP CURVES'!$A$9:$Z$9,0))-INDEX(terminal_curves,MATCH(L308,'TERMINAL CURVES'!$A$4:$A$313,0),MATCH(P$5,'TERMINAL CURVES'!$A$4:$N$4,0))*IF(F308=0,0,H308/F308))-(N$8)*((N$7-$N$5)-(INDEX(ship_curves,MATCH(L308,'SHIP CURVES'!$A$9:$A$316,0),MATCH(CONCATENATE(P$4,P$5,P$6,P$7),'SHIP CURVES'!$A$9:$Z$9,0))-INDEX(ship_curves,MATCH(L308,'SHIP CURVES'!$A$9:$A$316,0),MATCH(CONCATENATE(P$4,N$6,P$6,P$7),'SHIP CURVES'!$A$9:$Z$9,0)))-(INDEX(terminal_curves,MATCH(L308,'TERMINAL CURVES'!$A$4:$A$313,0),MATCH(P$5,'TERMINAL CURVES'!$A$4:$N$4,0))-INDEX(terminal_curves,MATCH(L308,'TERMINAL CURVES'!$A$4:$A$313,0),MATCH(N$6,'TERMINAL CURVES'!$A$4:$N$4,0)))*IF(F308=0,0,H308/F308)))*-F308</f>
        <v>0</v>
      </c>
      <c r="Q308" s="403">
        <f t="shared" si="131"/>
        <v>0</v>
      </c>
      <c r="R308" s="338">
        <f>(-H308/((HLOOKUP(P$5,port_specs,2,0)/(365.25))*(L309-L308)))*(INDEX(fixed_capacity_charge,MATCH(L308,PORTS!$H$11:$H$317,0),MATCH(P$5,PORTS!$H$11:$N$11,0))+INDEX(variable_om_charge,MATCH(L308,PORTS!$H$318:$H$625,0),MATCH(P$5,PORTS!$H$318:$N$318,0)))</f>
        <v>0</v>
      </c>
      <c r="S308" s="232">
        <f t="shared" si="132"/>
        <v>0</v>
      </c>
      <c r="T308" s="241">
        <f t="shared" si="133"/>
        <v>0</v>
      </c>
      <c r="V308" s="186">
        <f t="shared" si="148"/>
        <v>45536</v>
      </c>
      <c r="W308" s="215">
        <f t="shared" si="134"/>
        <v>0</v>
      </c>
      <c r="X308" s="191">
        <f t="shared" si="135"/>
        <v>0</v>
      </c>
      <c r="Y308" s="218">
        <f>+IF(AND(X$8&lt;=V308,X$9&gt;=V308),+MIN($B308-SUMIF($H$17:X$17,Y$17,$H308:X308),((INDEX(ROUTE_PER_DAY_BY_SHIP,MATCH(CONCATENATE(X$4,X$5,X$7),ROUTE_PER_DAY_ROUTES,0),MATCH(X$6,ROUTE_PER_DAY_SHIPS,0))*(V309-V308))-(INDEX(ROUTE_PER_DAY_BY_SHIP,MATCH(CONCATENATE(X$4,X$5,X$7),ROUTE_PER_DAY_ROUTES,0),MATCH(X$6,ROUTE_PER_DAY_SHIPS,0))*(V309-V308))*HLOOKUP(X$6,SHIPS,7,0)*INDEX(LADEN_VOYAGE_DAYS,MATCH(CONCATENATE(X$4,X$5,X$7),LADEN_VOYAGE_ROUTES,0),MATCH(X$6,LADEN_VOYAGE_SHIPS,0)))),0)</f>
        <v>0</v>
      </c>
      <c r="Z308" s="118">
        <f t="shared" si="136"/>
        <v>0</v>
      </c>
      <c r="AA308" s="215">
        <f t="shared" si="122"/>
        <v>0</v>
      </c>
      <c r="AB308" s="202"/>
      <c r="AC308" s="186">
        <f t="shared" si="149"/>
        <v>45536</v>
      </c>
      <c r="AD308" s="232">
        <f>+AA308*(VLOOKUP(AC308,CURVECALC!$C$6:$J$312,4,0)+AE$5)</f>
        <v>0</v>
      </c>
      <c r="AE308" s="208">
        <f>-W308*INDEX(ship_curves,MATCH(AC308,'SHIP CURVES'!$A$9:$A$316,0),MATCH(CONCATENATE(AG$4,AG$5,AG$6,AG$7),'SHIP CURVES'!$A$9:$AZ$9,0))</f>
        <v>0</v>
      </c>
      <c r="AF308" s="209">
        <f>-Y308*INDEX(port_processing_fee,MATCH(AC308,PORTS!$H$626:$H$933,0),MATCH(AG$5,PORTS!$H$626:$Z$626,0))</f>
        <v>0</v>
      </c>
      <c r="AG308" s="405">
        <f>(((VLOOKUP(AC308,curvecalc,4,0))*IF(W308=0,0,AA308/W308)-INDEX(ship_curves,MATCH(AC308,'SHIP CURVES'!$A$9:$A$316,0),MATCH(CONCATENATE(AG$4,AG$5,AG$6,AG$7),'SHIP CURVES'!$A$9:$Z$9,0))-INDEX(terminal_curves,MATCH(AC308,'TERMINAL CURVES'!$A$4:$A$313,0),MATCH(AG$5,'TERMINAL CURVES'!$A$4:$N$4,0))*IF(W308=0,0,Y308/W308))-(AE$8)*((AE$7-$N$5)-(INDEX(ship_curves,MATCH(AC308,'SHIP CURVES'!$A$9:$A$316,0),MATCH(CONCATENATE(AG$4,AG$5,AG$6,AG$7),'SHIP CURVES'!$A$9:$Z$9,0))-INDEX(ship_curves,MATCH(AC308,'SHIP CURVES'!$A$9:$A$316,0),MATCH(CONCATENATE(AG$4,AE$6,AG$6,AG$7),'SHIP CURVES'!$A$9:$Z$9,0)))-(INDEX(terminal_curves,MATCH(AC308,'TERMINAL CURVES'!$A$4:$A$313,0),MATCH(AG$5,'TERMINAL CURVES'!$A$4:$N$4,0))-INDEX(terminal_curves,MATCH(AC308,'TERMINAL CURVES'!$A$4:$A$313,0),MATCH(AE$6,'TERMINAL CURVES'!$A$4:$N$4,0)))*IF(W308=0,0,Y308/W308)))*-W308</f>
        <v>0</v>
      </c>
      <c r="AH308" s="343">
        <f t="shared" si="137"/>
        <v>0</v>
      </c>
      <c r="AI308" s="338">
        <f>(-Y308/((HLOOKUP(AG$5,port_specs,2,0)/(365.25))*(AC309-AC308)))*(INDEX(fixed_capacity_charge,MATCH(AC308,PORTS!$H$11:$H$317,0),MATCH(AG$5,PORTS!$H$11:$N$11,0))+INDEX(variable_om_charge,MATCH(AC308,PORTS!$H$318:$H$625,0),MATCH(AG$5,PORTS!$H$318:$N$318,0)))</f>
        <v>0</v>
      </c>
      <c r="AJ308" s="232">
        <f t="shared" si="138"/>
        <v>0</v>
      </c>
      <c r="AK308" s="241">
        <f t="shared" si="139"/>
        <v>0</v>
      </c>
      <c r="AM308" s="186">
        <f t="shared" si="150"/>
        <v>45536</v>
      </c>
      <c r="AN308" s="215">
        <f t="shared" si="140"/>
        <v>0</v>
      </c>
      <c r="AO308" s="191">
        <f t="shared" si="141"/>
        <v>0</v>
      </c>
      <c r="AP308" s="218">
        <f>+IF(AND(AO$8&lt;=AM308,AO$9&gt;=AM308),+MIN($B308-SUMIF($H$17:AO$17,AP$17,$H308:AO308),((INDEX(ROUTE_PER_DAY_BY_SHIP,MATCH(CONCATENATE(AO$4,AO$5,AO$7),ROUTE_PER_DAY_ROUTES,0),MATCH(AO$6,ROUTE_PER_DAY_SHIPS,0))*(AM309-AM308))-(INDEX(ROUTE_PER_DAY_BY_SHIP,MATCH(CONCATENATE(AO$4,AO$5,AO$7),ROUTE_PER_DAY_ROUTES,0),MATCH(AO$6,ROUTE_PER_DAY_SHIPS,0))*(AM309-AM308))*HLOOKUP(AO$6,SHIPS,7,0)*INDEX(LADEN_VOYAGE_DAYS,MATCH(CONCATENATE(AO$4,AO$5,AO$7),LADEN_VOYAGE_ROUTES,0),MATCH(AO$6,LADEN_VOYAGE_SHIPS,0)))),0)</f>
        <v>0</v>
      </c>
      <c r="AQ308" s="118">
        <f>-(AP308)*PORTS!$I$6</f>
        <v>0</v>
      </c>
      <c r="AR308" s="215">
        <f t="shared" si="123"/>
        <v>0</v>
      </c>
      <c r="AS308" s="202"/>
      <c r="AT308" s="186">
        <f t="shared" si="151"/>
        <v>45536</v>
      </c>
      <c r="AU308" s="232">
        <f>+AR308*(VLOOKUP(AT308,CURVECALC!$C$6:$J$312,4,0)+AV$5)</f>
        <v>0</v>
      </c>
      <c r="AV308" s="208">
        <f>-AN308*INDEX(ship_curves,MATCH(AT308,'SHIP CURVES'!$A$9:$A$316,0),MATCH(CONCATENATE(AX$4,AX$5,AX$6,AX$7),'SHIP CURVES'!$A$9:$AZ$9,0))</f>
        <v>0</v>
      </c>
      <c r="AW308" s="209">
        <f>-AP308*INDEX(port_processing_fee,MATCH(AT308,PORTS!$H$626:$H$933,0),MATCH(AX$5,PORTS!$H$626:$Z$626,0))</f>
        <v>0</v>
      </c>
      <c r="AX308" s="405">
        <f>(((VLOOKUP(AT308,curvecalc,4,0))*IF(AN308=0,0,AR308/AN308)-INDEX(ship_curves,MATCH(AT308,'SHIP CURVES'!$A$9:$A$316,0),MATCH(CONCATENATE(AX$4,AX$5,AX$6,AX$7),'SHIP CURVES'!$A$9:$Z$9,0))-INDEX(terminal_curves,MATCH(AT308,'TERMINAL CURVES'!$A$4:$A$313,0),MATCH(AX$5,'TERMINAL CURVES'!$A$4:$N$4,0))*IF(AN308=0,0,AP308/AN308))-(AV$8)*((AV$7-$N$5)-(INDEX(ship_curves,MATCH(AT308,'SHIP CURVES'!$A$9:$A$316,0),MATCH(CONCATENATE(AX$4,AX$5,AX$6,AX$7),'SHIP CURVES'!$A$9:$Z$9,0))-INDEX(ship_curves,MATCH(AT308,'SHIP CURVES'!$A$9:$A$316,0),MATCH(CONCATENATE(AX$4,AV$6,AX$6,AX$7),'SHIP CURVES'!$A$9:$Z$9,0)))-(INDEX(terminal_curves,MATCH(AT308,'TERMINAL CURVES'!$A$4:$A$313,0),MATCH(AX$5,'TERMINAL CURVES'!$A$4:$N$4,0))-INDEX(terminal_curves,MATCH(AT308,'TERMINAL CURVES'!$A$4:$A$313,0),MATCH(AV$6,'TERMINAL CURVES'!$A$4:$N$4,0)))*IF(AN308=0,0,AP308/AN308)))*-AN308</f>
        <v>0</v>
      </c>
      <c r="AY308" s="343">
        <f t="shared" si="142"/>
        <v>0</v>
      </c>
      <c r="AZ308" s="338">
        <f>(-AP308/((HLOOKUP(AX$5,port_specs,2,0)/(365.25))*(AT309-AT308)))*(INDEX(fixed_capacity_charge,MATCH(AT308,PORTS!$H$11:$H$317,0),MATCH(AX$5,PORTS!$H$11:$N$11,0))+INDEX(variable_om_charge,MATCH(AT308,PORTS!$H$318:$H$625,0),MATCH(AX$5,PORTS!$H$318:$N$318,0)))</f>
        <v>0</v>
      </c>
      <c r="BA308" s="232">
        <f t="shared" si="143"/>
        <v>0</v>
      </c>
      <c r="BB308" s="241">
        <f t="shared" si="144"/>
        <v>0</v>
      </c>
      <c r="BC308" s="408"/>
      <c r="BD308" s="338">
        <f>+PORTS!I302+PORTS!I610</f>
        <v>0</v>
      </c>
    </row>
    <row r="309" spans="1:56" x14ac:dyDescent="0.2">
      <c r="A309" s="186">
        <f t="shared" si="145"/>
        <v>45566</v>
      </c>
      <c r="B309" s="215">
        <f>+IF(AND($A309&gt;=$C$8,$A309&lt;=$C$9),1,0)*PORTS!$I$5/(365.25)*(A310-A309)</f>
        <v>0</v>
      </c>
      <c r="C309" s="351">
        <f t="shared" si="124"/>
        <v>0</v>
      </c>
      <c r="D309">
        <f t="shared" si="125"/>
        <v>2024</v>
      </c>
      <c r="E309" s="186">
        <f t="shared" si="146"/>
        <v>45566</v>
      </c>
      <c r="F309" s="215">
        <f t="shared" si="126"/>
        <v>0</v>
      </c>
      <c r="G309" s="191">
        <f t="shared" si="127"/>
        <v>0</v>
      </c>
      <c r="H309" s="218">
        <f t="shared" si="128"/>
        <v>0</v>
      </c>
      <c r="I309" s="118">
        <f t="shared" si="129"/>
        <v>0</v>
      </c>
      <c r="J309" s="215">
        <f t="shared" si="130"/>
        <v>0</v>
      </c>
      <c r="K309" s="202"/>
      <c r="L309" s="186">
        <f t="shared" si="147"/>
        <v>45566</v>
      </c>
      <c r="M309" s="400">
        <f>+J309*(VLOOKUP(L309,CURVECALC!$C$6:$J$312,4,0)+N$5)</f>
        <v>0</v>
      </c>
      <c r="N309" s="208">
        <f>-F309*INDEX(ship_curves,MATCH(L309,'SHIP CURVES'!$A$9:$A$316,0),MATCH(CONCATENATE(P$4,P$5,P$6,P$7),'SHIP CURVES'!$A$9:$AZ$9,0))</f>
        <v>0</v>
      </c>
      <c r="O309" s="209">
        <f>-H309*INDEX(port_processing_fee,MATCH(L309,PORTS!$H$626:$H$933,0),MATCH(P$5,PORTS!$H$626:$Z$626,0))</f>
        <v>0</v>
      </c>
      <c r="P309" s="405">
        <f>(((VLOOKUP(L309,curvecalc,4,0))*IF(F309=0,0,J309/F309)-INDEX(ship_curves,MATCH(L309,'SHIP CURVES'!$A$9:$A$316,0),MATCH(CONCATENATE(P$4,P$5,P$6,P$7),'SHIP CURVES'!$A$9:$Z$9,0))-INDEX(terminal_curves,MATCH(L309,'TERMINAL CURVES'!$A$4:$A$313,0),MATCH(P$5,'TERMINAL CURVES'!$A$4:$N$4,0))*IF(F309=0,0,H309/F309))-(N$8)*((N$7-$N$5)-(INDEX(ship_curves,MATCH(L309,'SHIP CURVES'!$A$9:$A$316,0),MATCH(CONCATENATE(P$4,P$5,P$6,P$7),'SHIP CURVES'!$A$9:$Z$9,0))-INDEX(ship_curves,MATCH(L309,'SHIP CURVES'!$A$9:$A$316,0),MATCH(CONCATENATE(P$4,N$6,P$6,P$7),'SHIP CURVES'!$A$9:$Z$9,0)))-(INDEX(terminal_curves,MATCH(L309,'TERMINAL CURVES'!$A$4:$A$313,0),MATCH(P$5,'TERMINAL CURVES'!$A$4:$N$4,0))-INDEX(terminal_curves,MATCH(L309,'TERMINAL CURVES'!$A$4:$A$313,0),MATCH(N$6,'TERMINAL CURVES'!$A$4:$N$4,0)))*IF(F309=0,0,H309/F309)))*-F309</f>
        <v>0</v>
      </c>
      <c r="Q309" s="403">
        <f t="shared" si="131"/>
        <v>0</v>
      </c>
      <c r="R309" s="338">
        <f>(-H309/((HLOOKUP(P$5,port_specs,2,0)/(365.25))*(L310-L309)))*(INDEX(fixed_capacity_charge,MATCH(L309,PORTS!$H$11:$H$317,0),MATCH(P$5,PORTS!$H$11:$N$11,0))+INDEX(variable_om_charge,MATCH(L309,PORTS!$H$318:$H$625,0),MATCH(P$5,PORTS!$H$318:$N$318,0)))</f>
        <v>0</v>
      </c>
      <c r="S309" s="232">
        <f t="shared" si="132"/>
        <v>0</v>
      </c>
      <c r="T309" s="241">
        <f t="shared" si="133"/>
        <v>0</v>
      </c>
      <c r="V309" s="186">
        <f t="shared" si="148"/>
        <v>45566</v>
      </c>
      <c r="W309" s="215">
        <f t="shared" si="134"/>
        <v>0</v>
      </c>
      <c r="X309" s="191">
        <f t="shared" si="135"/>
        <v>0</v>
      </c>
      <c r="Y309" s="218">
        <f>+IF(AND(X$8&lt;=V309,X$9&gt;=V309),+MIN($B309-SUMIF($H$17:X$17,Y$17,$H309:X309),((INDEX(ROUTE_PER_DAY_BY_SHIP,MATCH(CONCATENATE(X$4,X$5,X$7),ROUTE_PER_DAY_ROUTES,0),MATCH(X$6,ROUTE_PER_DAY_SHIPS,0))*(V310-V309))-(INDEX(ROUTE_PER_DAY_BY_SHIP,MATCH(CONCATENATE(X$4,X$5,X$7),ROUTE_PER_DAY_ROUTES,0),MATCH(X$6,ROUTE_PER_DAY_SHIPS,0))*(V310-V309))*HLOOKUP(X$6,SHIPS,7,0)*INDEX(LADEN_VOYAGE_DAYS,MATCH(CONCATENATE(X$4,X$5,X$7),LADEN_VOYAGE_ROUTES,0),MATCH(X$6,LADEN_VOYAGE_SHIPS,0)))),0)</f>
        <v>0</v>
      </c>
      <c r="Z309" s="118">
        <f t="shared" si="136"/>
        <v>0</v>
      </c>
      <c r="AA309" s="215">
        <f t="shared" si="122"/>
        <v>0</v>
      </c>
      <c r="AB309" s="202"/>
      <c r="AC309" s="186">
        <f t="shared" si="149"/>
        <v>45566</v>
      </c>
      <c r="AD309" s="232">
        <f>+AA309*(VLOOKUP(AC309,CURVECALC!$C$6:$J$312,4,0)+AE$5)</f>
        <v>0</v>
      </c>
      <c r="AE309" s="208">
        <f>-W309*INDEX(ship_curves,MATCH(AC309,'SHIP CURVES'!$A$9:$A$316,0),MATCH(CONCATENATE(AG$4,AG$5,AG$6,AG$7),'SHIP CURVES'!$A$9:$AZ$9,0))</f>
        <v>0</v>
      </c>
      <c r="AF309" s="209">
        <f>-Y309*INDEX(port_processing_fee,MATCH(AC309,PORTS!$H$626:$H$933,0),MATCH(AG$5,PORTS!$H$626:$Z$626,0))</f>
        <v>0</v>
      </c>
      <c r="AG309" s="405">
        <f>(((VLOOKUP(AC309,curvecalc,4,0))*IF(W309=0,0,AA309/W309)-INDEX(ship_curves,MATCH(AC309,'SHIP CURVES'!$A$9:$A$316,0),MATCH(CONCATENATE(AG$4,AG$5,AG$6,AG$7),'SHIP CURVES'!$A$9:$Z$9,0))-INDEX(terminal_curves,MATCH(AC309,'TERMINAL CURVES'!$A$4:$A$313,0),MATCH(AG$5,'TERMINAL CURVES'!$A$4:$N$4,0))*IF(W309=0,0,Y309/W309))-(AE$8)*((AE$7-$N$5)-(INDEX(ship_curves,MATCH(AC309,'SHIP CURVES'!$A$9:$A$316,0),MATCH(CONCATENATE(AG$4,AG$5,AG$6,AG$7),'SHIP CURVES'!$A$9:$Z$9,0))-INDEX(ship_curves,MATCH(AC309,'SHIP CURVES'!$A$9:$A$316,0),MATCH(CONCATENATE(AG$4,AE$6,AG$6,AG$7),'SHIP CURVES'!$A$9:$Z$9,0)))-(INDEX(terminal_curves,MATCH(AC309,'TERMINAL CURVES'!$A$4:$A$313,0),MATCH(AG$5,'TERMINAL CURVES'!$A$4:$N$4,0))-INDEX(terminal_curves,MATCH(AC309,'TERMINAL CURVES'!$A$4:$A$313,0),MATCH(AE$6,'TERMINAL CURVES'!$A$4:$N$4,0)))*IF(W309=0,0,Y309/W309)))*-W309</f>
        <v>0</v>
      </c>
      <c r="AH309" s="343">
        <f t="shared" si="137"/>
        <v>0</v>
      </c>
      <c r="AI309" s="338">
        <f>(-Y309/((HLOOKUP(AG$5,port_specs,2,0)/(365.25))*(AC310-AC309)))*(INDEX(fixed_capacity_charge,MATCH(AC309,PORTS!$H$11:$H$317,0),MATCH(AG$5,PORTS!$H$11:$N$11,0))+INDEX(variable_om_charge,MATCH(AC309,PORTS!$H$318:$H$625,0),MATCH(AG$5,PORTS!$H$318:$N$318,0)))</f>
        <v>0</v>
      </c>
      <c r="AJ309" s="232">
        <f t="shared" si="138"/>
        <v>0</v>
      </c>
      <c r="AK309" s="241">
        <f t="shared" si="139"/>
        <v>0</v>
      </c>
      <c r="AM309" s="186">
        <f t="shared" si="150"/>
        <v>45566</v>
      </c>
      <c r="AN309" s="215">
        <f t="shared" si="140"/>
        <v>0</v>
      </c>
      <c r="AO309" s="191">
        <f t="shared" si="141"/>
        <v>0</v>
      </c>
      <c r="AP309" s="218">
        <f>+IF(AND(AO$8&lt;=AM309,AO$9&gt;=AM309),+MIN($B309-SUMIF($H$17:AO$17,AP$17,$H309:AO309),((INDEX(ROUTE_PER_DAY_BY_SHIP,MATCH(CONCATENATE(AO$4,AO$5,AO$7),ROUTE_PER_DAY_ROUTES,0),MATCH(AO$6,ROUTE_PER_DAY_SHIPS,0))*(AM310-AM309))-(INDEX(ROUTE_PER_DAY_BY_SHIP,MATCH(CONCATENATE(AO$4,AO$5,AO$7),ROUTE_PER_DAY_ROUTES,0),MATCH(AO$6,ROUTE_PER_DAY_SHIPS,0))*(AM310-AM309))*HLOOKUP(AO$6,SHIPS,7,0)*INDEX(LADEN_VOYAGE_DAYS,MATCH(CONCATENATE(AO$4,AO$5,AO$7),LADEN_VOYAGE_ROUTES,0),MATCH(AO$6,LADEN_VOYAGE_SHIPS,0)))),0)</f>
        <v>0</v>
      </c>
      <c r="AQ309" s="118">
        <f>-(AP309)*PORTS!$I$6</f>
        <v>0</v>
      </c>
      <c r="AR309" s="215">
        <f t="shared" si="123"/>
        <v>0</v>
      </c>
      <c r="AS309" s="202"/>
      <c r="AT309" s="186">
        <f t="shared" si="151"/>
        <v>45566</v>
      </c>
      <c r="AU309" s="232">
        <f>+AR309*(VLOOKUP(AT309,CURVECALC!$C$6:$J$312,4,0)+AV$5)</f>
        <v>0</v>
      </c>
      <c r="AV309" s="208">
        <f>-AN309*INDEX(ship_curves,MATCH(AT309,'SHIP CURVES'!$A$9:$A$316,0),MATCH(CONCATENATE(AX$4,AX$5,AX$6,AX$7),'SHIP CURVES'!$A$9:$AZ$9,0))</f>
        <v>0</v>
      </c>
      <c r="AW309" s="209">
        <f>-AP309*INDEX(port_processing_fee,MATCH(AT309,PORTS!$H$626:$H$933,0),MATCH(AX$5,PORTS!$H$626:$Z$626,0))</f>
        <v>0</v>
      </c>
      <c r="AX309" s="405">
        <f>(((VLOOKUP(AT309,curvecalc,4,0))*IF(AN309=0,0,AR309/AN309)-INDEX(ship_curves,MATCH(AT309,'SHIP CURVES'!$A$9:$A$316,0),MATCH(CONCATENATE(AX$4,AX$5,AX$6,AX$7),'SHIP CURVES'!$A$9:$Z$9,0))-INDEX(terminal_curves,MATCH(AT309,'TERMINAL CURVES'!$A$4:$A$313,0),MATCH(AX$5,'TERMINAL CURVES'!$A$4:$N$4,0))*IF(AN309=0,0,AP309/AN309))-(AV$8)*((AV$7-$N$5)-(INDEX(ship_curves,MATCH(AT309,'SHIP CURVES'!$A$9:$A$316,0),MATCH(CONCATENATE(AX$4,AX$5,AX$6,AX$7),'SHIP CURVES'!$A$9:$Z$9,0))-INDEX(ship_curves,MATCH(AT309,'SHIP CURVES'!$A$9:$A$316,0),MATCH(CONCATENATE(AX$4,AV$6,AX$6,AX$7),'SHIP CURVES'!$A$9:$Z$9,0)))-(INDEX(terminal_curves,MATCH(AT309,'TERMINAL CURVES'!$A$4:$A$313,0),MATCH(AX$5,'TERMINAL CURVES'!$A$4:$N$4,0))-INDEX(terminal_curves,MATCH(AT309,'TERMINAL CURVES'!$A$4:$A$313,0),MATCH(AV$6,'TERMINAL CURVES'!$A$4:$N$4,0)))*IF(AN309=0,0,AP309/AN309)))*-AN309</f>
        <v>0</v>
      </c>
      <c r="AY309" s="343">
        <f t="shared" si="142"/>
        <v>0</v>
      </c>
      <c r="AZ309" s="338">
        <f>(-AP309/((HLOOKUP(AX$5,port_specs,2,0)/(365.25))*(AT310-AT309)))*(INDEX(fixed_capacity_charge,MATCH(AT309,PORTS!$H$11:$H$317,0),MATCH(AX$5,PORTS!$H$11:$N$11,0))+INDEX(variable_om_charge,MATCH(AT309,PORTS!$H$318:$H$625,0),MATCH(AX$5,PORTS!$H$318:$N$318,0)))</f>
        <v>0</v>
      </c>
      <c r="BA309" s="232">
        <f t="shared" si="143"/>
        <v>0</v>
      </c>
      <c r="BB309" s="241">
        <f t="shared" si="144"/>
        <v>0</v>
      </c>
      <c r="BC309" s="408"/>
      <c r="BD309" s="338">
        <f>+PORTS!I303+PORTS!I611</f>
        <v>0</v>
      </c>
    </row>
    <row r="310" spans="1:56" x14ac:dyDescent="0.2">
      <c r="A310" s="186">
        <f t="shared" si="145"/>
        <v>45597</v>
      </c>
      <c r="B310" s="215">
        <f>+IF(AND($A310&gt;=$C$8,$A310&lt;=$C$9),1,0)*PORTS!$I$5/(365.25)*(A311-A310)</f>
        <v>0</v>
      </c>
      <c r="C310" s="351">
        <f t="shared" si="124"/>
        <v>0</v>
      </c>
      <c r="D310">
        <f t="shared" si="125"/>
        <v>2024</v>
      </c>
      <c r="E310" s="186">
        <f t="shared" si="146"/>
        <v>45597</v>
      </c>
      <c r="F310" s="215">
        <f t="shared" si="126"/>
        <v>0</v>
      </c>
      <c r="G310" s="191">
        <f t="shared" si="127"/>
        <v>0</v>
      </c>
      <c r="H310" s="218">
        <f t="shared" si="128"/>
        <v>0</v>
      </c>
      <c r="I310" s="118">
        <f t="shared" si="129"/>
        <v>0</v>
      </c>
      <c r="J310" s="215">
        <f t="shared" si="130"/>
        <v>0</v>
      </c>
      <c r="K310" s="202"/>
      <c r="L310" s="186">
        <f t="shared" si="147"/>
        <v>45597</v>
      </c>
      <c r="M310" s="400">
        <f>+J310*(VLOOKUP(L310,CURVECALC!$C$6:$J$312,4,0)+N$5)</f>
        <v>0</v>
      </c>
      <c r="N310" s="208">
        <f>-F310*INDEX(ship_curves,MATCH(L310,'SHIP CURVES'!$A$9:$A$316,0),MATCH(CONCATENATE(P$4,P$5,P$6,P$7),'SHIP CURVES'!$A$9:$AZ$9,0))</f>
        <v>0</v>
      </c>
      <c r="O310" s="209">
        <f>-H310*INDEX(port_processing_fee,MATCH(L310,PORTS!$H$626:$H$933,0),MATCH(P$5,PORTS!$H$626:$Z$626,0))</f>
        <v>0</v>
      </c>
      <c r="P310" s="405">
        <f>(((VLOOKUP(L310,curvecalc,4,0))*IF(F310=0,0,J310/F310)-INDEX(ship_curves,MATCH(L310,'SHIP CURVES'!$A$9:$A$316,0),MATCH(CONCATENATE(P$4,P$5,P$6,P$7),'SHIP CURVES'!$A$9:$Z$9,0))-INDEX(terminal_curves,MATCH(L310,'TERMINAL CURVES'!$A$4:$A$313,0),MATCH(P$5,'TERMINAL CURVES'!$A$4:$N$4,0))*IF(F310=0,0,H310/F310))-(N$8)*((N$7-$N$5)-(INDEX(ship_curves,MATCH(L310,'SHIP CURVES'!$A$9:$A$316,0),MATCH(CONCATENATE(P$4,P$5,P$6,P$7),'SHIP CURVES'!$A$9:$Z$9,0))-INDEX(ship_curves,MATCH(L310,'SHIP CURVES'!$A$9:$A$316,0),MATCH(CONCATENATE(P$4,N$6,P$6,P$7),'SHIP CURVES'!$A$9:$Z$9,0)))-(INDEX(terminal_curves,MATCH(L310,'TERMINAL CURVES'!$A$4:$A$313,0),MATCH(P$5,'TERMINAL CURVES'!$A$4:$N$4,0))-INDEX(terminal_curves,MATCH(L310,'TERMINAL CURVES'!$A$4:$A$313,0),MATCH(N$6,'TERMINAL CURVES'!$A$4:$N$4,0)))*IF(F310=0,0,H310/F310)))*-F310</f>
        <v>0</v>
      </c>
      <c r="Q310" s="403">
        <f t="shared" si="131"/>
        <v>0</v>
      </c>
      <c r="R310" s="338">
        <f>(-H310/((HLOOKUP(P$5,port_specs,2,0)/(365.25))*(L311-L310)))*(INDEX(fixed_capacity_charge,MATCH(L310,PORTS!$H$11:$H$317,0),MATCH(P$5,PORTS!$H$11:$N$11,0))+INDEX(variable_om_charge,MATCH(L310,PORTS!$H$318:$H$625,0),MATCH(P$5,PORTS!$H$318:$N$318,0)))</f>
        <v>0</v>
      </c>
      <c r="S310" s="232">
        <f t="shared" si="132"/>
        <v>0</v>
      </c>
      <c r="T310" s="241">
        <f t="shared" si="133"/>
        <v>0</v>
      </c>
      <c r="V310" s="186">
        <f t="shared" si="148"/>
        <v>45597</v>
      </c>
      <c r="W310" s="215">
        <f t="shared" si="134"/>
        <v>0</v>
      </c>
      <c r="X310" s="191">
        <f t="shared" si="135"/>
        <v>0</v>
      </c>
      <c r="Y310" s="218">
        <f>+IF(AND(X$8&lt;=V310,X$9&gt;=V310),+MIN($B310-SUMIF($H$17:X$17,Y$17,$H310:X310),((INDEX(ROUTE_PER_DAY_BY_SHIP,MATCH(CONCATENATE(X$4,X$5,X$7),ROUTE_PER_DAY_ROUTES,0),MATCH(X$6,ROUTE_PER_DAY_SHIPS,0))*(V311-V310))-(INDEX(ROUTE_PER_DAY_BY_SHIP,MATCH(CONCATENATE(X$4,X$5,X$7),ROUTE_PER_DAY_ROUTES,0),MATCH(X$6,ROUTE_PER_DAY_SHIPS,0))*(V311-V310))*HLOOKUP(X$6,SHIPS,7,0)*INDEX(LADEN_VOYAGE_DAYS,MATCH(CONCATENATE(X$4,X$5,X$7),LADEN_VOYAGE_ROUTES,0),MATCH(X$6,LADEN_VOYAGE_SHIPS,0)))),0)</f>
        <v>0</v>
      </c>
      <c r="Z310" s="118">
        <f t="shared" si="136"/>
        <v>0</v>
      </c>
      <c r="AA310" s="215">
        <f t="shared" si="122"/>
        <v>0</v>
      </c>
      <c r="AB310" s="202"/>
      <c r="AC310" s="186">
        <f t="shared" si="149"/>
        <v>45597</v>
      </c>
      <c r="AD310" s="232">
        <f>+AA310*(VLOOKUP(AC310,CURVECALC!$C$6:$J$312,4,0)+AE$5)</f>
        <v>0</v>
      </c>
      <c r="AE310" s="208">
        <f>-W310*INDEX(ship_curves,MATCH(AC310,'SHIP CURVES'!$A$9:$A$316,0),MATCH(CONCATENATE(AG$4,AG$5,AG$6,AG$7),'SHIP CURVES'!$A$9:$AZ$9,0))</f>
        <v>0</v>
      </c>
      <c r="AF310" s="209">
        <f>-Y310*INDEX(port_processing_fee,MATCH(AC310,PORTS!$H$626:$H$933,0),MATCH(AG$5,PORTS!$H$626:$Z$626,0))</f>
        <v>0</v>
      </c>
      <c r="AG310" s="405">
        <f>(((VLOOKUP(AC310,curvecalc,4,0))*IF(W310=0,0,AA310/W310)-INDEX(ship_curves,MATCH(AC310,'SHIP CURVES'!$A$9:$A$316,0),MATCH(CONCATENATE(AG$4,AG$5,AG$6,AG$7),'SHIP CURVES'!$A$9:$Z$9,0))-INDEX(terminal_curves,MATCH(AC310,'TERMINAL CURVES'!$A$4:$A$313,0),MATCH(AG$5,'TERMINAL CURVES'!$A$4:$N$4,0))*IF(W310=0,0,Y310/W310))-(AE$8)*((AE$7-$N$5)-(INDEX(ship_curves,MATCH(AC310,'SHIP CURVES'!$A$9:$A$316,0),MATCH(CONCATENATE(AG$4,AG$5,AG$6,AG$7),'SHIP CURVES'!$A$9:$Z$9,0))-INDEX(ship_curves,MATCH(AC310,'SHIP CURVES'!$A$9:$A$316,0),MATCH(CONCATENATE(AG$4,AE$6,AG$6,AG$7),'SHIP CURVES'!$A$9:$Z$9,0)))-(INDEX(terminal_curves,MATCH(AC310,'TERMINAL CURVES'!$A$4:$A$313,0),MATCH(AG$5,'TERMINAL CURVES'!$A$4:$N$4,0))-INDEX(terminal_curves,MATCH(AC310,'TERMINAL CURVES'!$A$4:$A$313,0),MATCH(AE$6,'TERMINAL CURVES'!$A$4:$N$4,0)))*IF(W310=0,0,Y310/W310)))*-W310</f>
        <v>0</v>
      </c>
      <c r="AH310" s="343">
        <f t="shared" si="137"/>
        <v>0</v>
      </c>
      <c r="AI310" s="338">
        <f>(-Y310/((HLOOKUP(AG$5,port_specs,2,0)/(365.25))*(AC311-AC310)))*(INDEX(fixed_capacity_charge,MATCH(AC310,PORTS!$H$11:$H$317,0),MATCH(AG$5,PORTS!$H$11:$N$11,0))+INDEX(variable_om_charge,MATCH(AC310,PORTS!$H$318:$H$625,0),MATCH(AG$5,PORTS!$H$318:$N$318,0)))</f>
        <v>0</v>
      </c>
      <c r="AJ310" s="232">
        <f t="shared" si="138"/>
        <v>0</v>
      </c>
      <c r="AK310" s="241">
        <f t="shared" si="139"/>
        <v>0</v>
      </c>
      <c r="AM310" s="186">
        <f t="shared" si="150"/>
        <v>45597</v>
      </c>
      <c r="AN310" s="215">
        <f t="shared" si="140"/>
        <v>0</v>
      </c>
      <c r="AO310" s="191">
        <f t="shared" si="141"/>
        <v>0</v>
      </c>
      <c r="AP310" s="218">
        <f>+IF(AND(AO$8&lt;=AM310,AO$9&gt;=AM310),+MIN($B310-SUMIF($H$17:AO$17,AP$17,$H310:AO310),((INDEX(ROUTE_PER_DAY_BY_SHIP,MATCH(CONCATENATE(AO$4,AO$5,AO$7),ROUTE_PER_DAY_ROUTES,0),MATCH(AO$6,ROUTE_PER_DAY_SHIPS,0))*(AM311-AM310))-(INDEX(ROUTE_PER_DAY_BY_SHIP,MATCH(CONCATENATE(AO$4,AO$5,AO$7),ROUTE_PER_DAY_ROUTES,0),MATCH(AO$6,ROUTE_PER_DAY_SHIPS,0))*(AM311-AM310))*HLOOKUP(AO$6,SHIPS,7,0)*INDEX(LADEN_VOYAGE_DAYS,MATCH(CONCATENATE(AO$4,AO$5,AO$7),LADEN_VOYAGE_ROUTES,0),MATCH(AO$6,LADEN_VOYAGE_SHIPS,0)))),0)</f>
        <v>0</v>
      </c>
      <c r="AQ310" s="118">
        <f>-(AP310)*PORTS!$I$6</f>
        <v>0</v>
      </c>
      <c r="AR310" s="215">
        <f t="shared" si="123"/>
        <v>0</v>
      </c>
      <c r="AS310" s="202"/>
      <c r="AT310" s="186">
        <f t="shared" si="151"/>
        <v>45597</v>
      </c>
      <c r="AU310" s="232">
        <f>+AR310*(VLOOKUP(AT310,CURVECALC!$C$6:$J$312,4,0)+AV$5)</f>
        <v>0</v>
      </c>
      <c r="AV310" s="208">
        <f>-AN310*INDEX(ship_curves,MATCH(AT310,'SHIP CURVES'!$A$9:$A$316,0),MATCH(CONCATENATE(AX$4,AX$5,AX$6,AX$7),'SHIP CURVES'!$A$9:$AZ$9,0))</f>
        <v>0</v>
      </c>
      <c r="AW310" s="209">
        <f>-AP310*INDEX(port_processing_fee,MATCH(AT310,PORTS!$H$626:$H$933,0),MATCH(AX$5,PORTS!$H$626:$Z$626,0))</f>
        <v>0</v>
      </c>
      <c r="AX310" s="405">
        <f>(((VLOOKUP(AT310,curvecalc,4,0))*IF(AN310=0,0,AR310/AN310)-INDEX(ship_curves,MATCH(AT310,'SHIP CURVES'!$A$9:$A$316,0),MATCH(CONCATENATE(AX$4,AX$5,AX$6,AX$7),'SHIP CURVES'!$A$9:$Z$9,0))-INDEX(terminal_curves,MATCH(AT310,'TERMINAL CURVES'!$A$4:$A$313,0),MATCH(AX$5,'TERMINAL CURVES'!$A$4:$N$4,0))*IF(AN310=0,0,AP310/AN310))-(AV$8)*((AV$7-$N$5)-(INDEX(ship_curves,MATCH(AT310,'SHIP CURVES'!$A$9:$A$316,0),MATCH(CONCATENATE(AX$4,AX$5,AX$6,AX$7),'SHIP CURVES'!$A$9:$Z$9,0))-INDEX(ship_curves,MATCH(AT310,'SHIP CURVES'!$A$9:$A$316,0),MATCH(CONCATENATE(AX$4,AV$6,AX$6,AX$7),'SHIP CURVES'!$A$9:$Z$9,0)))-(INDEX(terminal_curves,MATCH(AT310,'TERMINAL CURVES'!$A$4:$A$313,0),MATCH(AX$5,'TERMINAL CURVES'!$A$4:$N$4,0))-INDEX(terminal_curves,MATCH(AT310,'TERMINAL CURVES'!$A$4:$A$313,0),MATCH(AV$6,'TERMINAL CURVES'!$A$4:$N$4,0)))*IF(AN310=0,0,AP310/AN310)))*-AN310</f>
        <v>0</v>
      </c>
      <c r="AY310" s="343">
        <f t="shared" si="142"/>
        <v>0</v>
      </c>
      <c r="AZ310" s="338">
        <f>(-AP310/((HLOOKUP(AX$5,port_specs,2,0)/(365.25))*(AT311-AT310)))*(INDEX(fixed_capacity_charge,MATCH(AT310,PORTS!$H$11:$H$317,0),MATCH(AX$5,PORTS!$H$11:$N$11,0))+INDEX(variable_om_charge,MATCH(AT310,PORTS!$H$318:$H$625,0),MATCH(AX$5,PORTS!$H$318:$N$318,0)))</f>
        <v>0</v>
      </c>
      <c r="BA310" s="232">
        <f t="shared" si="143"/>
        <v>0</v>
      </c>
      <c r="BB310" s="241">
        <f t="shared" si="144"/>
        <v>0</v>
      </c>
      <c r="BC310" s="408"/>
      <c r="BD310" s="338">
        <f>+PORTS!I304+PORTS!I612</f>
        <v>0</v>
      </c>
    </row>
    <row r="311" spans="1:56" x14ac:dyDescent="0.2">
      <c r="A311" s="186">
        <f t="shared" si="145"/>
        <v>45627</v>
      </c>
      <c r="B311" s="215">
        <f>+IF(AND($A311&gt;=$C$8,$A311&lt;=$C$9),1,0)*PORTS!$I$5/(365.25)*(A312-A311)</f>
        <v>0</v>
      </c>
      <c r="C311" s="351">
        <f t="shared" si="124"/>
        <v>0</v>
      </c>
      <c r="D311">
        <f t="shared" si="125"/>
        <v>2024</v>
      </c>
      <c r="E311" s="186">
        <f t="shared" si="146"/>
        <v>45627</v>
      </c>
      <c r="F311" s="215">
        <f t="shared" si="126"/>
        <v>0</v>
      </c>
      <c r="G311" s="191">
        <f t="shared" si="127"/>
        <v>0</v>
      </c>
      <c r="H311" s="218">
        <f t="shared" si="128"/>
        <v>0</v>
      </c>
      <c r="I311" s="118">
        <f t="shared" si="129"/>
        <v>0</v>
      </c>
      <c r="J311" s="215">
        <f t="shared" si="130"/>
        <v>0</v>
      </c>
      <c r="K311" s="202"/>
      <c r="L311" s="186">
        <f t="shared" si="147"/>
        <v>45627</v>
      </c>
      <c r="M311" s="400">
        <f>+J311*(VLOOKUP(L311,CURVECALC!$C$6:$J$312,4,0)+N$5)</f>
        <v>0</v>
      </c>
      <c r="N311" s="208">
        <f>-F311*INDEX(ship_curves,MATCH(L311,'SHIP CURVES'!$A$9:$A$316,0),MATCH(CONCATENATE(P$4,P$5,P$6,P$7),'SHIP CURVES'!$A$9:$AZ$9,0))</f>
        <v>0</v>
      </c>
      <c r="O311" s="209">
        <f>-H311*INDEX(port_processing_fee,MATCH(L311,PORTS!$H$626:$H$933,0),MATCH(P$5,PORTS!$H$626:$Z$626,0))</f>
        <v>0</v>
      </c>
      <c r="P311" s="405">
        <f>(((VLOOKUP(L311,curvecalc,4,0))*IF(F311=0,0,J311/F311)-INDEX(ship_curves,MATCH(L311,'SHIP CURVES'!$A$9:$A$316,0),MATCH(CONCATENATE(P$4,P$5,P$6,P$7),'SHIP CURVES'!$A$9:$Z$9,0))-INDEX(terminal_curves,MATCH(L311,'TERMINAL CURVES'!$A$4:$A$313,0),MATCH(P$5,'TERMINAL CURVES'!$A$4:$N$4,0))*IF(F311=0,0,H311/F311))-(N$8)*((N$7-$N$5)-(INDEX(ship_curves,MATCH(L311,'SHIP CURVES'!$A$9:$A$316,0),MATCH(CONCATENATE(P$4,P$5,P$6,P$7),'SHIP CURVES'!$A$9:$Z$9,0))-INDEX(ship_curves,MATCH(L311,'SHIP CURVES'!$A$9:$A$316,0),MATCH(CONCATENATE(P$4,N$6,P$6,P$7),'SHIP CURVES'!$A$9:$Z$9,0)))-(INDEX(terminal_curves,MATCH(L311,'TERMINAL CURVES'!$A$4:$A$313,0),MATCH(P$5,'TERMINAL CURVES'!$A$4:$N$4,0))-INDEX(terminal_curves,MATCH(L311,'TERMINAL CURVES'!$A$4:$A$313,0),MATCH(N$6,'TERMINAL CURVES'!$A$4:$N$4,0)))*IF(F311=0,0,H311/F311)))*-F311</f>
        <v>0</v>
      </c>
      <c r="Q311" s="403">
        <f t="shared" si="131"/>
        <v>0</v>
      </c>
      <c r="R311" s="338">
        <f>(-H311/((HLOOKUP(P$5,port_specs,2,0)/(365.25))*(L312-L311)))*(INDEX(fixed_capacity_charge,MATCH(L311,PORTS!$H$11:$H$317,0),MATCH(P$5,PORTS!$H$11:$N$11,0))+INDEX(variable_om_charge,MATCH(L311,PORTS!$H$318:$H$625,0),MATCH(P$5,PORTS!$H$318:$N$318,0)))</f>
        <v>0</v>
      </c>
      <c r="S311" s="232">
        <f t="shared" si="132"/>
        <v>0</v>
      </c>
      <c r="T311" s="241">
        <f t="shared" si="133"/>
        <v>0</v>
      </c>
      <c r="V311" s="186">
        <f t="shared" si="148"/>
        <v>45627</v>
      </c>
      <c r="W311" s="215">
        <f t="shared" si="134"/>
        <v>0</v>
      </c>
      <c r="X311" s="191">
        <f t="shared" si="135"/>
        <v>0</v>
      </c>
      <c r="Y311" s="218">
        <f>+IF(AND(X$8&lt;=V311,X$9&gt;=V311),+MIN($B311-SUMIF($H$17:X$17,Y$17,$H311:X311),((INDEX(ROUTE_PER_DAY_BY_SHIP,MATCH(CONCATENATE(X$4,X$5,X$7),ROUTE_PER_DAY_ROUTES,0),MATCH(X$6,ROUTE_PER_DAY_SHIPS,0))*(V312-V311))-(INDEX(ROUTE_PER_DAY_BY_SHIP,MATCH(CONCATENATE(X$4,X$5,X$7),ROUTE_PER_DAY_ROUTES,0),MATCH(X$6,ROUTE_PER_DAY_SHIPS,0))*(V312-V311))*HLOOKUP(X$6,SHIPS,7,0)*INDEX(LADEN_VOYAGE_DAYS,MATCH(CONCATENATE(X$4,X$5,X$7),LADEN_VOYAGE_ROUTES,0),MATCH(X$6,LADEN_VOYAGE_SHIPS,0)))),0)</f>
        <v>0</v>
      </c>
      <c r="Z311" s="118">
        <f t="shared" si="136"/>
        <v>0</v>
      </c>
      <c r="AA311" s="215">
        <f t="shared" si="122"/>
        <v>0</v>
      </c>
      <c r="AB311" s="202"/>
      <c r="AC311" s="186">
        <f t="shared" si="149"/>
        <v>45627</v>
      </c>
      <c r="AD311" s="232">
        <f>+AA311*(VLOOKUP(AC311,CURVECALC!$C$6:$J$312,4,0)+AE$5)</f>
        <v>0</v>
      </c>
      <c r="AE311" s="208">
        <f>-W311*INDEX(ship_curves,MATCH(AC311,'SHIP CURVES'!$A$9:$A$316,0),MATCH(CONCATENATE(AG$4,AG$5,AG$6,AG$7),'SHIP CURVES'!$A$9:$AZ$9,0))</f>
        <v>0</v>
      </c>
      <c r="AF311" s="209">
        <f>-Y311*INDEX(port_processing_fee,MATCH(AC311,PORTS!$H$626:$H$933,0),MATCH(AG$5,PORTS!$H$626:$Z$626,0))</f>
        <v>0</v>
      </c>
      <c r="AG311" s="405">
        <f>(((VLOOKUP(AC311,curvecalc,4,0))*IF(W311=0,0,AA311/W311)-INDEX(ship_curves,MATCH(AC311,'SHIP CURVES'!$A$9:$A$316,0),MATCH(CONCATENATE(AG$4,AG$5,AG$6,AG$7),'SHIP CURVES'!$A$9:$Z$9,0))-INDEX(terminal_curves,MATCH(AC311,'TERMINAL CURVES'!$A$4:$A$313,0),MATCH(AG$5,'TERMINAL CURVES'!$A$4:$N$4,0))*IF(W311=0,0,Y311/W311))-(AE$8)*((AE$7-$N$5)-(INDEX(ship_curves,MATCH(AC311,'SHIP CURVES'!$A$9:$A$316,0),MATCH(CONCATENATE(AG$4,AG$5,AG$6,AG$7),'SHIP CURVES'!$A$9:$Z$9,0))-INDEX(ship_curves,MATCH(AC311,'SHIP CURVES'!$A$9:$A$316,0),MATCH(CONCATENATE(AG$4,AE$6,AG$6,AG$7),'SHIP CURVES'!$A$9:$Z$9,0)))-(INDEX(terminal_curves,MATCH(AC311,'TERMINAL CURVES'!$A$4:$A$313,0),MATCH(AG$5,'TERMINAL CURVES'!$A$4:$N$4,0))-INDEX(terminal_curves,MATCH(AC311,'TERMINAL CURVES'!$A$4:$A$313,0),MATCH(AE$6,'TERMINAL CURVES'!$A$4:$N$4,0)))*IF(W311=0,0,Y311/W311)))*-W311</f>
        <v>0</v>
      </c>
      <c r="AH311" s="343">
        <f t="shared" si="137"/>
        <v>0</v>
      </c>
      <c r="AI311" s="338">
        <f>(-Y311/((HLOOKUP(AG$5,port_specs,2,0)/(365.25))*(AC312-AC311)))*(INDEX(fixed_capacity_charge,MATCH(AC311,PORTS!$H$11:$H$317,0),MATCH(AG$5,PORTS!$H$11:$N$11,0))+INDEX(variable_om_charge,MATCH(AC311,PORTS!$H$318:$H$625,0),MATCH(AG$5,PORTS!$H$318:$N$318,0)))</f>
        <v>0</v>
      </c>
      <c r="AJ311" s="232">
        <f t="shared" si="138"/>
        <v>0</v>
      </c>
      <c r="AK311" s="241">
        <f t="shared" si="139"/>
        <v>0</v>
      </c>
      <c r="AM311" s="186">
        <f t="shared" si="150"/>
        <v>45627</v>
      </c>
      <c r="AN311" s="215">
        <f t="shared" si="140"/>
        <v>0</v>
      </c>
      <c r="AO311" s="191">
        <f t="shared" si="141"/>
        <v>0</v>
      </c>
      <c r="AP311" s="218">
        <f>+IF(AND(AO$8&lt;=AM311,AO$9&gt;=AM311),+MIN($B311-SUMIF($H$17:AO$17,AP$17,$H311:AO311),((INDEX(ROUTE_PER_DAY_BY_SHIP,MATCH(CONCATENATE(AO$4,AO$5,AO$7),ROUTE_PER_DAY_ROUTES,0),MATCH(AO$6,ROUTE_PER_DAY_SHIPS,0))*(AM312-AM311))-(INDEX(ROUTE_PER_DAY_BY_SHIP,MATCH(CONCATENATE(AO$4,AO$5,AO$7),ROUTE_PER_DAY_ROUTES,0),MATCH(AO$6,ROUTE_PER_DAY_SHIPS,0))*(AM312-AM311))*HLOOKUP(AO$6,SHIPS,7,0)*INDEX(LADEN_VOYAGE_DAYS,MATCH(CONCATENATE(AO$4,AO$5,AO$7),LADEN_VOYAGE_ROUTES,0),MATCH(AO$6,LADEN_VOYAGE_SHIPS,0)))),0)</f>
        <v>0</v>
      </c>
      <c r="AQ311" s="118">
        <f>-(AP311)*PORTS!$I$6</f>
        <v>0</v>
      </c>
      <c r="AR311" s="215">
        <f t="shared" si="123"/>
        <v>0</v>
      </c>
      <c r="AS311" s="202"/>
      <c r="AT311" s="186">
        <f t="shared" si="151"/>
        <v>45627</v>
      </c>
      <c r="AU311" s="232">
        <f>+AR311*(VLOOKUP(AT311,CURVECALC!$C$6:$J$312,4,0)+AV$5)</f>
        <v>0</v>
      </c>
      <c r="AV311" s="208">
        <f>-AN311*INDEX(ship_curves,MATCH(AT311,'SHIP CURVES'!$A$9:$A$316,0),MATCH(CONCATENATE(AX$4,AX$5,AX$6,AX$7),'SHIP CURVES'!$A$9:$AZ$9,0))</f>
        <v>0</v>
      </c>
      <c r="AW311" s="209">
        <f>-AP311*INDEX(port_processing_fee,MATCH(AT311,PORTS!$H$626:$H$933,0),MATCH(AX$5,PORTS!$H$626:$Z$626,0))</f>
        <v>0</v>
      </c>
      <c r="AX311" s="405">
        <f>(((VLOOKUP(AT311,curvecalc,4,0))*IF(AN311=0,0,AR311/AN311)-INDEX(ship_curves,MATCH(AT311,'SHIP CURVES'!$A$9:$A$316,0),MATCH(CONCATENATE(AX$4,AX$5,AX$6,AX$7),'SHIP CURVES'!$A$9:$Z$9,0))-INDEX(terminal_curves,MATCH(AT311,'TERMINAL CURVES'!$A$4:$A$313,0),MATCH(AX$5,'TERMINAL CURVES'!$A$4:$N$4,0))*IF(AN311=0,0,AP311/AN311))-(AV$8)*((AV$7-$N$5)-(INDEX(ship_curves,MATCH(AT311,'SHIP CURVES'!$A$9:$A$316,0),MATCH(CONCATENATE(AX$4,AX$5,AX$6,AX$7),'SHIP CURVES'!$A$9:$Z$9,0))-INDEX(ship_curves,MATCH(AT311,'SHIP CURVES'!$A$9:$A$316,0),MATCH(CONCATENATE(AX$4,AV$6,AX$6,AX$7),'SHIP CURVES'!$A$9:$Z$9,0)))-(INDEX(terminal_curves,MATCH(AT311,'TERMINAL CURVES'!$A$4:$A$313,0),MATCH(AX$5,'TERMINAL CURVES'!$A$4:$N$4,0))-INDEX(terminal_curves,MATCH(AT311,'TERMINAL CURVES'!$A$4:$A$313,0),MATCH(AV$6,'TERMINAL CURVES'!$A$4:$N$4,0)))*IF(AN311=0,0,AP311/AN311)))*-AN311</f>
        <v>0</v>
      </c>
      <c r="AY311" s="343">
        <f t="shared" si="142"/>
        <v>0</v>
      </c>
      <c r="AZ311" s="338">
        <f>(-AP311/((HLOOKUP(AX$5,port_specs,2,0)/(365.25))*(AT312-AT311)))*(INDEX(fixed_capacity_charge,MATCH(AT311,PORTS!$H$11:$H$317,0),MATCH(AX$5,PORTS!$H$11:$N$11,0))+INDEX(variable_om_charge,MATCH(AT311,PORTS!$H$318:$H$625,0),MATCH(AX$5,PORTS!$H$318:$N$318,0)))</f>
        <v>0</v>
      </c>
      <c r="BA311" s="232">
        <f t="shared" si="143"/>
        <v>0</v>
      </c>
      <c r="BB311" s="241">
        <f t="shared" si="144"/>
        <v>0</v>
      </c>
      <c r="BC311" s="408"/>
      <c r="BD311" s="338">
        <f>+PORTS!I305+PORTS!I613</f>
        <v>0</v>
      </c>
    </row>
    <row r="312" spans="1:56" x14ac:dyDescent="0.2">
      <c r="A312" s="186">
        <f t="shared" si="145"/>
        <v>45658</v>
      </c>
      <c r="B312" s="215">
        <f>+IF(AND($A312&gt;=$C$8,$A312&lt;=$C$9),1,0)*PORTS!$I$5/(365.25)*(A313-A312)</f>
        <v>0</v>
      </c>
      <c r="C312" s="351">
        <f t="shared" si="124"/>
        <v>0</v>
      </c>
      <c r="D312">
        <f t="shared" si="125"/>
        <v>2025</v>
      </c>
      <c r="E312" s="186">
        <f t="shared" si="146"/>
        <v>45658</v>
      </c>
      <c r="F312" s="215">
        <f t="shared" si="126"/>
        <v>0</v>
      </c>
      <c r="G312" s="191">
        <f t="shared" si="127"/>
        <v>0</v>
      </c>
      <c r="H312" s="218">
        <f t="shared" si="128"/>
        <v>0</v>
      </c>
      <c r="I312" s="118">
        <f t="shared" si="129"/>
        <v>0</v>
      </c>
      <c r="J312" s="215">
        <f t="shared" si="130"/>
        <v>0</v>
      </c>
      <c r="K312" s="202"/>
      <c r="L312" s="186">
        <f t="shared" si="147"/>
        <v>45658</v>
      </c>
      <c r="M312" s="400">
        <f>+J312*(VLOOKUP(L312,CURVECALC!$C$6:$J$312,4,0)+N$5)</f>
        <v>0</v>
      </c>
      <c r="N312" s="208">
        <f>-F312*INDEX(ship_curves,MATCH(L312,'SHIP CURVES'!$A$9:$A$316,0),MATCH(CONCATENATE(P$4,P$5,P$6,P$7),'SHIP CURVES'!$A$9:$AZ$9,0))</f>
        <v>0</v>
      </c>
      <c r="O312" s="209">
        <f>-H312*INDEX(port_processing_fee,MATCH(L312,PORTS!$H$626:$H$933,0),MATCH(P$5,PORTS!$H$626:$Z$626,0))</f>
        <v>0</v>
      </c>
      <c r="P312" s="405">
        <f>(((VLOOKUP(L312,curvecalc,4,0))*IF(F312=0,0,J312/F312)-INDEX(ship_curves,MATCH(L312,'SHIP CURVES'!$A$9:$A$316,0),MATCH(CONCATENATE(P$4,P$5,P$6,P$7),'SHIP CURVES'!$A$9:$Z$9,0))-INDEX(terminal_curves,MATCH(L312,'TERMINAL CURVES'!$A$4:$A$313,0),MATCH(P$5,'TERMINAL CURVES'!$A$4:$N$4,0))*IF(F312=0,0,H312/F312))-(N$8)*((N$7-$N$5)-(INDEX(ship_curves,MATCH(L312,'SHIP CURVES'!$A$9:$A$316,0),MATCH(CONCATENATE(P$4,P$5,P$6,P$7),'SHIP CURVES'!$A$9:$Z$9,0))-INDEX(ship_curves,MATCH(L312,'SHIP CURVES'!$A$9:$A$316,0),MATCH(CONCATENATE(P$4,N$6,P$6,P$7),'SHIP CURVES'!$A$9:$Z$9,0)))-(INDEX(terminal_curves,MATCH(L312,'TERMINAL CURVES'!$A$4:$A$313,0),MATCH(P$5,'TERMINAL CURVES'!$A$4:$N$4,0))-INDEX(terminal_curves,MATCH(L312,'TERMINAL CURVES'!$A$4:$A$313,0),MATCH(N$6,'TERMINAL CURVES'!$A$4:$N$4,0)))*IF(F312=0,0,H312/F312)))*-F312</f>
        <v>0</v>
      </c>
      <c r="Q312" s="403">
        <f t="shared" si="131"/>
        <v>0</v>
      </c>
      <c r="R312" s="338">
        <f>(-H312/((HLOOKUP(P$5,port_specs,2,0)/(365.25))*(L313-L312)))*(INDEX(fixed_capacity_charge,MATCH(L312,PORTS!$H$11:$H$317,0),MATCH(P$5,PORTS!$H$11:$N$11,0))+INDEX(variable_om_charge,MATCH(L312,PORTS!$H$318:$H$625,0),MATCH(P$5,PORTS!$H$318:$N$318,0)))</f>
        <v>0</v>
      </c>
      <c r="S312" s="232">
        <f t="shared" si="132"/>
        <v>0</v>
      </c>
      <c r="T312" s="241">
        <f t="shared" si="133"/>
        <v>0</v>
      </c>
      <c r="V312" s="186">
        <f t="shared" si="148"/>
        <v>45658</v>
      </c>
      <c r="W312" s="215">
        <f t="shared" si="134"/>
        <v>0</v>
      </c>
      <c r="X312" s="191">
        <f t="shared" si="135"/>
        <v>0</v>
      </c>
      <c r="Y312" s="218">
        <f>+IF(AND(X$8&lt;=V312,X$9&gt;=V312),+MIN($B312-SUMIF($H$17:X$17,Y$17,$H312:X312),((INDEX(ROUTE_PER_DAY_BY_SHIP,MATCH(CONCATENATE(X$4,X$5,X$7),ROUTE_PER_DAY_ROUTES,0),MATCH(X$6,ROUTE_PER_DAY_SHIPS,0))*(V313-V312))-(INDEX(ROUTE_PER_DAY_BY_SHIP,MATCH(CONCATENATE(X$4,X$5,X$7),ROUTE_PER_DAY_ROUTES,0),MATCH(X$6,ROUTE_PER_DAY_SHIPS,0))*(V313-V312))*HLOOKUP(X$6,SHIPS,7,0)*INDEX(LADEN_VOYAGE_DAYS,MATCH(CONCATENATE(X$4,X$5,X$7),LADEN_VOYAGE_ROUTES,0),MATCH(X$6,LADEN_VOYAGE_SHIPS,0)))),0)</f>
        <v>0</v>
      </c>
      <c r="Z312" s="118">
        <f t="shared" si="136"/>
        <v>0</v>
      </c>
      <c r="AA312" s="215">
        <f t="shared" si="122"/>
        <v>0</v>
      </c>
      <c r="AB312" s="202"/>
      <c r="AC312" s="186">
        <f t="shared" si="149"/>
        <v>45658</v>
      </c>
      <c r="AD312" s="232">
        <f>+AA312*(VLOOKUP(AC312,CURVECALC!$C$6:$J$312,4,0)+AE$5)</f>
        <v>0</v>
      </c>
      <c r="AE312" s="208">
        <f>-W312*INDEX(ship_curves,MATCH(AC312,'SHIP CURVES'!$A$9:$A$316,0),MATCH(CONCATENATE(AG$4,AG$5,AG$6,AG$7),'SHIP CURVES'!$A$9:$AZ$9,0))</f>
        <v>0</v>
      </c>
      <c r="AF312" s="209">
        <f>-Y312*INDEX(port_processing_fee,MATCH(AC312,PORTS!$H$626:$H$933,0),MATCH(AG$5,PORTS!$H$626:$Z$626,0))</f>
        <v>0</v>
      </c>
      <c r="AG312" s="405">
        <f>(((VLOOKUP(AC312,curvecalc,4,0))*IF(W312=0,0,AA312/W312)-INDEX(ship_curves,MATCH(AC312,'SHIP CURVES'!$A$9:$A$316,0),MATCH(CONCATENATE(AG$4,AG$5,AG$6,AG$7),'SHIP CURVES'!$A$9:$Z$9,0))-INDEX(terminal_curves,MATCH(AC312,'TERMINAL CURVES'!$A$4:$A$313,0),MATCH(AG$5,'TERMINAL CURVES'!$A$4:$N$4,0))*IF(W312=0,0,Y312/W312))-(AE$8)*((AE$7-$N$5)-(INDEX(ship_curves,MATCH(AC312,'SHIP CURVES'!$A$9:$A$316,0),MATCH(CONCATENATE(AG$4,AG$5,AG$6,AG$7),'SHIP CURVES'!$A$9:$Z$9,0))-INDEX(ship_curves,MATCH(AC312,'SHIP CURVES'!$A$9:$A$316,0),MATCH(CONCATENATE(AG$4,AE$6,AG$6,AG$7),'SHIP CURVES'!$A$9:$Z$9,0)))-(INDEX(terminal_curves,MATCH(AC312,'TERMINAL CURVES'!$A$4:$A$313,0),MATCH(AG$5,'TERMINAL CURVES'!$A$4:$N$4,0))-INDEX(terminal_curves,MATCH(AC312,'TERMINAL CURVES'!$A$4:$A$313,0),MATCH(AE$6,'TERMINAL CURVES'!$A$4:$N$4,0)))*IF(W312=0,0,Y312/W312)))*-W312</f>
        <v>0</v>
      </c>
      <c r="AH312" s="343">
        <f t="shared" si="137"/>
        <v>0</v>
      </c>
      <c r="AI312" s="338">
        <f>(-Y312/((HLOOKUP(AG$5,port_specs,2,0)/(365.25))*(AC313-AC312)))*(INDEX(fixed_capacity_charge,MATCH(AC312,PORTS!$H$11:$H$317,0),MATCH(AG$5,PORTS!$H$11:$N$11,0))+INDEX(variable_om_charge,MATCH(AC312,PORTS!$H$318:$H$625,0),MATCH(AG$5,PORTS!$H$318:$N$318,0)))</f>
        <v>0</v>
      </c>
      <c r="AJ312" s="232">
        <f t="shared" si="138"/>
        <v>0</v>
      </c>
      <c r="AK312" s="241">
        <f t="shared" si="139"/>
        <v>0</v>
      </c>
      <c r="AM312" s="186">
        <f t="shared" si="150"/>
        <v>45658</v>
      </c>
      <c r="AN312" s="215">
        <f t="shared" si="140"/>
        <v>0</v>
      </c>
      <c r="AO312" s="191">
        <f t="shared" si="141"/>
        <v>0</v>
      </c>
      <c r="AP312" s="218">
        <f>+IF(AND(AO$8&lt;=AM312,AO$9&gt;=AM312),+MIN($B312-SUMIF($H$17:AO$17,AP$17,$H312:AO312),((INDEX(ROUTE_PER_DAY_BY_SHIP,MATCH(CONCATENATE(AO$4,AO$5,AO$7),ROUTE_PER_DAY_ROUTES,0),MATCH(AO$6,ROUTE_PER_DAY_SHIPS,0))*(AM313-AM312))-(INDEX(ROUTE_PER_DAY_BY_SHIP,MATCH(CONCATENATE(AO$4,AO$5,AO$7),ROUTE_PER_DAY_ROUTES,0),MATCH(AO$6,ROUTE_PER_DAY_SHIPS,0))*(AM313-AM312))*HLOOKUP(AO$6,SHIPS,7,0)*INDEX(LADEN_VOYAGE_DAYS,MATCH(CONCATENATE(AO$4,AO$5,AO$7),LADEN_VOYAGE_ROUTES,0),MATCH(AO$6,LADEN_VOYAGE_SHIPS,0)))),0)</f>
        <v>0</v>
      </c>
      <c r="AQ312" s="118">
        <f>-(AP312)*PORTS!$I$6</f>
        <v>0</v>
      </c>
      <c r="AR312" s="215">
        <f t="shared" si="123"/>
        <v>0</v>
      </c>
      <c r="AS312" s="202"/>
      <c r="AT312" s="186">
        <f t="shared" si="151"/>
        <v>45658</v>
      </c>
      <c r="AU312" s="232">
        <f>+AR312*(VLOOKUP(AT312,CURVECALC!$C$6:$J$312,4,0)+AV$5)</f>
        <v>0</v>
      </c>
      <c r="AV312" s="208">
        <f>-AN312*INDEX(ship_curves,MATCH(AT312,'SHIP CURVES'!$A$9:$A$316,0),MATCH(CONCATENATE(AX$4,AX$5,AX$6,AX$7),'SHIP CURVES'!$A$9:$AZ$9,0))</f>
        <v>0</v>
      </c>
      <c r="AW312" s="209">
        <f>-AP312*INDEX(port_processing_fee,MATCH(AT312,PORTS!$H$626:$H$933,0),MATCH(AX$5,PORTS!$H$626:$Z$626,0))</f>
        <v>0</v>
      </c>
      <c r="AX312" s="405">
        <f>(((VLOOKUP(AT312,curvecalc,4,0))*IF(AN312=0,0,AR312/AN312)-INDEX(ship_curves,MATCH(AT312,'SHIP CURVES'!$A$9:$A$316,0),MATCH(CONCATENATE(AX$4,AX$5,AX$6,AX$7),'SHIP CURVES'!$A$9:$Z$9,0))-INDEX(terminal_curves,MATCH(AT312,'TERMINAL CURVES'!$A$4:$A$313,0),MATCH(AX$5,'TERMINAL CURVES'!$A$4:$N$4,0))*IF(AN312=0,0,AP312/AN312))-(AV$8)*((AV$7-$N$5)-(INDEX(ship_curves,MATCH(AT312,'SHIP CURVES'!$A$9:$A$316,0),MATCH(CONCATENATE(AX$4,AX$5,AX$6,AX$7),'SHIP CURVES'!$A$9:$Z$9,0))-INDEX(ship_curves,MATCH(AT312,'SHIP CURVES'!$A$9:$A$316,0),MATCH(CONCATENATE(AX$4,AV$6,AX$6,AX$7),'SHIP CURVES'!$A$9:$Z$9,0)))-(INDEX(terminal_curves,MATCH(AT312,'TERMINAL CURVES'!$A$4:$A$313,0),MATCH(AX$5,'TERMINAL CURVES'!$A$4:$N$4,0))-INDEX(terminal_curves,MATCH(AT312,'TERMINAL CURVES'!$A$4:$A$313,0),MATCH(AV$6,'TERMINAL CURVES'!$A$4:$N$4,0)))*IF(AN312=0,0,AP312/AN312)))*-AN312</f>
        <v>0</v>
      </c>
      <c r="AY312" s="343">
        <f t="shared" si="142"/>
        <v>0</v>
      </c>
      <c r="AZ312" s="338">
        <f>(-AP312/((HLOOKUP(AX$5,port_specs,2,0)/(365.25))*(AT313-AT312)))*(INDEX(fixed_capacity_charge,MATCH(AT312,PORTS!$H$11:$H$317,0),MATCH(AX$5,PORTS!$H$11:$N$11,0))+INDEX(variable_om_charge,MATCH(AT312,PORTS!$H$318:$H$625,0),MATCH(AX$5,PORTS!$H$318:$N$318,0)))</f>
        <v>0</v>
      </c>
      <c r="BA312" s="232">
        <f t="shared" si="143"/>
        <v>0</v>
      </c>
      <c r="BB312" s="241">
        <f t="shared" si="144"/>
        <v>0</v>
      </c>
      <c r="BC312" s="408"/>
      <c r="BD312" s="338">
        <f>+PORTS!I306+PORTS!I614</f>
        <v>0</v>
      </c>
    </row>
    <row r="313" spans="1:56" x14ac:dyDescent="0.2">
      <c r="A313" s="186">
        <f t="shared" si="145"/>
        <v>45689</v>
      </c>
      <c r="B313" s="215">
        <f>+IF(AND($A313&gt;=$C$8,$A313&lt;=$C$9),1,0)*PORTS!$I$5/(365.25)*(A314-A313)</f>
        <v>0</v>
      </c>
      <c r="C313" s="351">
        <f t="shared" si="124"/>
        <v>0</v>
      </c>
      <c r="D313">
        <f t="shared" si="125"/>
        <v>2025</v>
      </c>
      <c r="E313" s="186">
        <f t="shared" si="146"/>
        <v>45689</v>
      </c>
      <c r="F313" s="215">
        <f t="shared" si="126"/>
        <v>0</v>
      </c>
      <c r="G313" s="191">
        <f t="shared" si="127"/>
        <v>0</v>
      </c>
      <c r="H313" s="218">
        <f t="shared" si="128"/>
        <v>0</v>
      </c>
      <c r="I313" s="118">
        <f t="shared" si="129"/>
        <v>0</v>
      </c>
      <c r="J313" s="215">
        <f t="shared" si="130"/>
        <v>0</v>
      </c>
      <c r="K313" s="202"/>
      <c r="L313" s="186">
        <f t="shared" si="147"/>
        <v>45689</v>
      </c>
      <c r="M313" s="400">
        <f>+J313*(VLOOKUP(L313,CURVECALC!$C$6:$J$312,4,0)+N$5)</f>
        <v>0</v>
      </c>
      <c r="N313" s="208">
        <f>-F313*INDEX(ship_curves,MATCH(L313,'SHIP CURVES'!$A$9:$A$316,0),MATCH(CONCATENATE(P$4,P$5,P$6,P$7),'SHIP CURVES'!$A$9:$AZ$9,0))</f>
        <v>0</v>
      </c>
      <c r="O313" s="209">
        <f>-H313*INDEX(port_processing_fee,MATCH(L313,PORTS!$H$626:$H$933,0),MATCH(P$5,PORTS!$H$626:$Z$626,0))</f>
        <v>0</v>
      </c>
      <c r="P313" s="405">
        <f>(((VLOOKUP(L313,curvecalc,4,0))*IF(F313=0,0,J313/F313)-INDEX(ship_curves,MATCH(L313,'SHIP CURVES'!$A$9:$A$316,0),MATCH(CONCATENATE(P$4,P$5,P$6,P$7),'SHIP CURVES'!$A$9:$Z$9,0))-INDEX(terminal_curves,MATCH(L313,'TERMINAL CURVES'!$A$4:$A$313,0),MATCH(P$5,'TERMINAL CURVES'!$A$4:$N$4,0))*IF(F313=0,0,H313/F313))-(N$8)*((N$7-$N$5)-(INDEX(ship_curves,MATCH(L313,'SHIP CURVES'!$A$9:$A$316,0),MATCH(CONCATENATE(P$4,P$5,P$6,P$7),'SHIP CURVES'!$A$9:$Z$9,0))-INDEX(ship_curves,MATCH(L313,'SHIP CURVES'!$A$9:$A$316,0),MATCH(CONCATENATE(P$4,N$6,P$6,P$7),'SHIP CURVES'!$A$9:$Z$9,0)))-(INDEX(terminal_curves,MATCH(L313,'TERMINAL CURVES'!$A$4:$A$313,0),MATCH(P$5,'TERMINAL CURVES'!$A$4:$N$4,0))-INDEX(terminal_curves,MATCH(L313,'TERMINAL CURVES'!$A$4:$A$313,0),MATCH(N$6,'TERMINAL CURVES'!$A$4:$N$4,0)))*IF(F313=0,0,H313/F313)))*-F313</f>
        <v>0</v>
      </c>
      <c r="Q313" s="403">
        <f t="shared" si="131"/>
        <v>0</v>
      </c>
      <c r="R313" s="338">
        <f>(-H313/((HLOOKUP(P$5,port_specs,2,0)/(365.25))*(L314-L313)))*(INDEX(fixed_capacity_charge,MATCH(L313,PORTS!$H$11:$H$317,0),MATCH(P$5,PORTS!$H$11:$N$11,0))+INDEX(variable_om_charge,MATCH(L313,PORTS!$H$318:$H$625,0),MATCH(P$5,PORTS!$H$318:$N$318,0)))</f>
        <v>0</v>
      </c>
      <c r="S313" s="232">
        <f t="shared" si="132"/>
        <v>0</v>
      </c>
      <c r="T313" s="241">
        <f t="shared" si="133"/>
        <v>0</v>
      </c>
      <c r="V313" s="186">
        <f t="shared" si="148"/>
        <v>45689</v>
      </c>
      <c r="W313" s="215">
        <f t="shared" si="134"/>
        <v>0</v>
      </c>
      <c r="X313" s="191">
        <f t="shared" si="135"/>
        <v>0</v>
      </c>
      <c r="Y313" s="218">
        <f>+IF(AND(X$8&lt;=V313,X$9&gt;=V313),+MIN($B313-SUMIF($H$17:X$17,Y$17,$H313:X313),((INDEX(ROUTE_PER_DAY_BY_SHIP,MATCH(CONCATENATE(X$4,X$5,X$7),ROUTE_PER_DAY_ROUTES,0),MATCH(X$6,ROUTE_PER_DAY_SHIPS,0))*(V314-V313))-(INDEX(ROUTE_PER_DAY_BY_SHIP,MATCH(CONCATENATE(X$4,X$5,X$7),ROUTE_PER_DAY_ROUTES,0),MATCH(X$6,ROUTE_PER_DAY_SHIPS,0))*(V314-V313))*HLOOKUP(X$6,SHIPS,7,0)*INDEX(LADEN_VOYAGE_DAYS,MATCH(CONCATENATE(X$4,X$5,X$7),LADEN_VOYAGE_ROUTES,0),MATCH(X$6,LADEN_VOYAGE_SHIPS,0)))),0)</f>
        <v>0</v>
      </c>
      <c r="Z313" s="118">
        <f t="shared" si="136"/>
        <v>0</v>
      </c>
      <c r="AA313" s="215">
        <f t="shared" si="122"/>
        <v>0</v>
      </c>
      <c r="AB313" s="202"/>
      <c r="AC313" s="186">
        <f t="shared" si="149"/>
        <v>45689</v>
      </c>
      <c r="AD313" s="232">
        <f>+AA313*(VLOOKUP(AC313,CURVECALC!$C$6:$J$312,4,0)+AE$5)</f>
        <v>0</v>
      </c>
      <c r="AE313" s="208">
        <f>-W313*INDEX(ship_curves,MATCH(AC313,'SHIP CURVES'!$A$9:$A$316,0),MATCH(CONCATENATE(AG$4,AG$5,AG$6,AG$7),'SHIP CURVES'!$A$9:$AZ$9,0))</f>
        <v>0</v>
      </c>
      <c r="AF313" s="209">
        <f>-Y313*INDEX(port_processing_fee,MATCH(AC313,PORTS!$H$626:$H$933,0),MATCH(AG$5,PORTS!$H$626:$Z$626,0))</f>
        <v>0</v>
      </c>
      <c r="AG313" s="405">
        <f>(((VLOOKUP(AC313,curvecalc,4,0))*IF(W313=0,0,AA313/W313)-INDEX(ship_curves,MATCH(AC313,'SHIP CURVES'!$A$9:$A$316,0),MATCH(CONCATENATE(AG$4,AG$5,AG$6,AG$7),'SHIP CURVES'!$A$9:$Z$9,0))-INDEX(terminal_curves,MATCH(AC313,'TERMINAL CURVES'!$A$4:$A$313,0),MATCH(AG$5,'TERMINAL CURVES'!$A$4:$N$4,0))*IF(W313=0,0,Y313/W313))-(AE$8)*((AE$7-$N$5)-(INDEX(ship_curves,MATCH(AC313,'SHIP CURVES'!$A$9:$A$316,0),MATCH(CONCATENATE(AG$4,AG$5,AG$6,AG$7),'SHIP CURVES'!$A$9:$Z$9,0))-INDEX(ship_curves,MATCH(AC313,'SHIP CURVES'!$A$9:$A$316,0),MATCH(CONCATENATE(AG$4,AE$6,AG$6,AG$7),'SHIP CURVES'!$A$9:$Z$9,0)))-(INDEX(terminal_curves,MATCH(AC313,'TERMINAL CURVES'!$A$4:$A$313,0),MATCH(AG$5,'TERMINAL CURVES'!$A$4:$N$4,0))-INDEX(terminal_curves,MATCH(AC313,'TERMINAL CURVES'!$A$4:$A$313,0),MATCH(AE$6,'TERMINAL CURVES'!$A$4:$N$4,0)))*IF(W313=0,0,Y313/W313)))*-W313</f>
        <v>0</v>
      </c>
      <c r="AH313" s="343">
        <f t="shared" si="137"/>
        <v>0</v>
      </c>
      <c r="AI313" s="338">
        <f>(-Y313/((HLOOKUP(AG$5,port_specs,2,0)/(365.25))*(AC314-AC313)))*(INDEX(fixed_capacity_charge,MATCH(AC313,PORTS!$H$11:$H$317,0),MATCH(AG$5,PORTS!$H$11:$N$11,0))+INDEX(variable_om_charge,MATCH(AC313,PORTS!$H$318:$H$625,0),MATCH(AG$5,PORTS!$H$318:$N$318,0)))</f>
        <v>0</v>
      </c>
      <c r="AJ313" s="232">
        <f t="shared" si="138"/>
        <v>0</v>
      </c>
      <c r="AK313" s="241">
        <f t="shared" si="139"/>
        <v>0</v>
      </c>
      <c r="AM313" s="186">
        <f t="shared" si="150"/>
        <v>45689</v>
      </c>
      <c r="AN313" s="215">
        <f t="shared" si="140"/>
        <v>0</v>
      </c>
      <c r="AO313" s="191">
        <f t="shared" si="141"/>
        <v>0</v>
      </c>
      <c r="AP313" s="218">
        <f>+IF(AND(AO$8&lt;=AM313,AO$9&gt;=AM313),+MIN($B313-SUMIF($H$17:AO$17,AP$17,$H313:AO313),((INDEX(ROUTE_PER_DAY_BY_SHIP,MATCH(CONCATENATE(AO$4,AO$5,AO$7),ROUTE_PER_DAY_ROUTES,0),MATCH(AO$6,ROUTE_PER_DAY_SHIPS,0))*(AM314-AM313))-(INDEX(ROUTE_PER_DAY_BY_SHIP,MATCH(CONCATENATE(AO$4,AO$5,AO$7),ROUTE_PER_DAY_ROUTES,0),MATCH(AO$6,ROUTE_PER_DAY_SHIPS,0))*(AM314-AM313))*HLOOKUP(AO$6,SHIPS,7,0)*INDEX(LADEN_VOYAGE_DAYS,MATCH(CONCATENATE(AO$4,AO$5,AO$7),LADEN_VOYAGE_ROUTES,0),MATCH(AO$6,LADEN_VOYAGE_SHIPS,0)))),0)</f>
        <v>0</v>
      </c>
      <c r="AQ313" s="118">
        <f>-(AP313)*PORTS!$I$6</f>
        <v>0</v>
      </c>
      <c r="AR313" s="215">
        <f t="shared" si="123"/>
        <v>0</v>
      </c>
      <c r="AS313" s="202"/>
      <c r="AT313" s="186">
        <f t="shared" si="151"/>
        <v>45689</v>
      </c>
      <c r="AU313" s="232">
        <f>+AR313*(VLOOKUP(AT313,CURVECALC!$C$6:$J$312,4,0)+AV$5)</f>
        <v>0</v>
      </c>
      <c r="AV313" s="208">
        <f>-AN313*INDEX(ship_curves,MATCH(AT313,'SHIP CURVES'!$A$9:$A$316,0),MATCH(CONCATENATE(AX$4,AX$5,AX$6,AX$7),'SHIP CURVES'!$A$9:$AZ$9,0))</f>
        <v>0</v>
      </c>
      <c r="AW313" s="209">
        <f>-AP313*INDEX(port_processing_fee,MATCH(AT313,PORTS!$H$626:$H$933,0),MATCH(AX$5,PORTS!$H$626:$Z$626,0))</f>
        <v>0</v>
      </c>
      <c r="AX313" s="405">
        <f>(((VLOOKUP(AT313,curvecalc,4,0))*IF(AN313=0,0,AR313/AN313)-INDEX(ship_curves,MATCH(AT313,'SHIP CURVES'!$A$9:$A$316,0),MATCH(CONCATENATE(AX$4,AX$5,AX$6,AX$7),'SHIP CURVES'!$A$9:$Z$9,0))-INDEX(terminal_curves,MATCH(AT313,'TERMINAL CURVES'!$A$4:$A$313,0),MATCH(AX$5,'TERMINAL CURVES'!$A$4:$N$4,0))*IF(AN313=0,0,AP313/AN313))-(AV$8)*((AV$7-$N$5)-(INDEX(ship_curves,MATCH(AT313,'SHIP CURVES'!$A$9:$A$316,0),MATCH(CONCATENATE(AX$4,AX$5,AX$6,AX$7),'SHIP CURVES'!$A$9:$Z$9,0))-INDEX(ship_curves,MATCH(AT313,'SHIP CURVES'!$A$9:$A$316,0),MATCH(CONCATENATE(AX$4,AV$6,AX$6,AX$7),'SHIP CURVES'!$A$9:$Z$9,0)))-(INDEX(terminal_curves,MATCH(AT313,'TERMINAL CURVES'!$A$4:$A$313,0),MATCH(AX$5,'TERMINAL CURVES'!$A$4:$N$4,0))-INDEX(terminal_curves,MATCH(AT313,'TERMINAL CURVES'!$A$4:$A$313,0),MATCH(AV$6,'TERMINAL CURVES'!$A$4:$N$4,0)))*IF(AN313=0,0,AP313/AN313)))*-AN313</f>
        <v>0</v>
      </c>
      <c r="AY313" s="343">
        <f t="shared" si="142"/>
        <v>0</v>
      </c>
      <c r="AZ313" s="338">
        <f>(-AP313/((HLOOKUP(AX$5,port_specs,2,0)/(365.25))*(AT314-AT313)))*(INDEX(fixed_capacity_charge,MATCH(AT313,PORTS!$H$11:$H$317,0),MATCH(AX$5,PORTS!$H$11:$N$11,0))+INDEX(variable_om_charge,MATCH(AT313,PORTS!$H$318:$H$625,0),MATCH(AX$5,PORTS!$H$318:$N$318,0)))</f>
        <v>0</v>
      </c>
      <c r="BA313" s="232">
        <f t="shared" si="143"/>
        <v>0</v>
      </c>
      <c r="BB313" s="241">
        <f t="shared" si="144"/>
        <v>0</v>
      </c>
      <c r="BC313" s="408"/>
      <c r="BD313" s="338">
        <f>+PORTS!I307+PORTS!I615</f>
        <v>0</v>
      </c>
    </row>
    <row r="314" spans="1:56" x14ac:dyDescent="0.2">
      <c r="A314" s="186">
        <f t="shared" si="145"/>
        <v>45717</v>
      </c>
      <c r="B314" s="215">
        <f>+IF(AND($A314&gt;=$C$8,$A314&lt;=$C$9),1,0)*PORTS!$I$5/(365.25)*(A315-A314)</f>
        <v>0</v>
      </c>
      <c r="C314" s="351">
        <f t="shared" si="124"/>
        <v>0</v>
      </c>
      <c r="D314">
        <f t="shared" si="125"/>
        <v>2025</v>
      </c>
      <c r="E314" s="186">
        <f t="shared" si="146"/>
        <v>45717</v>
      </c>
      <c r="F314" s="215">
        <f t="shared" si="126"/>
        <v>0</v>
      </c>
      <c r="G314" s="191">
        <f t="shared" si="127"/>
        <v>0</v>
      </c>
      <c r="H314" s="218">
        <f t="shared" si="128"/>
        <v>0</v>
      </c>
      <c r="I314" s="118">
        <f t="shared" si="129"/>
        <v>0</v>
      </c>
      <c r="J314" s="215">
        <f t="shared" si="130"/>
        <v>0</v>
      </c>
      <c r="K314" s="202"/>
      <c r="L314" s="186">
        <f t="shared" si="147"/>
        <v>45717</v>
      </c>
      <c r="M314" s="400">
        <f>+J314*(VLOOKUP(L314,CURVECALC!$C$6:$J$312,4,0)+N$5)</f>
        <v>0</v>
      </c>
      <c r="N314" s="208">
        <f>-F314*INDEX(ship_curves,MATCH(L314,'SHIP CURVES'!$A$9:$A$316,0),MATCH(CONCATENATE(P$4,P$5,P$6,P$7),'SHIP CURVES'!$A$9:$AZ$9,0))</f>
        <v>0</v>
      </c>
      <c r="O314" s="209">
        <f>-H314*INDEX(port_processing_fee,MATCH(L314,PORTS!$H$626:$H$933,0),MATCH(P$5,PORTS!$H$626:$Z$626,0))</f>
        <v>0</v>
      </c>
      <c r="P314" s="405">
        <f>(((VLOOKUP(L314,curvecalc,4,0))*IF(F314=0,0,J314/F314)-INDEX(ship_curves,MATCH(L314,'SHIP CURVES'!$A$9:$A$316,0),MATCH(CONCATENATE(P$4,P$5,P$6,P$7),'SHIP CURVES'!$A$9:$Z$9,0))-INDEX(terminal_curves,MATCH(L314,'TERMINAL CURVES'!$A$4:$A$313,0),MATCH(P$5,'TERMINAL CURVES'!$A$4:$N$4,0))*IF(F314=0,0,H314/F314))-(N$8)*((N$7-$N$5)-(INDEX(ship_curves,MATCH(L314,'SHIP CURVES'!$A$9:$A$316,0),MATCH(CONCATENATE(P$4,P$5,P$6,P$7),'SHIP CURVES'!$A$9:$Z$9,0))-INDEX(ship_curves,MATCH(L314,'SHIP CURVES'!$A$9:$A$316,0),MATCH(CONCATENATE(P$4,N$6,P$6,P$7),'SHIP CURVES'!$A$9:$Z$9,0)))-(INDEX(terminal_curves,MATCH(L314,'TERMINAL CURVES'!$A$4:$A$313,0),MATCH(P$5,'TERMINAL CURVES'!$A$4:$N$4,0))-INDEX(terminal_curves,MATCH(L314,'TERMINAL CURVES'!$A$4:$A$313,0),MATCH(N$6,'TERMINAL CURVES'!$A$4:$N$4,0)))*IF(F314=0,0,H314/F314)))*-F314</f>
        <v>0</v>
      </c>
      <c r="Q314" s="403">
        <f t="shared" si="131"/>
        <v>0</v>
      </c>
      <c r="R314" s="338">
        <f>(-H314/((HLOOKUP(P$5,port_specs,2,0)/(365.25))*(L315-L314)))*(INDEX(fixed_capacity_charge,MATCH(L314,PORTS!$H$11:$H$317,0),MATCH(P$5,PORTS!$H$11:$N$11,0))+INDEX(variable_om_charge,MATCH(L314,PORTS!$H$318:$H$625,0),MATCH(P$5,PORTS!$H$318:$N$318,0)))</f>
        <v>0</v>
      </c>
      <c r="S314" s="232">
        <f t="shared" si="132"/>
        <v>0</v>
      </c>
      <c r="T314" s="241">
        <f t="shared" si="133"/>
        <v>0</v>
      </c>
      <c r="V314" s="186">
        <f t="shared" si="148"/>
        <v>45717</v>
      </c>
      <c r="W314" s="215">
        <f t="shared" si="134"/>
        <v>0</v>
      </c>
      <c r="X314" s="191">
        <f t="shared" si="135"/>
        <v>0</v>
      </c>
      <c r="Y314" s="218">
        <f>+IF(AND(X$8&lt;=V314,X$9&gt;=V314),+MIN($B314-SUMIF($H$17:X$17,Y$17,$H314:X314),((INDEX(ROUTE_PER_DAY_BY_SHIP,MATCH(CONCATENATE(X$4,X$5,X$7),ROUTE_PER_DAY_ROUTES,0),MATCH(X$6,ROUTE_PER_DAY_SHIPS,0))*(V315-V314))-(INDEX(ROUTE_PER_DAY_BY_SHIP,MATCH(CONCATENATE(X$4,X$5,X$7),ROUTE_PER_DAY_ROUTES,0),MATCH(X$6,ROUTE_PER_DAY_SHIPS,0))*(V315-V314))*HLOOKUP(X$6,SHIPS,7,0)*INDEX(LADEN_VOYAGE_DAYS,MATCH(CONCATENATE(X$4,X$5,X$7),LADEN_VOYAGE_ROUTES,0),MATCH(X$6,LADEN_VOYAGE_SHIPS,0)))),0)</f>
        <v>0</v>
      </c>
      <c r="Z314" s="118">
        <f t="shared" si="136"/>
        <v>0</v>
      </c>
      <c r="AA314" s="215">
        <f t="shared" si="122"/>
        <v>0</v>
      </c>
      <c r="AB314" s="202"/>
      <c r="AC314" s="186">
        <f t="shared" si="149"/>
        <v>45717</v>
      </c>
      <c r="AD314" s="232">
        <f>+AA314*(VLOOKUP(AC314,CURVECALC!$C$6:$J$312,4,0)+AE$5)</f>
        <v>0</v>
      </c>
      <c r="AE314" s="208">
        <f>-W314*INDEX(ship_curves,MATCH(AC314,'SHIP CURVES'!$A$9:$A$316,0),MATCH(CONCATENATE(AG$4,AG$5,AG$6,AG$7),'SHIP CURVES'!$A$9:$AZ$9,0))</f>
        <v>0</v>
      </c>
      <c r="AF314" s="209">
        <f>-Y314*INDEX(port_processing_fee,MATCH(AC314,PORTS!$H$626:$H$933,0),MATCH(AG$5,PORTS!$H$626:$Z$626,0))</f>
        <v>0</v>
      </c>
      <c r="AG314" s="405">
        <f>(((VLOOKUP(AC314,curvecalc,4,0))*IF(W314=0,0,AA314/W314)-INDEX(ship_curves,MATCH(AC314,'SHIP CURVES'!$A$9:$A$316,0),MATCH(CONCATENATE(AG$4,AG$5,AG$6,AG$7),'SHIP CURVES'!$A$9:$Z$9,0))-INDEX(terminal_curves,MATCH(AC314,'TERMINAL CURVES'!$A$4:$A$313,0),MATCH(AG$5,'TERMINAL CURVES'!$A$4:$N$4,0))*IF(W314=0,0,Y314/W314))-(AE$8)*((AE$7-$N$5)-(INDEX(ship_curves,MATCH(AC314,'SHIP CURVES'!$A$9:$A$316,0),MATCH(CONCATENATE(AG$4,AG$5,AG$6,AG$7),'SHIP CURVES'!$A$9:$Z$9,0))-INDEX(ship_curves,MATCH(AC314,'SHIP CURVES'!$A$9:$A$316,0),MATCH(CONCATENATE(AG$4,AE$6,AG$6,AG$7),'SHIP CURVES'!$A$9:$Z$9,0)))-(INDEX(terminal_curves,MATCH(AC314,'TERMINAL CURVES'!$A$4:$A$313,0),MATCH(AG$5,'TERMINAL CURVES'!$A$4:$N$4,0))-INDEX(terminal_curves,MATCH(AC314,'TERMINAL CURVES'!$A$4:$A$313,0),MATCH(AE$6,'TERMINAL CURVES'!$A$4:$N$4,0)))*IF(W314=0,0,Y314/W314)))*-W314</f>
        <v>0</v>
      </c>
      <c r="AH314" s="343">
        <f t="shared" si="137"/>
        <v>0</v>
      </c>
      <c r="AI314" s="338">
        <f>(-Y314/((HLOOKUP(AG$5,port_specs,2,0)/(365.25))*(AC315-AC314)))*(INDEX(fixed_capacity_charge,MATCH(AC314,PORTS!$H$11:$H$317,0),MATCH(AG$5,PORTS!$H$11:$N$11,0))+INDEX(variable_om_charge,MATCH(AC314,PORTS!$H$318:$H$625,0),MATCH(AG$5,PORTS!$H$318:$N$318,0)))</f>
        <v>0</v>
      </c>
      <c r="AJ314" s="232">
        <f t="shared" si="138"/>
        <v>0</v>
      </c>
      <c r="AK314" s="241">
        <f t="shared" si="139"/>
        <v>0</v>
      </c>
      <c r="AM314" s="186">
        <f t="shared" si="150"/>
        <v>45717</v>
      </c>
      <c r="AN314" s="215">
        <f t="shared" si="140"/>
        <v>0</v>
      </c>
      <c r="AO314" s="191">
        <f t="shared" si="141"/>
        <v>0</v>
      </c>
      <c r="AP314" s="218">
        <f>+IF(AND(AO$8&lt;=AM314,AO$9&gt;=AM314),+MIN($B314-SUMIF($H$17:AO$17,AP$17,$H314:AO314),((INDEX(ROUTE_PER_DAY_BY_SHIP,MATCH(CONCATENATE(AO$4,AO$5,AO$7),ROUTE_PER_DAY_ROUTES,0),MATCH(AO$6,ROUTE_PER_DAY_SHIPS,0))*(AM315-AM314))-(INDEX(ROUTE_PER_DAY_BY_SHIP,MATCH(CONCATENATE(AO$4,AO$5,AO$7),ROUTE_PER_DAY_ROUTES,0),MATCH(AO$6,ROUTE_PER_DAY_SHIPS,0))*(AM315-AM314))*HLOOKUP(AO$6,SHIPS,7,0)*INDEX(LADEN_VOYAGE_DAYS,MATCH(CONCATENATE(AO$4,AO$5,AO$7),LADEN_VOYAGE_ROUTES,0),MATCH(AO$6,LADEN_VOYAGE_SHIPS,0)))),0)</f>
        <v>0</v>
      </c>
      <c r="AQ314" s="118">
        <f>-(AP314)*PORTS!$I$6</f>
        <v>0</v>
      </c>
      <c r="AR314" s="215">
        <f t="shared" si="123"/>
        <v>0</v>
      </c>
      <c r="AS314" s="202"/>
      <c r="AT314" s="186">
        <f t="shared" si="151"/>
        <v>45717</v>
      </c>
      <c r="AU314" s="232">
        <f>+AR314*(VLOOKUP(AT314,CURVECALC!$C$6:$J$312,4,0)+AV$5)</f>
        <v>0</v>
      </c>
      <c r="AV314" s="208">
        <f>-AN314*INDEX(ship_curves,MATCH(AT314,'SHIP CURVES'!$A$9:$A$316,0),MATCH(CONCATENATE(AX$4,AX$5,AX$6,AX$7),'SHIP CURVES'!$A$9:$AZ$9,0))</f>
        <v>0</v>
      </c>
      <c r="AW314" s="209">
        <f>-AP314*INDEX(port_processing_fee,MATCH(AT314,PORTS!$H$626:$H$933,0),MATCH(AX$5,PORTS!$H$626:$Z$626,0))</f>
        <v>0</v>
      </c>
      <c r="AX314" s="405">
        <f>(((VLOOKUP(AT314,curvecalc,4,0))*IF(AN314=0,0,AR314/AN314)-INDEX(ship_curves,MATCH(AT314,'SHIP CURVES'!$A$9:$A$316,0),MATCH(CONCATENATE(AX$4,AX$5,AX$6,AX$7),'SHIP CURVES'!$A$9:$Z$9,0))-INDEX(terminal_curves,MATCH(AT314,'TERMINAL CURVES'!$A$4:$A$313,0),MATCH(AX$5,'TERMINAL CURVES'!$A$4:$N$4,0))*IF(AN314=0,0,AP314/AN314))-(AV$8)*((AV$7-$N$5)-(INDEX(ship_curves,MATCH(AT314,'SHIP CURVES'!$A$9:$A$316,0),MATCH(CONCATENATE(AX$4,AX$5,AX$6,AX$7),'SHIP CURVES'!$A$9:$Z$9,0))-INDEX(ship_curves,MATCH(AT314,'SHIP CURVES'!$A$9:$A$316,0),MATCH(CONCATENATE(AX$4,AV$6,AX$6,AX$7),'SHIP CURVES'!$A$9:$Z$9,0)))-(INDEX(terminal_curves,MATCH(AT314,'TERMINAL CURVES'!$A$4:$A$313,0),MATCH(AX$5,'TERMINAL CURVES'!$A$4:$N$4,0))-INDEX(terminal_curves,MATCH(AT314,'TERMINAL CURVES'!$A$4:$A$313,0),MATCH(AV$6,'TERMINAL CURVES'!$A$4:$N$4,0)))*IF(AN314=0,0,AP314/AN314)))*-AN314</f>
        <v>0</v>
      </c>
      <c r="AY314" s="343">
        <f t="shared" si="142"/>
        <v>0</v>
      </c>
      <c r="AZ314" s="338">
        <f>(-AP314/((HLOOKUP(AX$5,port_specs,2,0)/(365.25))*(AT315-AT314)))*(INDEX(fixed_capacity_charge,MATCH(AT314,PORTS!$H$11:$H$317,0),MATCH(AX$5,PORTS!$H$11:$N$11,0))+INDEX(variable_om_charge,MATCH(AT314,PORTS!$H$318:$H$625,0),MATCH(AX$5,PORTS!$H$318:$N$318,0)))</f>
        <v>0</v>
      </c>
      <c r="BA314" s="232">
        <f t="shared" si="143"/>
        <v>0</v>
      </c>
      <c r="BB314" s="241">
        <f t="shared" si="144"/>
        <v>0</v>
      </c>
      <c r="BC314" s="408"/>
      <c r="BD314" s="338">
        <f>+PORTS!I308+PORTS!I616</f>
        <v>0</v>
      </c>
    </row>
    <row r="315" spans="1:56" x14ac:dyDescent="0.2">
      <c r="A315" s="186">
        <f t="shared" si="145"/>
        <v>45748</v>
      </c>
      <c r="B315" s="215">
        <f>+IF(AND($A315&gt;=$C$8,$A315&lt;=$C$9),1,0)*PORTS!$I$5/(365.25)*(A316-A315)</f>
        <v>0</v>
      </c>
      <c r="C315" s="351">
        <f t="shared" si="124"/>
        <v>0</v>
      </c>
      <c r="D315">
        <f t="shared" si="125"/>
        <v>2025</v>
      </c>
      <c r="E315" s="186">
        <f t="shared" si="146"/>
        <v>45748</v>
      </c>
      <c r="F315" s="215">
        <f t="shared" si="126"/>
        <v>0</v>
      </c>
      <c r="G315" s="191">
        <f t="shared" si="127"/>
        <v>0</v>
      </c>
      <c r="H315" s="218">
        <f t="shared" si="128"/>
        <v>0</v>
      </c>
      <c r="I315" s="118">
        <f t="shared" si="129"/>
        <v>0</v>
      </c>
      <c r="J315" s="215">
        <f t="shared" si="130"/>
        <v>0</v>
      </c>
      <c r="K315" s="202"/>
      <c r="L315" s="186">
        <f t="shared" si="147"/>
        <v>45748</v>
      </c>
      <c r="M315" s="400">
        <f>+J315*(VLOOKUP(L315,CURVECALC!$C$6:$J$312,4,0)+N$5)</f>
        <v>0</v>
      </c>
      <c r="N315" s="208">
        <f>-F315*INDEX(ship_curves,MATCH(L315,'SHIP CURVES'!$A$9:$A$316,0),MATCH(CONCATENATE(P$4,P$5,P$6,P$7),'SHIP CURVES'!$A$9:$AZ$9,0))</f>
        <v>0</v>
      </c>
      <c r="O315" s="209">
        <f>-H315*INDEX(port_processing_fee,MATCH(L315,PORTS!$H$626:$H$933,0),MATCH(P$5,PORTS!$H$626:$Z$626,0))</f>
        <v>0</v>
      </c>
      <c r="P315" s="405">
        <f>(((VLOOKUP(L315,curvecalc,4,0))*IF(F315=0,0,J315/F315)-INDEX(ship_curves,MATCH(L315,'SHIP CURVES'!$A$9:$A$316,0),MATCH(CONCATENATE(P$4,P$5,P$6,P$7),'SHIP CURVES'!$A$9:$Z$9,0))-INDEX(terminal_curves,MATCH(L315,'TERMINAL CURVES'!$A$4:$A$313,0),MATCH(P$5,'TERMINAL CURVES'!$A$4:$N$4,0))*IF(F315=0,0,H315/F315))-(N$8)*((N$7-$N$5)-(INDEX(ship_curves,MATCH(L315,'SHIP CURVES'!$A$9:$A$316,0),MATCH(CONCATENATE(P$4,P$5,P$6,P$7),'SHIP CURVES'!$A$9:$Z$9,0))-INDEX(ship_curves,MATCH(L315,'SHIP CURVES'!$A$9:$A$316,0),MATCH(CONCATENATE(P$4,N$6,P$6,P$7),'SHIP CURVES'!$A$9:$Z$9,0)))-(INDEX(terminal_curves,MATCH(L315,'TERMINAL CURVES'!$A$4:$A$313,0),MATCH(P$5,'TERMINAL CURVES'!$A$4:$N$4,0))-INDEX(terminal_curves,MATCH(L315,'TERMINAL CURVES'!$A$4:$A$313,0),MATCH(N$6,'TERMINAL CURVES'!$A$4:$N$4,0)))*IF(F315=0,0,H315/F315)))*-F315</f>
        <v>0</v>
      </c>
      <c r="Q315" s="403">
        <f t="shared" si="131"/>
        <v>0</v>
      </c>
      <c r="R315" s="338">
        <f>(-H315/((HLOOKUP(P$5,port_specs,2,0)/(365.25))*(L316-L315)))*(INDEX(fixed_capacity_charge,MATCH(L315,PORTS!$H$11:$H$317,0),MATCH(P$5,PORTS!$H$11:$N$11,0))+INDEX(variable_om_charge,MATCH(L315,PORTS!$H$318:$H$625,0),MATCH(P$5,PORTS!$H$318:$N$318,0)))</f>
        <v>0</v>
      </c>
      <c r="S315" s="232">
        <f t="shared" si="132"/>
        <v>0</v>
      </c>
      <c r="T315" s="241">
        <f t="shared" si="133"/>
        <v>0</v>
      </c>
      <c r="V315" s="186">
        <f t="shared" si="148"/>
        <v>45748</v>
      </c>
      <c r="W315" s="215">
        <f t="shared" si="134"/>
        <v>0</v>
      </c>
      <c r="X315" s="191">
        <f t="shared" si="135"/>
        <v>0</v>
      </c>
      <c r="Y315" s="218">
        <f>+IF(AND(X$8&lt;=V315,X$9&gt;=V315),+MIN($B315-SUMIF($H$17:X$17,Y$17,$H315:X315),((INDEX(ROUTE_PER_DAY_BY_SHIP,MATCH(CONCATENATE(X$4,X$5,X$7),ROUTE_PER_DAY_ROUTES,0),MATCH(X$6,ROUTE_PER_DAY_SHIPS,0))*(V316-V315))-(INDEX(ROUTE_PER_DAY_BY_SHIP,MATCH(CONCATENATE(X$4,X$5,X$7),ROUTE_PER_DAY_ROUTES,0),MATCH(X$6,ROUTE_PER_DAY_SHIPS,0))*(V316-V315))*HLOOKUP(X$6,SHIPS,7,0)*INDEX(LADEN_VOYAGE_DAYS,MATCH(CONCATENATE(X$4,X$5,X$7),LADEN_VOYAGE_ROUTES,0),MATCH(X$6,LADEN_VOYAGE_SHIPS,0)))),0)</f>
        <v>0</v>
      </c>
      <c r="Z315" s="118">
        <f t="shared" si="136"/>
        <v>0</v>
      </c>
      <c r="AA315" s="215">
        <f t="shared" si="122"/>
        <v>0</v>
      </c>
      <c r="AB315" s="202"/>
      <c r="AC315" s="186">
        <f t="shared" si="149"/>
        <v>45748</v>
      </c>
      <c r="AD315" s="232">
        <f>+AA315*(VLOOKUP(AC315,CURVECALC!$C$6:$J$312,4,0)+AE$5)</f>
        <v>0</v>
      </c>
      <c r="AE315" s="208">
        <f>-W315*INDEX(ship_curves,MATCH(AC315,'SHIP CURVES'!$A$9:$A$316,0),MATCH(CONCATENATE(AG$4,AG$5,AG$6,AG$7),'SHIP CURVES'!$A$9:$AZ$9,0))</f>
        <v>0</v>
      </c>
      <c r="AF315" s="209">
        <f>-Y315*INDEX(port_processing_fee,MATCH(AC315,PORTS!$H$626:$H$933,0),MATCH(AG$5,PORTS!$H$626:$Z$626,0))</f>
        <v>0</v>
      </c>
      <c r="AG315" s="405">
        <f>(((VLOOKUP(AC315,curvecalc,4,0))*IF(W315=0,0,AA315/W315)-INDEX(ship_curves,MATCH(AC315,'SHIP CURVES'!$A$9:$A$316,0),MATCH(CONCATENATE(AG$4,AG$5,AG$6,AG$7),'SHIP CURVES'!$A$9:$Z$9,0))-INDEX(terminal_curves,MATCH(AC315,'TERMINAL CURVES'!$A$4:$A$313,0),MATCH(AG$5,'TERMINAL CURVES'!$A$4:$N$4,0))*IF(W315=0,0,Y315/W315))-(AE$8)*((AE$7-$N$5)-(INDEX(ship_curves,MATCH(AC315,'SHIP CURVES'!$A$9:$A$316,0),MATCH(CONCATENATE(AG$4,AG$5,AG$6,AG$7),'SHIP CURVES'!$A$9:$Z$9,0))-INDEX(ship_curves,MATCH(AC315,'SHIP CURVES'!$A$9:$A$316,0),MATCH(CONCATENATE(AG$4,AE$6,AG$6,AG$7),'SHIP CURVES'!$A$9:$Z$9,0)))-(INDEX(terminal_curves,MATCH(AC315,'TERMINAL CURVES'!$A$4:$A$313,0),MATCH(AG$5,'TERMINAL CURVES'!$A$4:$N$4,0))-INDEX(terminal_curves,MATCH(AC315,'TERMINAL CURVES'!$A$4:$A$313,0),MATCH(AE$6,'TERMINAL CURVES'!$A$4:$N$4,0)))*IF(W315=0,0,Y315/W315)))*-W315</f>
        <v>0</v>
      </c>
      <c r="AH315" s="343">
        <f t="shared" si="137"/>
        <v>0</v>
      </c>
      <c r="AI315" s="338">
        <f>(-Y315/((HLOOKUP(AG$5,port_specs,2,0)/(365.25))*(AC316-AC315)))*(INDEX(fixed_capacity_charge,MATCH(AC315,PORTS!$H$11:$H$317,0),MATCH(AG$5,PORTS!$H$11:$N$11,0))+INDEX(variable_om_charge,MATCH(AC315,PORTS!$H$318:$H$625,0),MATCH(AG$5,PORTS!$H$318:$N$318,0)))</f>
        <v>0</v>
      </c>
      <c r="AJ315" s="232">
        <f t="shared" si="138"/>
        <v>0</v>
      </c>
      <c r="AK315" s="241">
        <f t="shared" si="139"/>
        <v>0</v>
      </c>
      <c r="AM315" s="186">
        <f t="shared" si="150"/>
        <v>45748</v>
      </c>
      <c r="AN315" s="215">
        <f t="shared" si="140"/>
        <v>0</v>
      </c>
      <c r="AO315" s="191">
        <f t="shared" si="141"/>
        <v>0</v>
      </c>
      <c r="AP315" s="218">
        <f>+IF(AND(AO$8&lt;=AM315,AO$9&gt;=AM315),+MIN($B315-SUMIF($H$17:AO$17,AP$17,$H315:AO315),((INDEX(ROUTE_PER_DAY_BY_SHIP,MATCH(CONCATENATE(AO$4,AO$5,AO$7),ROUTE_PER_DAY_ROUTES,0),MATCH(AO$6,ROUTE_PER_DAY_SHIPS,0))*(AM316-AM315))-(INDEX(ROUTE_PER_DAY_BY_SHIP,MATCH(CONCATENATE(AO$4,AO$5,AO$7),ROUTE_PER_DAY_ROUTES,0),MATCH(AO$6,ROUTE_PER_DAY_SHIPS,0))*(AM316-AM315))*HLOOKUP(AO$6,SHIPS,7,0)*INDEX(LADEN_VOYAGE_DAYS,MATCH(CONCATENATE(AO$4,AO$5,AO$7),LADEN_VOYAGE_ROUTES,0),MATCH(AO$6,LADEN_VOYAGE_SHIPS,0)))),0)</f>
        <v>0</v>
      </c>
      <c r="AQ315" s="118">
        <f>-(AP315)*PORTS!$I$6</f>
        <v>0</v>
      </c>
      <c r="AR315" s="215">
        <f t="shared" si="123"/>
        <v>0</v>
      </c>
      <c r="AS315" s="202"/>
      <c r="AT315" s="186">
        <f t="shared" si="151"/>
        <v>45748</v>
      </c>
      <c r="AU315" s="232">
        <f>+AR315*(VLOOKUP(AT315,CURVECALC!$C$6:$J$312,4,0)+AV$5)</f>
        <v>0</v>
      </c>
      <c r="AV315" s="208">
        <f>-AN315*INDEX(ship_curves,MATCH(AT315,'SHIP CURVES'!$A$9:$A$316,0),MATCH(CONCATENATE(AX$4,AX$5,AX$6,AX$7),'SHIP CURVES'!$A$9:$AZ$9,0))</f>
        <v>0</v>
      </c>
      <c r="AW315" s="209">
        <f>-AP315*INDEX(port_processing_fee,MATCH(AT315,PORTS!$H$626:$H$933,0),MATCH(AX$5,PORTS!$H$626:$Z$626,0))</f>
        <v>0</v>
      </c>
      <c r="AX315" s="405">
        <f>(((VLOOKUP(AT315,curvecalc,4,0))*IF(AN315=0,0,AR315/AN315)-INDEX(ship_curves,MATCH(AT315,'SHIP CURVES'!$A$9:$A$316,0),MATCH(CONCATENATE(AX$4,AX$5,AX$6,AX$7),'SHIP CURVES'!$A$9:$Z$9,0))-INDEX(terminal_curves,MATCH(AT315,'TERMINAL CURVES'!$A$4:$A$313,0),MATCH(AX$5,'TERMINAL CURVES'!$A$4:$N$4,0))*IF(AN315=0,0,AP315/AN315))-(AV$8)*((AV$7-$N$5)-(INDEX(ship_curves,MATCH(AT315,'SHIP CURVES'!$A$9:$A$316,0),MATCH(CONCATENATE(AX$4,AX$5,AX$6,AX$7),'SHIP CURVES'!$A$9:$Z$9,0))-INDEX(ship_curves,MATCH(AT315,'SHIP CURVES'!$A$9:$A$316,0),MATCH(CONCATENATE(AX$4,AV$6,AX$6,AX$7),'SHIP CURVES'!$A$9:$Z$9,0)))-(INDEX(terminal_curves,MATCH(AT315,'TERMINAL CURVES'!$A$4:$A$313,0),MATCH(AX$5,'TERMINAL CURVES'!$A$4:$N$4,0))-INDEX(terminal_curves,MATCH(AT315,'TERMINAL CURVES'!$A$4:$A$313,0),MATCH(AV$6,'TERMINAL CURVES'!$A$4:$N$4,0)))*IF(AN315=0,0,AP315/AN315)))*-AN315</f>
        <v>0</v>
      </c>
      <c r="AY315" s="343">
        <f t="shared" si="142"/>
        <v>0</v>
      </c>
      <c r="AZ315" s="338">
        <f>(-AP315/((HLOOKUP(AX$5,port_specs,2,0)/(365.25))*(AT316-AT315)))*(INDEX(fixed_capacity_charge,MATCH(AT315,PORTS!$H$11:$H$317,0),MATCH(AX$5,PORTS!$H$11:$N$11,0))+INDEX(variable_om_charge,MATCH(AT315,PORTS!$H$318:$H$625,0),MATCH(AX$5,PORTS!$H$318:$N$318,0)))</f>
        <v>0</v>
      </c>
      <c r="BA315" s="232">
        <f t="shared" si="143"/>
        <v>0</v>
      </c>
      <c r="BB315" s="241">
        <f t="shared" si="144"/>
        <v>0</v>
      </c>
      <c r="BC315" s="408"/>
      <c r="BD315" s="338">
        <f>+PORTS!I309+PORTS!I617</f>
        <v>0</v>
      </c>
    </row>
    <row r="316" spans="1:56" x14ac:dyDescent="0.2">
      <c r="A316" s="186">
        <f t="shared" si="145"/>
        <v>45778</v>
      </c>
      <c r="B316" s="215">
        <f>+IF(AND($A316&gt;=$C$8,$A316&lt;=$C$9),1,0)*PORTS!$I$5/(365.25)*(A317-A316)</f>
        <v>0</v>
      </c>
      <c r="C316" s="351">
        <f t="shared" si="124"/>
        <v>0</v>
      </c>
      <c r="D316">
        <f t="shared" si="125"/>
        <v>2025</v>
      </c>
      <c r="E316" s="186">
        <f t="shared" si="146"/>
        <v>45778</v>
      </c>
      <c r="F316" s="215">
        <f t="shared" si="126"/>
        <v>0</v>
      </c>
      <c r="G316" s="191">
        <f t="shared" si="127"/>
        <v>0</v>
      </c>
      <c r="H316" s="218">
        <f t="shared" si="128"/>
        <v>0</v>
      </c>
      <c r="I316" s="118">
        <f t="shared" si="129"/>
        <v>0</v>
      </c>
      <c r="J316" s="215">
        <f t="shared" si="130"/>
        <v>0</v>
      </c>
      <c r="K316" s="202"/>
      <c r="L316" s="186">
        <f t="shared" si="147"/>
        <v>45778</v>
      </c>
      <c r="M316" s="400">
        <f>+J316*(VLOOKUP(L316,CURVECALC!$C$6:$J$312,4,0)+N$5)</f>
        <v>0</v>
      </c>
      <c r="N316" s="208">
        <f>-F316*INDEX(ship_curves,MATCH(L316,'SHIP CURVES'!$A$9:$A$316,0),MATCH(CONCATENATE(P$4,P$5,P$6,P$7),'SHIP CURVES'!$A$9:$AZ$9,0))</f>
        <v>0</v>
      </c>
      <c r="O316" s="209">
        <f>-H316*INDEX(port_processing_fee,MATCH(L316,PORTS!$H$626:$H$933,0),MATCH(P$5,PORTS!$H$626:$Z$626,0))</f>
        <v>0</v>
      </c>
      <c r="P316" s="405">
        <f>(((VLOOKUP(L316,curvecalc,4,0))*IF(F316=0,0,J316/F316)-INDEX(ship_curves,MATCH(L316,'SHIP CURVES'!$A$9:$A$316,0),MATCH(CONCATENATE(P$4,P$5,P$6,P$7),'SHIP CURVES'!$A$9:$Z$9,0))-INDEX(terminal_curves,MATCH(L316,'TERMINAL CURVES'!$A$4:$A$313,0),MATCH(P$5,'TERMINAL CURVES'!$A$4:$N$4,0))*IF(F316=0,0,H316/F316))-(N$8)*((N$7-$N$5)-(INDEX(ship_curves,MATCH(L316,'SHIP CURVES'!$A$9:$A$316,0),MATCH(CONCATENATE(P$4,P$5,P$6,P$7),'SHIP CURVES'!$A$9:$Z$9,0))-INDEX(ship_curves,MATCH(L316,'SHIP CURVES'!$A$9:$A$316,0),MATCH(CONCATENATE(P$4,N$6,P$6,P$7),'SHIP CURVES'!$A$9:$Z$9,0)))-(INDEX(terminal_curves,MATCH(L316,'TERMINAL CURVES'!$A$4:$A$313,0),MATCH(P$5,'TERMINAL CURVES'!$A$4:$N$4,0))-INDEX(terminal_curves,MATCH(L316,'TERMINAL CURVES'!$A$4:$A$313,0),MATCH(N$6,'TERMINAL CURVES'!$A$4:$N$4,0)))*IF(F316=0,0,H316/F316)))*-F316</f>
        <v>0</v>
      </c>
      <c r="Q316" s="403">
        <f t="shared" si="131"/>
        <v>0</v>
      </c>
      <c r="R316" s="338">
        <f>(-H316/((HLOOKUP(P$5,port_specs,2,0)/(365.25))*(L317-L316)))*(INDEX(fixed_capacity_charge,MATCH(L316,PORTS!$H$11:$H$317,0),MATCH(P$5,PORTS!$H$11:$N$11,0))+INDEX(variable_om_charge,MATCH(L316,PORTS!$H$318:$H$625,0),MATCH(P$5,PORTS!$H$318:$N$318,0)))</f>
        <v>0</v>
      </c>
      <c r="S316" s="232">
        <f t="shared" si="132"/>
        <v>0</v>
      </c>
      <c r="T316" s="241">
        <f t="shared" si="133"/>
        <v>0</v>
      </c>
      <c r="V316" s="186">
        <f t="shared" si="148"/>
        <v>45778</v>
      </c>
      <c r="W316" s="215">
        <f t="shared" si="134"/>
        <v>0</v>
      </c>
      <c r="X316" s="191">
        <f t="shared" si="135"/>
        <v>0</v>
      </c>
      <c r="Y316" s="218">
        <f>+IF(AND(X$8&lt;=V316,X$9&gt;=V316),+MIN($B316-SUMIF($H$17:X$17,Y$17,$H316:X316),((INDEX(ROUTE_PER_DAY_BY_SHIP,MATCH(CONCATENATE(X$4,X$5,X$7),ROUTE_PER_DAY_ROUTES,0),MATCH(X$6,ROUTE_PER_DAY_SHIPS,0))*(V317-V316))-(INDEX(ROUTE_PER_DAY_BY_SHIP,MATCH(CONCATENATE(X$4,X$5,X$7),ROUTE_PER_DAY_ROUTES,0),MATCH(X$6,ROUTE_PER_DAY_SHIPS,0))*(V317-V316))*HLOOKUP(X$6,SHIPS,7,0)*INDEX(LADEN_VOYAGE_DAYS,MATCH(CONCATENATE(X$4,X$5,X$7),LADEN_VOYAGE_ROUTES,0),MATCH(X$6,LADEN_VOYAGE_SHIPS,0)))),0)</f>
        <v>0</v>
      </c>
      <c r="Z316" s="118">
        <f t="shared" si="136"/>
        <v>0</v>
      </c>
      <c r="AA316" s="215">
        <f t="shared" si="122"/>
        <v>0</v>
      </c>
      <c r="AB316" s="202"/>
      <c r="AC316" s="186">
        <f t="shared" si="149"/>
        <v>45778</v>
      </c>
      <c r="AD316" s="232">
        <f>+AA316*(VLOOKUP(AC316,CURVECALC!$C$6:$J$312,4,0)+AE$5)</f>
        <v>0</v>
      </c>
      <c r="AE316" s="208">
        <f>-W316*INDEX(ship_curves,MATCH(AC316,'SHIP CURVES'!$A$9:$A$316,0),MATCH(CONCATENATE(AG$4,AG$5,AG$6,AG$7),'SHIP CURVES'!$A$9:$AZ$9,0))</f>
        <v>0</v>
      </c>
      <c r="AF316" s="209">
        <f>-Y316*INDEX(port_processing_fee,MATCH(AC316,PORTS!$H$626:$H$933,0),MATCH(AG$5,PORTS!$H$626:$Z$626,0))</f>
        <v>0</v>
      </c>
      <c r="AG316" s="405">
        <f>(((VLOOKUP(AC316,curvecalc,4,0))*IF(W316=0,0,AA316/W316)-INDEX(ship_curves,MATCH(AC316,'SHIP CURVES'!$A$9:$A$316,0),MATCH(CONCATENATE(AG$4,AG$5,AG$6,AG$7),'SHIP CURVES'!$A$9:$Z$9,0))-INDEX(terminal_curves,MATCH(AC316,'TERMINAL CURVES'!$A$4:$A$313,0),MATCH(AG$5,'TERMINAL CURVES'!$A$4:$N$4,0))*IF(W316=0,0,Y316/W316))-(AE$8)*((AE$7-$N$5)-(INDEX(ship_curves,MATCH(AC316,'SHIP CURVES'!$A$9:$A$316,0),MATCH(CONCATENATE(AG$4,AG$5,AG$6,AG$7),'SHIP CURVES'!$A$9:$Z$9,0))-INDEX(ship_curves,MATCH(AC316,'SHIP CURVES'!$A$9:$A$316,0),MATCH(CONCATENATE(AG$4,AE$6,AG$6,AG$7),'SHIP CURVES'!$A$9:$Z$9,0)))-(INDEX(terminal_curves,MATCH(AC316,'TERMINAL CURVES'!$A$4:$A$313,0),MATCH(AG$5,'TERMINAL CURVES'!$A$4:$N$4,0))-INDEX(terminal_curves,MATCH(AC316,'TERMINAL CURVES'!$A$4:$A$313,0),MATCH(AE$6,'TERMINAL CURVES'!$A$4:$N$4,0)))*IF(W316=0,0,Y316/W316)))*-W316</f>
        <v>0</v>
      </c>
      <c r="AH316" s="343">
        <f t="shared" si="137"/>
        <v>0</v>
      </c>
      <c r="AI316" s="338">
        <f>(-Y316/((HLOOKUP(AG$5,port_specs,2,0)/(365.25))*(AC317-AC316)))*(INDEX(fixed_capacity_charge,MATCH(AC316,PORTS!$H$11:$H$317,0),MATCH(AG$5,PORTS!$H$11:$N$11,0))+INDEX(variable_om_charge,MATCH(AC316,PORTS!$H$318:$H$625,0),MATCH(AG$5,PORTS!$H$318:$N$318,0)))</f>
        <v>0</v>
      </c>
      <c r="AJ316" s="232">
        <f t="shared" si="138"/>
        <v>0</v>
      </c>
      <c r="AK316" s="241">
        <f t="shared" si="139"/>
        <v>0</v>
      </c>
      <c r="AM316" s="186">
        <f t="shared" si="150"/>
        <v>45778</v>
      </c>
      <c r="AN316" s="215">
        <f t="shared" si="140"/>
        <v>0</v>
      </c>
      <c r="AO316" s="191">
        <f t="shared" si="141"/>
        <v>0</v>
      </c>
      <c r="AP316" s="218">
        <f>+IF(AND(AO$8&lt;=AM316,AO$9&gt;=AM316),+MIN($B316-SUMIF($H$17:AO$17,AP$17,$H316:AO316),((INDEX(ROUTE_PER_DAY_BY_SHIP,MATCH(CONCATENATE(AO$4,AO$5,AO$7),ROUTE_PER_DAY_ROUTES,0),MATCH(AO$6,ROUTE_PER_DAY_SHIPS,0))*(AM317-AM316))-(INDEX(ROUTE_PER_DAY_BY_SHIP,MATCH(CONCATENATE(AO$4,AO$5,AO$7),ROUTE_PER_DAY_ROUTES,0),MATCH(AO$6,ROUTE_PER_DAY_SHIPS,0))*(AM317-AM316))*HLOOKUP(AO$6,SHIPS,7,0)*INDEX(LADEN_VOYAGE_DAYS,MATCH(CONCATENATE(AO$4,AO$5,AO$7),LADEN_VOYAGE_ROUTES,0),MATCH(AO$6,LADEN_VOYAGE_SHIPS,0)))),0)</f>
        <v>0</v>
      </c>
      <c r="AQ316" s="118">
        <f>-(AP316)*PORTS!$I$6</f>
        <v>0</v>
      </c>
      <c r="AR316" s="215">
        <f t="shared" si="123"/>
        <v>0</v>
      </c>
      <c r="AS316" s="202"/>
      <c r="AT316" s="186">
        <f t="shared" si="151"/>
        <v>45778</v>
      </c>
      <c r="AU316" s="232">
        <f>+AR316*(VLOOKUP(AT316,CURVECALC!$C$6:$J$312,4,0)+AV$5)</f>
        <v>0</v>
      </c>
      <c r="AV316" s="208">
        <f>-AN316*INDEX(ship_curves,MATCH(AT316,'SHIP CURVES'!$A$9:$A$316,0),MATCH(CONCATENATE(AX$4,AX$5,AX$6,AX$7),'SHIP CURVES'!$A$9:$AZ$9,0))</f>
        <v>0</v>
      </c>
      <c r="AW316" s="209">
        <f>-AP316*INDEX(port_processing_fee,MATCH(AT316,PORTS!$H$626:$H$933,0),MATCH(AX$5,PORTS!$H$626:$Z$626,0))</f>
        <v>0</v>
      </c>
      <c r="AX316" s="405">
        <f>(((VLOOKUP(AT316,curvecalc,4,0))*IF(AN316=0,0,AR316/AN316)-INDEX(ship_curves,MATCH(AT316,'SHIP CURVES'!$A$9:$A$316,0),MATCH(CONCATENATE(AX$4,AX$5,AX$6,AX$7),'SHIP CURVES'!$A$9:$Z$9,0))-INDEX(terminal_curves,MATCH(AT316,'TERMINAL CURVES'!$A$4:$A$313,0),MATCH(AX$5,'TERMINAL CURVES'!$A$4:$N$4,0))*IF(AN316=0,0,AP316/AN316))-(AV$8)*((AV$7-$N$5)-(INDEX(ship_curves,MATCH(AT316,'SHIP CURVES'!$A$9:$A$316,0),MATCH(CONCATENATE(AX$4,AX$5,AX$6,AX$7),'SHIP CURVES'!$A$9:$Z$9,0))-INDEX(ship_curves,MATCH(AT316,'SHIP CURVES'!$A$9:$A$316,0),MATCH(CONCATENATE(AX$4,AV$6,AX$6,AX$7),'SHIP CURVES'!$A$9:$Z$9,0)))-(INDEX(terminal_curves,MATCH(AT316,'TERMINAL CURVES'!$A$4:$A$313,0),MATCH(AX$5,'TERMINAL CURVES'!$A$4:$N$4,0))-INDEX(terminal_curves,MATCH(AT316,'TERMINAL CURVES'!$A$4:$A$313,0),MATCH(AV$6,'TERMINAL CURVES'!$A$4:$N$4,0)))*IF(AN316=0,0,AP316/AN316)))*-AN316</f>
        <v>0</v>
      </c>
      <c r="AY316" s="343">
        <f t="shared" si="142"/>
        <v>0</v>
      </c>
      <c r="AZ316" s="338">
        <f>(-AP316/((HLOOKUP(AX$5,port_specs,2,0)/(365.25))*(AT317-AT316)))*(INDEX(fixed_capacity_charge,MATCH(AT316,PORTS!$H$11:$H$317,0),MATCH(AX$5,PORTS!$H$11:$N$11,0))+INDEX(variable_om_charge,MATCH(AT316,PORTS!$H$318:$H$625,0),MATCH(AX$5,PORTS!$H$318:$N$318,0)))</f>
        <v>0</v>
      </c>
      <c r="BA316" s="232">
        <f t="shared" si="143"/>
        <v>0</v>
      </c>
      <c r="BB316" s="241">
        <f t="shared" si="144"/>
        <v>0</v>
      </c>
      <c r="BC316" s="408"/>
      <c r="BD316" s="338">
        <f>+PORTS!I310+PORTS!I618</f>
        <v>0</v>
      </c>
    </row>
    <row r="317" spans="1:56" x14ac:dyDescent="0.2">
      <c r="A317" s="186">
        <f t="shared" si="145"/>
        <v>45809</v>
      </c>
      <c r="B317" s="215">
        <f>+IF(AND($A317&gt;=$C$8,$A317&lt;=$C$9),1,0)*PORTS!$I$5/(365.25)*(A318-A317)</f>
        <v>0</v>
      </c>
      <c r="C317" s="351">
        <f t="shared" si="124"/>
        <v>0</v>
      </c>
      <c r="D317">
        <f t="shared" si="125"/>
        <v>2025</v>
      </c>
      <c r="E317" s="186">
        <f t="shared" si="146"/>
        <v>45809</v>
      </c>
      <c r="F317" s="215">
        <f t="shared" si="126"/>
        <v>0</v>
      </c>
      <c r="G317" s="191">
        <f t="shared" si="127"/>
        <v>0</v>
      </c>
      <c r="H317" s="218">
        <f t="shared" si="128"/>
        <v>0</v>
      </c>
      <c r="I317" s="118">
        <f t="shared" si="129"/>
        <v>0</v>
      </c>
      <c r="J317" s="215">
        <f t="shared" si="130"/>
        <v>0</v>
      </c>
      <c r="K317" s="202"/>
      <c r="L317" s="186">
        <f t="shared" si="147"/>
        <v>45809</v>
      </c>
      <c r="M317" s="400">
        <f>+J317*(VLOOKUP(L317,CURVECALC!$C$6:$J$312,4,0)+N$5)</f>
        <v>0</v>
      </c>
      <c r="N317" s="208">
        <f>-F317*INDEX(ship_curves,MATCH(L317,'SHIP CURVES'!$A$9:$A$316,0),MATCH(CONCATENATE(P$4,P$5,P$6,P$7),'SHIP CURVES'!$A$9:$AZ$9,0))</f>
        <v>0</v>
      </c>
      <c r="O317" s="209">
        <f>-H317*INDEX(port_processing_fee,MATCH(L317,PORTS!$H$626:$H$933,0),MATCH(P$5,PORTS!$H$626:$Z$626,0))</f>
        <v>0</v>
      </c>
      <c r="P317" s="405">
        <f>(((VLOOKUP(L317,curvecalc,4,0))*IF(F317=0,0,J317/F317)-INDEX(ship_curves,MATCH(L317,'SHIP CURVES'!$A$9:$A$316,0),MATCH(CONCATENATE(P$4,P$5,P$6,P$7),'SHIP CURVES'!$A$9:$Z$9,0))-INDEX(terminal_curves,MATCH(L317,'TERMINAL CURVES'!$A$4:$A$313,0),MATCH(P$5,'TERMINAL CURVES'!$A$4:$N$4,0))*IF(F317=0,0,H317/F317))-(N$8)*((N$7-$N$5)-(INDEX(ship_curves,MATCH(L317,'SHIP CURVES'!$A$9:$A$316,0),MATCH(CONCATENATE(P$4,P$5,P$6,P$7),'SHIP CURVES'!$A$9:$Z$9,0))-INDEX(ship_curves,MATCH(L317,'SHIP CURVES'!$A$9:$A$316,0),MATCH(CONCATENATE(P$4,N$6,P$6,P$7),'SHIP CURVES'!$A$9:$Z$9,0)))-(INDEX(terminal_curves,MATCH(L317,'TERMINAL CURVES'!$A$4:$A$313,0),MATCH(P$5,'TERMINAL CURVES'!$A$4:$N$4,0))-INDEX(terminal_curves,MATCH(L317,'TERMINAL CURVES'!$A$4:$A$313,0),MATCH(N$6,'TERMINAL CURVES'!$A$4:$N$4,0)))*IF(F317=0,0,H317/F317)))*-F317</f>
        <v>0</v>
      </c>
      <c r="Q317" s="403">
        <f t="shared" si="131"/>
        <v>0</v>
      </c>
      <c r="R317" s="338">
        <f>(-H317/((HLOOKUP(P$5,port_specs,2,0)/(365.25))*(L318-L317)))*(INDEX(fixed_capacity_charge,MATCH(L317,PORTS!$H$11:$H$317,0),MATCH(P$5,PORTS!$H$11:$N$11,0))+INDEX(variable_om_charge,MATCH(L317,PORTS!$H$318:$H$625,0),MATCH(P$5,PORTS!$H$318:$N$318,0)))</f>
        <v>0</v>
      </c>
      <c r="S317" s="232">
        <f t="shared" si="132"/>
        <v>0</v>
      </c>
      <c r="T317" s="241">
        <f t="shared" si="133"/>
        <v>0</v>
      </c>
      <c r="V317" s="186">
        <f t="shared" si="148"/>
        <v>45809</v>
      </c>
      <c r="W317" s="215">
        <f t="shared" si="134"/>
        <v>0</v>
      </c>
      <c r="X317" s="191">
        <f t="shared" si="135"/>
        <v>0</v>
      </c>
      <c r="Y317" s="218">
        <f>+IF(AND(X$8&lt;=V317,X$9&gt;=V317),+MIN($B317-SUMIF($H$17:X$17,Y$17,$H317:X317),((INDEX(ROUTE_PER_DAY_BY_SHIP,MATCH(CONCATENATE(X$4,X$5,X$7),ROUTE_PER_DAY_ROUTES,0),MATCH(X$6,ROUTE_PER_DAY_SHIPS,0))*(V318-V317))-(INDEX(ROUTE_PER_DAY_BY_SHIP,MATCH(CONCATENATE(X$4,X$5,X$7),ROUTE_PER_DAY_ROUTES,0),MATCH(X$6,ROUTE_PER_DAY_SHIPS,0))*(V318-V317))*HLOOKUP(X$6,SHIPS,7,0)*INDEX(LADEN_VOYAGE_DAYS,MATCH(CONCATENATE(X$4,X$5,X$7),LADEN_VOYAGE_ROUTES,0),MATCH(X$6,LADEN_VOYAGE_SHIPS,0)))),0)</f>
        <v>0</v>
      </c>
      <c r="Z317" s="118">
        <f t="shared" si="136"/>
        <v>0</v>
      </c>
      <c r="AA317" s="215">
        <f t="shared" si="122"/>
        <v>0</v>
      </c>
      <c r="AB317" s="202"/>
      <c r="AC317" s="186">
        <f t="shared" si="149"/>
        <v>45809</v>
      </c>
      <c r="AD317" s="232">
        <f>+AA317*(VLOOKUP(AC317,CURVECALC!$C$6:$J$312,4,0)+AE$5)</f>
        <v>0</v>
      </c>
      <c r="AE317" s="208">
        <f>-W317*INDEX(ship_curves,MATCH(AC317,'SHIP CURVES'!$A$9:$A$316,0),MATCH(CONCATENATE(AG$4,AG$5,AG$6,AG$7),'SHIP CURVES'!$A$9:$AZ$9,0))</f>
        <v>0</v>
      </c>
      <c r="AF317" s="209">
        <f>-Y317*INDEX(port_processing_fee,MATCH(AC317,PORTS!$H$626:$H$933,0),MATCH(AG$5,PORTS!$H$626:$Z$626,0))</f>
        <v>0</v>
      </c>
      <c r="AG317" s="405">
        <f>(((VLOOKUP(AC317,curvecalc,4,0))*IF(W317=0,0,AA317/W317)-INDEX(ship_curves,MATCH(AC317,'SHIP CURVES'!$A$9:$A$316,0),MATCH(CONCATENATE(AG$4,AG$5,AG$6,AG$7),'SHIP CURVES'!$A$9:$Z$9,0))-INDEX(terminal_curves,MATCH(AC317,'TERMINAL CURVES'!$A$4:$A$313,0),MATCH(AG$5,'TERMINAL CURVES'!$A$4:$N$4,0))*IF(W317=0,0,Y317/W317))-(AE$8)*((AE$7-$N$5)-(INDEX(ship_curves,MATCH(AC317,'SHIP CURVES'!$A$9:$A$316,0),MATCH(CONCATENATE(AG$4,AG$5,AG$6,AG$7),'SHIP CURVES'!$A$9:$Z$9,0))-INDEX(ship_curves,MATCH(AC317,'SHIP CURVES'!$A$9:$A$316,0),MATCH(CONCATENATE(AG$4,AE$6,AG$6,AG$7),'SHIP CURVES'!$A$9:$Z$9,0)))-(INDEX(terminal_curves,MATCH(AC317,'TERMINAL CURVES'!$A$4:$A$313,0),MATCH(AG$5,'TERMINAL CURVES'!$A$4:$N$4,0))-INDEX(terminal_curves,MATCH(AC317,'TERMINAL CURVES'!$A$4:$A$313,0),MATCH(AE$6,'TERMINAL CURVES'!$A$4:$N$4,0)))*IF(W317=0,0,Y317/W317)))*-W317</f>
        <v>0</v>
      </c>
      <c r="AH317" s="343">
        <f t="shared" si="137"/>
        <v>0</v>
      </c>
      <c r="AI317" s="338">
        <f>(-Y317/((HLOOKUP(AG$5,port_specs,2,0)/(365.25))*(AC318-AC317)))*(INDEX(fixed_capacity_charge,MATCH(AC317,PORTS!$H$11:$H$317,0),MATCH(AG$5,PORTS!$H$11:$N$11,0))+INDEX(variable_om_charge,MATCH(AC317,PORTS!$H$318:$H$625,0),MATCH(AG$5,PORTS!$H$318:$N$318,0)))</f>
        <v>0</v>
      </c>
      <c r="AJ317" s="232">
        <f t="shared" si="138"/>
        <v>0</v>
      </c>
      <c r="AK317" s="241">
        <f t="shared" si="139"/>
        <v>0</v>
      </c>
      <c r="AM317" s="186">
        <f t="shared" si="150"/>
        <v>45809</v>
      </c>
      <c r="AN317" s="215">
        <f t="shared" si="140"/>
        <v>0</v>
      </c>
      <c r="AO317" s="191">
        <f t="shared" si="141"/>
        <v>0</v>
      </c>
      <c r="AP317" s="218">
        <f>+IF(AND(AO$8&lt;=AM317,AO$9&gt;=AM317),+MIN($B317-SUMIF($H$17:AO$17,AP$17,$H317:AO317),((INDEX(ROUTE_PER_DAY_BY_SHIP,MATCH(CONCATENATE(AO$4,AO$5,AO$7),ROUTE_PER_DAY_ROUTES,0),MATCH(AO$6,ROUTE_PER_DAY_SHIPS,0))*(AM318-AM317))-(INDEX(ROUTE_PER_DAY_BY_SHIP,MATCH(CONCATENATE(AO$4,AO$5,AO$7),ROUTE_PER_DAY_ROUTES,0),MATCH(AO$6,ROUTE_PER_DAY_SHIPS,0))*(AM318-AM317))*HLOOKUP(AO$6,SHIPS,7,0)*INDEX(LADEN_VOYAGE_DAYS,MATCH(CONCATENATE(AO$4,AO$5,AO$7),LADEN_VOYAGE_ROUTES,0),MATCH(AO$6,LADEN_VOYAGE_SHIPS,0)))),0)</f>
        <v>0</v>
      </c>
      <c r="AQ317" s="118">
        <f>-(AP317)*PORTS!$I$6</f>
        <v>0</v>
      </c>
      <c r="AR317" s="215">
        <f t="shared" si="123"/>
        <v>0</v>
      </c>
      <c r="AS317" s="202"/>
      <c r="AT317" s="186">
        <f t="shared" si="151"/>
        <v>45809</v>
      </c>
      <c r="AU317" s="232">
        <f>+AR317*(VLOOKUP(AT317,CURVECALC!$C$6:$J$312,4,0)+AV$5)</f>
        <v>0</v>
      </c>
      <c r="AV317" s="208">
        <f>-AN317*INDEX(ship_curves,MATCH(AT317,'SHIP CURVES'!$A$9:$A$316,0),MATCH(CONCATENATE(AX$4,AX$5,AX$6,AX$7),'SHIP CURVES'!$A$9:$AZ$9,0))</f>
        <v>0</v>
      </c>
      <c r="AW317" s="209">
        <f>-AP317*INDEX(port_processing_fee,MATCH(AT317,PORTS!$H$626:$H$933,0),MATCH(AX$5,PORTS!$H$626:$Z$626,0))</f>
        <v>0</v>
      </c>
      <c r="AX317" s="405">
        <f>(((VLOOKUP(AT317,curvecalc,4,0))*IF(AN317=0,0,AR317/AN317)-INDEX(ship_curves,MATCH(AT317,'SHIP CURVES'!$A$9:$A$316,0),MATCH(CONCATENATE(AX$4,AX$5,AX$6,AX$7),'SHIP CURVES'!$A$9:$Z$9,0))-INDEX(terminal_curves,MATCH(AT317,'TERMINAL CURVES'!$A$4:$A$313,0),MATCH(AX$5,'TERMINAL CURVES'!$A$4:$N$4,0))*IF(AN317=0,0,AP317/AN317))-(AV$8)*((AV$7-$N$5)-(INDEX(ship_curves,MATCH(AT317,'SHIP CURVES'!$A$9:$A$316,0),MATCH(CONCATENATE(AX$4,AX$5,AX$6,AX$7),'SHIP CURVES'!$A$9:$Z$9,0))-INDEX(ship_curves,MATCH(AT317,'SHIP CURVES'!$A$9:$A$316,0),MATCH(CONCATENATE(AX$4,AV$6,AX$6,AX$7),'SHIP CURVES'!$A$9:$Z$9,0)))-(INDEX(terminal_curves,MATCH(AT317,'TERMINAL CURVES'!$A$4:$A$313,0),MATCH(AX$5,'TERMINAL CURVES'!$A$4:$N$4,0))-INDEX(terminal_curves,MATCH(AT317,'TERMINAL CURVES'!$A$4:$A$313,0),MATCH(AV$6,'TERMINAL CURVES'!$A$4:$N$4,0)))*IF(AN317=0,0,AP317/AN317)))*-AN317</f>
        <v>0</v>
      </c>
      <c r="AY317" s="343">
        <f t="shared" si="142"/>
        <v>0</v>
      </c>
      <c r="AZ317" s="338">
        <f>(-AP317/((HLOOKUP(AX$5,port_specs,2,0)/(365.25))*(AT318-AT317)))*(INDEX(fixed_capacity_charge,MATCH(AT317,PORTS!$H$11:$H$317,0),MATCH(AX$5,PORTS!$H$11:$N$11,0))+INDEX(variable_om_charge,MATCH(AT317,PORTS!$H$318:$H$625,0),MATCH(AX$5,PORTS!$H$318:$N$318,0)))</f>
        <v>0</v>
      </c>
      <c r="BA317" s="232">
        <f t="shared" si="143"/>
        <v>0</v>
      </c>
      <c r="BB317" s="241">
        <f t="shared" si="144"/>
        <v>0</v>
      </c>
      <c r="BC317" s="408"/>
      <c r="BD317" s="338">
        <f>+PORTS!I311+PORTS!I619</f>
        <v>0</v>
      </c>
    </row>
    <row r="318" spans="1:56" x14ac:dyDescent="0.2">
      <c r="A318" s="186">
        <f t="shared" si="145"/>
        <v>45839</v>
      </c>
      <c r="B318" s="215">
        <f>+IF(AND($A318&gt;=$C$8,$A318&lt;=$C$9),1,0)*PORTS!$I$5/(365.25)*(A319-A318)</f>
        <v>0</v>
      </c>
      <c r="C318" s="351">
        <f t="shared" si="124"/>
        <v>0</v>
      </c>
      <c r="D318">
        <f t="shared" si="125"/>
        <v>2025</v>
      </c>
      <c r="E318" s="186">
        <f t="shared" si="146"/>
        <v>45839</v>
      </c>
      <c r="F318" s="215">
        <f t="shared" si="126"/>
        <v>0</v>
      </c>
      <c r="G318" s="191">
        <f t="shared" si="127"/>
        <v>0</v>
      </c>
      <c r="H318" s="218">
        <f t="shared" si="128"/>
        <v>0</v>
      </c>
      <c r="I318" s="118">
        <f t="shared" si="129"/>
        <v>0</v>
      </c>
      <c r="J318" s="215">
        <f t="shared" si="130"/>
        <v>0</v>
      </c>
      <c r="K318" s="202"/>
      <c r="L318" s="186">
        <f t="shared" si="147"/>
        <v>45839</v>
      </c>
      <c r="M318" s="400">
        <f>+J318*(VLOOKUP(L318,CURVECALC!$C$6:$J$312,4,0)+N$5)</f>
        <v>0</v>
      </c>
      <c r="N318" s="208">
        <f>-F318*INDEX(ship_curves,MATCH(L318,'SHIP CURVES'!$A$9:$A$316,0),MATCH(CONCATENATE(P$4,P$5,P$6,P$7),'SHIP CURVES'!$A$9:$AZ$9,0))</f>
        <v>0</v>
      </c>
      <c r="O318" s="209">
        <f>-H318*INDEX(port_processing_fee,MATCH(L318,PORTS!$H$626:$H$933,0),MATCH(P$5,PORTS!$H$626:$Z$626,0))</f>
        <v>0</v>
      </c>
      <c r="P318" s="405">
        <f>(((VLOOKUP(L318,curvecalc,4,0))*IF(F318=0,0,J318/F318)-INDEX(ship_curves,MATCH(L318,'SHIP CURVES'!$A$9:$A$316,0),MATCH(CONCATENATE(P$4,P$5,P$6,P$7),'SHIP CURVES'!$A$9:$Z$9,0))-INDEX(terminal_curves,MATCH(L318,'TERMINAL CURVES'!$A$4:$A$313,0),MATCH(P$5,'TERMINAL CURVES'!$A$4:$N$4,0))*IF(F318=0,0,H318/F318))-(N$8)*((N$7-$N$5)-(INDEX(ship_curves,MATCH(L318,'SHIP CURVES'!$A$9:$A$316,0),MATCH(CONCATENATE(P$4,P$5,P$6,P$7),'SHIP CURVES'!$A$9:$Z$9,0))-INDEX(ship_curves,MATCH(L318,'SHIP CURVES'!$A$9:$A$316,0),MATCH(CONCATENATE(P$4,N$6,P$6,P$7),'SHIP CURVES'!$A$9:$Z$9,0)))-(INDEX(terminal_curves,MATCH(L318,'TERMINAL CURVES'!$A$4:$A$313,0),MATCH(P$5,'TERMINAL CURVES'!$A$4:$N$4,0))-INDEX(terminal_curves,MATCH(L318,'TERMINAL CURVES'!$A$4:$A$313,0),MATCH(N$6,'TERMINAL CURVES'!$A$4:$N$4,0)))*IF(F318=0,0,H318/F318)))*-F318</f>
        <v>0</v>
      </c>
      <c r="Q318" s="403">
        <f t="shared" si="131"/>
        <v>0</v>
      </c>
      <c r="R318" s="338">
        <f>(-H318/((HLOOKUP(P$5,port_specs,2,0)/(365.25))*(L319-L318)))*(INDEX(fixed_capacity_charge,MATCH(L318,PORTS!$H$11:$H$317,0),MATCH(P$5,PORTS!$H$11:$N$11,0))+INDEX(variable_om_charge,MATCH(L318,PORTS!$H$318:$H$625,0),MATCH(P$5,PORTS!$H$318:$N$318,0)))</f>
        <v>0</v>
      </c>
      <c r="S318" s="232">
        <f t="shared" si="132"/>
        <v>0</v>
      </c>
      <c r="T318" s="241">
        <f t="shared" si="133"/>
        <v>0</v>
      </c>
      <c r="V318" s="186">
        <f t="shared" si="148"/>
        <v>45839</v>
      </c>
      <c r="W318" s="215">
        <f t="shared" si="134"/>
        <v>0</v>
      </c>
      <c r="X318" s="191">
        <f t="shared" si="135"/>
        <v>0</v>
      </c>
      <c r="Y318" s="218">
        <f>+IF(AND(X$8&lt;=V318,X$9&gt;=V318),+MIN($B318-SUMIF($H$17:X$17,Y$17,$H318:X318),((INDEX(ROUTE_PER_DAY_BY_SHIP,MATCH(CONCATENATE(X$4,X$5,X$7),ROUTE_PER_DAY_ROUTES,0),MATCH(X$6,ROUTE_PER_DAY_SHIPS,0))*(V319-V318))-(INDEX(ROUTE_PER_DAY_BY_SHIP,MATCH(CONCATENATE(X$4,X$5,X$7),ROUTE_PER_DAY_ROUTES,0),MATCH(X$6,ROUTE_PER_DAY_SHIPS,0))*(V319-V318))*HLOOKUP(X$6,SHIPS,7,0)*INDEX(LADEN_VOYAGE_DAYS,MATCH(CONCATENATE(X$4,X$5,X$7),LADEN_VOYAGE_ROUTES,0),MATCH(X$6,LADEN_VOYAGE_SHIPS,0)))),0)</f>
        <v>0</v>
      </c>
      <c r="Z318" s="118">
        <f t="shared" si="136"/>
        <v>0</v>
      </c>
      <c r="AA318" s="215">
        <f t="shared" si="122"/>
        <v>0</v>
      </c>
      <c r="AB318" s="202"/>
      <c r="AC318" s="186">
        <f t="shared" si="149"/>
        <v>45839</v>
      </c>
      <c r="AD318" s="232">
        <f>+AA318*(VLOOKUP(AC318,CURVECALC!$C$6:$J$312,4,0)+AE$5)</f>
        <v>0</v>
      </c>
      <c r="AE318" s="208">
        <f>-W318*INDEX(ship_curves,MATCH(AC318,'SHIP CURVES'!$A$9:$A$316,0),MATCH(CONCATENATE(AG$4,AG$5,AG$6,AG$7),'SHIP CURVES'!$A$9:$AZ$9,0))</f>
        <v>0</v>
      </c>
      <c r="AF318" s="209">
        <f>-Y318*INDEX(port_processing_fee,MATCH(AC318,PORTS!$H$626:$H$933,0),MATCH(AG$5,PORTS!$H$626:$Z$626,0))</f>
        <v>0</v>
      </c>
      <c r="AG318" s="405">
        <f>(((VLOOKUP(AC318,curvecalc,4,0))*IF(W318=0,0,AA318/W318)-INDEX(ship_curves,MATCH(AC318,'SHIP CURVES'!$A$9:$A$316,0),MATCH(CONCATENATE(AG$4,AG$5,AG$6,AG$7),'SHIP CURVES'!$A$9:$Z$9,0))-INDEX(terminal_curves,MATCH(AC318,'TERMINAL CURVES'!$A$4:$A$313,0),MATCH(AG$5,'TERMINAL CURVES'!$A$4:$N$4,0))*IF(W318=0,0,Y318/W318))-(AE$8)*((AE$7-$N$5)-(INDEX(ship_curves,MATCH(AC318,'SHIP CURVES'!$A$9:$A$316,0),MATCH(CONCATENATE(AG$4,AG$5,AG$6,AG$7),'SHIP CURVES'!$A$9:$Z$9,0))-INDEX(ship_curves,MATCH(AC318,'SHIP CURVES'!$A$9:$A$316,0),MATCH(CONCATENATE(AG$4,AE$6,AG$6,AG$7),'SHIP CURVES'!$A$9:$Z$9,0)))-(INDEX(terminal_curves,MATCH(AC318,'TERMINAL CURVES'!$A$4:$A$313,0),MATCH(AG$5,'TERMINAL CURVES'!$A$4:$N$4,0))-INDEX(terminal_curves,MATCH(AC318,'TERMINAL CURVES'!$A$4:$A$313,0),MATCH(AE$6,'TERMINAL CURVES'!$A$4:$N$4,0)))*IF(W318=0,0,Y318/W318)))*-W318</f>
        <v>0</v>
      </c>
      <c r="AH318" s="343">
        <f t="shared" si="137"/>
        <v>0</v>
      </c>
      <c r="AI318" s="338">
        <f>(-Y318/((HLOOKUP(AG$5,port_specs,2,0)/(365.25))*(AC319-AC318)))*(INDEX(fixed_capacity_charge,MATCH(AC318,PORTS!$H$11:$H$317,0),MATCH(AG$5,PORTS!$H$11:$N$11,0))+INDEX(variable_om_charge,MATCH(AC318,PORTS!$H$318:$H$625,0),MATCH(AG$5,PORTS!$H$318:$N$318,0)))</f>
        <v>0</v>
      </c>
      <c r="AJ318" s="232">
        <f t="shared" si="138"/>
        <v>0</v>
      </c>
      <c r="AK318" s="241">
        <f t="shared" si="139"/>
        <v>0</v>
      </c>
      <c r="AM318" s="186">
        <f t="shared" si="150"/>
        <v>45839</v>
      </c>
      <c r="AN318" s="215">
        <f t="shared" si="140"/>
        <v>0</v>
      </c>
      <c r="AO318" s="191">
        <f t="shared" si="141"/>
        <v>0</v>
      </c>
      <c r="AP318" s="218">
        <f>+IF(AND(AO$8&lt;=AM318,AO$9&gt;=AM318),+MIN($B318-SUMIF($H$17:AO$17,AP$17,$H318:AO318),((INDEX(ROUTE_PER_DAY_BY_SHIP,MATCH(CONCATENATE(AO$4,AO$5,AO$7),ROUTE_PER_DAY_ROUTES,0),MATCH(AO$6,ROUTE_PER_DAY_SHIPS,0))*(AM319-AM318))-(INDEX(ROUTE_PER_DAY_BY_SHIP,MATCH(CONCATENATE(AO$4,AO$5,AO$7),ROUTE_PER_DAY_ROUTES,0),MATCH(AO$6,ROUTE_PER_DAY_SHIPS,0))*(AM319-AM318))*HLOOKUP(AO$6,SHIPS,7,0)*INDEX(LADEN_VOYAGE_DAYS,MATCH(CONCATENATE(AO$4,AO$5,AO$7),LADEN_VOYAGE_ROUTES,0),MATCH(AO$6,LADEN_VOYAGE_SHIPS,0)))),0)</f>
        <v>0</v>
      </c>
      <c r="AQ318" s="118">
        <f>-(AP318)*PORTS!$I$6</f>
        <v>0</v>
      </c>
      <c r="AR318" s="215">
        <f t="shared" si="123"/>
        <v>0</v>
      </c>
      <c r="AS318" s="202"/>
      <c r="AT318" s="186">
        <f t="shared" si="151"/>
        <v>45839</v>
      </c>
      <c r="AU318" s="232">
        <f>+AR318*(VLOOKUP(AT318,CURVECALC!$C$6:$J$312,4,0)+AV$5)</f>
        <v>0</v>
      </c>
      <c r="AV318" s="208">
        <f>-AN318*INDEX(ship_curves,MATCH(AT318,'SHIP CURVES'!$A$9:$A$316,0),MATCH(CONCATENATE(AX$4,AX$5,AX$6,AX$7),'SHIP CURVES'!$A$9:$AZ$9,0))</f>
        <v>0</v>
      </c>
      <c r="AW318" s="209">
        <f>-AP318*INDEX(port_processing_fee,MATCH(AT318,PORTS!$H$626:$H$933,0),MATCH(AX$5,PORTS!$H$626:$Z$626,0))</f>
        <v>0</v>
      </c>
      <c r="AX318" s="405">
        <f>(((VLOOKUP(AT318,curvecalc,4,0))*IF(AN318=0,0,AR318/AN318)-INDEX(ship_curves,MATCH(AT318,'SHIP CURVES'!$A$9:$A$316,0),MATCH(CONCATENATE(AX$4,AX$5,AX$6,AX$7),'SHIP CURVES'!$A$9:$Z$9,0))-INDEX(terminal_curves,MATCH(AT318,'TERMINAL CURVES'!$A$4:$A$313,0),MATCH(AX$5,'TERMINAL CURVES'!$A$4:$N$4,0))*IF(AN318=0,0,AP318/AN318))-(AV$8)*((AV$7-$N$5)-(INDEX(ship_curves,MATCH(AT318,'SHIP CURVES'!$A$9:$A$316,0),MATCH(CONCATENATE(AX$4,AX$5,AX$6,AX$7),'SHIP CURVES'!$A$9:$Z$9,0))-INDEX(ship_curves,MATCH(AT318,'SHIP CURVES'!$A$9:$A$316,0),MATCH(CONCATENATE(AX$4,AV$6,AX$6,AX$7),'SHIP CURVES'!$A$9:$Z$9,0)))-(INDEX(terminal_curves,MATCH(AT318,'TERMINAL CURVES'!$A$4:$A$313,0),MATCH(AX$5,'TERMINAL CURVES'!$A$4:$N$4,0))-INDEX(terminal_curves,MATCH(AT318,'TERMINAL CURVES'!$A$4:$A$313,0),MATCH(AV$6,'TERMINAL CURVES'!$A$4:$N$4,0)))*IF(AN318=0,0,AP318/AN318)))*-AN318</f>
        <v>0</v>
      </c>
      <c r="AY318" s="343">
        <f t="shared" si="142"/>
        <v>0</v>
      </c>
      <c r="AZ318" s="338">
        <f>(-AP318/((HLOOKUP(AX$5,port_specs,2,0)/(365.25))*(AT319-AT318)))*(INDEX(fixed_capacity_charge,MATCH(AT318,PORTS!$H$11:$H$317,0),MATCH(AX$5,PORTS!$H$11:$N$11,0))+INDEX(variable_om_charge,MATCH(AT318,PORTS!$H$318:$H$625,0),MATCH(AX$5,PORTS!$H$318:$N$318,0)))</f>
        <v>0</v>
      </c>
      <c r="BA318" s="232">
        <f t="shared" si="143"/>
        <v>0</v>
      </c>
      <c r="BB318" s="241">
        <f t="shared" si="144"/>
        <v>0</v>
      </c>
      <c r="BC318" s="408"/>
      <c r="BD318" s="338">
        <f>+PORTS!I312+PORTS!I620</f>
        <v>0</v>
      </c>
    </row>
    <row r="319" spans="1:56" x14ac:dyDescent="0.2">
      <c r="A319" s="186">
        <f t="shared" si="145"/>
        <v>45870</v>
      </c>
      <c r="B319" s="215">
        <f>+IF(AND($A319&gt;=$C$8,$A319&lt;=$C$9),1,0)*PORTS!$I$5/(365.25)*(A320-A319)</f>
        <v>0</v>
      </c>
      <c r="C319" s="351">
        <f t="shared" si="124"/>
        <v>0</v>
      </c>
      <c r="D319">
        <f t="shared" si="125"/>
        <v>2025</v>
      </c>
      <c r="E319" s="186">
        <f t="shared" si="146"/>
        <v>45870</v>
      </c>
      <c r="F319" s="215">
        <f t="shared" si="126"/>
        <v>0</v>
      </c>
      <c r="G319" s="191">
        <f t="shared" si="127"/>
        <v>0</v>
      </c>
      <c r="H319" s="218">
        <f t="shared" si="128"/>
        <v>0</v>
      </c>
      <c r="I319" s="118">
        <f t="shared" si="129"/>
        <v>0</v>
      </c>
      <c r="J319" s="215">
        <f t="shared" si="130"/>
        <v>0</v>
      </c>
      <c r="K319" s="202"/>
      <c r="L319" s="186">
        <f t="shared" si="147"/>
        <v>45870</v>
      </c>
      <c r="M319" s="400">
        <f>+J319*(VLOOKUP(L319,CURVECALC!$C$6:$J$312,4,0)+N$5)</f>
        <v>0</v>
      </c>
      <c r="N319" s="208">
        <f>-F319*INDEX(ship_curves,MATCH(L319,'SHIP CURVES'!$A$9:$A$316,0),MATCH(CONCATENATE(P$4,P$5,P$6,P$7),'SHIP CURVES'!$A$9:$AZ$9,0))</f>
        <v>0</v>
      </c>
      <c r="O319" s="209">
        <f>-H319*INDEX(port_processing_fee,MATCH(L319,PORTS!$H$626:$H$933,0),MATCH(P$5,PORTS!$H$626:$Z$626,0))</f>
        <v>0</v>
      </c>
      <c r="P319" s="405">
        <f>(((VLOOKUP(L319,curvecalc,4,0))*IF(F319=0,0,J319/F319)-INDEX(ship_curves,MATCH(L319,'SHIP CURVES'!$A$9:$A$316,0),MATCH(CONCATENATE(P$4,P$5,P$6,P$7),'SHIP CURVES'!$A$9:$Z$9,0))-INDEX(terminal_curves,MATCH(L319,'TERMINAL CURVES'!$A$4:$A$313,0),MATCH(P$5,'TERMINAL CURVES'!$A$4:$N$4,0))*IF(F319=0,0,H319/F319))-(N$8)*((N$7-$N$5)-(INDEX(ship_curves,MATCH(L319,'SHIP CURVES'!$A$9:$A$316,0),MATCH(CONCATENATE(P$4,P$5,P$6,P$7),'SHIP CURVES'!$A$9:$Z$9,0))-INDEX(ship_curves,MATCH(L319,'SHIP CURVES'!$A$9:$A$316,0),MATCH(CONCATENATE(P$4,N$6,P$6,P$7),'SHIP CURVES'!$A$9:$Z$9,0)))-(INDEX(terminal_curves,MATCH(L319,'TERMINAL CURVES'!$A$4:$A$313,0),MATCH(P$5,'TERMINAL CURVES'!$A$4:$N$4,0))-INDEX(terminal_curves,MATCH(L319,'TERMINAL CURVES'!$A$4:$A$313,0),MATCH(N$6,'TERMINAL CURVES'!$A$4:$N$4,0)))*IF(F319=0,0,H319/F319)))*-F319</f>
        <v>0</v>
      </c>
      <c r="Q319" s="403">
        <f t="shared" si="131"/>
        <v>0</v>
      </c>
      <c r="R319" s="338">
        <f>(-H319/((HLOOKUP(P$5,port_specs,2,0)/(365.25))*(L320-L319)))*(INDEX(fixed_capacity_charge,MATCH(L319,PORTS!$H$11:$H$317,0),MATCH(P$5,PORTS!$H$11:$N$11,0))+INDEX(variable_om_charge,MATCH(L319,PORTS!$H$318:$H$625,0),MATCH(P$5,PORTS!$H$318:$N$318,0)))</f>
        <v>0</v>
      </c>
      <c r="S319" s="232">
        <f t="shared" si="132"/>
        <v>0</v>
      </c>
      <c r="T319" s="241">
        <f t="shared" si="133"/>
        <v>0</v>
      </c>
      <c r="V319" s="186">
        <f t="shared" si="148"/>
        <v>45870</v>
      </c>
      <c r="W319" s="215">
        <f t="shared" si="134"/>
        <v>0</v>
      </c>
      <c r="X319" s="191">
        <f t="shared" si="135"/>
        <v>0</v>
      </c>
      <c r="Y319" s="218">
        <f>+IF(AND(X$8&lt;=V319,X$9&gt;=V319),+MIN($B319-SUMIF($H$17:X$17,Y$17,$H319:X319),((INDEX(ROUTE_PER_DAY_BY_SHIP,MATCH(CONCATENATE(X$4,X$5,X$7),ROUTE_PER_DAY_ROUTES,0),MATCH(X$6,ROUTE_PER_DAY_SHIPS,0))*(V320-V319))-(INDEX(ROUTE_PER_DAY_BY_SHIP,MATCH(CONCATENATE(X$4,X$5,X$7),ROUTE_PER_DAY_ROUTES,0),MATCH(X$6,ROUTE_PER_DAY_SHIPS,0))*(V320-V319))*HLOOKUP(X$6,SHIPS,7,0)*INDEX(LADEN_VOYAGE_DAYS,MATCH(CONCATENATE(X$4,X$5,X$7),LADEN_VOYAGE_ROUTES,0),MATCH(X$6,LADEN_VOYAGE_SHIPS,0)))),0)</f>
        <v>0</v>
      </c>
      <c r="Z319" s="118">
        <f t="shared" si="136"/>
        <v>0</v>
      </c>
      <c r="AA319" s="215">
        <f t="shared" si="122"/>
        <v>0</v>
      </c>
      <c r="AB319" s="202"/>
      <c r="AC319" s="186">
        <f t="shared" si="149"/>
        <v>45870</v>
      </c>
      <c r="AD319" s="232">
        <f>+AA319*(VLOOKUP(AC319,CURVECALC!$C$6:$J$312,4,0)+AE$5)</f>
        <v>0</v>
      </c>
      <c r="AE319" s="208">
        <f>-W319*INDEX(ship_curves,MATCH(AC319,'SHIP CURVES'!$A$9:$A$316,0),MATCH(CONCATENATE(AG$4,AG$5,AG$6,AG$7),'SHIP CURVES'!$A$9:$AZ$9,0))</f>
        <v>0</v>
      </c>
      <c r="AF319" s="209">
        <f>-Y319*INDEX(port_processing_fee,MATCH(AC319,PORTS!$H$626:$H$933,0),MATCH(AG$5,PORTS!$H$626:$Z$626,0))</f>
        <v>0</v>
      </c>
      <c r="AG319" s="405">
        <f>(((VLOOKUP(AC319,curvecalc,4,0))*IF(W319=0,0,AA319/W319)-INDEX(ship_curves,MATCH(AC319,'SHIP CURVES'!$A$9:$A$316,0),MATCH(CONCATENATE(AG$4,AG$5,AG$6,AG$7),'SHIP CURVES'!$A$9:$Z$9,0))-INDEX(terminal_curves,MATCH(AC319,'TERMINAL CURVES'!$A$4:$A$313,0),MATCH(AG$5,'TERMINAL CURVES'!$A$4:$N$4,0))*IF(W319=0,0,Y319/W319))-(AE$8)*((AE$7-$N$5)-(INDEX(ship_curves,MATCH(AC319,'SHIP CURVES'!$A$9:$A$316,0),MATCH(CONCATENATE(AG$4,AG$5,AG$6,AG$7),'SHIP CURVES'!$A$9:$Z$9,0))-INDEX(ship_curves,MATCH(AC319,'SHIP CURVES'!$A$9:$A$316,0),MATCH(CONCATENATE(AG$4,AE$6,AG$6,AG$7),'SHIP CURVES'!$A$9:$Z$9,0)))-(INDEX(terminal_curves,MATCH(AC319,'TERMINAL CURVES'!$A$4:$A$313,0),MATCH(AG$5,'TERMINAL CURVES'!$A$4:$N$4,0))-INDEX(terminal_curves,MATCH(AC319,'TERMINAL CURVES'!$A$4:$A$313,0),MATCH(AE$6,'TERMINAL CURVES'!$A$4:$N$4,0)))*IF(W319=0,0,Y319/W319)))*-W319</f>
        <v>0</v>
      </c>
      <c r="AH319" s="343">
        <f t="shared" si="137"/>
        <v>0</v>
      </c>
      <c r="AI319" s="338">
        <f>(-Y319/((HLOOKUP(AG$5,port_specs,2,0)/(365.25))*(AC320-AC319)))*(INDEX(fixed_capacity_charge,MATCH(AC319,PORTS!$H$11:$H$317,0),MATCH(AG$5,PORTS!$H$11:$N$11,0))+INDEX(variable_om_charge,MATCH(AC319,PORTS!$H$318:$H$625,0),MATCH(AG$5,PORTS!$H$318:$N$318,0)))</f>
        <v>0</v>
      </c>
      <c r="AJ319" s="232">
        <f t="shared" si="138"/>
        <v>0</v>
      </c>
      <c r="AK319" s="241">
        <f t="shared" si="139"/>
        <v>0</v>
      </c>
      <c r="AM319" s="186">
        <f t="shared" si="150"/>
        <v>45870</v>
      </c>
      <c r="AN319" s="215">
        <f t="shared" si="140"/>
        <v>0</v>
      </c>
      <c r="AO319" s="191">
        <f t="shared" si="141"/>
        <v>0</v>
      </c>
      <c r="AP319" s="218">
        <f>+IF(AND(AO$8&lt;=AM319,AO$9&gt;=AM319),+MIN($B319-SUMIF($H$17:AO$17,AP$17,$H319:AO319),((INDEX(ROUTE_PER_DAY_BY_SHIP,MATCH(CONCATENATE(AO$4,AO$5,AO$7),ROUTE_PER_DAY_ROUTES,0),MATCH(AO$6,ROUTE_PER_DAY_SHIPS,0))*(AM320-AM319))-(INDEX(ROUTE_PER_DAY_BY_SHIP,MATCH(CONCATENATE(AO$4,AO$5,AO$7),ROUTE_PER_DAY_ROUTES,0),MATCH(AO$6,ROUTE_PER_DAY_SHIPS,0))*(AM320-AM319))*HLOOKUP(AO$6,SHIPS,7,0)*INDEX(LADEN_VOYAGE_DAYS,MATCH(CONCATENATE(AO$4,AO$5,AO$7),LADEN_VOYAGE_ROUTES,0),MATCH(AO$6,LADEN_VOYAGE_SHIPS,0)))),0)</f>
        <v>0</v>
      </c>
      <c r="AQ319" s="118">
        <f>-(AP319)*PORTS!$I$6</f>
        <v>0</v>
      </c>
      <c r="AR319" s="215">
        <f t="shared" si="123"/>
        <v>0</v>
      </c>
      <c r="AS319" s="202"/>
      <c r="AT319" s="186">
        <f t="shared" si="151"/>
        <v>45870</v>
      </c>
      <c r="AU319" s="232">
        <f>+AR319*(VLOOKUP(AT319,CURVECALC!$C$6:$J$312,4,0)+AV$5)</f>
        <v>0</v>
      </c>
      <c r="AV319" s="208">
        <f>-AN319*INDEX(ship_curves,MATCH(AT319,'SHIP CURVES'!$A$9:$A$316,0),MATCH(CONCATENATE(AX$4,AX$5,AX$6,AX$7),'SHIP CURVES'!$A$9:$AZ$9,0))</f>
        <v>0</v>
      </c>
      <c r="AW319" s="209">
        <f>-AP319*INDEX(port_processing_fee,MATCH(AT319,PORTS!$H$626:$H$933,0),MATCH(AX$5,PORTS!$H$626:$Z$626,0))</f>
        <v>0</v>
      </c>
      <c r="AX319" s="405">
        <f>(((VLOOKUP(AT319,curvecalc,4,0))*IF(AN319=0,0,AR319/AN319)-INDEX(ship_curves,MATCH(AT319,'SHIP CURVES'!$A$9:$A$316,0),MATCH(CONCATENATE(AX$4,AX$5,AX$6,AX$7),'SHIP CURVES'!$A$9:$Z$9,0))-INDEX(terminal_curves,MATCH(AT319,'TERMINAL CURVES'!$A$4:$A$313,0),MATCH(AX$5,'TERMINAL CURVES'!$A$4:$N$4,0))*IF(AN319=0,0,AP319/AN319))-(AV$8)*((AV$7-$N$5)-(INDEX(ship_curves,MATCH(AT319,'SHIP CURVES'!$A$9:$A$316,0),MATCH(CONCATENATE(AX$4,AX$5,AX$6,AX$7),'SHIP CURVES'!$A$9:$Z$9,0))-INDEX(ship_curves,MATCH(AT319,'SHIP CURVES'!$A$9:$A$316,0),MATCH(CONCATENATE(AX$4,AV$6,AX$6,AX$7),'SHIP CURVES'!$A$9:$Z$9,0)))-(INDEX(terminal_curves,MATCH(AT319,'TERMINAL CURVES'!$A$4:$A$313,0),MATCH(AX$5,'TERMINAL CURVES'!$A$4:$N$4,0))-INDEX(terminal_curves,MATCH(AT319,'TERMINAL CURVES'!$A$4:$A$313,0),MATCH(AV$6,'TERMINAL CURVES'!$A$4:$N$4,0)))*IF(AN319=0,0,AP319/AN319)))*-AN319</f>
        <v>0</v>
      </c>
      <c r="AY319" s="343">
        <f t="shared" si="142"/>
        <v>0</v>
      </c>
      <c r="AZ319" s="338">
        <f>(-AP319/((HLOOKUP(AX$5,port_specs,2,0)/(365.25))*(AT320-AT319)))*(INDEX(fixed_capacity_charge,MATCH(AT319,PORTS!$H$11:$H$317,0),MATCH(AX$5,PORTS!$H$11:$N$11,0))+INDEX(variable_om_charge,MATCH(AT319,PORTS!$H$318:$H$625,0),MATCH(AX$5,PORTS!$H$318:$N$318,0)))</f>
        <v>0</v>
      </c>
      <c r="BA319" s="232">
        <f t="shared" si="143"/>
        <v>0</v>
      </c>
      <c r="BB319" s="241">
        <f t="shared" si="144"/>
        <v>0</v>
      </c>
      <c r="BC319" s="408"/>
      <c r="BD319" s="338">
        <f>+PORTS!I313+PORTS!I621</f>
        <v>0</v>
      </c>
    </row>
    <row r="320" spans="1:56" x14ac:dyDescent="0.2">
      <c r="A320" s="186">
        <f t="shared" si="145"/>
        <v>45901</v>
      </c>
      <c r="B320" s="215">
        <f>+IF(AND($A320&gt;=$C$8,$A320&lt;=$C$9),1,0)*PORTS!$I$5/(365.25)*(A321-A320)</f>
        <v>0</v>
      </c>
      <c r="C320" s="351">
        <f t="shared" si="124"/>
        <v>0</v>
      </c>
      <c r="D320">
        <f t="shared" si="125"/>
        <v>2025</v>
      </c>
      <c r="E320" s="186">
        <f t="shared" si="146"/>
        <v>45901</v>
      </c>
      <c r="F320" s="215">
        <f t="shared" si="126"/>
        <v>0</v>
      </c>
      <c r="G320" s="191">
        <f t="shared" si="127"/>
        <v>0</v>
      </c>
      <c r="H320" s="218">
        <f t="shared" si="128"/>
        <v>0</v>
      </c>
      <c r="I320" s="118">
        <f t="shared" si="129"/>
        <v>0</v>
      </c>
      <c r="J320" s="215">
        <f t="shared" si="130"/>
        <v>0</v>
      </c>
      <c r="K320" s="202"/>
      <c r="L320" s="186">
        <f t="shared" si="147"/>
        <v>45901</v>
      </c>
      <c r="M320" s="400">
        <f>+J320*(VLOOKUP(L320,CURVECALC!$C$6:$J$312,4,0)+N$5)</f>
        <v>0</v>
      </c>
      <c r="N320" s="208">
        <f>-F320*INDEX(ship_curves,MATCH(L320,'SHIP CURVES'!$A$9:$A$316,0),MATCH(CONCATENATE(P$4,P$5,P$6,P$7),'SHIP CURVES'!$A$9:$AZ$9,0))</f>
        <v>0</v>
      </c>
      <c r="O320" s="209">
        <f>-H320*INDEX(port_processing_fee,MATCH(L320,PORTS!$H$626:$H$933,0),MATCH(P$5,PORTS!$H$626:$Z$626,0))</f>
        <v>0</v>
      </c>
      <c r="P320" s="405">
        <f>(((VLOOKUP(L320,curvecalc,4,0))*IF(F320=0,0,J320/F320)-INDEX(ship_curves,MATCH(L320,'SHIP CURVES'!$A$9:$A$316,0),MATCH(CONCATENATE(P$4,P$5,P$6,P$7),'SHIP CURVES'!$A$9:$Z$9,0))-INDEX(terminal_curves,MATCH(L320,'TERMINAL CURVES'!$A$4:$A$313,0),MATCH(P$5,'TERMINAL CURVES'!$A$4:$N$4,0))*IF(F320=0,0,H320/F320))-(N$8)*((N$7-$N$5)-(INDEX(ship_curves,MATCH(L320,'SHIP CURVES'!$A$9:$A$316,0),MATCH(CONCATENATE(P$4,P$5,P$6,P$7),'SHIP CURVES'!$A$9:$Z$9,0))-INDEX(ship_curves,MATCH(L320,'SHIP CURVES'!$A$9:$A$316,0),MATCH(CONCATENATE(P$4,N$6,P$6,P$7),'SHIP CURVES'!$A$9:$Z$9,0)))-(INDEX(terminal_curves,MATCH(L320,'TERMINAL CURVES'!$A$4:$A$313,0),MATCH(P$5,'TERMINAL CURVES'!$A$4:$N$4,0))-INDEX(terminal_curves,MATCH(L320,'TERMINAL CURVES'!$A$4:$A$313,0),MATCH(N$6,'TERMINAL CURVES'!$A$4:$N$4,0)))*IF(F320=0,0,H320/F320)))*-F320</f>
        <v>0</v>
      </c>
      <c r="Q320" s="403">
        <f t="shared" si="131"/>
        <v>0</v>
      </c>
      <c r="R320" s="338">
        <f>(-H320/((HLOOKUP(P$5,port_specs,2,0)/(365.25))*(L321-L320)))*(INDEX(fixed_capacity_charge,MATCH(L320,PORTS!$H$11:$H$317,0),MATCH(P$5,PORTS!$H$11:$N$11,0))+INDEX(variable_om_charge,MATCH(L320,PORTS!$H$318:$H$625,0),MATCH(P$5,PORTS!$H$318:$N$318,0)))</f>
        <v>0</v>
      </c>
      <c r="S320" s="232">
        <f t="shared" si="132"/>
        <v>0</v>
      </c>
      <c r="T320" s="241">
        <f t="shared" si="133"/>
        <v>0</v>
      </c>
      <c r="V320" s="186">
        <f t="shared" si="148"/>
        <v>45901</v>
      </c>
      <c r="W320" s="215">
        <f t="shared" si="134"/>
        <v>0</v>
      </c>
      <c r="X320" s="191">
        <f t="shared" si="135"/>
        <v>0</v>
      </c>
      <c r="Y320" s="218">
        <f>+IF(AND(X$8&lt;=V320,X$9&gt;=V320),+MIN($B320-SUMIF($H$17:X$17,Y$17,$H320:X320),((INDEX(ROUTE_PER_DAY_BY_SHIP,MATCH(CONCATENATE(X$4,X$5,X$7),ROUTE_PER_DAY_ROUTES,0),MATCH(X$6,ROUTE_PER_DAY_SHIPS,0))*(V321-V320))-(INDEX(ROUTE_PER_DAY_BY_SHIP,MATCH(CONCATENATE(X$4,X$5,X$7),ROUTE_PER_DAY_ROUTES,0),MATCH(X$6,ROUTE_PER_DAY_SHIPS,0))*(V321-V320))*HLOOKUP(X$6,SHIPS,7,0)*INDEX(LADEN_VOYAGE_DAYS,MATCH(CONCATENATE(X$4,X$5,X$7),LADEN_VOYAGE_ROUTES,0),MATCH(X$6,LADEN_VOYAGE_SHIPS,0)))),0)</f>
        <v>0</v>
      </c>
      <c r="Z320" s="118">
        <f t="shared" si="136"/>
        <v>0</v>
      </c>
      <c r="AA320" s="215">
        <f t="shared" si="122"/>
        <v>0</v>
      </c>
      <c r="AB320" s="202"/>
      <c r="AC320" s="186">
        <f t="shared" si="149"/>
        <v>45901</v>
      </c>
      <c r="AD320" s="232">
        <f>+AA320*(VLOOKUP(AC320,CURVECALC!$C$6:$J$312,4,0)+AE$5)</f>
        <v>0</v>
      </c>
      <c r="AE320" s="208">
        <f>-W320*INDEX(ship_curves,MATCH(AC320,'SHIP CURVES'!$A$9:$A$316,0),MATCH(CONCATENATE(AG$4,AG$5,AG$6,AG$7),'SHIP CURVES'!$A$9:$AZ$9,0))</f>
        <v>0</v>
      </c>
      <c r="AF320" s="209">
        <f>-Y320*INDEX(port_processing_fee,MATCH(AC320,PORTS!$H$626:$H$933,0),MATCH(AG$5,PORTS!$H$626:$Z$626,0))</f>
        <v>0</v>
      </c>
      <c r="AG320" s="405">
        <f>(((VLOOKUP(AC320,curvecalc,4,0))*IF(W320=0,0,AA320/W320)-INDEX(ship_curves,MATCH(AC320,'SHIP CURVES'!$A$9:$A$316,0),MATCH(CONCATENATE(AG$4,AG$5,AG$6,AG$7),'SHIP CURVES'!$A$9:$Z$9,0))-INDEX(terminal_curves,MATCH(AC320,'TERMINAL CURVES'!$A$4:$A$313,0),MATCH(AG$5,'TERMINAL CURVES'!$A$4:$N$4,0))*IF(W320=0,0,Y320/W320))-(AE$8)*((AE$7-$N$5)-(INDEX(ship_curves,MATCH(AC320,'SHIP CURVES'!$A$9:$A$316,0),MATCH(CONCATENATE(AG$4,AG$5,AG$6,AG$7),'SHIP CURVES'!$A$9:$Z$9,0))-INDEX(ship_curves,MATCH(AC320,'SHIP CURVES'!$A$9:$A$316,0),MATCH(CONCATENATE(AG$4,AE$6,AG$6,AG$7),'SHIP CURVES'!$A$9:$Z$9,0)))-(INDEX(terminal_curves,MATCH(AC320,'TERMINAL CURVES'!$A$4:$A$313,0),MATCH(AG$5,'TERMINAL CURVES'!$A$4:$N$4,0))-INDEX(terminal_curves,MATCH(AC320,'TERMINAL CURVES'!$A$4:$A$313,0),MATCH(AE$6,'TERMINAL CURVES'!$A$4:$N$4,0)))*IF(W320=0,0,Y320/W320)))*-W320</f>
        <v>0</v>
      </c>
      <c r="AH320" s="343">
        <f t="shared" si="137"/>
        <v>0</v>
      </c>
      <c r="AI320" s="338">
        <f>(-Y320/((HLOOKUP(AG$5,port_specs,2,0)/(365.25))*(AC321-AC320)))*(INDEX(fixed_capacity_charge,MATCH(AC320,PORTS!$H$11:$H$317,0),MATCH(AG$5,PORTS!$H$11:$N$11,0))+INDEX(variable_om_charge,MATCH(AC320,PORTS!$H$318:$H$625,0),MATCH(AG$5,PORTS!$H$318:$N$318,0)))</f>
        <v>0</v>
      </c>
      <c r="AJ320" s="232">
        <f t="shared" si="138"/>
        <v>0</v>
      </c>
      <c r="AK320" s="241">
        <f t="shared" si="139"/>
        <v>0</v>
      </c>
      <c r="AM320" s="186">
        <f t="shared" si="150"/>
        <v>45901</v>
      </c>
      <c r="AN320" s="215">
        <f t="shared" si="140"/>
        <v>0</v>
      </c>
      <c r="AO320" s="191">
        <f t="shared" si="141"/>
        <v>0</v>
      </c>
      <c r="AP320" s="218">
        <f>+IF(AND(AO$8&lt;=AM320,AO$9&gt;=AM320),+MIN($B320-SUMIF($H$17:AO$17,AP$17,$H320:AO320),((INDEX(ROUTE_PER_DAY_BY_SHIP,MATCH(CONCATENATE(AO$4,AO$5,AO$7),ROUTE_PER_DAY_ROUTES,0),MATCH(AO$6,ROUTE_PER_DAY_SHIPS,0))*(AM321-AM320))-(INDEX(ROUTE_PER_DAY_BY_SHIP,MATCH(CONCATENATE(AO$4,AO$5,AO$7),ROUTE_PER_DAY_ROUTES,0),MATCH(AO$6,ROUTE_PER_DAY_SHIPS,0))*(AM321-AM320))*HLOOKUP(AO$6,SHIPS,7,0)*INDEX(LADEN_VOYAGE_DAYS,MATCH(CONCATENATE(AO$4,AO$5,AO$7),LADEN_VOYAGE_ROUTES,0),MATCH(AO$6,LADEN_VOYAGE_SHIPS,0)))),0)</f>
        <v>0</v>
      </c>
      <c r="AQ320" s="118">
        <f>-(AP320)*PORTS!$I$6</f>
        <v>0</v>
      </c>
      <c r="AR320" s="215">
        <f t="shared" si="123"/>
        <v>0</v>
      </c>
      <c r="AS320" s="202"/>
      <c r="AT320" s="186">
        <f t="shared" si="151"/>
        <v>45901</v>
      </c>
      <c r="AU320" s="232">
        <f>+AR320*(VLOOKUP(AT320,CURVECALC!$C$6:$J$312,4,0)+AV$5)</f>
        <v>0</v>
      </c>
      <c r="AV320" s="208">
        <f>-AN320*INDEX(ship_curves,MATCH(AT320,'SHIP CURVES'!$A$9:$A$316,0),MATCH(CONCATENATE(AX$4,AX$5,AX$6,AX$7),'SHIP CURVES'!$A$9:$AZ$9,0))</f>
        <v>0</v>
      </c>
      <c r="AW320" s="209">
        <f>-AP320*INDEX(port_processing_fee,MATCH(AT320,PORTS!$H$626:$H$933,0),MATCH(AX$5,PORTS!$H$626:$Z$626,0))</f>
        <v>0</v>
      </c>
      <c r="AX320" s="405">
        <f>(((VLOOKUP(AT320,curvecalc,4,0))*IF(AN320=0,0,AR320/AN320)-INDEX(ship_curves,MATCH(AT320,'SHIP CURVES'!$A$9:$A$316,0),MATCH(CONCATENATE(AX$4,AX$5,AX$6,AX$7),'SHIP CURVES'!$A$9:$Z$9,0))-INDEX(terminal_curves,MATCH(AT320,'TERMINAL CURVES'!$A$4:$A$313,0),MATCH(AX$5,'TERMINAL CURVES'!$A$4:$N$4,0))*IF(AN320=0,0,AP320/AN320))-(AV$8)*((AV$7-$N$5)-(INDEX(ship_curves,MATCH(AT320,'SHIP CURVES'!$A$9:$A$316,0),MATCH(CONCATENATE(AX$4,AX$5,AX$6,AX$7),'SHIP CURVES'!$A$9:$Z$9,0))-INDEX(ship_curves,MATCH(AT320,'SHIP CURVES'!$A$9:$A$316,0),MATCH(CONCATENATE(AX$4,AV$6,AX$6,AX$7),'SHIP CURVES'!$A$9:$Z$9,0)))-(INDEX(terminal_curves,MATCH(AT320,'TERMINAL CURVES'!$A$4:$A$313,0),MATCH(AX$5,'TERMINAL CURVES'!$A$4:$N$4,0))-INDEX(terminal_curves,MATCH(AT320,'TERMINAL CURVES'!$A$4:$A$313,0),MATCH(AV$6,'TERMINAL CURVES'!$A$4:$N$4,0)))*IF(AN320=0,0,AP320/AN320)))*-AN320</f>
        <v>0</v>
      </c>
      <c r="AY320" s="343">
        <f t="shared" si="142"/>
        <v>0</v>
      </c>
      <c r="AZ320" s="338">
        <f>(-AP320/((HLOOKUP(AX$5,port_specs,2,0)/(365.25))*(AT321-AT320)))*(INDEX(fixed_capacity_charge,MATCH(AT320,PORTS!$H$11:$H$317,0),MATCH(AX$5,PORTS!$H$11:$N$11,0))+INDEX(variable_om_charge,MATCH(AT320,PORTS!$H$318:$H$625,0),MATCH(AX$5,PORTS!$H$318:$N$318,0)))</f>
        <v>0</v>
      </c>
      <c r="BA320" s="232">
        <f t="shared" si="143"/>
        <v>0</v>
      </c>
      <c r="BB320" s="241">
        <f t="shared" si="144"/>
        <v>0</v>
      </c>
      <c r="BC320" s="408"/>
      <c r="BD320" s="338">
        <f>+PORTS!I314+PORTS!I622</f>
        <v>0</v>
      </c>
    </row>
    <row r="321" spans="1:56" x14ac:dyDescent="0.2">
      <c r="A321" s="186">
        <f t="shared" si="145"/>
        <v>45931</v>
      </c>
      <c r="B321" s="215">
        <f>+IF(AND($A321&gt;=$C$8,$A321&lt;=$C$9),1,0)*PORTS!$I$5/(365.25)*(A322-A321)</f>
        <v>0</v>
      </c>
      <c r="C321" s="351">
        <f t="shared" si="124"/>
        <v>0</v>
      </c>
      <c r="D321">
        <f t="shared" si="125"/>
        <v>2025</v>
      </c>
      <c r="E321" s="186">
        <f t="shared" si="146"/>
        <v>45931</v>
      </c>
      <c r="F321" s="215">
        <f t="shared" si="126"/>
        <v>0</v>
      </c>
      <c r="G321" s="191">
        <f t="shared" si="127"/>
        <v>0</v>
      </c>
      <c r="H321" s="218">
        <f t="shared" si="128"/>
        <v>0</v>
      </c>
      <c r="I321" s="118">
        <f t="shared" si="129"/>
        <v>0</v>
      </c>
      <c r="J321" s="215">
        <f t="shared" si="130"/>
        <v>0</v>
      </c>
      <c r="K321" s="202"/>
      <c r="L321" s="186">
        <f t="shared" si="147"/>
        <v>45931</v>
      </c>
      <c r="M321" s="400">
        <f>+J321*(VLOOKUP(L321,CURVECALC!$C$6:$J$312,4,0)+N$5)</f>
        <v>0</v>
      </c>
      <c r="N321" s="208">
        <f>-F321*INDEX(ship_curves,MATCH(L321,'SHIP CURVES'!$A$9:$A$316,0),MATCH(CONCATENATE(P$4,P$5,P$6,P$7),'SHIP CURVES'!$A$9:$AZ$9,0))</f>
        <v>0</v>
      </c>
      <c r="O321" s="209">
        <f>-H321*INDEX(port_processing_fee,MATCH(L321,PORTS!$H$626:$H$933,0),MATCH(P$5,PORTS!$H$626:$Z$626,0))</f>
        <v>0</v>
      </c>
      <c r="P321" s="405">
        <f>(((VLOOKUP(L321,curvecalc,4,0))*IF(F321=0,0,J321/F321)-INDEX(ship_curves,MATCH(L321,'SHIP CURVES'!$A$9:$A$316,0),MATCH(CONCATENATE(P$4,P$5,P$6,P$7),'SHIP CURVES'!$A$9:$Z$9,0))-INDEX(terminal_curves,MATCH(L321,'TERMINAL CURVES'!$A$4:$A$313,0),MATCH(P$5,'TERMINAL CURVES'!$A$4:$N$4,0))*IF(F321=0,0,H321/F321))-(N$8)*((N$7-$N$5)-(INDEX(ship_curves,MATCH(L321,'SHIP CURVES'!$A$9:$A$316,0),MATCH(CONCATENATE(P$4,P$5,P$6,P$7),'SHIP CURVES'!$A$9:$Z$9,0))-INDEX(ship_curves,MATCH(L321,'SHIP CURVES'!$A$9:$A$316,0),MATCH(CONCATENATE(P$4,N$6,P$6,P$7),'SHIP CURVES'!$A$9:$Z$9,0)))-(INDEX(terminal_curves,MATCH(L321,'TERMINAL CURVES'!$A$4:$A$313,0),MATCH(P$5,'TERMINAL CURVES'!$A$4:$N$4,0))-INDEX(terminal_curves,MATCH(L321,'TERMINAL CURVES'!$A$4:$A$313,0),MATCH(N$6,'TERMINAL CURVES'!$A$4:$N$4,0)))*IF(F321=0,0,H321/F321)))*-F321</f>
        <v>0</v>
      </c>
      <c r="Q321" s="403">
        <f t="shared" si="131"/>
        <v>0</v>
      </c>
      <c r="R321" s="338">
        <f>(-H321/((HLOOKUP(P$5,port_specs,2,0)/(365.25))*(L322-L321)))*(INDEX(fixed_capacity_charge,MATCH(L321,PORTS!$H$11:$H$317,0),MATCH(P$5,PORTS!$H$11:$N$11,0))+INDEX(variable_om_charge,MATCH(L321,PORTS!$H$318:$H$625,0),MATCH(P$5,PORTS!$H$318:$N$318,0)))</f>
        <v>0</v>
      </c>
      <c r="S321" s="232">
        <f t="shared" si="132"/>
        <v>0</v>
      </c>
      <c r="T321" s="241">
        <f t="shared" si="133"/>
        <v>0</v>
      </c>
      <c r="V321" s="186">
        <f t="shared" si="148"/>
        <v>45931</v>
      </c>
      <c r="W321" s="215">
        <f t="shared" si="134"/>
        <v>0</v>
      </c>
      <c r="X321" s="191">
        <f t="shared" si="135"/>
        <v>0</v>
      </c>
      <c r="Y321" s="218">
        <f>+IF(AND(X$8&lt;=V321,X$9&gt;=V321),+MIN($B321-SUMIF($H$17:X$17,Y$17,$H321:X321),((INDEX(ROUTE_PER_DAY_BY_SHIP,MATCH(CONCATENATE(X$4,X$5,X$7),ROUTE_PER_DAY_ROUTES,0),MATCH(X$6,ROUTE_PER_DAY_SHIPS,0))*(V322-V321))-(INDEX(ROUTE_PER_DAY_BY_SHIP,MATCH(CONCATENATE(X$4,X$5,X$7),ROUTE_PER_DAY_ROUTES,0),MATCH(X$6,ROUTE_PER_DAY_SHIPS,0))*(V322-V321))*HLOOKUP(X$6,SHIPS,7,0)*INDEX(LADEN_VOYAGE_DAYS,MATCH(CONCATENATE(X$4,X$5,X$7),LADEN_VOYAGE_ROUTES,0),MATCH(X$6,LADEN_VOYAGE_SHIPS,0)))),0)</f>
        <v>0</v>
      </c>
      <c r="Z321" s="118">
        <f t="shared" si="136"/>
        <v>0</v>
      </c>
      <c r="AA321" s="215">
        <f t="shared" si="122"/>
        <v>0</v>
      </c>
      <c r="AB321" s="202"/>
      <c r="AC321" s="186">
        <f t="shared" si="149"/>
        <v>45931</v>
      </c>
      <c r="AD321" s="232">
        <f>+AA321*(VLOOKUP(AC321,CURVECALC!$C$6:$J$312,4,0)+AE$5)</f>
        <v>0</v>
      </c>
      <c r="AE321" s="208">
        <f>-W321*INDEX(ship_curves,MATCH(AC321,'SHIP CURVES'!$A$9:$A$316,0),MATCH(CONCATENATE(AG$4,AG$5,AG$6,AG$7),'SHIP CURVES'!$A$9:$AZ$9,0))</f>
        <v>0</v>
      </c>
      <c r="AF321" s="209">
        <f>-Y321*INDEX(port_processing_fee,MATCH(AC321,PORTS!$H$626:$H$933,0),MATCH(AG$5,PORTS!$H$626:$Z$626,0))</f>
        <v>0</v>
      </c>
      <c r="AG321" s="405">
        <f>(((VLOOKUP(AC321,curvecalc,4,0))*IF(W321=0,0,AA321/W321)-INDEX(ship_curves,MATCH(AC321,'SHIP CURVES'!$A$9:$A$316,0),MATCH(CONCATENATE(AG$4,AG$5,AG$6,AG$7),'SHIP CURVES'!$A$9:$Z$9,0))-INDEX(terminal_curves,MATCH(AC321,'TERMINAL CURVES'!$A$4:$A$313,0),MATCH(AG$5,'TERMINAL CURVES'!$A$4:$N$4,0))*IF(W321=0,0,Y321/W321))-(AE$8)*((AE$7-$N$5)-(INDEX(ship_curves,MATCH(AC321,'SHIP CURVES'!$A$9:$A$316,0),MATCH(CONCATENATE(AG$4,AG$5,AG$6,AG$7),'SHIP CURVES'!$A$9:$Z$9,0))-INDEX(ship_curves,MATCH(AC321,'SHIP CURVES'!$A$9:$A$316,0),MATCH(CONCATENATE(AG$4,AE$6,AG$6,AG$7),'SHIP CURVES'!$A$9:$Z$9,0)))-(INDEX(terminal_curves,MATCH(AC321,'TERMINAL CURVES'!$A$4:$A$313,0),MATCH(AG$5,'TERMINAL CURVES'!$A$4:$N$4,0))-INDEX(terminal_curves,MATCH(AC321,'TERMINAL CURVES'!$A$4:$A$313,0),MATCH(AE$6,'TERMINAL CURVES'!$A$4:$N$4,0)))*IF(W321=0,0,Y321/W321)))*-W321</f>
        <v>0</v>
      </c>
      <c r="AH321" s="343">
        <f t="shared" si="137"/>
        <v>0</v>
      </c>
      <c r="AI321" s="338">
        <f>(-Y321/((HLOOKUP(AG$5,port_specs,2,0)/(365.25))*(AC322-AC321)))*(INDEX(fixed_capacity_charge,MATCH(AC321,PORTS!$H$11:$H$317,0),MATCH(AG$5,PORTS!$H$11:$N$11,0))+INDEX(variable_om_charge,MATCH(AC321,PORTS!$H$318:$H$625,0),MATCH(AG$5,PORTS!$H$318:$N$318,0)))</f>
        <v>0</v>
      </c>
      <c r="AJ321" s="232">
        <f t="shared" si="138"/>
        <v>0</v>
      </c>
      <c r="AK321" s="241">
        <f t="shared" si="139"/>
        <v>0</v>
      </c>
      <c r="AM321" s="186">
        <f t="shared" si="150"/>
        <v>45931</v>
      </c>
      <c r="AN321" s="215">
        <f t="shared" si="140"/>
        <v>0</v>
      </c>
      <c r="AO321" s="191">
        <f t="shared" si="141"/>
        <v>0</v>
      </c>
      <c r="AP321" s="218">
        <f>+IF(AND(AO$8&lt;=AM321,AO$9&gt;=AM321),+MIN($B321-SUMIF($H$17:AO$17,AP$17,$H321:AO321),((INDEX(ROUTE_PER_DAY_BY_SHIP,MATCH(CONCATENATE(AO$4,AO$5,AO$7),ROUTE_PER_DAY_ROUTES,0),MATCH(AO$6,ROUTE_PER_DAY_SHIPS,0))*(AM322-AM321))-(INDEX(ROUTE_PER_DAY_BY_SHIP,MATCH(CONCATENATE(AO$4,AO$5,AO$7),ROUTE_PER_DAY_ROUTES,0),MATCH(AO$6,ROUTE_PER_DAY_SHIPS,0))*(AM322-AM321))*HLOOKUP(AO$6,SHIPS,7,0)*INDEX(LADEN_VOYAGE_DAYS,MATCH(CONCATENATE(AO$4,AO$5,AO$7),LADEN_VOYAGE_ROUTES,0),MATCH(AO$6,LADEN_VOYAGE_SHIPS,0)))),0)</f>
        <v>0</v>
      </c>
      <c r="AQ321" s="118">
        <f>-(AP321)*PORTS!$I$6</f>
        <v>0</v>
      </c>
      <c r="AR321" s="215">
        <f t="shared" si="123"/>
        <v>0</v>
      </c>
      <c r="AS321" s="202"/>
      <c r="AT321" s="186">
        <f t="shared" si="151"/>
        <v>45931</v>
      </c>
      <c r="AU321" s="232">
        <f>+AR321*(VLOOKUP(AT321,CURVECALC!$C$6:$J$312,4,0)+AV$5)</f>
        <v>0</v>
      </c>
      <c r="AV321" s="208">
        <f>-AN321*INDEX(ship_curves,MATCH(AT321,'SHIP CURVES'!$A$9:$A$316,0),MATCH(CONCATENATE(AX$4,AX$5,AX$6,AX$7),'SHIP CURVES'!$A$9:$AZ$9,0))</f>
        <v>0</v>
      </c>
      <c r="AW321" s="209">
        <f>-AP321*INDEX(port_processing_fee,MATCH(AT321,PORTS!$H$626:$H$933,0),MATCH(AX$5,PORTS!$H$626:$Z$626,0))</f>
        <v>0</v>
      </c>
      <c r="AX321" s="405">
        <f>(((VLOOKUP(AT321,curvecalc,4,0))*IF(AN321=0,0,AR321/AN321)-INDEX(ship_curves,MATCH(AT321,'SHIP CURVES'!$A$9:$A$316,0),MATCH(CONCATENATE(AX$4,AX$5,AX$6,AX$7),'SHIP CURVES'!$A$9:$Z$9,0))-INDEX(terminal_curves,MATCH(AT321,'TERMINAL CURVES'!$A$4:$A$313,0),MATCH(AX$5,'TERMINAL CURVES'!$A$4:$N$4,0))*IF(AN321=0,0,AP321/AN321))-(AV$8)*((AV$7-$N$5)-(INDEX(ship_curves,MATCH(AT321,'SHIP CURVES'!$A$9:$A$316,0),MATCH(CONCATENATE(AX$4,AX$5,AX$6,AX$7),'SHIP CURVES'!$A$9:$Z$9,0))-INDEX(ship_curves,MATCH(AT321,'SHIP CURVES'!$A$9:$A$316,0),MATCH(CONCATENATE(AX$4,AV$6,AX$6,AX$7),'SHIP CURVES'!$A$9:$Z$9,0)))-(INDEX(terminal_curves,MATCH(AT321,'TERMINAL CURVES'!$A$4:$A$313,0),MATCH(AX$5,'TERMINAL CURVES'!$A$4:$N$4,0))-INDEX(terminal_curves,MATCH(AT321,'TERMINAL CURVES'!$A$4:$A$313,0),MATCH(AV$6,'TERMINAL CURVES'!$A$4:$N$4,0)))*IF(AN321=0,0,AP321/AN321)))*-AN321</f>
        <v>0</v>
      </c>
      <c r="AY321" s="343">
        <f t="shared" si="142"/>
        <v>0</v>
      </c>
      <c r="AZ321" s="338">
        <f>(-AP321/((HLOOKUP(AX$5,port_specs,2,0)/(365.25))*(AT322-AT321)))*(INDEX(fixed_capacity_charge,MATCH(AT321,PORTS!$H$11:$H$317,0),MATCH(AX$5,PORTS!$H$11:$N$11,0))+INDEX(variable_om_charge,MATCH(AT321,PORTS!$H$318:$H$625,0),MATCH(AX$5,PORTS!$H$318:$N$318,0)))</f>
        <v>0</v>
      </c>
      <c r="BA321" s="232">
        <f t="shared" si="143"/>
        <v>0</v>
      </c>
      <c r="BB321" s="241">
        <f t="shared" si="144"/>
        <v>0</v>
      </c>
      <c r="BC321" s="408"/>
      <c r="BD321" s="338">
        <f>+PORTS!I315+PORTS!I623</f>
        <v>0</v>
      </c>
    </row>
    <row r="322" spans="1:56" x14ac:dyDescent="0.2">
      <c r="A322" s="186">
        <f t="shared" si="145"/>
        <v>45962</v>
      </c>
      <c r="B322" s="215">
        <f>+IF(AND($A322&gt;=$C$8,$A322&lt;=$C$9),1,0)*PORTS!$I$5/(365.25)*(A323-A322)</f>
        <v>0</v>
      </c>
      <c r="C322" s="351">
        <f t="shared" si="124"/>
        <v>0</v>
      </c>
      <c r="D322">
        <f t="shared" si="125"/>
        <v>2025</v>
      </c>
      <c r="E322" s="186">
        <f t="shared" si="146"/>
        <v>45962</v>
      </c>
      <c r="F322" s="215">
        <f t="shared" si="126"/>
        <v>0</v>
      </c>
      <c r="G322" s="191">
        <f t="shared" si="127"/>
        <v>0</v>
      </c>
      <c r="H322" s="218">
        <f t="shared" si="128"/>
        <v>0</v>
      </c>
      <c r="I322" s="118">
        <f t="shared" si="129"/>
        <v>0</v>
      </c>
      <c r="J322" s="215">
        <f t="shared" si="130"/>
        <v>0</v>
      </c>
      <c r="K322" s="202"/>
      <c r="L322" s="186">
        <f t="shared" si="147"/>
        <v>45962</v>
      </c>
      <c r="M322" s="400">
        <f>+J322*(VLOOKUP(L322,CURVECALC!$C$6:$J$312,4,0)+N$5)</f>
        <v>0</v>
      </c>
      <c r="N322" s="208">
        <f>-F322*INDEX(ship_curves,MATCH(L322,'SHIP CURVES'!$A$9:$A$316,0),MATCH(CONCATENATE(P$4,P$5,P$6,P$7),'SHIP CURVES'!$A$9:$AZ$9,0))</f>
        <v>0</v>
      </c>
      <c r="O322" s="209">
        <f>-H322*INDEX(port_processing_fee,MATCH(L322,PORTS!$H$626:$H$933,0),MATCH(P$5,PORTS!$H$626:$Z$626,0))</f>
        <v>0</v>
      </c>
      <c r="P322" s="405">
        <f>(((VLOOKUP(L322,curvecalc,4,0))*IF(F322=0,0,J322/F322)-INDEX(ship_curves,MATCH(L322,'SHIP CURVES'!$A$9:$A$316,0),MATCH(CONCATENATE(P$4,P$5,P$6,P$7),'SHIP CURVES'!$A$9:$Z$9,0))-INDEX(terminal_curves,MATCH(L322,'TERMINAL CURVES'!$A$4:$A$313,0),MATCH(P$5,'TERMINAL CURVES'!$A$4:$N$4,0))*IF(F322=0,0,H322/F322))-(N$8)*((N$7-$N$5)-(INDEX(ship_curves,MATCH(L322,'SHIP CURVES'!$A$9:$A$316,0),MATCH(CONCATENATE(P$4,P$5,P$6,P$7),'SHIP CURVES'!$A$9:$Z$9,0))-INDEX(ship_curves,MATCH(L322,'SHIP CURVES'!$A$9:$A$316,0),MATCH(CONCATENATE(P$4,N$6,P$6,P$7),'SHIP CURVES'!$A$9:$Z$9,0)))-(INDEX(terminal_curves,MATCH(L322,'TERMINAL CURVES'!$A$4:$A$313,0),MATCH(P$5,'TERMINAL CURVES'!$A$4:$N$4,0))-INDEX(terminal_curves,MATCH(L322,'TERMINAL CURVES'!$A$4:$A$313,0),MATCH(N$6,'TERMINAL CURVES'!$A$4:$N$4,0)))*IF(F322=0,0,H322/F322)))*-F322</f>
        <v>0</v>
      </c>
      <c r="Q322" s="403">
        <f t="shared" si="131"/>
        <v>0</v>
      </c>
      <c r="R322" s="338">
        <f>(-H322/((HLOOKUP(P$5,port_specs,2,0)/(365.25))*(L323-L322)))*(INDEX(fixed_capacity_charge,MATCH(L322,PORTS!$H$11:$H$317,0),MATCH(P$5,PORTS!$H$11:$N$11,0))+INDEX(variable_om_charge,MATCH(L322,PORTS!$H$318:$H$625,0),MATCH(P$5,PORTS!$H$318:$N$318,0)))</f>
        <v>0</v>
      </c>
      <c r="S322" s="232">
        <f t="shared" si="132"/>
        <v>0</v>
      </c>
      <c r="T322" s="241">
        <f t="shared" si="133"/>
        <v>0</v>
      </c>
      <c r="V322" s="186">
        <f t="shared" si="148"/>
        <v>45962</v>
      </c>
      <c r="W322" s="215">
        <f t="shared" si="134"/>
        <v>0</v>
      </c>
      <c r="X322" s="191">
        <f t="shared" si="135"/>
        <v>0</v>
      </c>
      <c r="Y322" s="218">
        <f>+IF(AND(X$8&lt;=V322,X$9&gt;=V322),+MIN($B322-SUMIF($H$17:X$17,Y$17,$H322:X322),((INDEX(ROUTE_PER_DAY_BY_SHIP,MATCH(CONCATENATE(X$4,X$5,X$7),ROUTE_PER_DAY_ROUTES,0),MATCH(X$6,ROUTE_PER_DAY_SHIPS,0))*(V323-V322))-(INDEX(ROUTE_PER_DAY_BY_SHIP,MATCH(CONCATENATE(X$4,X$5,X$7),ROUTE_PER_DAY_ROUTES,0),MATCH(X$6,ROUTE_PER_DAY_SHIPS,0))*(V323-V322))*HLOOKUP(X$6,SHIPS,7,0)*INDEX(LADEN_VOYAGE_DAYS,MATCH(CONCATENATE(X$4,X$5,X$7),LADEN_VOYAGE_ROUTES,0),MATCH(X$6,LADEN_VOYAGE_SHIPS,0)))),0)</f>
        <v>0</v>
      </c>
      <c r="Z322" s="118">
        <f t="shared" si="136"/>
        <v>0</v>
      </c>
      <c r="AA322" s="215">
        <f t="shared" si="122"/>
        <v>0</v>
      </c>
      <c r="AB322" s="202"/>
      <c r="AC322" s="186">
        <f t="shared" si="149"/>
        <v>45962</v>
      </c>
      <c r="AD322" s="232">
        <f>+AA322*(VLOOKUP(AC322,CURVECALC!$C$6:$J$312,4,0)+AE$5)</f>
        <v>0</v>
      </c>
      <c r="AE322" s="208">
        <f>-W322*INDEX(ship_curves,MATCH(AC322,'SHIP CURVES'!$A$9:$A$316,0),MATCH(CONCATENATE(AG$4,AG$5,AG$6,AG$7),'SHIP CURVES'!$A$9:$AZ$9,0))</f>
        <v>0</v>
      </c>
      <c r="AF322" s="209">
        <f>-Y322*INDEX(port_processing_fee,MATCH(AC322,PORTS!$H$626:$H$933,0),MATCH(AG$5,PORTS!$H$626:$Z$626,0))</f>
        <v>0</v>
      </c>
      <c r="AG322" s="405">
        <f>(((VLOOKUP(AC322,curvecalc,4,0))*IF(W322=0,0,AA322/W322)-INDEX(ship_curves,MATCH(AC322,'SHIP CURVES'!$A$9:$A$316,0),MATCH(CONCATENATE(AG$4,AG$5,AG$6,AG$7),'SHIP CURVES'!$A$9:$Z$9,0))-INDEX(terminal_curves,MATCH(AC322,'TERMINAL CURVES'!$A$4:$A$313,0),MATCH(AG$5,'TERMINAL CURVES'!$A$4:$N$4,0))*IF(W322=0,0,Y322/W322))-(AE$8)*((AE$7-$N$5)-(INDEX(ship_curves,MATCH(AC322,'SHIP CURVES'!$A$9:$A$316,0),MATCH(CONCATENATE(AG$4,AG$5,AG$6,AG$7),'SHIP CURVES'!$A$9:$Z$9,0))-INDEX(ship_curves,MATCH(AC322,'SHIP CURVES'!$A$9:$A$316,0),MATCH(CONCATENATE(AG$4,AE$6,AG$6,AG$7),'SHIP CURVES'!$A$9:$Z$9,0)))-(INDEX(terminal_curves,MATCH(AC322,'TERMINAL CURVES'!$A$4:$A$313,0),MATCH(AG$5,'TERMINAL CURVES'!$A$4:$N$4,0))-INDEX(terminal_curves,MATCH(AC322,'TERMINAL CURVES'!$A$4:$A$313,0),MATCH(AE$6,'TERMINAL CURVES'!$A$4:$N$4,0)))*IF(W322=0,0,Y322/W322)))*-W322</f>
        <v>0</v>
      </c>
      <c r="AH322" s="343">
        <f t="shared" si="137"/>
        <v>0</v>
      </c>
      <c r="AI322" s="338">
        <f>(-Y322/((HLOOKUP(AG$5,port_specs,2,0)/(365.25))*(AC323-AC322)))*(INDEX(fixed_capacity_charge,MATCH(AC322,PORTS!$H$11:$H$317,0),MATCH(AG$5,PORTS!$H$11:$N$11,0))+INDEX(variable_om_charge,MATCH(AC322,PORTS!$H$318:$H$625,0),MATCH(AG$5,PORTS!$H$318:$N$318,0)))</f>
        <v>0</v>
      </c>
      <c r="AJ322" s="232">
        <f t="shared" si="138"/>
        <v>0</v>
      </c>
      <c r="AK322" s="241">
        <f t="shared" si="139"/>
        <v>0</v>
      </c>
      <c r="AM322" s="186">
        <f t="shared" si="150"/>
        <v>45962</v>
      </c>
      <c r="AN322" s="215">
        <f t="shared" si="140"/>
        <v>0</v>
      </c>
      <c r="AO322" s="191">
        <f t="shared" si="141"/>
        <v>0</v>
      </c>
      <c r="AP322" s="218">
        <f>+IF(AND(AO$8&lt;=AM322,AO$9&gt;=AM322),+MIN($B322-SUMIF($H$17:AO$17,AP$17,$H322:AO322),((INDEX(ROUTE_PER_DAY_BY_SHIP,MATCH(CONCATENATE(AO$4,AO$5,AO$7),ROUTE_PER_DAY_ROUTES,0),MATCH(AO$6,ROUTE_PER_DAY_SHIPS,0))*(AM323-AM322))-(INDEX(ROUTE_PER_DAY_BY_SHIP,MATCH(CONCATENATE(AO$4,AO$5,AO$7),ROUTE_PER_DAY_ROUTES,0),MATCH(AO$6,ROUTE_PER_DAY_SHIPS,0))*(AM323-AM322))*HLOOKUP(AO$6,SHIPS,7,0)*INDEX(LADEN_VOYAGE_DAYS,MATCH(CONCATENATE(AO$4,AO$5,AO$7),LADEN_VOYAGE_ROUTES,0),MATCH(AO$6,LADEN_VOYAGE_SHIPS,0)))),0)</f>
        <v>0</v>
      </c>
      <c r="AQ322" s="118">
        <f>-(AP322)*PORTS!$I$6</f>
        <v>0</v>
      </c>
      <c r="AR322" s="215">
        <f t="shared" si="123"/>
        <v>0</v>
      </c>
      <c r="AS322" s="202"/>
      <c r="AT322" s="186">
        <f t="shared" si="151"/>
        <v>45962</v>
      </c>
      <c r="AU322" s="232">
        <f>+AR322*(VLOOKUP(AT322,CURVECALC!$C$6:$J$312,4,0)+AV$5)</f>
        <v>0</v>
      </c>
      <c r="AV322" s="208">
        <f>-AN322*INDEX(ship_curves,MATCH(AT322,'SHIP CURVES'!$A$9:$A$316,0),MATCH(CONCATENATE(AX$4,AX$5,AX$6,AX$7),'SHIP CURVES'!$A$9:$AZ$9,0))</f>
        <v>0</v>
      </c>
      <c r="AW322" s="209">
        <f>-AP322*INDEX(port_processing_fee,MATCH(AT322,PORTS!$H$626:$H$933,0),MATCH(AX$5,PORTS!$H$626:$Z$626,0))</f>
        <v>0</v>
      </c>
      <c r="AX322" s="405">
        <f>(((VLOOKUP(AT322,curvecalc,4,0))*IF(AN322=0,0,AR322/AN322)-INDEX(ship_curves,MATCH(AT322,'SHIP CURVES'!$A$9:$A$316,0),MATCH(CONCATENATE(AX$4,AX$5,AX$6,AX$7),'SHIP CURVES'!$A$9:$Z$9,0))-INDEX(terminal_curves,MATCH(AT322,'TERMINAL CURVES'!$A$4:$A$313,0),MATCH(AX$5,'TERMINAL CURVES'!$A$4:$N$4,0))*IF(AN322=0,0,AP322/AN322))-(AV$8)*((AV$7-$N$5)-(INDEX(ship_curves,MATCH(AT322,'SHIP CURVES'!$A$9:$A$316,0),MATCH(CONCATENATE(AX$4,AX$5,AX$6,AX$7),'SHIP CURVES'!$A$9:$Z$9,0))-INDEX(ship_curves,MATCH(AT322,'SHIP CURVES'!$A$9:$A$316,0),MATCH(CONCATENATE(AX$4,AV$6,AX$6,AX$7),'SHIP CURVES'!$A$9:$Z$9,0)))-(INDEX(terminal_curves,MATCH(AT322,'TERMINAL CURVES'!$A$4:$A$313,0),MATCH(AX$5,'TERMINAL CURVES'!$A$4:$N$4,0))-INDEX(terminal_curves,MATCH(AT322,'TERMINAL CURVES'!$A$4:$A$313,0),MATCH(AV$6,'TERMINAL CURVES'!$A$4:$N$4,0)))*IF(AN322=0,0,AP322/AN322)))*-AN322</f>
        <v>0</v>
      </c>
      <c r="AY322" s="343">
        <f t="shared" si="142"/>
        <v>0</v>
      </c>
      <c r="AZ322" s="338">
        <f>(-AP322/((HLOOKUP(AX$5,port_specs,2,0)/(365.25))*(AT323-AT322)))*(INDEX(fixed_capacity_charge,MATCH(AT322,PORTS!$H$11:$H$317,0),MATCH(AX$5,PORTS!$H$11:$N$11,0))+INDEX(variable_om_charge,MATCH(AT322,PORTS!$H$318:$H$625,0),MATCH(AX$5,PORTS!$H$318:$N$318,0)))</f>
        <v>0</v>
      </c>
      <c r="BA322" s="232">
        <f t="shared" si="143"/>
        <v>0</v>
      </c>
      <c r="BB322" s="241">
        <f t="shared" si="144"/>
        <v>0</v>
      </c>
      <c r="BC322" s="408"/>
      <c r="BD322" s="338">
        <f>+PORTS!I316+PORTS!I624</f>
        <v>0</v>
      </c>
    </row>
    <row r="323" spans="1:56" x14ac:dyDescent="0.2">
      <c r="A323" s="187">
        <f t="shared" si="145"/>
        <v>45992</v>
      </c>
      <c r="B323" s="216">
        <f>+IF(AND($A323&gt;=$C$8,$A323&lt;=$C$9),1,0)*PORTS!$I$5/(365.25)*(A324-A323)</f>
        <v>0</v>
      </c>
      <c r="C323" s="352">
        <f t="shared" si="124"/>
        <v>0</v>
      </c>
      <c r="D323">
        <f t="shared" si="125"/>
        <v>2025</v>
      </c>
      <c r="E323" s="187">
        <f t="shared" si="146"/>
        <v>45992</v>
      </c>
      <c r="F323" s="216">
        <f t="shared" si="126"/>
        <v>0</v>
      </c>
      <c r="G323" s="192">
        <f t="shared" si="127"/>
        <v>0</v>
      </c>
      <c r="H323" s="219">
        <f t="shared" si="128"/>
        <v>0</v>
      </c>
      <c r="I323" s="193">
        <f t="shared" si="129"/>
        <v>0</v>
      </c>
      <c r="J323" s="216">
        <f t="shared" si="130"/>
        <v>0</v>
      </c>
      <c r="K323" s="203"/>
      <c r="L323" s="187">
        <f t="shared" si="147"/>
        <v>45992</v>
      </c>
      <c r="M323" s="401">
        <f>+J323*(VLOOKUP(L323,CURVECALC!$C$6:$J$312,4,0)+N$5)</f>
        <v>0</v>
      </c>
      <c r="N323" s="210">
        <f>-F323*INDEX(ship_curves,MATCH(L323,'SHIP CURVES'!$A$9:$A$316,0),MATCH(CONCATENATE(P$4,P$5,P$6,P$7),'SHIP CURVES'!$A$9:$AZ$9,0))</f>
        <v>0</v>
      </c>
      <c r="O323" s="211">
        <f>-H323*INDEX(port_processing_fee,MATCH(L323,PORTS!$H$626:$H$933,0),MATCH(P$5,PORTS!$H$626:$Z$626,0))</f>
        <v>0</v>
      </c>
      <c r="P323" s="406">
        <f>(((VLOOKUP(L323,curvecalc,4,0))*IF(F323=0,0,J323/F323)-INDEX(ship_curves,MATCH(L323,'SHIP CURVES'!$A$9:$A$316,0),MATCH(CONCATENATE(P$4,P$5,P$6,P$7),'SHIP CURVES'!$A$9:$Z$9,0))-INDEX(terminal_curves,MATCH(L323,'TERMINAL CURVES'!$A$4:$A$313,0),MATCH(P$5,'TERMINAL CURVES'!$A$4:$N$4,0))*IF(F323=0,0,H323/F323))-(N$8)*((N$7-$N$5)-(INDEX(ship_curves,MATCH(L323,'SHIP CURVES'!$A$9:$A$316,0),MATCH(CONCATENATE(P$4,P$5,P$6,P$7),'SHIP CURVES'!$A$9:$Z$9,0))-INDEX(ship_curves,MATCH(L323,'SHIP CURVES'!$A$9:$A$316,0),MATCH(CONCATENATE(P$4,N$6,P$6,P$7),'SHIP CURVES'!$A$9:$Z$9,0)))-(INDEX(terminal_curves,MATCH(L323,'TERMINAL CURVES'!$A$4:$A$313,0),MATCH(P$5,'TERMINAL CURVES'!$A$4:$N$4,0))-INDEX(terminal_curves,MATCH(L323,'TERMINAL CURVES'!$A$4:$A$313,0),MATCH(N$6,'TERMINAL CURVES'!$A$4:$N$4,0)))*IF(F323=0,0,H323/F323)))*-F323</f>
        <v>0</v>
      </c>
      <c r="Q323" s="404">
        <f t="shared" si="131"/>
        <v>0</v>
      </c>
      <c r="R323" s="339">
        <f>(-H323/((HLOOKUP(P$5,port_specs,2,0)/(365.25))*(L324-L323)))*(INDEX(fixed_capacity_charge,MATCH(L323,PORTS!$H$11:$H$317,0),MATCH(P$5,PORTS!$H$11:$N$11,0))+INDEX(variable_om_charge,MATCH(L323,PORTS!$H$318:$H$625,0),MATCH(P$5,PORTS!$H$318:$N$318,0)))</f>
        <v>0</v>
      </c>
      <c r="S323" s="233">
        <f t="shared" si="132"/>
        <v>0</v>
      </c>
      <c r="T323" s="242">
        <f t="shared" si="133"/>
        <v>0</v>
      </c>
      <c r="V323" s="187">
        <f t="shared" si="148"/>
        <v>45992</v>
      </c>
      <c r="W323" s="216">
        <f t="shared" si="134"/>
        <v>0</v>
      </c>
      <c r="X323" s="192">
        <f t="shared" si="135"/>
        <v>0</v>
      </c>
      <c r="Y323" s="219">
        <f>+IF(AND(X$8&lt;=V323,X$9&gt;=V323),+MIN($B323-SUMIF($H$17:X$17,Y$17,$H323:X323),((INDEX(ROUTE_PER_DAY_BY_SHIP,MATCH(CONCATENATE(X$4,X$5,X$7),ROUTE_PER_DAY_ROUTES,0),MATCH(X$6,ROUTE_PER_DAY_SHIPS,0))*(V324-V323))-(INDEX(ROUTE_PER_DAY_BY_SHIP,MATCH(CONCATENATE(X$4,X$5,X$7),ROUTE_PER_DAY_ROUTES,0),MATCH(X$6,ROUTE_PER_DAY_SHIPS,0))*(V324-V323))*HLOOKUP(X$6,SHIPS,7,0)*INDEX(LADEN_VOYAGE_DAYS,MATCH(CONCATENATE(X$4,X$5,X$7),LADEN_VOYAGE_ROUTES,0),MATCH(X$6,LADEN_VOYAGE_SHIPS,0)))),0)</f>
        <v>0</v>
      </c>
      <c r="Z323" s="193">
        <f t="shared" si="136"/>
        <v>0</v>
      </c>
      <c r="AA323" s="216">
        <f t="shared" si="122"/>
        <v>0</v>
      </c>
      <c r="AB323" s="203"/>
      <c r="AC323" s="187">
        <f t="shared" si="149"/>
        <v>45992</v>
      </c>
      <c r="AD323" s="233">
        <f>+AA323*(VLOOKUP(AC323,CURVECALC!$C$6:$J$312,4,0)+AE$5)</f>
        <v>0</v>
      </c>
      <c r="AE323" s="210">
        <f>-W323*INDEX(ship_curves,MATCH(AC323,'SHIP CURVES'!$A$9:$A$316,0),MATCH(CONCATENATE(AG$4,AG$5,AG$6,AG$7),'SHIP CURVES'!$A$9:$AZ$9,0))</f>
        <v>0</v>
      </c>
      <c r="AF323" s="211">
        <f>-Y323*INDEX(port_processing_fee,MATCH(AC323,PORTS!$H$626:$H$933,0),MATCH(AG$5,PORTS!$H$626:$Z$626,0))</f>
        <v>0</v>
      </c>
      <c r="AG323" s="406">
        <f>(((VLOOKUP(AC323,curvecalc,4,0))*IF(W323=0,0,AA323/W323)-INDEX(ship_curves,MATCH(AC323,'SHIP CURVES'!$A$9:$A$316,0),MATCH(CONCATENATE(AG$4,AG$5,AG$6,AG$7),'SHIP CURVES'!$A$9:$Z$9,0))-INDEX(terminal_curves,MATCH(AC323,'TERMINAL CURVES'!$A$4:$A$313,0),MATCH(AG$5,'TERMINAL CURVES'!$A$4:$N$4,0))*IF(W323=0,0,Y323/W323))-(AE$8)*((AE$7-$N$5)-(INDEX(ship_curves,MATCH(AC323,'SHIP CURVES'!$A$9:$A$316,0),MATCH(CONCATENATE(AG$4,AG$5,AG$6,AG$7),'SHIP CURVES'!$A$9:$Z$9,0))-INDEX(ship_curves,MATCH(AC323,'SHIP CURVES'!$A$9:$A$316,0),MATCH(CONCATENATE(AG$4,AE$6,AG$6,AG$7),'SHIP CURVES'!$A$9:$Z$9,0)))-(INDEX(terminal_curves,MATCH(AC323,'TERMINAL CURVES'!$A$4:$A$313,0),MATCH(AG$5,'TERMINAL CURVES'!$A$4:$N$4,0))-INDEX(terminal_curves,MATCH(AC323,'TERMINAL CURVES'!$A$4:$A$313,0),MATCH(AE$6,'TERMINAL CURVES'!$A$4:$N$4,0)))*IF(W323=0,0,Y323/W323)))*-W323</f>
        <v>0</v>
      </c>
      <c r="AH323" s="344">
        <f t="shared" si="137"/>
        <v>0</v>
      </c>
      <c r="AI323" s="339">
        <f>(-Y323/((HLOOKUP(AG$5,port_specs,2,0)/(365.25))*(AC324-AC323)))*(INDEX(fixed_capacity_charge,MATCH(AC323,PORTS!$H$11:$H$317,0),MATCH(AG$5,PORTS!$H$11:$N$11,0))+INDEX(variable_om_charge,MATCH(AC323,PORTS!$H$318:$H$625,0),MATCH(AG$5,PORTS!$H$318:$N$318,0)))</f>
        <v>0</v>
      </c>
      <c r="AJ323" s="233">
        <f t="shared" si="138"/>
        <v>0</v>
      </c>
      <c r="AK323" s="242">
        <f t="shared" si="139"/>
        <v>0</v>
      </c>
      <c r="AM323" s="187">
        <f t="shared" si="150"/>
        <v>45992</v>
      </c>
      <c r="AN323" s="216">
        <f t="shared" si="140"/>
        <v>0</v>
      </c>
      <c r="AO323" s="192">
        <f t="shared" si="141"/>
        <v>0</v>
      </c>
      <c r="AP323" s="219">
        <f>+IF(AND(AO$8&lt;=AM323,AO$9&gt;=AM323),+MIN($B323-SUMIF($H$17:AO$17,AP$17,$H323:AO323),((INDEX(ROUTE_PER_DAY_BY_SHIP,MATCH(CONCATENATE(AO$4,AO$5,AO$7),ROUTE_PER_DAY_ROUTES,0),MATCH(AO$6,ROUTE_PER_DAY_SHIPS,0))*(AM324-AM323))-(INDEX(ROUTE_PER_DAY_BY_SHIP,MATCH(CONCATENATE(AO$4,AO$5,AO$7),ROUTE_PER_DAY_ROUTES,0),MATCH(AO$6,ROUTE_PER_DAY_SHIPS,0))*(AM324-AM323))*HLOOKUP(AO$6,SHIPS,7,0)*INDEX(LADEN_VOYAGE_DAYS,MATCH(CONCATENATE(AO$4,AO$5,AO$7),LADEN_VOYAGE_ROUTES,0),MATCH(AO$6,LADEN_VOYAGE_SHIPS,0)))),0)</f>
        <v>0</v>
      </c>
      <c r="AQ323" s="193">
        <f>-(AP323)*PORTS!$I$6</f>
        <v>0</v>
      </c>
      <c r="AR323" s="216">
        <f t="shared" si="123"/>
        <v>0</v>
      </c>
      <c r="AS323" s="203"/>
      <c r="AT323" s="187">
        <f t="shared" si="151"/>
        <v>45992</v>
      </c>
      <c r="AU323" s="233">
        <f>+AR323*(VLOOKUP(AT323,CURVECALC!$C$6:$J$312,4,0)+AV$5)</f>
        <v>0</v>
      </c>
      <c r="AV323" s="210">
        <f>-AN323*INDEX(ship_curves,MATCH(AT323,'SHIP CURVES'!$A$9:$A$316,0),MATCH(CONCATENATE(AX$4,AX$5,AX$6,AX$7),'SHIP CURVES'!$A$9:$AZ$9,0))</f>
        <v>0</v>
      </c>
      <c r="AW323" s="211">
        <f>-AP323*INDEX(port_processing_fee,MATCH(AT323,PORTS!$H$626:$H$933,0),MATCH(AX$5,PORTS!$H$626:$Z$626,0))</f>
        <v>0</v>
      </c>
      <c r="AX323" s="406">
        <f>(((VLOOKUP(AT323,curvecalc,4,0))*IF(AN323=0,0,AR323/AN323)-INDEX(ship_curves,MATCH(AT323,'SHIP CURVES'!$A$9:$A$316,0),MATCH(CONCATENATE(AX$4,AX$5,AX$6,AX$7),'SHIP CURVES'!$A$9:$Z$9,0))-INDEX(terminal_curves,MATCH(AT323,'TERMINAL CURVES'!$A$4:$A$313,0),MATCH(AX$5,'TERMINAL CURVES'!$A$4:$N$4,0))*IF(AN323=0,0,AP323/AN323))-(AV$8)*((AV$7-$N$5)-(INDEX(ship_curves,MATCH(AT323,'SHIP CURVES'!$A$9:$A$316,0),MATCH(CONCATENATE(AX$4,AX$5,AX$6,AX$7),'SHIP CURVES'!$A$9:$Z$9,0))-INDEX(ship_curves,MATCH(AT323,'SHIP CURVES'!$A$9:$A$316,0),MATCH(CONCATENATE(AX$4,AV$6,AX$6,AX$7),'SHIP CURVES'!$A$9:$Z$9,0)))-(INDEX(terminal_curves,MATCH(AT323,'TERMINAL CURVES'!$A$4:$A$313,0),MATCH(AX$5,'TERMINAL CURVES'!$A$4:$N$4,0))-INDEX(terminal_curves,MATCH(AT323,'TERMINAL CURVES'!$A$4:$A$313,0),MATCH(AV$6,'TERMINAL CURVES'!$A$4:$N$4,0)))*IF(AN323=0,0,AP323/AN323)))*-AN323</f>
        <v>0</v>
      </c>
      <c r="AY323" s="344">
        <f t="shared" si="142"/>
        <v>0</v>
      </c>
      <c r="AZ323" s="339">
        <f>(-AP323/((HLOOKUP(AX$5,port_specs,2,0)/(365.25))*(AT324-AT323)))*(INDEX(fixed_capacity_charge,MATCH(AT323,PORTS!$H$11:$H$317,0),MATCH(AX$5,PORTS!$H$11:$N$11,0))+INDEX(variable_om_charge,MATCH(AT323,PORTS!$H$318:$H$625,0),MATCH(AX$5,PORTS!$H$318:$N$318,0)))</f>
        <v>0</v>
      </c>
      <c r="BA323" s="233">
        <f t="shared" si="143"/>
        <v>0</v>
      </c>
      <c r="BB323" s="242">
        <f t="shared" si="144"/>
        <v>0</v>
      </c>
      <c r="BC323" s="408"/>
      <c r="BD323" s="339">
        <f>+PORTS!I317+PORTS!I625</f>
        <v>0</v>
      </c>
    </row>
    <row r="324" spans="1:56" x14ac:dyDescent="0.2">
      <c r="A324" s="186">
        <f t="shared" si="145"/>
        <v>46023</v>
      </c>
      <c r="R324" s="336"/>
      <c r="S324" s="336"/>
      <c r="V324" s="186">
        <f t="shared" si="148"/>
        <v>46023</v>
      </c>
      <c r="AI324" s="336"/>
      <c r="AJ324" s="336"/>
      <c r="AM324" s="186">
        <f t="shared" si="150"/>
        <v>46023</v>
      </c>
      <c r="AZ324" s="336"/>
      <c r="BA324" s="336"/>
    </row>
    <row r="325" spans="1:56" x14ac:dyDescent="0.2">
      <c r="R325" s="336"/>
      <c r="S325" s="336"/>
      <c r="AI325" s="336"/>
      <c r="AJ325" s="336"/>
      <c r="AZ325" s="336"/>
      <c r="BA325" s="336"/>
    </row>
    <row r="326" spans="1:56" x14ac:dyDescent="0.2">
      <c r="R326" s="336"/>
      <c r="S326" s="336"/>
      <c r="AI326" s="336"/>
      <c r="AJ326" s="336"/>
      <c r="AZ326" s="336"/>
      <c r="BA326" s="336"/>
    </row>
    <row r="327" spans="1:56" x14ac:dyDescent="0.2">
      <c r="R327" s="336"/>
      <c r="S327" s="336"/>
      <c r="AI327" s="336"/>
      <c r="AJ327" s="336"/>
      <c r="AZ327" s="336"/>
      <c r="BA327" s="336"/>
    </row>
    <row r="328" spans="1:56" x14ac:dyDescent="0.2">
      <c r="R328" s="336"/>
      <c r="S328" s="336"/>
      <c r="AI328" s="336"/>
      <c r="AJ328" s="336"/>
      <c r="AZ328" s="336"/>
      <c r="BA328" s="336"/>
    </row>
    <row r="329" spans="1:56" x14ac:dyDescent="0.2">
      <c r="R329" s="336"/>
      <c r="S329" s="336"/>
      <c r="AI329" s="336"/>
      <c r="AJ329" s="336"/>
      <c r="AZ329" s="336"/>
      <c r="BA329" s="336"/>
    </row>
    <row r="330" spans="1:56" x14ac:dyDescent="0.2">
      <c r="R330" s="336"/>
      <c r="S330" s="336"/>
      <c r="AI330" s="336"/>
      <c r="AJ330" s="336"/>
      <c r="AZ330" s="336"/>
      <c r="BA330" s="336"/>
    </row>
    <row r="331" spans="1:56" x14ac:dyDescent="0.2">
      <c r="R331" s="336"/>
      <c r="S331" s="336"/>
      <c r="AI331" s="336"/>
      <c r="AJ331" s="336"/>
      <c r="AZ331" s="336"/>
      <c r="BA331" s="336"/>
    </row>
    <row r="332" spans="1:56" x14ac:dyDescent="0.2">
      <c r="R332" s="336"/>
      <c r="S332" s="336"/>
      <c r="AI332" s="336"/>
      <c r="AJ332" s="336"/>
      <c r="AZ332" s="336"/>
      <c r="BA332" s="336"/>
    </row>
    <row r="333" spans="1:56" x14ac:dyDescent="0.2">
      <c r="R333" s="336"/>
      <c r="S333" s="336"/>
      <c r="AI333" s="336"/>
      <c r="AJ333" s="336"/>
      <c r="AZ333" s="336"/>
      <c r="BA333" s="336"/>
    </row>
    <row r="334" spans="1:56" x14ac:dyDescent="0.2">
      <c r="R334" s="336"/>
      <c r="S334" s="336"/>
      <c r="AI334" s="336"/>
      <c r="AJ334" s="336"/>
      <c r="AZ334" s="336"/>
      <c r="BA334" s="336"/>
    </row>
    <row r="335" spans="1:56" x14ac:dyDescent="0.2">
      <c r="R335" s="336"/>
      <c r="S335" s="336"/>
      <c r="AI335" s="336"/>
      <c r="AJ335" s="336"/>
      <c r="AZ335" s="336"/>
      <c r="BA335" s="336"/>
    </row>
    <row r="336" spans="1:56" x14ac:dyDescent="0.2">
      <c r="R336" s="336"/>
      <c r="S336" s="336"/>
      <c r="AI336" s="336"/>
      <c r="AJ336" s="336"/>
      <c r="AZ336" s="336"/>
      <c r="BA336" s="336"/>
    </row>
    <row r="337" spans="18:53" x14ac:dyDescent="0.2">
      <c r="R337" s="336"/>
      <c r="S337" s="336"/>
      <c r="AI337" s="336"/>
      <c r="AJ337" s="336"/>
      <c r="AZ337" s="336"/>
      <c r="BA337" s="336"/>
    </row>
    <row r="338" spans="18:53" x14ac:dyDescent="0.2">
      <c r="R338" s="336"/>
      <c r="S338" s="336"/>
      <c r="AI338" s="336"/>
      <c r="AJ338" s="336"/>
      <c r="AZ338" s="336"/>
      <c r="BA338" s="336"/>
    </row>
    <row r="339" spans="18:53" x14ac:dyDescent="0.2">
      <c r="R339" s="336"/>
      <c r="S339" s="336"/>
      <c r="AI339" s="336"/>
      <c r="AJ339" s="336"/>
      <c r="AZ339" s="336"/>
      <c r="BA339" s="336"/>
    </row>
    <row r="340" spans="18:53" x14ac:dyDescent="0.2">
      <c r="R340" s="336"/>
      <c r="S340" s="336"/>
      <c r="AI340" s="336"/>
      <c r="AJ340" s="336"/>
      <c r="AZ340" s="336"/>
      <c r="BA340" s="336"/>
    </row>
    <row r="341" spans="18:53" x14ac:dyDescent="0.2">
      <c r="R341" s="336"/>
      <c r="S341" s="336"/>
      <c r="AI341" s="336"/>
      <c r="AJ341" s="336"/>
      <c r="AZ341" s="336"/>
      <c r="BA341" s="336"/>
    </row>
    <row r="342" spans="18:53" x14ac:dyDescent="0.2">
      <c r="R342" s="336"/>
      <c r="S342" s="336"/>
      <c r="AI342" s="336"/>
      <c r="AJ342" s="336"/>
      <c r="AZ342" s="336"/>
      <c r="BA342" s="336"/>
    </row>
    <row r="343" spans="18:53" x14ac:dyDescent="0.2">
      <c r="R343" s="336"/>
      <c r="S343" s="336"/>
      <c r="AI343" s="336"/>
      <c r="AJ343" s="336"/>
      <c r="AZ343" s="336"/>
      <c r="BA343" s="336"/>
    </row>
    <row r="344" spans="18:53" x14ac:dyDescent="0.2">
      <c r="R344" s="336"/>
      <c r="S344" s="336"/>
      <c r="AI344" s="336"/>
      <c r="AJ344" s="336"/>
      <c r="AZ344" s="336"/>
      <c r="BA344" s="336"/>
    </row>
    <row r="345" spans="18:53" x14ac:dyDescent="0.2">
      <c r="R345" s="336"/>
      <c r="S345" s="336"/>
      <c r="AI345" s="336"/>
      <c r="AJ345" s="336"/>
      <c r="AZ345" s="336"/>
      <c r="BA345" s="336"/>
    </row>
    <row r="346" spans="18:53" x14ac:dyDescent="0.2">
      <c r="R346" s="336"/>
      <c r="S346" s="336"/>
      <c r="AI346" s="336"/>
      <c r="AJ346" s="336"/>
      <c r="AZ346" s="336"/>
      <c r="BA346" s="336"/>
    </row>
    <row r="347" spans="18:53" x14ac:dyDescent="0.2">
      <c r="R347" s="336"/>
      <c r="S347" s="336"/>
      <c r="AI347" s="336"/>
      <c r="AJ347" s="336"/>
      <c r="AZ347" s="336"/>
      <c r="BA347" s="336"/>
    </row>
    <row r="348" spans="18:53" x14ac:dyDescent="0.2">
      <c r="R348" s="336"/>
      <c r="S348" s="336"/>
      <c r="AI348" s="336"/>
      <c r="AJ348" s="336"/>
      <c r="AZ348" s="336"/>
      <c r="BA348" s="336"/>
    </row>
    <row r="349" spans="18:53" x14ac:dyDescent="0.2">
      <c r="R349" s="336"/>
      <c r="S349" s="336"/>
      <c r="AI349" s="336"/>
      <c r="AJ349" s="336"/>
      <c r="AZ349" s="336"/>
      <c r="BA349" s="336"/>
    </row>
    <row r="350" spans="18:53" x14ac:dyDescent="0.2">
      <c r="R350" s="336"/>
      <c r="S350" s="336"/>
      <c r="AI350" s="336"/>
      <c r="AJ350" s="336"/>
      <c r="AZ350" s="336"/>
      <c r="BA350" s="336"/>
    </row>
    <row r="351" spans="18:53" x14ac:dyDescent="0.2">
      <c r="R351" s="336"/>
      <c r="S351" s="336"/>
      <c r="AI351" s="336"/>
      <c r="AJ351" s="336"/>
      <c r="AZ351" s="336"/>
      <c r="BA351" s="336"/>
    </row>
    <row r="352" spans="18:53" x14ac:dyDescent="0.2">
      <c r="R352" s="336"/>
      <c r="S352" s="336"/>
      <c r="AI352" s="336"/>
      <c r="AJ352" s="336"/>
      <c r="AZ352" s="336"/>
      <c r="BA352" s="336"/>
    </row>
    <row r="353" spans="18:53" x14ac:dyDescent="0.2">
      <c r="R353" s="336"/>
      <c r="S353" s="336"/>
      <c r="AI353" s="336"/>
      <c r="AJ353" s="336"/>
      <c r="AZ353" s="336"/>
      <c r="BA353" s="336"/>
    </row>
    <row r="354" spans="18:53" x14ac:dyDescent="0.2">
      <c r="R354" s="336"/>
      <c r="S354" s="336"/>
      <c r="AI354" s="336"/>
      <c r="AJ354" s="336"/>
      <c r="AZ354" s="336"/>
      <c r="BA354" s="336"/>
    </row>
    <row r="355" spans="18:53" x14ac:dyDescent="0.2">
      <c r="R355" s="336"/>
      <c r="S355" s="336"/>
      <c r="AI355" s="336"/>
      <c r="AJ355" s="336"/>
      <c r="AZ355" s="336"/>
      <c r="BA355" s="336"/>
    </row>
    <row r="356" spans="18:53" x14ac:dyDescent="0.2">
      <c r="R356" s="336"/>
      <c r="S356" s="336"/>
      <c r="AI356" s="336"/>
      <c r="AJ356" s="336"/>
      <c r="AZ356" s="336"/>
      <c r="BA356" s="336"/>
    </row>
    <row r="357" spans="18:53" x14ac:dyDescent="0.2">
      <c r="R357" s="336"/>
      <c r="S357" s="336"/>
      <c r="AI357" s="336"/>
      <c r="AJ357" s="336"/>
      <c r="AZ357" s="336"/>
      <c r="BA357" s="336"/>
    </row>
    <row r="358" spans="18:53" x14ac:dyDescent="0.2">
      <c r="R358" s="336"/>
      <c r="S358" s="336"/>
      <c r="AI358" s="336"/>
      <c r="AJ358" s="336"/>
      <c r="AZ358" s="336"/>
      <c r="BA358" s="336"/>
    </row>
    <row r="359" spans="18:53" x14ac:dyDescent="0.2">
      <c r="R359" s="336"/>
      <c r="S359" s="336"/>
      <c r="AI359" s="336"/>
      <c r="AJ359" s="336"/>
      <c r="AZ359" s="336"/>
      <c r="BA359" s="336"/>
    </row>
    <row r="360" spans="18:53" x14ac:dyDescent="0.2">
      <c r="R360" s="336"/>
      <c r="S360" s="336"/>
      <c r="AI360" s="336"/>
      <c r="AJ360" s="336"/>
      <c r="AZ360" s="336"/>
      <c r="BA360" s="336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41"/>
  <sheetViews>
    <sheetView showGridLines="0" topLeftCell="H1" zoomScale="80" workbookViewId="0">
      <selection activeCell="S5" sqref="S5"/>
    </sheetView>
  </sheetViews>
  <sheetFormatPr defaultRowHeight="12.75" x14ac:dyDescent="0.2"/>
  <cols>
    <col min="2" max="5" width="20.5703125" customWidth="1"/>
    <col min="6" max="6" width="1.7109375" customWidth="1"/>
    <col min="7" max="7" width="19.5703125" bestFit="1" customWidth="1"/>
    <col min="10" max="14" width="20.5703125" customWidth="1"/>
    <col min="15" max="15" width="1.7109375" customWidth="1"/>
    <col min="16" max="17" width="19.5703125" customWidth="1"/>
  </cols>
  <sheetData>
    <row r="1" spans="1:17" ht="26.25" x14ac:dyDescent="0.4">
      <c r="A1" s="489" t="s">
        <v>154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</row>
    <row r="2" spans="1:17" x14ac:dyDescent="0.2">
      <c r="A2" s="488" t="s">
        <v>155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4" spans="1:17" x14ac:dyDescent="0.2">
      <c r="A4" s="94" t="s">
        <v>127</v>
      </c>
      <c r="B4" s="94"/>
      <c r="C4" s="95"/>
      <c r="D4" s="95"/>
      <c r="E4" s="95"/>
      <c r="F4" s="95"/>
      <c r="G4" s="96"/>
      <c r="I4" s="94" t="s">
        <v>129</v>
      </c>
      <c r="J4" s="94"/>
      <c r="K4" s="95"/>
      <c r="L4" s="95"/>
      <c r="M4" s="95"/>
      <c r="N4" s="95"/>
      <c r="O4" s="95"/>
      <c r="P4" s="96"/>
      <c r="Q4" s="96"/>
    </row>
    <row r="5" spans="1:17" x14ac:dyDescent="0.2">
      <c r="B5" s="14"/>
      <c r="C5" s="14"/>
      <c r="D5" s="14"/>
      <c r="E5" s="14"/>
      <c r="F5" s="14"/>
      <c r="G5" s="14" t="s">
        <v>19</v>
      </c>
      <c r="H5" s="14"/>
      <c r="J5" s="14"/>
      <c r="K5" s="14"/>
      <c r="L5" s="14"/>
      <c r="M5" s="14"/>
      <c r="N5" s="14"/>
      <c r="O5" s="14"/>
      <c r="P5" s="14"/>
      <c r="Q5" s="14"/>
    </row>
    <row r="6" spans="1:17" x14ac:dyDescent="0.2">
      <c r="B6" s="14"/>
      <c r="C6" s="14" t="s">
        <v>108</v>
      </c>
      <c r="D6" s="14"/>
      <c r="E6" s="14"/>
      <c r="F6" s="14"/>
      <c r="G6" s="14" t="s">
        <v>119</v>
      </c>
      <c r="H6" s="14"/>
      <c r="J6" s="418" t="s">
        <v>135</v>
      </c>
      <c r="K6" s="419"/>
      <c r="L6" s="419"/>
      <c r="M6" s="419"/>
      <c r="N6" s="419"/>
      <c r="O6" s="419"/>
      <c r="P6" s="420"/>
      <c r="Q6" s="411" t="s">
        <v>134</v>
      </c>
    </row>
    <row r="7" spans="1:17" x14ac:dyDescent="0.2">
      <c r="B7" s="14" t="s">
        <v>108</v>
      </c>
      <c r="C7" s="14" t="s">
        <v>83</v>
      </c>
      <c r="D7" s="14" t="s">
        <v>108</v>
      </c>
      <c r="E7" s="14" t="s">
        <v>86</v>
      </c>
      <c r="F7" s="14"/>
      <c r="G7" s="14" t="s">
        <v>86</v>
      </c>
      <c r="H7" s="14"/>
      <c r="J7" s="414" t="s">
        <v>108</v>
      </c>
      <c r="K7" s="183" t="s">
        <v>16</v>
      </c>
      <c r="L7" s="183" t="s">
        <v>100</v>
      </c>
      <c r="M7" s="183" t="s">
        <v>101</v>
      </c>
      <c r="N7" s="183" t="s">
        <v>108</v>
      </c>
      <c r="O7" s="183"/>
      <c r="P7" s="415" t="s">
        <v>130</v>
      </c>
      <c r="Q7" s="412" t="s">
        <v>130</v>
      </c>
    </row>
    <row r="8" spans="1:17" x14ac:dyDescent="0.2">
      <c r="B8" s="14" t="s">
        <v>119</v>
      </c>
      <c r="C8" s="14" t="s">
        <v>80</v>
      </c>
      <c r="D8" s="14" t="s">
        <v>107</v>
      </c>
      <c r="E8" s="14" t="s">
        <v>126</v>
      </c>
      <c r="F8" s="14"/>
      <c r="G8" s="14" t="s">
        <v>128</v>
      </c>
      <c r="H8" s="14"/>
      <c r="J8" s="416" t="s">
        <v>95</v>
      </c>
      <c r="K8" s="184" t="s">
        <v>104</v>
      </c>
      <c r="L8" s="184" t="s">
        <v>104</v>
      </c>
      <c r="M8" s="184" t="s">
        <v>104</v>
      </c>
      <c r="N8" s="184" t="s">
        <v>104</v>
      </c>
      <c r="O8" s="184"/>
      <c r="P8" s="417" t="s">
        <v>106</v>
      </c>
      <c r="Q8" s="413" t="s">
        <v>106</v>
      </c>
    </row>
    <row r="9" spans="1:17" x14ac:dyDescent="0.2">
      <c r="A9" s="363" t="s">
        <v>108</v>
      </c>
      <c r="B9" s="364">
        <f>SUM(B10:B35)</f>
        <v>1069371259.3965149</v>
      </c>
      <c r="C9" s="365">
        <f>SUM(C10:C35)</f>
        <v>1059371533.801657</v>
      </c>
      <c r="D9" s="365">
        <f>SUM(D10:D35)</f>
        <v>1046682030.0707698</v>
      </c>
      <c r="E9" s="365">
        <f>SUM(E10:E35)</f>
        <v>1020514979.319</v>
      </c>
      <c r="F9" s="356"/>
      <c r="G9" s="322">
        <f>SUM(G10:G35)</f>
        <v>22689229.325745139</v>
      </c>
      <c r="H9" s="14"/>
      <c r="I9" s="363" t="s">
        <v>108</v>
      </c>
      <c r="J9" s="372">
        <f>SUM(J10:J35)</f>
        <v>3629588818.1439147</v>
      </c>
      <c r="K9" s="373">
        <f>SUM(K10:K35)</f>
        <v>-3000721788.3038721</v>
      </c>
      <c r="L9" s="373">
        <f>SUM(L10:L35)</f>
        <v>-31623289.603488464</v>
      </c>
      <c r="M9" s="373">
        <f>SUM(M10:M35)</f>
        <v>-576833440.65017402</v>
      </c>
      <c r="N9" s="372">
        <f>SUM(K9:M9)</f>
        <v>-3609178518.5575347</v>
      </c>
      <c r="O9" s="374"/>
      <c r="P9" s="375">
        <f>SUM(P10:P35)</f>
        <v>20410299.586380154</v>
      </c>
      <c r="Q9" s="375">
        <f ca="1">SUM(Q10:Q35)</f>
        <v>10362757.077702602</v>
      </c>
    </row>
    <row r="10" spans="1:17" x14ac:dyDescent="0.2">
      <c r="A10" s="355">
        <v>2000</v>
      </c>
      <c r="B10" s="117">
        <f>+SUMIF('ELBA BOOK'!$D$18:$D$324,'ELBA INCOME'!$A10,'ELBA BOOK'!$B$18:$B$323)</f>
        <v>0</v>
      </c>
      <c r="C10" s="117">
        <f>+SUMIF('ELBA BOOK'!$D$18:$D$323,$A10,'ELBA BOOK'!$F$18:$F$323)+SUMIF('ELBA BOOK'!$D$18:$D$323,$A10,'ELBA BOOK'!$W$18:$W$323)+SUMIF('ELBA BOOK'!$D$18:$D$323,$A10,'ELBA BOOK'!$AN$18:$AN$323)</f>
        <v>0</v>
      </c>
      <c r="D10" s="117">
        <f>+SUMIF('ELBA BOOK'!$D$18:$D$323,$A10,'ELBA BOOK'!$H$18:$H$323)+SUMIF('ELBA BOOK'!$D$18:$D$323,$A10,'ELBA BOOK'!$Y$18:$Y$323)+SUMIF('ELBA BOOK'!$D$18:$D$323,$A10,'ELBA BOOK'!$AP$18:$AP$323)</f>
        <v>0</v>
      </c>
      <c r="E10" s="117">
        <f>+SUMIF('ELBA BOOK'!$D$18:$D$323,$A10,'ELBA BOOK'!$J$18:$J$323)+SUMIF('ELBA BOOK'!$D$18:$D$323,$A10,'ELBA BOOK'!$AA$18:$AA$323)+SUMIF('ELBA BOOK'!$D$18:$D$323,$A10,'ELBA BOOK'!$AR$18:$AR$323)</f>
        <v>0</v>
      </c>
      <c r="F10" s="357"/>
      <c r="G10" s="354">
        <f>+SUMIF('ELBA BOOK'!$D$18:$D$323,'ELBA INCOME'!$A10,'ELBA BOOK'!$C$18:$C$323)</f>
        <v>0</v>
      </c>
      <c r="I10" s="380">
        <v>2000</v>
      </c>
      <c r="J10" s="366">
        <f>+SUMIF('ELBA BOOK'!$D$18:$D$323,'ELBA INCOME'!$I10,'ELBA BOOK'!$M$18:$M$323)+SUMIF('ELBA BOOK'!$D$18:$D$323,'ELBA INCOME'!$I10,'ELBA BOOK'!$AD$18:$AD$323)+SUMIF('ELBA BOOK'!$D$18:$D$323,'ELBA INCOME'!$I10,'ELBA BOOK'!$AU$18:$AU$323)</f>
        <v>0</v>
      </c>
      <c r="K10" s="370">
        <f>+SUMIF('ELBA BOOK'!$D$18:$D$323,'ELBA INCOME'!$I10,'ELBA BOOK'!$P$18:$P$323)+SUMIF('ELBA BOOK'!$D$18:$D$323,'ELBA INCOME'!$I10,'ELBA BOOK'!$AG$18:$AG$323)+SUMIF('ELBA BOOK'!$D$18:$D$323,'ELBA INCOME'!$I10,'ELBA BOOK'!$AX$18:$AX$323)</f>
        <v>0</v>
      </c>
      <c r="L10" s="370">
        <f>+SUMIF('ELBA BOOK'!$D$18:$D$323,'ELBA INCOME'!$I10,'ELBA BOOK'!$O$18:$O$323)+SUMIF('ELBA BOOK'!$D$18:$D$323,'ELBA INCOME'!$I10,'ELBA BOOK'!$AF$18:$AF$323)+SUMIF('ELBA BOOK'!$D$18:$D$323,'ELBA INCOME'!$I10,'ELBA BOOK'!$AW$18:$AW$323)</f>
        <v>0</v>
      </c>
      <c r="M10" s="370">
        <f>+SUMIF('ELBA BOOK'!$D$18:$D$323,'ELBA INCOME'!$I10,'ELBA BOOK'!$S$18:$S$323)+SUMIF('ELBA BOOK'!$D$18:$D$323,'ELBA INCOME'!$I10,'ELBA BOOK'!$AJ$18:$AJ$323)+SUMIF('ELBA BOOK'!$D$18:$D$323,'ELBA INCOME'!$I10,'ELBA BOOK'!$BA$18:$BA$323)-K10-L10</f>
        <v>0</v>
      </c>
      <c r="N10" s="386">
        <f>SUM(K10:M10)</f>
        <v>0</v>
      </c>
      <c r="O10" s="376"/>
      <c r="P10" s="383">
        <f>+J10+N10</f>
        <v>0</v>
      </c>
      <c r="Q10" s="383">
        <f ca="1">+P10*CURVECALC!L6</f>
        <v>0</v>
      </c>
    </row>
    <row r="11" spans="1:17" x14ac:dyDescent="0.2">
      <c r="A11" s="358">
        <v>2001</v>
      </c>
      <c r="B11" s="359">
        <f>+SUMIF('ELBA BOOK'!$D$18:$D$324,$A11,'ELBA BOOK'!$B$18:$B$323)</f>
        <v>0</v>
      </c>
      <c r="C11" s="359">
        <f>+SUMIF('ELBA BOOK'!$D$18:$D$323,$A11,'ELBA BOOK'!$F$18:$F$323)+SUMIF('ELBA BOOK'!$D$18:$D$323,$A11,'ELBA BOOK'!$W$18:$W$323)+SUMIF('ELBA BOOK'!$D$18:$D$323,$A11,'ELBA BOOK'!$AN$18:$AN$323)</f>
        <v>0</v>
      </c>
      <c r="D11" s="359">
        <f>+SUMIF('ELBA BOOK'!$D$18:$D$323,$A11,'ELBA BOOK'!$H$18:$H$323)+SUMIF('ELBA BOOK'!$D$18:$D$323,$A11,'ELBA BOOK'!$Y$18:$Y$323)+SUMIF('ELBA BOOK'!$D$18:$D$323,$A11,'ELBA BOOK'!$AP$18:$AP$323)</f>
        <v>0</v>
      </c>
      <c r="E11" s="359">
        <f>+SUMIF('ELBA BOOK'!$D$18:$D$323,$A11,'ELBA BOOK'!$J$18:$J$323)+SUMIF('ELBA BOOK'!$D$18:$D$323,$A11,'ELBA BOOK'!$AA$18:$AA$323)+SUMIF('ELBA BOOK'!$D$18:$D$323,$A11,'ELBA BOOK'!$AR$18:$AR$323)</f>
        <v>0</v>
      </c>
      <c r="F11" s="428"/>
      <c r="G11" s="217">
        <f>+SUMIF('ELBA BOOK'!$D$18:$D$323,$A11,'ELBA BOOK'!$C$18:$C$323)</f>
        <v>0</v>
      </c>
      <c r="I11" s="380">
        <v>2001</v>
      </c>
      <c r="J11" s="366">
        <f>+SUMIF('ELBA BOOK'!$D$18:$D$323,$I11,'ELBA BOOK'!$M$18:$M$323)+SUMIF('ELBA BOOK'!$D$18:$D$323,$I11,'ELBA BOOK'!$AD$18:$AD$323)+SUMIF('ELBA BOOK'!$D$18:$D$323,$I11,'ELBA BOOK'!$AU$18:$AU$323)</f>
        <v>0</v>
      </c>
      <c r="K11" s="370">
        <f>+SUMIF('ELBA BOOK'!$D$18:$D$323,$I11,'ELBA BOOK'!$P$18:$P$323)+SUMIF('ELBA BOOK'!$D$18:$D$323,$I11,'ELBA BOOK'!$AG$18:$AG$323)+SUMIF('ELBA BOOK'!$D$18:$D$323,$I11,'ELBA BOOK'!$AX$18:$AX$323)</f>
        <v>0</v>
      </c>
      <c r="L11" s="370">
        <f>+SUMIF('ELBA BOOK'!$D$18:$D$323,$I11,'ELBA BOOK'!$O$18:$O$323)+SUMIF('ELBA BOOK'!$D$18:$D$323,$I11,'ELBA BOOK'!$AF$18:$AF$323)+SUMIF('ELBA BOOK'!$D$18:$D$323,$I11,'ELBA BOOK'!$AW$18:$AW$323)</f>
        <v>0</v>
      </c>
      <c r="M11" s="370">
        <f>+SUMIF('ELBA BOOK'!$D$18:$D$323,$I11,'ELBA BOOK'!$S$18:$S$323)+SUMIF('ELBA BOOK'!$D$18:$D$323,$I11,'ELBA BOOK'!$AJ$18:$AJ$323)+SUMIF('ELBA BOOK'!$D$18:$D$323,$I11,'ELBA BOOK'!$BA$18:$BA$323)-K11-L11</f>
        <v>0</v>
      </c>
      <c r="N11" s="386">
        <f>SUM(K11:M11)</f>
        <v>0</v>
      </c>
      <c r="O11" s="376"/>
      <c r="P11" s="383">
        <f t="shared" ref="P11:P35" si="0">+J11+N11</f>
        <v>0</v>
      </c>
      <c r="Q11" s="383">
        <f ca="1">+P11*CURVECALC!L7</f>
        <v>0</v>
      </c>
    </row>
    <row r="12" spans="1:17" x14ac:dyDescent="0.2">
      <c r="A12" s="224">
        <v>2002</v>
      </c>
      <c r="B12" s="360">
        <f>+SUMIF('ELBA BOOK'!$D$18:$D$324,$A12,'ELBA BOOK'!$B$18:$B$323)</f>
        <v>47363036.935745142</v>
      </c>
      <c r="C12" s="360">
        <f>+SUMIF('ELBA BOOK'!$D$18:$D$323,$A12,'ELBA BOOK'!$F$18:$F$323)+SUMIF('ELBA BOOK'!$D$18:$D$323,$A12,'ELBA BOOK'!$W$18:$W$323)+SUMIF('ELBA BOOK'!$D$18:$D$323,$A12,'ELBA BOOK'!$AN$18:$AN$323)</f>
        <v>25515829.999999996</v>
      </c>
      <c r="D12" s="360">
        <f>+SUMIF('ELBA BOOK'!$D$18:$D$323,$A12,'ELBA BOOK'!$H$18:$H$323)+SUMIF('ELBA BOOK'!$D$18:$D$323,$A12,'ELBA BOOK'!$Y$18:$Y$323)+SUMIF('ELBA BOOK'!$D$18:$D$323,$A12,'ELBA BOOK'!$AP$18:$AP$323)</f>
        <v>24673807.610000003</v>
      </c>
      <c r="E12" s="360">
        <f>+SUMIF('ELBA BOOK'!$D$18:$D$323,$A12,'ELBA BOOK'!$J$18:$J$323)+SUMIF('ELBA BOOK'!$D$18:$D$323,$A12,'ELBA BOOK'!$AA$18:$AA$323)+SUMIF('ELBA BOOK'!$D$18:$D$323,$A12,'ELBA BOOK'!$AR$18:$AR$323)</f>
        <v>24056962.419750001</v>
      </c>
      <c r="F12" s="429"/>
      <c r="G12" s="218">
        <f>+SUMIF('ELBA BOOK'!$D$18:$D$323,$A12,'ELBA BOOK'!$C$18:$C$323)</f>
        <v>22689229.325745139</v>
      </c>
      <c r="I12" s="381">
        <v>2002</v>
      </c>
      <c r="J12" s="367">
        <f>+SUMIF('ELBA BOOK'!$D$18:$D$323,$I12,'ELBA BOOK'!$M$18:$M$323)+SUMIF('ELBA BOOK'!$D$18:$D$323,$I12,'ELBA BOOK'!$AD$18:$AD$323)+SUMIF('ELBA BOOK'!$D$18:$D$323,$I12,'ELBA BOOK'!$AU$18:$AU$323)</f>
        <v>78553330.609004676</v>
      </c>
      <c r="K12" s="369">
        <f>+SUMIF('ELBA BOOK'!$D$18:$D$323,$I12,'ELBA BOOK'!$P$18:$P$323)+SUMIF('ELBA BOOK'!$D$18:$D$323,$I12,'ELBA BOOK'!$AG$18:$AG$323)+SUMIF('ELBA BOOK'!$D$18:$D$323,$I12,'ELBA BOOK'!$AX$18:$AX$323)</f>
        <v>-59541798.672225997</v>
      </c>
      <c r="L12" s="369">
        <f>+SUMIF('ELBA BOOK'!$D$18:$D$323,$I12,'ELBA BOOK'!$O$18:$O$323)+SUMIF('ELBA BOOK'!$D$18:$D$323,$I12,'ELBA BOOK'!$AF$18:$AF$323)+SUMIF('ELBA BOOK'!$D$18:$D$323,$I12,'ELBA BOOK'!$AW$18:$AW$323)</f>
        <v>-670838.39715994976</v>
      </c>
      <c r="M12" s="369">
        <f>+SUMIF('ELBA BOOK'!$D$18:$D$323,$I12,'ELBA BOOK'!$S$18:$S$323)+SUMIF('ELBA BOOK'!$D$18:$D$323,$I12,'ELBA BOOK'!$AJ$18:$AJ$323)+SUMIF('ELBA BOOK'!$D$18:$D$323,$I12,'ELBA BOOK'!$BA$18:$BA$323)-K12-L12</f>
        <v>-17859554.291223735</v>
      </c>
      <c r="N12" s="387">
        <f t="shared" ref="N12:N35" si="1">SUM(K12:M12)</f>
        <v>-78072191.36060968</v>
      </c>
      <c r="O12" s="377"/>
      <c r="P12" s="384">
        <f t="shared" si="0"/>
        <v>481139.24839499593</v>
      </c>
      <c r="Q12" s="384">
        <f ca="1">+P12*CURVECALC!L8</f>
        <v>419963.70393676113</v>
      </c>
    </row>
    <row r="13" spans="1:17" x14ac:dyDescent="0.2">
      <c r="A13" s="224">
        <v>2003</v>
      </c>
      <c r="B13" s="360">
        <f>+SUMIF('ELBA BOOK'!$D$18:$D$324,$A13,'ELBA BOOK'!$B$18:$B$323)</f>
        <v>62863667.20562537</v>
      </c>
      <c r="C13" s="360">
        <f>+SUMIF('ELBA BOOK'!$D$18:$D$323,$A13,'ELBA BOOK'!$F$18:$F$323)+SUMIF('ELBA BOOK'!$D$18:$D$323,$A13,'ELBA BOOK'!$W$18:$W$323)+SUMIF('ELBA BOOK'!$D$18:$D$323,$A13,'ELBA BOOK'!$AN$18:$AN$323)</f>
        <v>64533262.917226344</v>
      </c>
      <c r="D13" s="360">
        <f>+SUMIF('ELBA BOOK'!$D$18:$D$323,$A13,'ELBA BOOK'!$H$18:$H$323)+SUMIF('ELBA BOOK'!$D$18:$D$323,$A13,'ELBA BOOK'!$Y$18:$Y$323)+SUMIF('ELBA BOOK'!$D$18:$D$323,$A13,'ELBA BOOK'!$AP$18:$AP$323)</f>
        <v>62863667.20562537</v>
      </c>
      <c r="E13" s="360">
        <f>+SUMIF('ELBA BOOK'!$D$18:$D$323,$A13,'ELBA BOOK'!$J$18:$J$323)+SUMIF('ELBA BOOK'!$D$18:$D$323,$A13,'ELBA BOOK'!$AA$18:$AA$323)+SUMIF('ELBA BOOK'!$D$18:$D$323,$A13,'ELBA BOOK'!$AR$18:$AR$323)</f>
        <v>61292075.525484726</v>
      </c>
      <c r="F13" s="429"/>
      <c r="G13" s="218">
        <f>+SUMIF('ELBA BOOK'!$D$18:$D$323,$A13,'ELBA BOOK'!$C$18:$C$323)</f>
        <v>0</v>
      </c>
      <c r="I13" s="381">
        <v>2003</v>
      </c>
      <c r="J13" s="367">
        <f>+SUMIF('ELBA BOOK'!$D$18:$D$323,$I13,'ELBA BOOK'!$M$18:$M$323)+SUMIF('ELBA BOOK'!$D$18:$D$323,$I13,'ELBA BOOK'!$AD$18:$AD$323)+SUMIF('ELBA BOOK'!$D$18:$D$323,$I13,'ELBA BOOK'!$AU$18:$AU$323)</f>
        <v>195196621.04076934</v>
      </c>
      <c r="K13" s="369">
        <f>+SUMIF('ELBA BOOK'!$D$18:$D$323,$I13,'ELBA BOOK'!$P$18:$P$323)+SUMIF('ELBA BOOK'!$D$18:$D$323,$I13,'ELBA BOOK'!$AG$18:$AG$323)+SUMIF('ELBA BOOK'!$D$18:$D$323,$I13,'ELBA BOOK'!$AX$18:$AX$323)</f>
        <v>-142186121.32172984</v>
      </c>
      <c r="L13" s="369">
        <f>+SUMIF('ELBA BOOK'!$D$18:$D$323,$I13,'ELBA BOOK'!$O$18:$O$323)+SUMIF('ELBA BOOK'!$D$18:$D$323,$I13,'ELBA BOOK'!$AF$18:$AF$323)+SUMIF('ELBA BOOK'!$D$18:$D$323,$I13,'ELBA BOOK'!$AW$18:$AW$323)</f>
        <v>-1727980.2971126833</v>
      </c>
      <c r="M13" s="369">
        <f>+SUMIF('ELBA BOOK'!$D$18:$D$323,$I13,'ELBA BOOK'!$S$18:$S$323)+SUMIF('ELBA BOOK'!$D$18:$D$323,$I13,'ELBA BOOK'!$AJ$18:$AJ$323)+SUMIF('ELBA BOOK'!$D$18:$D$323,$I13,'ELBA BOOK'!$BA$18:$BA$323)-K13-L13</f>
        <v>-50056677.911417089</v>
      </c>
      <c r="N13" s="387">
        <f t="shared" si="1"/>
        <v>-193970779.53025961</v>
      </c>
      <c r="O13" s="377"/>
      <c r="P13" s="384">
        <f t="shared" si="0"/>
        <v>1225841.5105097294</v>
      </c>
      <c r="Q13" s="384">
        <f ca="1">+P13*CURVECALC!L9</f>
        <v>997521.55096999404</v>
      </c>
    </row>
    <row r="14" spans="1:17" x14ac:dyDescent="0.2">
      <c r="A14" s="224">
        <v>2004</v>
      </c>
      <c r="B14" s="360">
        <f>+SUMIF('ELBA BOOK'!$D$18:$D$324,$A14,'ELBA BOOK'!$B$18:$B$323)</f>
        <v>63035896.430846259</v>
      </c>
      <c r="C14" s="360">
        <f>+SUMIF('ELBA BOOK'!$D$18:$D$323,$A14,'ELBA BOOK'!$F$18:$F$323)+SUMIF('ELBA BOOK'!$D$18:$D$323,$A14,'ELBA BOOK'!$W$18:$W$323)+SUMIF('ELBA BOOK'!$D$18:$D$323,$A14,'ELBA BOOK'!$AN$18:$AN$323)</f>
        <v>63704796.797217026</v>
      </c>
      <c r="D14" s="360">
        <f>+SUMIF('ELBA BOOK'!$D$18:$D$323,$A14,'ELBA BOOK'!$H$18:$H$323)+SUMIF('ELBA BOOK'!$D$18:$D$323,$A14,'ELBA BOOK'!$Y$18:$Y$323)+SUMIF('ELBA BOOK'!$D$18:$D$323,$A14,'ELBA BOOK'!$AP$18:$AP$323)</f>
        <v>63035896.430846259</v>
      </c>
      <c r="E14" s="360">
        <f>+SUMIF('ELBA BOOK'!$D$18:$D$323,$A14,'ELBA BOOK'!$J$18:$J$323)+SUMIF('ELBA BOOK'!$D$18:$D$323,$A14,'ELBA BOOK'!$AA$18:$AA$323)+SUMIF('ELBA BOOK'!$D$18:$D$323,$A14,'ELBA BOOK'!$AR$18:$AR$323)</f>
        <v>61459999.020075105</v>
      </c>
      <c r="F14" s="429"/>
      <c r="G14" s="218">
        <f>+SUMIF('ELBA BOOK'!$D$18:$D$323,$A14,'ELBA BOOK'!$C$18:$C$323)</f>
        <v>0</v>
      </c>
      <c r="I14" s="381">
        <v>2004</v>
      </c>
      <c r="J14" s="367">
        <f>+SUMIF('ELBA BOOK'!$D$18:$D$323,$I14,'ELBA BOOK'!$M$18:$M$323)+SUMIF('ELBA BOOK'!$D$18:$D$323,$I14,'ELBA BOOK'!$AD$18:$AD$323)+SUMIF('ELBA BOOK'!$D$18:$D$323,$I14,'ELBA BOOK'!$AU$18:$AU$323)</f>
        <v>194220481.7667155</v>
      </c>
      <c r="K14" s="369">
        <f>+SUMIF('ELBA BOOK'!$D$18:$D$323,$I14,'ELBA BOOK'!$P$18:$P$323)+SUMIF('ELBA BOOK'!$D$18:$D$323,$I14,'ELBA BOOK'!$AG$18:$AG$323)+SUMIF('ELBA BOOK'!$D$18:$D$323,$I14,'ELBA BOOK'!$AX$18:$AX$323)</f>
        <v>-158898934.05959442</v>
      </c>
      <c r="L14" s="369">
        <f>+SUMIF('ELBA BOOK'!$D$18:$D$323,$I14,'ELBA BOOK'!$O$18:$O$323)+SUMIF('ELBA BOOK'!$D$18:$D$323,$I14,'ELBA BOOK'!$AF$18:$AF$323)+SUMIF('ELBA BOOK'!$D$18:$D$323,$I14,'ELBA BOOK'!$AW$18:$AW$323)</f>
        <v>-1754475.3740044737</v>
      </c>
      <c r="M14" s="369">
        <f>+SUMIF('ELBA BOOK'!$D$18:$D$323,$I14,'ELBA BOOK'!$S$18:$S$323)+SUMIF('ELBA BOOK'!$D$18:$D$323,$I14,'ELBA BOOK'!$AJ$18:$AJ$323)+SUMIF('ELBA BOOK'!$D$18:$D$323,$I14,'ELBA BOOK'!$BA$18:$BA$323)-K14-L14</f>
        <v>-32337872.352715116</v>
      </c>
      <c r="N14" s="387">
        <f t="shared" si="1"/>
        <v>-192991281.78631401</v>
      </c>
      <c r="O14" s="377"/>
      <c r="P14" s="384">
        <f t="shared" si="0"/>
        <v>1229199.9804014862</v>
      </c>
      <c r="Q14" s="384">
        <f ca="1">+P14*CURVECALC!L10</f>
        <v>932237.91778029606</v>
      </c>
    </row>
    <row r="15" spans="1:17" x14ac:dyDescent="0.2">
      <c r="A15" s="361">
        <v>2005</v>
      </c>
      <c r="B15" s="362">
        <f>+SUMIF('ELBA BOOK'!$D$18:$D$324,$A15,'ELBA BOOK'!$B$18:$B$323)</f>
        <v>62863667.20562537</v>
      </c>
      <c r="C15" s="362">
        <f>+SUMIF('ELBA BOOK'!$D$18:$D$323,$A15,'ELBA BOOK'!$F$18:$F$323)+SUMIF('ELBA BOOK'!$D$18:$D$323,$A15,'ELBA BOOK'!$W$18:$W$323)+SUMIF('ELBA BOOK'!$D$18:$D$323,$A15,'ELBA BOOK'!$AN$18:$AN$323)</f>
        <v>63530739.975366704</v>
      </c>
      <c r="D15" s="362">
        <f>+SUMIF('ELBA BOOK'!$D$18:$D$323,$A15,'ELBA BOOK'!$H$18:$H$323)+SUMIF('ELBA BOOK'!$D$18:$D$323,$A15,'ELBA BOOK'!$Y$18:$Y$323)+SUMIF('ELBA BOOK'!$D$18:$D$323,$A15,'ELBA BOOK'!$AP$18:$AP$323)</f>
        <v>62863667.20562537</v>
      </c>
      <c r="E15" s="362">
        <f>+SUMIF('ELBA BOOK'!$D$18:$D$323,$A15,'ELBA BOOK'!$J$18:$J$323)+SUMIF('ELBA BOOK'!$D$18:$D$323,$A15,'ELBA BOOK'!$AA$18:$AA$323)+SUMIF('ELBA BOOK'!$D$18:$D$323,$A15,'ELBA BOOK'!$AR$18:$AR$323)</f>
        <v>61292075.525484733</v>
      </c>
      <c r="F15" s="430"/>
      <c r="G15" s="219">
        <f>+SUMIF('ELBA BOOK'!$D$18:$D$323,$A15,'ELBA BOOK'!$C$18:$C$323)</f>
        <v>0</v>
      </c>
      <c r="I15" s="382">
        <v>2005</v>
      </c>
      <c r="J15" s="368">
        <f>+SUMIF('ELBA BOOK'!$D$18:$D$323,$I15,'ELBA BOOK'!$M$18:$M$323)+SUMIF('ELBA BOOK'!$D$18:$D$323,$I15,'ELBA BOOK'!$AD$18:$AD$323)+SUMIF('ELBA BOOK'!$D$18:$D$323,$I15,'ELBA BOOK'!$AU$18:$AU$323)</f>
        <v>194279254.98982218</v>
      </c>
      <c r="K15" s="371">
        <f>+SUMIF('ELBA BOOK'!$D$18:$D$323,$I15,'ELBA BOOK'!$P$18:$P$323)+SUMIF('ELBA BOOK'!$D$18:$D$323,$I15,'ELBA BOOK'!$AG$18:$AG$323)+SUMIF('ELBA BOOK'!$D$18:$D$323,$I15,'ELBA BOOK'!$AX$18:$AX$323)</f>
        <v>-158861199.50250781</v>
      </c>
      <c r="L15" s="371">
        <f>+SUMIF('ELBA BOOK'!$D$18:$D$323,$I15,'ELBA BOOK'!$O$18:$O$323)+SUMIF('ELBA BOOK'!$D$18:$D$323,$I15,'ELBA BOOK'!$AF$18:$AF$323)+SUMIF('ELBA BOOK'!$D$18:$D$323,$I15,'ELBA BOOK'!$AW$18:$AW$323)</f>
        <v>-1771701.2734286003</v>
      </c>
      <c r="M15" s="371">
        <f>+SUMIF('ELBA BOOK'!$D$18:$D$323,$I15,'ELBA BOOK'!$S$18:$S$323)+SUMIF('ELBA BOOK'!$D$18:$D$323,$I15,'ELBA BOOK'!$AJ$18:$AJ$323)+SUMIF('ELBA BOOK'!$D$18:$D$323,$I15,'ELBA BOOK'!$BA$18:$BA$323)-K15-L15</f>
        <v>-32420512.703376014</v>
      </c>
      <c r="N15" s="388">
        <f t="shared" si="1"/>
        <v>-193053413.47931242</v>
      </c>
      <c r="O15" s="378"/>
      <c r="P15" s="385">
        <f t="shared" si="0"/>
        <v>1225841.5105097592</v>
      </c>
      <c r="Q15" s="385">
        <f ca="1">+P15*CURVECALC!L11</f>
        <v>865583.03162133589</v>
      </c>
    </row>
    <row r="16" spans="1:17" x14ac:dyDescent="0.2">
      <c r="A16" s="42">
        <v>2006</v>
      </c>
      <c r="B16" s="118">
        <f>+SUMIF('ELBA BOOK'!$D$18:$D$324,$A16,'ELBA BOOK'!$B$18:$B$323)</f>
        <v>62863667.20562537</v>
      </c>
      <c r="C16" s="118">
        <f>+SUMIF('ELBA BOOK'!$D$18:$D$323,$A16,'ELBA BOOK'!$F$18:$F$323)+SUMIF('ELBA BOOK'!$D$18:$D$323,$A16,'ELBA BOOK'!$W$18:$W$323)+SUMIF('ELBA BOOK'!$D$18:$D$323,$A16,'ELBA BOOK'!$AN$18:$AN$323)</f>
        <v>63530739.975366704</v>
      </c>
      <c r="D16" s="118">
        <f>+SUMIF('ELBA BOOK'!$D$18:$D$323,$A16,'ELBA BOOK'!$H$18:$H$323)+SUMIF('ELBA BOOK'!$D$18:$D$323,$A16,'ELBA BOOK'!$Y$18:$Y$323)+SUMIF('ELBA BOOK'!$D$18:$D$323,$A16,'ELBA BOOK'!$AP$18:$AP$323)</f>
        <v>62863667.20562537</v>
      </c>
      <c r="E16" s="118">
        <f>+SUMIF('ELBA BOOK'!$D$18:$D$323,$A16,'ELBA BOOK'!$J$18:$J$323)+SUMIF('ELBA BOOK'!$D$18:$D$323,$A16,'ELBA BOOK'!$AA$18:$AA$323)+SUMIF('ELBA BOOK'!$D$18:$D$323,$A16,'ELBA BOOK'!$AR$18:$AR$323)</f>
        <v>61292075.525484733</v>
      </c>
      <c r="F16" s="429"/>
      <c r="G16" s="218">
        <f>+SUMIF('ELBA BOOK'!$D$18:$D$323,$A16,'ELBA BOOK'!$C$18:$C$323)</f>
        <v>0</v>
      </c>
      <c r="I16" s="381">
        <v>2006</v>
      </c>
      <c r="J16" s="367">
        <f>+SUMIF('ELBA BOOK'!$D$18:$D$323,$I16,'ELBA BOOK'!$M$18:$M$323)+SUMIF('ELBA BOOK'!$D$18:$D$323,$I16,'ELBA BOOK'!$AD$18:$AD$323)+SUMIF('ELBA BOOK'!$D$18:$D$323,$I16,'ELBA BOOK'!$AU$18:$AU$323)</f>
        <v>195812564.41892681</v>
      </c>
      <c r="K16" s="369">
        <f>+SUMIF('ELBA BOOK'!$D$18:$D$323,$I16,'ELBA BOOK'!$P$18:$P$323)+SUMIF('ELBA BOOK'!$D$18:$D$323,$I16,'ELBA BOOK'!$AG$18:$AG$323)+SUMIF('ELBA BOOK'!$D$18:$D$323,$I16,'ELBA BOOK'!$AX$18:$AX$323)</f>
        <v>-160230307.35017699</v>
      </c>
      <c r="L16" s="369">
        <f>+SUMIF('ELBA BOOK'!$D$18:$D$323,$I16,'ELBA BOOK'!$O$18:$O$323)+SUMIF('ELBA BOOK'!$D$18:$D$323,$I16,'ELBA BOOK'!$AF$18:$AF$323)+SUMIF('ELBA BOOK'!$D$18:$D$323,$I16,'ELBA BOOK'!$AW$18:$AW$323)</f>
        <v>-1793974.8605835512</v>
      </c>
      <c r="M16" s="369">
        <f>+SUMIF('ELBA BOOK'!$D$18:$D$323,$I16,'ELBA BOOK'!$S$18:$S$323)+SUMIF('ELBA BOOK'!$D$18:$D$323,$I16,'ELBA BOOK'!$AJ$18:$AJ$323)+SUMIF('ELBA BOOK'!$D$18:$D$323,$I16,'ELBA BOOK'!$BA$18:$BA$323)-K16-L16</f>
        <v>-32562440.697656564</v>
      </c>
      <c r="N16" s="387">
        <f t="shared" si="1"/>
        <v>-194586722.90841711</v>
      </c>
      <c r="O16" s="377"/>
      <c r="P16" s="384">
        <f t="shared" si="0"/>
        <v>1225841.5105096996</v>
      </c>
      <c r="Q16" s="384">
        <f ca="1">+P16*CURVECALC!L12</f>
        <v>804915.36638661427</v>
      </c>
    </row>
    <row r="17" spans="1:17" x14ac:dyDescent="0.2">
      <c r="A17" s="42">
        <v>2007</v>
      </c>
      <c r="B17" s="118">
        <f>+SUMIF('ELBA BOOK'!$D$18:$D$324,$A17,'ELBA BOOK'!$B$18:$B$323)</f>
        <v>62863667.20562537</v>
      </c>
      <c r="C17" s="118">
        <f>+SUMIF('ELBA BOOK'!$D$18:$D$323,$A17,'ELBA BOOK'!$F$18:$F$323)+SUMIF('ELBA BOOK'!$D$18:$D$323,$A17,'ELBA BOOK'!$W$18:$W$323)+SUMIF('ELBA BOOK'!$D$18:$D$323,$A17,'ELBA BOOK'!$AN$18:$AN$323)</f>
        <v>63530739.975366704</v>
      </c>
      <c r="D17" s="118">
        <f>+SUMIF('ELBA BOOK'!$D$18:$D$323,$A17,'ELBA BOOK'!$H$18:$H$323)+SUMIF('ELBA BOOK'!$D$18:$D$323,$A17,'ELBA BOOK'!$Y$18:$Y$323)+SUMIF('ELBA BOOK'!$D$18:$D$323,$A17,'ELBA BOOK'!$AP$18:$AP$323)</f>
        <v>62863667.20562537</v>
      </c>
      <c r="E17" s="118">
        <f>+SUMIF('ELBA BOOK'!$D$18:$D$323,$A17,'ELBA BOOK'!$J$18:$J$323)+SUMIF('ELBA BOOK'!$D$18:$D$323,$A17,'ELBA BOOK'!$AA$18:$AA$323)+SUMIF('ELBA BOOK'!$D$18:$D$323,$A17,'ELBA BOOK'!$AR$18:$AR$323)</f>
        <v>61292075.525484733</v>
      </c>
      <c r="F17" s="429"/>
      <c r="G17" s="218">
        <f>+SUMIF('ELBA BOOK'!$D$18:$D$323,$A17,'ELBA BOOK'!$C$18:$C$323)</f>
        <v>0</v>
      </c>
      <c r="I17" s="381">
        <v>2007</v>
      </c>
      <c r="J17" s="367">
        <f>+SUMIF('ELBA BOOK'!$D$18:$D$323,$I17,'ELBA BOOK'!$M$18:$M$323)+SUMIF('ELBA BOOK'!$D$18:$D$323,$I17,'ELBA BOOK'!$AD$18:$AD$323)+SUMIF('ELBA BOOK'!$D$18:$D$323,$I17,'ELBA BOOK'!$AU$18:$AU$323)</f>
        <v>198265254.98091373</v>
      </c>
      <c r="K17" s="369">
        <f>+SUMIF('ELBA BOOK'!$D$18:$D$323,$I17,'ELBA BOOK'!$P$18:$P$323)+SUMIF('ELBA BOOK'!$D$18:$D$323,$I17,'ELBA BOOK'!$AG$18:$AG$323)+SUMIF('ELBA BOOK'!$D$18:$D$323,$I17,'ELBA BOOK'!$AX$18:$AX$323)</f>
        <v>-162515857.14254689</v>
      </c>
      <c r="L17" s="369">
        <f>+SUMIF('ELBA BOOK'!$D$18:$D$323,$I17,'ELBA BOOK'!$O$18:$O$323)+SUMIF('ELBA BOOK'!$D$18:$D$323,$I17,'ELBA BOOK'!$AF$18:$AF$323)+SUMIF('ELBA BOOK'!$D$18:$D$323,$I17,'ELBA BOOK'!$AW$18:$AW$323)</f>
        <v>-1816528.468243194</v>
      </c>
      <c r="M17" s="369">
        <f>+SUMIF('ELBA BOOK'!$D$18:$D$323,$I17,'ELBA BOOK'!$S$18:$S$323)+SUMIF('ELBA BOOK'!$D$18:$D$323,$I17,'ELBA BOOK'!$AJ$18:$AJ$323)+SUMIF('ELBA BOOK'!$D$18:$D$323,$I17,'ELBA BOOK'!$BA$18:$BA$323)-K17-L17</f>
        <v>-32707027.859613914</v>
      </c>
      <c r="N17" s="387">
        <f t="shared" si="1"/>
        <v>-197039413.470404</v>
      </c>
      <c r="O17" s="377"/>
      <c r="P17" s="384">
        <f t="shared" si="0"/>
        <v>1225841.5105097294</v>
      </c>
      <c r="Q17" s="384">
        <f ca="1">+P17*CURVECALC!L13</f>
        <v>747986.42525817885</v>
      </c>
    </row>
    <row r="18" spans="1:17" x14ac:dyDescent="0.2">
      <c r="A18" s="42">
        <v>2008</v>
      </c>
      <c r="B18" s="118">
        <f>+SUMIF('ELBA BOOK'!$D$18:$D$324,$A18,'ELBA BOOK'!$B$18:$B$323)</f>
        <v>63035896.430846259</v>
      </c>
      <c r="C18" s="118">
        <f>+SUMIF('ELBA BOOK'!$D$18:$D$323,$A18,'ELBA BOOK'!$F$18:$F$323)+SUMIF('ELBA BOOK'!$D$18:$D$323,$A18,'ELBA BOOK'!$W$18:$W$323)+SUMIF('ELBA BOOK'!$D$18:$D$323,$A18,'ELBA BOOK'!$AN$18:$AN$323)</f>
        <v>63704796.797217026</v>
      </c>
      <c r="D18" s="118">
        <f>+SUMIF('ELBA BOOK'!$D$18:$D$323,$A18,'ELBA BOOK'!$H$18:$H$323)+SUMIF('ELBA BOOK'!$D$18:$D$323,$A18,'ELBA BOOK'!$Y$18:$Y$323)+SUMIF('ELBA BOOK'!$D$18:$D$323,$A18,'ELBA BOOK'!$AP$18:$AP$323)</f>
        <v>63035896.430846259</v>
      </c>
      <c r="E18" s="118">
        <f>+SUMIF('ELBA BOOK'!$D$18:$D$323,$A18,'ELBA BOOK'!$J$18:$J$323)+SUMIF('ELBA BOOK'!$D$18:$D$323,$A18,'ELBA BOOK'!$AA$18:$AA$323)+SUMIF('ELBA BOOK'!$D$18:$D$323,$A18,'ELBA BOOK'!$AR$18:$AR$323)</f>
        <v>61459999.020075105</v>
      </c>
      <c r="F18" s="429"/>
      <c r="G18" s="218">
        <f>+SUMIF('ELBA BOOK'!$D$18:$D$323,$A18,'ELBA BOOK'!$C$18:$C$323)</f>
        <v>0</v>
      </c>
      <c r="I18" s="381">
        <v>2008</v>
      </c>
      <c r="J18" s="367">
        <f>+SUMIF('ELBA BOOK'!$D$18:$D$323,$I18,'ELBA BOOK'!$M$18:$M$323)+SUMIF('ELBA BOOK'!$D$18:$D$323,$I18,'ELBA BOOK'!$AD$18:$AD$323)+SUMIF('ELBA BOOK'!$D$18:$D$323,$I18,'ELBA BOOK'!$AU$18:$AU$323)</f>
        <v>201904325.03218159</v>
      </c>
      <c r="K18" s="369">
        <f>+SUMIF('ELBA BOOK'!$D$18:$D$323,$I18,'ELBA BOOK'!$P$18:$P$323)+SUMIF('ELBA BOOK'!$D$18:$D$323,$I18,'ELBA BOOK'!$AG$18:$AG$323)+SUMIF('ELBA BOOK'!$D$18:$D$323,$I18,'ELBA BOOK'!$AX$18:$AX$323)</f>
        <v>-165918974.71823886</v>
      </c>
      <c r="L18" s="369">
        <f>+SUMIF('ELBA BOOK'!$D$18:$D$323,$I18,'ELBA BOOK'!$O$18:$O$323)+SUMIF('ELBA BOOK'!$D$18:$D$323,$I18,'ELBA BOOK'!$AF$18:$AF$323)+SUMIF('ELBA BOOK'!$D$18:$D$323,$I18,'ELBA BOOK'!$AW$18:$AW$323)</f>
        <v>-1844381.2519367638</v>
      </c>
      <c r="M18" s="369">
        <f>+SUMIF('ELBA BOOK'!$D$18:$D$323,$I18,'ELBA BOOK'!$S$18:$S$323)+SUMIF('ELBA BOOK'!$D$18:$D$323,$I18,'ELBA BOOK'!$AJ$18:$AJ$323)+SUMIF('ELBA BOOK'!$D$18:$D$323,$I18,'ELBA BOOK'!$BA$18:$BA$323)-K18-L18</f>
        <v>-32911769.081604451</v>
      </c>
      <c r="N18" s="387">
        <f t="shared" si="1"/>
        <v>-200675125.05178007</v>
      </c>
      <c r="O18" s="377"/>
      <c r="P18" s="384">
        <f t="shared" si="0"/>
        <v>1229199.980401516</v>
      </c>
      <c r="Q18" s="384">
        <f ca="1">+P18*CURVECALC!L14</f>
        <v>698264.52555547445</v>
      </c>
    </row>
    <row r="19" spans="1:17" x14ac:dyDescent="0.2">
      <c r="A19" s="42">
        <v>2009</v>
      </c>
      <c r="B19" s="118">
        <f>+SUMIF('ELBA BOOK'!$D$18:$D$324,$A19,'ELBA BOOK'!$B$18:$B$323)</f>
        <v>62863667.20562537</v>
      </c>
      <c r="C19" s="118">
        <f>+SUMIF('ELBA BOOK'!$D$18:$D$323,$A19,'ELBA BOOK'!$F$18:$F$323)+SUMIF('ELBA BOOK'!$D$18:$D$323,$A19,'ELBA BOOK'!$W$18:$W$323)+SUMIF('ELBA BOOK'!$D$18:$D$323,$A19,'ELBA BOOK'!$AN$18:$AN$323)</f>
        <v>63530739.975366704</v>
      </c>
      <c r="D19" s="118">
        <f>+SUMIF('ELBA BOOK'!$D$18:$D$323,$A19,'ELBA BOOK'!$H$18:$H$323)+SUMIF('ELBA BOOK'!$D$18:$D$323,$A19,'ELBA BOOK'!$Y$18:$Y$323)+SUMIF('ELBA BOOK'!$D$18:$D$323,$A19,'ELBA BOOK'!$AP$18:$AP$323)</f>
        <v>62863667.20562537</v>
      </c>
      <c r="E19" s="118">
        <f>+SUMIF('ELBA BOOK'!$D$18:$D$323,$A19,'ELBA BOOK'!$J$18:$J$323)+SUMIF('ELBA BOOK'!$D$18:$D$323,$A19,'ELBA BOOK'!$AA$18:$AA$323)+SUMIF('ELBA BOOK'!$D$18:$D$323,$A19,'ELBA BOOK'!$AR$18:$AR$323)</f>
        <v>61292075.525484733</v>
      </c>
      <c r="F19" s="429"/>
      <c r="G19" s="218">
        <f>+SUMIF('ELBA BOOK'!$D$18:$D$323,$A19,'ELBA BOOK'!$C$18:$C$323)</f>
        <v>0</v>
      </c>
      <c r="I19" s="381">
        <v>2009</v>
      </c>
      <c r="J19" s="367">
        <f>+SUMIF('ELBA BOOK'!$D$18:$D$323,$I19,'ELBA BOOK'!$M$18:$M$323)+SUMIF('ELBA BOOK'!$D$18:$D$323,$I19,'ELBA BOOK'!$AD$18:$AD$323)+SUMIF('ELBA BOOK'!$D$18:$D$323,$I19,'ELBA BOOK'!$AU$18:$AU$323)</f>
        <v>205009398.37065214</v>
      </c>
      <c r="K19" s="369">
        <f>+SUMIF('ELBA BOOK'!$D$18:$D$323,$I19,'ELBA BOOK'!$P$18:$P$323)+SUMIF('ELBA BOOK'!$D$18:$D$323,$I19,'ELBA BOOK'!$AG$18:$AG$323)+SUMIF('ELBA BOOK'!$D$18:$D$323,$I19,'ELBA BOOK'!$AX$18:$AX$323)</f>
        <v>-168916663.82577056</v>
      </c>
      <c r="L19" s="369">
        <f>+SUMIF('ELBA BOOK'!$D$18:$D$323,$I19,'ELBA BOOK'!$O$18:$O$323)+SUMIF('ELBA BOOK'!$D$18:$D$323,$I19,'ELBA BOOK'!$AF$18:$AF$323)+SUMIF('ELBA BOOK'!$D$18:$D$323,$I19,'ELBA BOOK'!$AW$18:$AW$323)</f>
        <v>-1862489.8708529081</v>
      </c>
      <c r="M19" s="369">
        <f>+SUMIF('ELBA BOOK'!$D$18:$D$323,$I19,'ELBA BOOK'!$S$18:$S$323)+SUMIF('ELBA BOOK'!$D$18:$D$323,$I19,'ELBA BOOK'!$AJ$18:$AJ$323)+SUMIF('ELBA BOOK'!$D$18:$D$323,$I19,'ELBA BOOK'!$BA$18:$BA$323)-K19-L19</f>
        <v>-33004403.163518943</v>
      </c>
      <c r="N19" s="387">
        <f t="shared" si="1"/>
        <v>-203783556.86014241</v>
      </c>
      <c r="O19" s="377"/>
      <c r="P19" s="384">
        <f t="shared" si="0"/>
        <v>1225841.5105097294</v>
      </c>
      <c r="Q19" s="384">
        <f ca="1">+P19*CURVECALC!L15</f>
        <v>648841.22686813632</v>
      </c>
    </row>
    <row r="20" spans="1:17" x14ac:dyDescent="0.2">
      <c r="A20" s="79">
        <v>2010</v>
      </c>
      <c r="B20" s="193">
        <f>+SUMIF('ELBA BOOK'!$D$18:$D$324,$A20,'ELBA BOOK'!$B$18:$B$323)</f>
        <v>62863667.20562537</v>
      </c>
      <c r="C20" s="193">
        <f>+SUMIF('ELBA BOOK'!$D$18:$D$323,$A20,'ELBA BOOK'!$F$18:$F$323)+SUMIF('ELBA BOOK'!$D$18:$D$323,$A20,'ELBA BOOK'!$W$18:$W$323)+SUMIF('ELBA BOOK'!$D$18:$D$323,$A20,'ELBA BOOK'!$AN$18:$AN$323)</f>
        <v>63530739.975366704</v>
      </c>
      <c r="D20" s="193">
        <f>+SUMIF('ELBA BOOK'!$D$18:$D$323,$A20,'ELBA BOOK'!$H$18:$H$323)+SUMIF('ELBA BOOK'!$D$18:$D$323,$A20,'ELBA BOOK'!$Y$18:$Y$323)+SUMIF('ELBA BOOK'!$D$18:$D$323,$A20,'ELBA BOOK'!$AP$18:$AP$323)</f>
        <v>62863667.20562537</v>
      </c>
      <c r="E20" s="193">
        <f>+SUMIF('ELBA BOOK'!$D$18:$D$323,$A20,'ELBA BOOK'!$J$18:$J$323)+SUMIF('ELBA BOOK'!$D$18:$D$323,$A20,'ELBA BOOK'!$AA$18:$AA$323)+SUMIF('ELBA BOOK'!$D$18:$D$323,$A20,'ELBA BOOK'!$AR$18:$AR$323)</f>
        <v>61292075.525484733</v>
      </c>
      <c r="F20" s="430"/>
      <c r="G20" s="219">
        <f>+SUMIF('ELBA BOOK'!$D$18:$D$323,$A20,'ELBA BOOK'!$C$18:$C$323)</f>
        <v>0</v>
      </c>
      <c r="I20" s="382">
        <v>2010</v>
      </c>
      <c r="J20" s="368">
        <f>+SUMIF('ELBA BOOK'!$D$18:$D$323,$I20,'ELBA BOOK'!$M$18:$M$323)+SUMIF('ELBA BOOK'!$D$18:$D$323,$I20,'ELBA BOOK'!$AD$18:$AD$323)+SUMIF('ELBA BOOK'!$D$18:$D$323,$I20,'ELBA BOOK'!$AU$18:$AU$323)</f>
        <v>209300851.1984036</v>
      </c>
      <c r="K20" s="371">
        <f>+SUMIF('ELBA BOOK'!$D$18:$D$323,$I20,'ELBA BOOK'!$P$18:$P$323)+SUMIF('ELBA BOOK'!$D$18:$D$323,$I20,'ELBA BOOK'!$AG$18:$AG$323)+SUMIF('ELBA BOOK'!$D$18:$D$323,$I20,'ELBA BOOK'!$AX$18:$AX$323)</f>
        <v>-173031798.62931681</v>
      </c>
      <c r="L20" s="371">
        <f>+SUMIF('ELBA BOOK'!$D$18:$D$323,$I20,'ELBA BOOK'!$O$18:$O$323)+SUMIF('ELBA BOOK'!$D$18:$D$323,$I20,'ELBA BOOK'!$AF$18:$AF$323)+SUMIF('ELBA BOOK'!$D$18:$D$323,$I20,'ELBA BOOK'!$AW$18:$AW$323)</f>
        <v>-1885904.8398918908</v>
      </c>
      <c r="M20" s="371">
        <f>+SUMIF('ELBA BOOK'!$D$18:$D$323,$I20,'ELBA BOOK'!$S$18:$S$323)+SUMIF('ELBA BOOK'!$D$18:$D$323,$I20,'ELBA BOOK'!$AJ$18:$AJ$323)+SUMIF('ELBA BOOK'!$D$18:$D$323,$I20,'ELBA BOOK'!$BA$18:$BA$323)-K20-L20</f>
        <v>-33157306.218685199</v>
      </c>
      <c r="N20" s="388">
        <f t="shared" si="1"/>
        <v>-208075009.6878939</v>
      </c>
      <c r="O20" s="378"/>
      <c r="P20" s="385">
        <f t="shared" si="0"/>
        <v>1225841.5105096996</v>
      </c>
      <c r="Q20" s="385">
        <f ca="1">+P20*CURVECALC!L16</f>
        <v>604613.23983234272</v>
      </c>
    </row>
    <row r="21" spans="1:17" x14ac:dyDescent="0.2">
      <c r="A21" s="358">
        <v>2011</v>
      </c>
      <c r="B21" s="359">
        <f>+SUMIF('ELBA BOOK'!$D$18:$D$324,$A21,'ELBA BOOK'!$B$18:$B$323)</f>
        <v>62863667.20562537</v>
      </c>
      <c r="C21" s="359">
        <f>+SUMIF('ELBA BOOK'!$D$18:$D$323,$A21,'ELBA BOOK'!$F$18:$F$323)+SUMIF('ELBA BOOK'!$D$18:$D$323,$A21,'ELBA BOOK'!$W$18:$W$323)+SUMIF('ELBA BOOK'!$D$18:$D$323,$A21,'ELBA BOOK'!$AN$18:$AN$323)</f>
        <v>63530739.975366704</v>
      </c>
      <c r="D21" s="359">
        <f>+SUMIF('ELBA BOOK'!$D$18:$D$323,$A21,'ELBA BOOK'!$H$18:$H$323)+SUMIF('ELBA BOOK'!$D$18:$D$323,$A21,'ELBA BOOK'!$Y$18:$Y$323)+SUMIF('ELBA BOOK'!$D$18:$D$323,$A21,'ELBA BOOK'!$AP$18:$AP$323)</f>
        <v>62863667.20562537</v>
      </c>
      <c r="E21" s="359">
        <f>+SUMIF('ELBA BOOK'!$D$18:$D$323,$A21,'ELBA BOOK'!$J$18:$J$323)+SUMIF('ELBA BOOK'!$D$18:$D$323,$A21,'ELBA BOOK'!$AA$18:$AA$323)+SUMIF('ELBA BOOK'!$D$18:$D$323,$A21,'ELBA BOOK'!$AR$18:$AR$323)</f>
        <v>61292075.525484733</v>
      </c>
      <c r="F21" s="428"/>
      <c r="G21" s="218">
        <f>+SUMIF('ELBA BOOK'!$D$18:$D$323,$A21,'ELBA BOOK'!$C$18:$C$323)</f>
        <v>0</v>
      </c>
      <c r="I21" s="380">
        <v>2011</v>
      </c>
      <c r="J21" s="367">
        <f>+SUMIF('ELBA BOOK'!$D$18:$D$323,$I21,'ELBA BOOK'!$M$18:$M$323)+SUMIF('ELBA BOOK'!$D$18:$D$323,$I21,'ELBA BOOK'!$AD$18:$AD$323)+SUMIF('ELBA BOOK'!$D$18:$D$323,$I21,'ELBA BOOK'!$AU$18:$AU$323)</f>
        <v>214205224.78140992</v>
      </c>
      <c r="K21" s="370">
        <f>+SUMIF('ELBA BOOK'!$D$18:$D$323,$I21,'ELBA BOOK'!$P$18:$P$323)+SUMIF('ELBA BOOK'!$D$18:$D$323,$I21,'ELBA BOOK'!$AG$18:$AG$323)+SUMIF('ELBA BOOK'!$D$18:$D$323,$I21,'ELBA BOOK'!$AX$18:$AX$323)</f>
        <v>-177756670.76354137</v>
      </c>
      <c r="L21" s="370">
        <f>+SUMIF('ELBA BOOK'!$D$18:$D$323,$I21,'ELBA BOOK'!$O$18:$O$323)+SUMIF('ELBA BOOK'!$D$18:$D$323,$I21,'ELBA BOOK'!$AF$18:$AF$323)+SUMIF('ELBA BOOK'!$D$18:$D$323,$I21,'ELBA BOOK'!$AW$18:$AW$323)</f>
        <v>-1909614.1787331877</v>
      </c>
      <c r="M21" s="370">
        <f>+SUMIF('ELBA BOOK'!$D$18:$D$323,$I21,'ELBA BOOK'!$S$18:$S$323)+SUMIF('ELBA BOOK'!$D$18:$D$323,$I21,'ELBA BOOK'!$AJ$18:$AJ$323)+SUMIF('ELBA BOOK'!$D$18:$D$323,$I21,'ELBA BOOK'!$BA$18:$BA$323)-K21-L21</f>
        <v>-33313098.32862566</v>
      </c>
      <c r="N21" s="386">
        <f t="shared" si="1"/>
        <v>-212979383.27090022</v>
      </c>
      <c r="O21" s="376"/>
      <c r="P21" s="383">
        <f t="shared" si="0"/>
        <v>1225841.5105096996</v>
      </c>
      <c r="Q21" s="383">
        <f ca="1">+P21*CURVECALC!L17</f>
        <v>563258.57910385029</v>
      </c>
    </row>
    <row r="22" spans="1:17" x14ac:dyDescent="0.2">
      <c r="A22" s="224">
        <v>2012</v>
      </c>
      <c r="B22" s="360">
        <f>+SUMIF('ELBA BOOK'!$D$18:$D$324,$A22,'ELBA BOOK'!$B$18:$B$323)</f>
        <v>63035896.430846259</v>
      </c>
      <c r="C22" s="360">
        <f>+SUMIF('ELBA BOOK'!$D$18:$D$323,$A22,'ELBA BOOK'!$F$18:$F$323)+SUMIF('ELBA BOOK'!$D$18:$D$323,$A22,'ELBA BOOK'!$W$18:$W$323)+SUMIF('ELBA BOOK'!$D$18:$D$323,$A22,'ELBA BOOK'!$AN$18:$AN$323)</f>
        <v>63704796.797217026</v>
      </c>
      <c r="D22" s="360">
        <f>+SUMIF('ELBA BOOK'!$D$18:$D$323,$A22,'ELBA BOOK'!$H$18:$H$323)+SUMIF('ELBA BOOK'!$D$18:$D$323,$A22,'ELBA BOOK'!$Y$18:$Y$323)+SUMIF('ELBA BOOK'!$D$18:$D$323,$A22,'ELBA BOOK'!$AP$18:$AP$323)</f>
        <v>63035896.430846259</v>
      </c>
      <c r="E22" s="360">
        <f>+SUMIF('ELBA BOOK'!$D$18:$D$323,$A22,'ELBA BOOK'!$J$18:$J$323)+SUMIF('ELBA BOOK'!$D$18:$D$323,$A22,'ELBA BOOK'!$AA$18:$AA$323)+SUMIF('ELBA BOOK'!$D$18:$D$323,$A22,'ELBA BOOK'!$AR$18:$AR$323)</f>
        <v>61459999.020075105</v>
      </c>
      <c r="F22" s="429"/>
      <c r="G22" s="218">
        <f>+SUMIF('ELBA BOOK'!$D$18:$D$323,$A22,'ELBA BOOK'!$C$18:$C$323)</f>
        <v>0</v>
      </c>
      <c r="I22" s="381">
        <v>2012</v>
      </c>
      <c r="J22" s="367">
        <f>+SUMIF('ELBA BOOK'!$D$18:$D$323,$I22,'ELBA BOOK'!$M$18:$M$323)+SUMIF('ELBA BOOK'!$D$18:$D$323,$I22,'ELBA BOOK'!$AD$18:$AD$323)+SUMIF('ELBA BOOK'!$D$18:$D$323,$I22,'ELBA BOOK'!$AU$18:$AU$323)</f>
        <v>220343668.12616089</v>
      </c>
      <c r="K22" s="369">
        <f>+SUMIF('ELBA BOOK'!$D$18:$D$323,$I22,'ELBA BOOK'!$P$18:$P$323)+SUMIF('ELBA BOOK'!$D$18:$D$323,$I22,'ELBA BOOK'!$AG$18:$AG$323)+SUMIF('ELBA BOOK'!$D$18:$D$323,$I22,'ELBA BOOK'!$AX$18:$AX$323)</f>
        <v>-183645458.28836343</v>
      </c>
      <c r="L22" s="369">
        <f>+SUMIF('ELBA BOOK'!$D$18:$D$323,$I22,'ELBA BOOK'!$O$18:$O$323)+SUMIF('ELBA BOOK'!$D$18:$D$323,$I22,'ELBA BOOK'!$AF$18:$AF$323)+SUMIF('ELBA BOOK'!$D$18:$D$323,$I22,'ELBA BOOK'!$AW$18:$AW$323)</f>
        <v>-1938894.2432013592</v>
      </c>
      <c r="M22" s="369">
        <f>+SUMIF('ELBA BOOK'!$D$18:$D$323,$I22,'ELBA BOOK'!$S$18:$S$323)+SUMIF('ELBA BOOK'!$D$18:$D$323,$I22,'ELBA BOOK'!$AJ$18:$AJ$323)+SUMIF('ELBA BOOK'!$D$18:$D$323,$I22,'ELBA BOOK'!$BA$18:$BA$323)-K22-L22</f>
        <v>-33530115.614194617</v>
      </c>
      <c r="N22" s="387">
        <f t="shared" si="1"/>
        <v>-219114468.1457594</v>
      </c>
      <c r="O22" s="377"/>
      <c r="P22" s="384">
        <f t="shared" si="0"/>
        <v>1229199.9804014862</v>
      </c>
      <c r="Q22" s="384">
        <f ca="1">+P22*CURVECALC!L18</f>
        <v>526040.89247642551</v>
      </c>
    </row>
    <row r="23" spans="1:17" x14ac:dyDescent="0.2">
      <c r="A23" s="224">
        <v>2013</v>
      </c>
      <c r="B23" s="360">
        <f>+SUMIF('ELBA BOOK'!$D$18:$D$324,$A23,'ELBA BOOK'!$B$18:$B$323)</f>
        <v>62863667.20562537</v>
      </c>
      <c r="C23" s="360">
        <f>+SUMIF('ELBA BOOK'!$D$18:$D$323,$A23,'ELBA BOOK'!$F$18:$F$323)+SUMIF('ELBA BOOK'!$D$18:$D$323,$A23,'ELBA BOOK'!$W$18:$W$323)+SUMIF('ELBA BOOK'!$D$18:$D$323,$A23,'ELBA BOOK'!$AN$18:$AN$323)</f>
        <v>63530739.975366704</v>
      </c>
      <c r="D23" s="360">
        <f>+SUMIF('ELBA BOOK'!$D$18:$D$323,$A23,'ELBA BOOK'!$H$18:$H$323)+SUMIF('ELBA BOOK'!$D$18:$D$323,$A23,'ELBA BOOK'!$Y$18:$Y$323)+SUMIF('ELBA BOOK'!$D$18:$D$323,$A23,'ELBA BOOK'!$AP$18:$AP$323)</f>
        <v>62863667.20562537</v>
      </c>
      <c r="E23" s="360">
        <f>+SUMIF('ELBA BOOK'!$D$18:$D$323,$A23,'ELBA BOOK'!$J$18:$J$323)+SUMIF('ELBA BOOK'!$D$18:$D$323,$A23,'ELBA BOOK'!$AA$18:$AA$323)+SUMIF('ELBA BOOK'!$D$18:$D$323,$A23,'ELBA BOOK'!$AR$18:$AR$323)</f>
        <v>61292075.525484733</v>
      </c>
      <c r="F23" s="429"/>
      <c r="G23" s="218">
        <f>+SUMIF('ELBA BOOK'!$D$18:$D$323,$A23,'ELBA BOOK'!$C$18:$C$323)</f>
        <v>0</v>
      </c>
      <c r="I23" s="381">
        <v>2013</v>
      </c>
      <c r="J23" s="367">
        <f>+SUMIF('ELBA BOOK'!$D$18:$D$323,$I23,'ELBA BOOK'!$M$18:$M$323)+SUMIF('ELBA BOOK'!$D$18:$D$323,$I23,'ELBA BOOK'!$AD$18:$AD$323)+SUMIF('ELBA BOOK'!$D$18:$D$323,$I23,'ELBA BOOK'!$AU$18:$AU$323)</f>
        <v>225546273.83555967</v>
      </c>
      <c r="K23" s="369">
        <f>+SUMIF('ELBA BOOK'!$D$18:$D$323,$I23,'ELBA BOOK'!$P$18:$P$323)+SUMIF('ELBA BOOK'!$D$18:$D$323,$I23,'ELBA BOOK'!$AG$18:$AG$323)+SUMIF('ELBA BOOK'!$D$18:$D$323,$I23,'ELBA BOOK'!$AX$18:$AX$323)</f>
        <v>-188728907.33797473</v>
      </c>
      <c r="L23" s="369">
        <f>+SUMIF('ELBA BOOK'!$D$18:$D$323,$I23,'ELBA BOOK'!$O$18:$O$323)+SUMIF('ELBA BOOK'!$D$18:$D$323,$I23,'ELBA BOOK'!$AF$18:$AF$323)+SUMIF('ELBA BOOK'!$D$18:$D$323,$I23,'ELBA BOOK'!$AW$18:$AW$323)</f>
        <v>-1957930.8154566728</v>
      </c>
      <c r="M23" s="369">
        <f>+SUMIF('ELBA BOOK'!$D$18:$D$323,$I23,'ELBA BOOK'!$S$18:$S$323)+SUMIF('ELBA BOOK'!$D$18:$D$323,$I23,'ELBA BOOK'!$AJ$18:$AJ$323)+SUMIF('ELBA BOOK'!$D$18:$D$323,$I23,'ELBA BOOK'!$BA$18:$BA$323)-K23-L23</f>
        <v>-33633594.171618536</v>
      </c>
      <c r="N23" s="387">
        <f t="shared" si="1"/>
        <v>-224320432.32504994</v>
      </c>
      <c r="O23" s="377"/>
      <c r="P23" s="384">
        <f t="shared" si="0"/>
        <v>1225841.5105097294</v>
      </c>
      <c r="Q23" s="384">
        <f ca="1">+P23*CURVECALC!L19</f>
        <v>488683.7176189248</v>
      </c>
    </row>
    <row r="24" spans="1:17" x14ac:dyDescent="0.2">
      <c r="A24" s="224">
        <v>2014</v>
      </c>
      <c r="B24" s="360">
        <f>+SUMIF('ELBA BOOK'!$D$18:$D$324,$A24,'ELBA BOOK'!$B$18:$B$323)</f>
        <v>62863667.20562537</v>
      </c>
      <c r="C24" s="360">
        <f>+SUMIF('ELBA BOOK'!$D$18:$D$323,$A24,'ELBA BOOK'!$F$18:$F$323)+SUMIF('ELBA BOOK'!$D$18:$D$323,$A24,'ELBA BOOK'!$W$18:$W$323)+SUMIF('ELBA BOOK'!$D$18:$D$323,$A24,'ELBA BOOK'!$AN$18:$AN$323)</f>
        <v>63530739.975366704</v>
      </c>
      <c r="D24" s="360">
        <f>+SUMIF('ELBA BOOK'!$D$18:$D$323,$A24,'ELBA BOOK'!$H$18:$H$323)+SUMIF('ELBA BOOK'!$D$18:$D$323,$A24,'ELBA BOOK'!$Y$18:$Y$323)+SUMIF('ELBA BOOK'!$D$18:$D$323,$A24,'ELBA BOOK'!$AP$18:$AP$323)</f>
        <v>62863667.20562537</v>
      </c>
      <c r="E24" s="360">
        <f>+SUMIF('ELBA BOOK'!$D$18:$D$323,$A24,'ELBA BOOK'!$J$18:$J$323)+SUMIF('ELBA BOOK'!$D$18:$D$323,$A24,'ELBA BOOK'!$AA$18:$AA$323)+SUMIF('ELBA BOOK'!$D$18:$D$323,$A24,'ELBA BOOK'!$AR$18:$AR$323)</f>
        <v>61292075.525484733</v>
      </c>
      <c r="F24" s="429"/>
      <c r="G24" s="218">
        <f>+SUMIF('ELBA BOOK'!$D$18:$D$323,$A24,'ELBA BOOK'!$C$18:$C$323)</f>
        <v>0</v>
      </c>
      <c r="I24" s="381">
        <v>2014</v>
      </c>
      <c r="J24" s="367">
        <f>+SUMIF('ELBA BOOK'!$D$18:$D$323,$I24,'ELBA BOOK'!$M$18:$M$323)+SUMIF('ELBA BOOK'!$D$18:$D$323,$I24,'ELBA BOOK'!$AD$18:$AD$323)+SUMIF('ELBA BOOK'!$D$18:$D$323,$I24,'ELBA BOOK'!$AU$18:$AU$323)</f>
        <v>231982949.30670312</v>
      </c>
      <c r="K24" s="369">
        <f>+SUMIF('ELBA BOOK'!$D$18:$D$323,$I24,'ELBA BOOK'!$P$18:$P$323)+SUMIF('ELBA BOOK'!$D$18:$D$323,$I24,'ELBA BOOK'!$AG$18:$AG$323)+SUMIF('ELBA BOOK'!$D$18:$D$323,$I24,'ELBA BOOK'!$AX$18:$AX$323)</f>
        <v>-194976138.51845583</v>
      </c>
      <c r="L24" s="369">
        <f>+SUMIF('ELBA BOOK'!$D$18:$D$323,$I24,'ELBA BOOK'!$O$18:$O$323)+SUMIF('ELBA BOOK'!$D$18:$D$323,$I24,'ELBA BOOK'!$AF$18:$AF$323)+SUMIF('ELBA BOOK'!$D$18:$D$323,$I24,'ELBA BOOK'!$AW$18:$AW$323)</f>
        <v>-1982545.6550549113</v>
      </c>
      <c r="M24" s="369">
        <f>+SUMIF('ELBA BOOK'!$D$18:$D$323,$I24,'ELBA BOOK'!$S$18:$S$323)+SUMIF('ELBA BOOK'!$D$18:$D$323,$I24,'ELBA BOOK'!$AJ$18:$AJ$323)+SUMIF('ELBA BOOK'!$D$18:$D$323,$I24,'ELBA BOOK'!$BA$18:$BA$323)-K24-L24</f>
        <v>-33798423.622682646</v>
      </c>
      <c r="N24" s="387">
        <f t="shared" si="1"/>
        <v>-230757107.79619336</v>
      </c>
      <c r="O24" s="377"/>
      <c r="P24" s="384">
        <f t="shared" si="0"/>
        <v>1225841.5105097592</v>
      </c>
      <c r="Q24" s="384">
        <f ca="1">+P24*CURVECALC!L20</f>
        <v>455234.27374785458</v>
      </c>
    </row>
    <row r="25" spans="1:17" x14ac:dyDescent="0.2">
      <c r="A25" s="361">
        <v>2015</v>
      </c>
      <c r="B25" s="362">
        <f>+SUMIF('ELBA BOOK'!$D$18:$D$324,$A25,'ELBA BOOK'!$B$18:$B$323)</f>
        <v>62863667.20562537</v>
      </c>
      <c r="C25" s="362">
        <f>+SUMIF('ELBA BOOK'!$D$18:$D$323,$A25,'ELBA BOOK'!$F$18:$F$323)+SUMIF('ELBA BOOK'!$D$18:$D$323,$A25,'ELBA BOOK'!$W$18:$W$323)+SUMIF('ELBA BOOK'!$D$18:$D$323,$A25,'ELBA BOOK'!$AN$18:$AN$323)</f>
        <v>63530739.975366704</v>
      </c>
      <c r="D25" s="362">
        <f>+SUMIF('ELBA BOOK'!$D$18:$D$323,$A25,'ELBA BOOK'!$H$18:$H$323)+SUMIF('ELBA BOOK'!$D$18:$D$323,$A25,'ELBA BOOK'!$Y$18:$Y$323)+SUMIF('ELBA BOOK'!$D$18:$D$323,$A25,'ELBA BOOK'!$AP$18:$AP$323)</f>
        <v>62863667.20562537</v>
      </c>
      <c r="E25" s="362">
        <f>+SUMIF('ELBA BOOK'!$D$18:$D$323,$A25,'ELBA BOOK'!$J$18:$J$323)+SUMIF('ELBA BOOK'!$D$18:$D$323,$A25,'ELBA BOOK'!$AA$18:$AA$323)+SUMIF('ELBA BOOK'!$D$18:$D$323,$A25,'ELBA BOOK'!$AR$18:$AR$323)</f>
        <v>61292075.525484733</v>
      </c>
      <c r="F25" s="430"/>
      <c r="G25" s="219">
        <f>+SUMIF('ELBA BOOK'!$D$18:$D$323,$A25,'ELBA BOOK'!$C$18:$C$323)</f>
        <v>0</v>
      </c>
      <c r="I25" s="382">
        <v>2015</v>
      </c>
      <c r="J25" s="368">
        <f>+SUMIF('ELBA BOOK'!$D$18:$D$323,$I25,'ELBA BOOK'!$M$18:$M$323)+SUMIF('ELBA BOOK'!$D$18:$D$323,$I25,'ELBA BOOK'!$AD$18:$AD$323)+SUMIF('ELBA BOOK'!$D$18:$D$323,$I25,'ELBA BOOK'!$AU$18:$AU$323)</f>
        <v>238726085.15547401</v>
      </c>
      <c r="K25" s="371">
        <f>+SUMIF('ELBA BOOK'!$D$18:$D$323,$I25,'ELBA BOOK'!$P$18:$P$323)+SUMIF('ELBA BOOK'!$D$18:$D$323,$I25,'ELBA BOOK'!$AG$18:$AG$323)+SUMIF('ELBA BOOK'!$D$18:$D$323,$I25,'ELBA BOOK'!$AX$18:$AX$323)</f>
        <v>-201526380.06452018</v>
      </c>
      <c r="L25" s="371">
        <f>+SUMIF('ELBA BOOK'!$D$18:$D$323,$I25,'ELBA BOOK'!$O$18:$O$323)+SUMIF('ELBA BOOK'!$D$18:$D$323,$I25,'ELBA BOOK'!$AF$18:$AF$323)+SUMIF('ELBA BOOK'!$D$18:$D$323,$I25,'ELBA BOOK'!$AW$18:$AW$323)</f>
        <v>-2007469.9490647479</v>
      </c>
      <c r="M25" s="371">
        <f>+SUMIF('ELBA BOOK'!$D$18:$D$323,$I25,'ELBA BOOK'!$S$18:$S$323)+SUMIF('ELBA BOOK'!$D$18:$D$323,$I25,'ELBA BOOK'!$AJ$18:$AJ$323)+SUMIF('ELBA BOOK'!$D$18:$D$323,$I25,'ELBA BOOK'!$BA$18:$BA$323)-K25-L25</f>
        <v>-33966393.631379381</v>
      </c>
      <c r="N25" s="388">
        <f t="shared" si="1"/>
        <v>-237500243.64496434</v>
      </c>
      <c r="O25" s="378"/>
      <c r="P25" s="385">
        <f t="shared" si="0"/>
        <v>1225841.5105096698</v>
      </c>
      <c r="Q25" s="385">
        <f ca="1">+P25*CURVECALC!L21</f>
        <v>424077.54435766389</v>
      </c>
    </row>
    <row r="26" spans="1:17" x14ac:dyDescent="0.2">
      <c r="A26" s="42">
        <v>2016</v>
      </c>
      <c r="B26" s="118">
        <f>+SUMIF('ELBA BOOK'!$D$18:$D$324,$A26,'ELBA BOOK'!$B$18:$B$323)</f>
        <v>63035896.430846259</v>
      </c>
      <c r="C26" s="118">
        <f>+SUMIF('ELBA BOOK'!$D$18:$D$323,$A26,'ELBA BOOK'!$F$18:$F$323)+SUMIF('ELBA BOOK'!$D$18:$D$323,$A26,'ELBA BOOK'!$W$18:$W$323)+SUMIF('ELBA BOOK'!$D$18:$D$323,$A26,'ELBA BOOK'!$AN$18:$AN$323)</f>
        <v>63704796.797217026</v>
      </c>
      <c r="D26" s="118">
        <f>+SUMIF('ELBA BOOK'!$D$18:$D$323,$A26,'ELBA BOOK'!$H$18:$H$323)+SUMIF('ELBA BOOK'!$D$18:$D$323,$A26,'ELBA BOOK'!$Y$18:$Y$323)+SUMIF('ELBA BOOK'!$D$18:$D$323,$A26,'ELBA BOOK'!$AP$18:$AP$323)</f>
        <v>63035896.430846259</v>
      </c>
      <c r="E26" s="118">
        <f>+SUMIF('ELBA BOOK'!$D$18:$D$323,$A26,'ELBA BOOK'!$J$18:$J$323)+SUMIF('ELBA BOOK'!$D$18:$D$323,$A26,'ELBA BOOK'!$AA$18:$AA$323)+SUMIF('ELBA BOOK'!$D$18:$D$323,$A26,'ELBA BOOK'!$AR$18:$AR$323)</f>
        <v>61459999.020075105</v>
      </c>
      <c r="F26" s="429"/>
      <c r="G26" s="218">
        <f>+SUMIF('ELBA BOOK'!$D$18:$D$323,$A26,'ELBA BOOK'!$C$18:$C$323)</f>
        <v>0</v>
      </c>
      <c r="I26" s="381">
        <v>2016</v>
      </c>
      <c r="J26" s="367">
        <f>+SUMIF('ELBA BOOK'!$D$18:$D$323,$I26,'ELBA BOOK'!$M$18:$M$323)+SUMIF('ELBA BOOK'!$D$18:$D$323,$I26,'ELBA BOOK'!$AD$18:$AD$323)+SUMIF('ELBA BOOK'!$D$18:$D$323,$I26,'ELBA BOOK'!$AU$18:$AU$323)</f>
        <v>246208588.15092623</v>
      </c>
      <c r="K26" s="369">
        <f>+SUMIF('ELBA BOOK'!$D$18:$D$323,$I26,'ELBA BOOK'!$P$18:$P$323)+SUMIF('ELBA BOOK'!$D$18:$D$323,$I26,'ELBA BOOK'!$AG$18:$AG$323)+SUMIF('ELBA BOOK'!$D$18:$D$323,$I26,'ELBA BOOK'!$AX$18:$AX$323)</f>
        <v>-208744367.84575716</v>
      </c>
      <c r="L26" s="369">
        <f>+SUMIF('ELBA BOOK'!$D$18:$D$323,$I26,'ELBA BOOK'!$O$18:$O$323)+SUMIF('ELBA BOOK'!$D$18:$D$323,$I26,'ELBA BOOK'!$AF$18:$AF$323)+SUMIF('ELBA BOOK'!$D$18:$D$323,$I26,'ELBA BOOK'!$AW$18:$AW$323)</f>
        <v>-2038250.4335108383</v>
      </c>
      <c r="M26" s="369">
        <f>+SUMIF('ELBA BOOK'!$D$18:$D$323,$I26,'ELBA BOOK'!$S$18:$S$323)+SUMIF('ELBA BOOK'!$D$18:$D$323,$I26,'ELBA BOOK'!$AJ$18:$AJ$323)+SUMIF('ELBA BOOK'!$D$18:$D$323,$I26,'ELBA BOOK'!$BA$18:$BA$323)-K26-L26</f>
        <v>-34196769.89125675</v>
      </c>
      <c r="N26" s="387">
        <f t="shared" si="1"/>
        <v>-244979388.17052475</v>
      </c>
      <c r="O26" s="377"/>
      <c r="P26" s="384">
        <f t="shared" si="0"/>
        <v>1229199.9804014862</v>
      </c>
      <c r="Q26" s="384">
        <f ca="1">+P26*CURVECALC!L22</f>
        <v>396068.19941776444</v>
      </c>
    </row>
    <row r="27" spans="1:17" x14ac:dyDescent="0.2">
      <c r="A27" s="42">
        <v>2017</v>
      </c>
      <c r="B27" s="118">
        <f>+SUMIF('ELBA BOOK'!$D$18:$D$324,$A27,'ELBA BOOK'!$B$18:$B$323)</f>
        <v>62863667.20562537</v>
      </c>
      <c r="C27" s="118">
        <f>+SUMIF('ELBA BOOK'!$D$18:$D$323,$A27,'ELBA BOOK'!$F$18:$F$323)+SUMIF('ELBA BOOK'!$D$18:$D$323,$A27,'ELBA BOOK'!$W$18:$W$323)+SUMIF('ELBA BOOK'!$D$18:$D$323,$A27,'ELBA BOOK'!$AN$18:$AN$323)</f>
        <v>63530739.975366704</v>
      </c>
      <c r="D27" s="118">
        <f>+SUMIF('ELBA BOOK'!$D$18:$D$323,$A27,'ELBA BOOK'!$H$18:$H$323)+SUMIF('ELBA BOOK'!$D$18:$D$323,$A27,'ELBA BOOK'!$Y$18:$Y$323)+SUMIF('ELBA BOOK'!$D$18:$D$323,$A27,'ELBA BOOK'!$AP$18:$AP$323)</f>
        <v>62863667.20562537</v>
      </c>
      <c r="E27" s="118">
        <f>+SUMIF('ELBA BOOK'!$D$18:$D$323,$A27,'ELBA BOOK'!$J$18:$J$323)+SUMIF('ELBA BOOK'!$D$18:$D$323,$A27,'ELBA BOOK'!$AA$18:$AA$323)+SUMIF('ELBA BOOK'!$D$18:$D$323,$A27,'ELBA BOOK'!$AR$18:$AR$323)</f>
        <v>61292075.525484733</v>
      </c>
      <c r="F27" s="429"/>
      <c r="G27" s="218">
        <f>+SUMIF('ELBA BOOK'!$D$18:$D$323,$A27,'ELBA BOOK'!$C$18:$C$323)</f>
        <v>0</v>
      </c>
      <c r="I27" s="381">
        <v>2017</v>
      </c>
      <c r="J27" s="367">
        <f>+SUMIF('ELBA BOOK'!$D$18:$D$323,$I27,'ELBA BOOK'!$M$18:$M$323)+SUMIF('ELBA BOOK'!$D$18:$D$323,$I27,'ELBA BOOK'!$AD$18:$AD$323)+SUMIF('ELBA BOOK'!$D$18:$D$323,$I27,'ELBA BOOK'!$AU$18:$AU$323)</f>
        <v>252568354.66154727</v>
      </c>
      <c r="K27" s="369">
        <f>+SUMIF('ELBA BOOK'!$D$18:$D$323,$I27,'ELBA BOOK'!$P$18:$P$323)+SUMIF('ELBA BOOK'!$D$18:$D$323,$I27,'ELBA BOOK'!$AG$18:$AG$323)+SUMIF('ELBA BOOK'!$D$18:$D$323,$I27,'ELBA BOOK'!$AX$18:$AX$323)</f>
        <v>-214972227.80147025</v>
      </c>
      <c r="L27" s="369">
        <f>+SUMIF('ELBA BOOK'!$D$18:$D$323,$I27,'ELBA BOOK'!$O$18:$O$323)+SUMIF('ELBA BOOK'!$D$18:$D$323,$I27,'ELBA BOOK'!$AF$18:$AF$323)+SUMIF('ELBA BOOK'!$D$18:$D$323,$I27,'ELBA BOOK'!$AW$18:$AW$323)</f>
        <v>-2058262.5109039233</v>
      </c>
      <c r="M27" s="369">
        <f>+SUMIF('ELBA BOOK'!$D$18:$D$323,$I27,'ELBA BOOK'!$S$18:$S$323)+SUMIF('ELBA BOOK'!$D$18:$D$323,$I27,'ELBA BOOK'!$AJ$18:$AJ$323)+SUMIF('ELBA BOOK'!$D$18:$D$323,$I27,'ELBA BOOK'!$BA$18:$BA$323)-K27-L27</f>
        <v>-34312022.838663459</v>
      </c>
      <c r="N27" s="387">
        <f t="shared" si="1"/>
        <v>-251342513.15103763</v>
      </c>
      <c r="O27" s="377"/>
      <c r="P27" s="384">
        <f t="shared" si="0"/>
        <v>1225841.51050964</v>
      </c>
      <c r="Q27" s="384">
        <f ca="1">+P27*CURVECALC!L23</f>
        <v>367952.12715404364</v>
      </c>
    </row>
    <row r="28" spans="1:17" x14ac:dyDescent="0.2">
      <c r="A28" s="42">
        <v>2018</v>
      </c>
      <c r="B28" s="118">
        <f>+SUMIF('ELBA BOOK'!$D$18:$D$324,$A28,'ELBA BOOK'!$B$18:$B$323)</f>
        <v>62863667.20562537</v>
      </c>
      <c r="C28" s="118">
        <f>+SUMIF('ELBA BOOK'!$D$18:$D$323,$A28,'ELBA BOOK'!$F$18:$F$323)+SUMIF('ELBA BOOK'!$D$18:$D$323,$A28,'ELBA BOOK'!$W$18:$W$323)+SUMIF('ELBA BOOK'!$D$18:$D$323,$A28,'ELBA BOOK'!$AN$18:$AN$323)</f>
        <v>63530739.975366704</v>
      </c>
      <c r="D28" s="118">
        <f>+SUMIF('ELBA BOOK'!$D$18:$D$323,$A28,'ELBA BOOK'!$H$18:$H$323)+SUMIF('ELBA BOOK'!$D$18:$D$323,$A28,'ELBA BOOK'!$Y$18:$Y$323)+SUMIF('ELBA BOOK'!$D$18:$D$323,$A28,'ELBA BOOK'!$AP$18:$AP$323)</f>
        <v>62863667.20562537</v>
      </c>
      <c r="E28" s="118">
        <f>+SUMIF('ELBA BOOK'!$D$18:$D$323,$A28,'ELBA BOOK'!$J$18:$J$323)+SUMIF('ELBA BOOK'!$D$18:$D$323,$A28,'ELBA BOOK'!$AA$18:$AA$323)+SUMIF('ELBA BOOK'!$D$18:$D$323,$A28,'ELBA BOOK'!$AR$18:$AR$323)</f>
        <v>61292075.525484733</v>
      </c>
      <c r="F28" s="429"/>
      <c r="G28" s="218">
        <f>+SUMIF('ELBA BOOK'!$D$18:$D$323,$A28,'ELBA BOOK'!$C$18:$C$323)</f>
        <v>0</v>
      </c>
      <c r="I28" s="381">
        <v>2018</v>
      </c>
      <c r="J28" s="367">
        <f>+SUMIF('ELBA BOOK'!$D$18:$D$323,$I28,'ELBA BOOK'!$M$18:$M$323)+SUMIF('ELBA BOOK'!$D$18:$D$323,$I28,'ELBA BOOK'!$AD$18:$AD$323)+SUMIF('ELBA BOOK'!$D$18:$D$323,$I28,'ELBA BOOK'!$AU$18:$AU$323)</f>
        <v>260181334.21229628</v>
      </c>
      <c r="K28" s="369">
        <f>+SUMIF('ELBA BOOK'!$D$18:$D$323,$I28,'ELBA BOOK'!$P$18:$P$323)+SUMIF('ELBA BOOK'!$D$18:$D$323,$I28,'ELBA BOOK'!$AG$18:$AG$323)+SUMIF('ELBA BOOK'!$D$18:$D$323,$I28,'ELBA BOOK'!$AX$18:$AX$323)</f>
        <v>-222381534.36466065</v>
      </c>
      <c r="L28" s="369">
        <f>+SUMIF('ELBA BOOK'!$D$18:$D$323,$I28,'ELBA BOOK'!$O$18:$O$323)+SUMIF('ELBA BOOK'!$D$18:$D$323,$I28,'ELBA BOOK'!$AF$18:$AF$323)+SUMIF('ELBA BOOK'!$D$18:$D$323,$I28,'ELBA BOOK'!$AW$18:$AW$323)</f>
        <v>-2084138.7069150428</v>
      </c>
      <c r="M28" s="369">
        <f>+SUMIF('ELBA BOOK'!$D$18:$D$323,$I28,'ELBA BOOK'!$S$18:$S$323)+SUMIF('ELBA BOOK'!$D$18:$D$323,$I28,'ELBA BOOK'!$AJ$18:$AJ$323)+SUMIF('ELBA BOOK'!$D$18:$D$323,$I28,'ELBA BOOK'!$BA$18:$BA$323)-K28-L28</f>
        <v>-34489819.630210914</v>
      </c>
      <c r="N28" s="387">
        <f t="shared" si="1"/>
        <v>-258955492.70178661</v>
      </c>
      <c r="O28" s="377"/>
      <c r="P28" s="384">
        <f t="shared" si="0"/>
        <v>1225841.5105096698</v>
      </c>
      <c r="Q28" s="384">
        <f ca="1">+P28*CURVECALC!L24</f>
        <v>342776.7658799577</v>
      </c>
    </row>
    <row r="29" spans="1:17" x14ac:dyDescent="0.2">
      <c r="A29" s="42">
        <v>2019</v>
      </c>
      <c r="B29" s="118">
        <f>+SUMIF('ELBA BOOK'!$D$18:$D$324,$A29,'ELBA BOOK'!$B$18:$B$323)</f>
        <v>15500630.269880228</v>
      </c>
      <c r="C29" s="118">
        <f>+SUMIF('ELBA BOOK'!$D$18:$D$323,$A29,'ELBA BOOK'!$F$18:$F$323)+SUMIF('ELBA BOOK'!$D$18:$D$323,$A29,'ELBA BOOK'!$W$18:$W$323)+SUMIF('ELBA BOOK'!$D$18:$D$323,$A29,'ELBA BOOK'!$AN$18:$AN$323)</f>
        <v>15665113.966528777</v>
      </c>
      <c r="D29" s="118">
        <f>+SUMIF('ELBA BOOK'!$D$18:$D$323,$A29,'ELBA BOOK'!$H$18:$H$323)+SUMIF('ELBA BOOK'!$D$18:$D$323,$A29,'ELBA BOOK'!$Y$18:$Y$323)+SUMIF('ELBA BOOK'!$D$18:$D$323,$A29,'ELBA BOOK'!$AP$18:$AP$323)</f>
        <v>15500630.269880228</v>
      </c>
      <c r="E29" s="118">
        <f>+SUMIF('ELBA BOOK'!$D$18:$D$323,$A29,'ELBA BOOK'!$J$18:$J$323)+SUMIF('ELBA BOOK'!$D$18:$D$323,$A29,'ELBA BOOK'!$AA$18:$AA$323)+SUMIF('ELBA BOOK'!$D$18:$D$323,$A29,'ELBA BOOK'!$AR$18:$AR$323)</f>
        <v>15113114.51313322</v>
      </c>
      <c r="F29" s="429"/>
      <c r="G29" s="218">
        <f>+SUMIF('ELBA BOOK'!$D$18:$D$323,$A29,'ELBA BOOK'!$C$18:$C$323)</f>
        <v>0</v>
      </c>
      <c r="I29" s="381">
        <v>2019</v>
      </c>
      <c r="J29" s="367">
        <f>+SUMIF('ELBA BOOK'!$D$18:$D$323,'ELBA INCOME'!$I29,'ELBA BOOK'!$M$18:$M$323)+SUMIF('ELBA BOOK'!$D$18:$D$323,'ELBA INCOME'!$I29,'ELBA BOOK'!$AD$18:$AD$323)+SUMIF('ELBA BOOK'!$D$18:$D$323,'ELBA INCOME'!$I29,'ELBA BOOK'!$AU$18:$AU$323)</f>
        <v>67284257.506447464</v>
      </c>
      <c r="K29" s="369">
        <f>+SUMIF('ELBA BOOK'!$D$18:$D$323,$I29,'ELBA BOOK'!$P$18:$P$323)+SUMIF('ELBA BOOK'!$D$18:$D$323,$I29,'ELBA BOOK'!$AG$18:$AG$323)+SUMIF('ELBA BOOK'!$D$18:$D$323,$I29,'ELBA BOOK'!$AX$18:$AX$323)</f>
        <v>-57888448.09701997</v>
      </c>
      <c r="L29" s="369">
        <f>+SUMIF('ELBA BOOK'!$D$18:$D$323,$I29,'ELBA BOOK'!$O$18:$O$323)+SUMIF('ELBA BOOK'!$D$18:$D$323,$I29,'ELBA BOOK'!$AF$18:$AF$323)+SUMIF('ELBA BOOK'!$D$18:$D$323,$I29,'ELBA BOOK'!$AW$18:$AW$323)</f>
        <v>-517908.47743376205</v>
      </c>
      <c r="M29" s="369">
        <f>+SUMIF('ELBA BOOK'!$D$18:$D$323,$I29,'ELBA BOOK'!$S$18:$S$323)+SUMIF('ELBA BOOK'!$D$18:$D$323,$I29,'ELBA BOOK'!$AJ$18:$AJ$323)+SUMIF('ELBA BOOK'!$D$18:$D$323,$I29,'ELBA BOOK'!$BA$18:$BA$323)-K29-L29</f>
        <v>-8575638.6417310629</v>
      </c>
      <c r="N29" s="387">
        <f t="shared" si="1"/>
        <v>-66981995.216184795</v>
      </c>
      <c r="O29" s="377"/>
      <c r="P29" s="384">
        <f t="shared" si="0"/>
        <v>302262.29026266932</v>
      </c>
      <c r="Q29" s="384">
        <f ca="1">+P29*CURVECALC!L25</f>
        <v>78737.989736985939</v>
      </c>
    </row>
    <row r="30" spans="1:17" x14ac:dyDescent="0.2">
      <c r="A30" s="79">
        <v>2020</v>
      </c>
      <c r="B30" s="193">
        <f>+SUMIF('ELBA BOOK'!$D$18:$D$324,$A30,'ELBA BOOK'!$B$18:$B$323)</f>
        <v>0</v>
      </c>
      <c r="C30" s="193">
        <f>+SUMIF('ELBA BOOK'!$D$18:$D$323,$A30,'ELBA BOOK'!$F$18:$F$323)+SUMIF('ELBA BOOK'!$D$18:$D$323,$A30,'ELBA BOOK'!$W$18:$W$323)+SUMIF('ELBA BOOK'!$D$18:$D$323,$A30,'ELBA BOOK'!$AN$18:$AN$323)</f>
        <v>0</v>
      </c>
      <c r="D30" s="193">
        <f>+SUMIF('ELBA BOOK'!$D$18:$D$323,$A30,'ELBA BOOK'!$H$18:$H$323)+SUMIF('ELBA BOOK'!$D$18:$D$323,$A30,'ELBA BOOK'!$Y$18:$Y$323)+SUMIF('ELBA BOOK'!$D$18:$D$323,$A30,'ELBA BOOK'!$AP$18:$AP$323)</f>
        <v>0</v>
      </c>
      <c r="E30" s="193">
        <f>+SUMIF('ELBA BOOK'!$D$18:$D$323,$A30,'ELBA BOOK'!$J$18:$J$323)+SUMIF('ELBA BOOK'!$D$18:$D$323,$A30,'ELBA BOOK'!$AA$18:$AA$323)+SUMIF('ELBA BOOK'!$D$18:$D$323,$A30,'ELBA BOOK'!$AR$18:$AR$323)</f>
        <v>0</v>
      </c>
      <c r="F30" s="430"/>
      <c r="G30" s="219">
        <f>+SUMIF('ELBA BOOK'!$D$18:$D$323,$A30,'ELBA BOOK'!$C$18:$C$323)</f>
        <v>0</v>
      </c>
      <c r="I30" s="382">
        <v>2020</v>
      </c>
      <c r="J30" s="368">
        <f>+SUMIF('ELBA BOOK'!$D$18:$D$323,'ELBA INCOME'!$I30,'ELBA BOOK'!$M$18:$M$323)+SUMIF('ELBA BOOK'!$D$18:$D$323,'ELBA INCOME'!$I30,'ELBA BOOK'!$AD$18:$AD$323)+SUMIF('ELBA BOOK'!$D$18:$D$323,'ELBA INCOME'!$I30,'ELBA BOOK'!$AU$18:$AU$323)</f>
        <v>0</v>
      </c>
      <c r="K30" s="371">
        <f>+SUMIF('ELBA BOOK'!$D$18:$D$323,$I30,'ELBA BOOK'!$P$18:$P$323)+SUMIF('ELBA BOOK'!$D$18:$D$323,$I30,'ELBA BOOK'!$AG$18:$AG$323)+SUMIF('ELBA BOOK'!$D$18:$D$323,$I30,'ELBA BOOK'!$AX$18:$AX$323)</f>
        <v>0</v>
      </c>
      <c r="L30" s="371">
        <f>+SUMIF('ELBA BOOK'!$D$18:$D$323,$I30,'ELBA BOOK'!$O$18:$O$323)+SUMIF('ELBA BOOK'!$D$18:$D$323,$I30,'ELBA BOOK'!$AF$18:$AF$323)+SUMIF('ELBA BOOK'!$D$18:$D$323,$I30,'ELBA BOOK'!$AW$18:$AW$323)</f>
        <v>0</v>
      </c>
      <c r="M30" s="371">
        <f>+SUMIF('ELBA BOOK'!$D$18:$D$323,$I30,'ELBA BOOK'!$S$18:$S$323)+SUMIF('ELBA BOOK'!$D$18:$D$323,$I30,'ELBA BOOK'!$AJ$18:$AJ$323)+SUMIF('ELBA BOOK'!$D$18:$D$323,$I30,'ELBA BOOK'!$BA$18:$BA$323)-K30-L30</f>
        <v>0</v>
      </c>
      <c r="N30" s="388">
        <f t="shared" si="1"/>
        <v>0</v>
      </c>
      <c r="O30" s="378"/>
      <c r="P30" s="385">
        <f t="shared" si="0"/>
        <v>0</v>
      </c>
      <c r="Q30" s="385">
        <f ca="1">+P30*CURVECALC!L26</f>
        <v>0</v>
      </c>
    </row>
    <row r="31" spans="1:17" x14ac:dyDescent="0.2">
      <c r="A31" s="224">
        <v>2021</v>
      </c>
      <c r="B31" s="360">
        <f>+SUMIF('ELBA BOOK'!$D$18:$D$324,$A31,'ELBA BOOK'!$B$18:$B$323)</f>
        <v>0</v>
      </c>
      <c r="C31" s="360">
        <f>+SUMIF('ELBA BOOK'!$D$18:$D$323,$A31,'ELBA BOOK'!$F$18:$F$323)+SUMIF('ELBA BOOK'!$D$18:$D$323,$A31,'ELBA BOOK'!$W$18:$W$323)+SUMIF('ELBA BOOK'!$D$18:$D$323,$A31,'ELBA BOOK'!$AN$18:$AN$323)</f>
        <v>0</v>
      </c>
      <c r="D31" s="360">
        <f>+SUMIF('ELBA BOOK'!$D$18:$D$323,$A31,'ELBA BOOK'!$H$18:$H$323)+SUMIF('ELBA BOOK'!$D$18:$D$323,$A31,'ELBA BOOK'!$Y$18:$Y$323)+SUMIF('ELBA BOOK'!$D$18:$D$323,$A31,'ELBA BOOK'!$AP$18:$AP$323)</f>
        <v>0</v>
      </c>
      <c r="E31" s="360">
        <f>+SUMIF('ELBA BOOK'!$D$18:$D$323,$A31,'ELBA BOOK'!$J$18:$J$323)+SUMIF('ELBA BOOK'!$D$18:$D$323,$A31,'ELBA BOOK'!$AA$18:$AA$323)+SUMIF('ELBA BOOK'!$D$18:$D$323,$A31,'ELBA BOOK'!$AR$18:$AR$323)</f>
        <v>0</v>
      </c>
      <c r="F31" s="429"/>
      <c r="G31" s="218">
        <f>+SUMIF('ELBA BOOK'!$D$18:$D$323,$A31,'ELBA BOOK'!$C$18:$C$323)</f>
        <v>0</v>
      </c>
      <c r="I31" s="381">
        <v>2021</v>
      </c>
      <c r="J31" s="367">
        <f>+SUMIF('ELBA BOOK'!$D$18:$D$323,'ELBA INCOME'!$I31,'ELBA BOOK'!$M$18:$M$323)+SUMIF('ELBA BOOK'!$D$18:$D$323,'ELBA INCOME'!$I31,'ELBA BOOK'!$AD$18:$AD$323)+SUMIF('ELBA BOOK'!$D$18:$D$323,'ELBA INCOME'!$I31,'ELBA BOOK'!$AU$18:$AU$323)</f>
        <v>0</v>
      </c>
      <c r="K31" s="369">
        <f>+SUMIF('ELBA BOOK'!$D$18:$D$323,$I31,'ELBA BOOK'!$P$18:$P$323)+SUMIF('ELBA BOOK'!$D$18:$D$323,$I31,'ELBA BOOK'!$AG$18:$AG$323)+SUMIF('ELBA BOOK'!$D$18:$D$323,$I31,'ELBA BOOK'!$AX$18:$AX$323)</f>
        <v>0</v>
      </c>
      <c r="L31" s="369">
        <f>+SUMIF('ELBA BOOK'!$D$18:$D$323,$I31,'ELBA BOOK'!$O$18:$O$323)+SUMIF('ELBA BOOK'!$D$18:$D$323,$I31,'ELBA BOOK'!$AF$18:$AF$323)+SUMIF('ELBA BOOK'!$D$18:$D$323,$I31,'ELBA BOOK'!$AW$18:$AW$323)</f>
        <v>0</v>
      </c>
      <c r="M31" s="369">
        <f>+SUMIF('ELBA BOOK'!$D$18:$D$323,$I31,'ELBA BOOK'!$S$18:$S$323)+SUMIF('ELBA BOOK'!$D$18:$D$323,$I31,'ELBA BOOK'!$AJ$18:$AJ$323)+SUMIF('ELBA BOOK'!$D$18:$D$323,$I31,'ELBA BOOK'!$BA$18:$BA$323)-K31-L31</f>
        <v>0</v>
      </c>
      <c r="N31" s="387">
        <f t="shared" si="1"/>
        <v>0</v>
      </c>
      <c r="O31" s="377"/>
      <c r="P31" s="384">
        <f t="shared" si="0"/>
        <v>0</v>
      </c>
      <c r="Q31" s="384">
        <f ca="1">+P31*CURVECALC!L27</f>
        <v>0</v>
      </c>
    </row>
    <row r="32" spans="1:17" x14ac:dyDescent="0.2">
      <c r="A32" s="224">
        <v>2022</v>
      </c>
      <c r="B32" s="360">
        <f>+SUMIF('ELBA BOOK'!$D$18:$D$324,$A32,'ELBA BOOK'!$B$18:$B$323)</f>
        <v>0</v>
      </c>
      <c r="C32" s="360">
        <f>+SUMIF('ELBA BOOK'!$D$18:$D$323,$A32,'ELBA BOOK'!$F$18:$F$323)+SUMIF('ELBA BOOK'!$D$18:$D$323,$A32,'ELBA BOOK'!$W$18:$W$323)+SUMIF('ELBA BOOK'!$D$18:$D$323,$A32,'ELBA BOOK'!$AN$18:$AN$323)</f>
        <v>0</v>
      </c>
      <c r="D32" s="360">
        <f>+SUMIF('ELBA BOOK'!$D$18:$D$323,$A32,'ELBA BOOK'!$H$18:$H$323)+SUMIF('ELBA BOOK'!$D$18:$D$323,$A32,'ELBA BOOK'!$Y$18:$Y$323)+SUMIF('ELBA BOOK'!$D$18:$D$323,$A32,'ELBA BOOK'!$AP$18:$AP$323)</f>
        <v>0</v>
      </c>
      <c r="E32" s="360">
        <f>+SUMIF('ELBA BOOK'!$D$18:$D$323,$A32,'ELBA BOOK'!$J$18:$J$323)+SUMIF('ELBA BOOK'!$D$18:$D$323,$A32,'ELBA BOOK'!$AA$18:$AA$323)+SUMIF('ELBA BOOK'!$D$18:$D$323,$A32,'ELBA BOOK'!$AR$18:$AR$323)</f>
        <v>0</v>
      </c>
      <c r="F32" s="429"/>
      <c r="G32" s="218">
        <f>+SUMIF('ELBA BOOK'!$D$18:$D$323,$A32,'ELBA BOOK'!$C$18:$C$323)</f>
        <v>0</v>
      </c>
      <c r="I32" s="381">
        <v>2022</v>
      </c>
      <c r="J32" s="367">
        <f>+SUMIF('ELBA BOOK'!$D$18:$D$323,'ELBA INCOME'!$I32,'ELBA BOOK'!$M$18:$M$323)+SUMIF('ELBA BOOK'!$D$18:$D$323,'ELBA INCOME'!$I32,'ELBA BOOK'!$AD$18:$AD$323)+SUMIF('ELBA BOOK'!$D$18:$D$323,'ELBA INCOME'!$I32,'ELBA BOOK'!$AU$18:$AU$323)</f>
        <v>0</v>
      </c>
      <c r="K32" s="369">
        <f>+SUMIF('ELBA BOOK'!$D$18:$D$323,$I32,'ELBA BOOK'!$P$18:$P$323)+SUMIF('ELBA BOOK'!$D$18:$D$323,$I32,'ELBA BOOK'!$AG$18:$AG$323)+SUMIF('ELBA BOOK'!$D$18:$D$323,$I32,'ELBA BOOK'!$AX$18:$AX$323)</f>
        <v>0</v>
      </c>
      <c r="L32" s="369">
        <f>+SUMIF('ELBA BOOK'!$D$18:$D$323,$I32,'ELBA BOOK'!$O$18:$O$323)+SUMIF('ELBA BOOK'!$D$18:$D$323,$I32,'ELBA BOOK'!$AF$18:$AF$323)+SUMIF('ELBA BOOK'!$D$18:$D$323,$I32,'ELBA BOOK'!$AW$18:$AW$323)</f>
        <v>0</v>
      </c>
      <c r="M32" s="369">
        <f>+SUMIF('ELBA BOOK'!$D$18:$D$323,$I32,'ELBA BOOK'!$S$18:$S$323)+SUMIF('ELBA BOOK'!$D$18:$D$323,$I32,'ELBA BOOK'!$AJ$18:$AJ$323)+SUMIF('ELBA BOOK'!$D$18:$D$323,$I32,'ELBA BOOK'!$BA$18:$BA$323)-K32-L32</f>
        <v>0</v>
      </c>
      <c r="N32" s="387">
        <f t="shared" si="1"/>
        <v>0</v>
      </c>
      <c r="O32" s="377"/>
      <c r="P32" s="384">
        <f t="shared" si="0"/>
        <v>0</v>
      </c>
      <c r="Q32" s="384">
        <f ca="1">+P32*CURVECALC!L28</f>
        <v>0</v>
      </c>
    </row>
    <row r="33" spans="1:17" x14ac:dyDescent="0.2">
      <c r="A33" s="224">
        <v>2023</v>
      </c>
      <c r="B33" s="360">
        <f>+SUMIF('ELBA BOOK'!$D$18:$D$324,$A33,'ELBA BOOK'!$B$18:$B$323)</f>
        <v>0</v>
      </c>
      <c r="C33" s="360">
        <f>+SUMIF('ELBA BOOK'!$D$18:$D$323,$A33,'ELBA BOOK'!$F$18:$F$323)+SUMIF('ELBA BOOK'!$D$18:$D$323,$A33,'ELBA BOOK'!$W$18:$W$323)+SUMIF('ELBA BOOK'!$D$18:$D$323,$A33,'ELBA BOOK'!$AN$18:$AN$323)</f>
        <v>0</v>
      </c>
      <c r="D33" s="360">
        <f>+SUMIF('ELBA BOOK'!$D$18:$D$323,$A33,'ELBA BOOK'!$H$18:$H$323)+SUMIF('ELBA BOOK'!$D$18:$D$323,$A33,'ELBA BOOK'!$Y$18:$Y$323)+SUMIF('ELBA BOOK'!$D$18:$D$323,$A33,'ELBA BOOK'!$AP$18:$AP$323)</f>
        <v>0</v>
      </c>
      <c r="E33" s="360">
        <f>+SUMIF('ELBA BOOK'!$D$18:$D$323,$A33,'ELBA BOOK'!$J$18:$J$323)+SUMIF('ELBA BOOK'!$D$18:$D$323,$A33,'ELBA BOOK'!$AA$18:$AA$323)+SUMIF('ELBA BOOK'!$D$18:$D$323,$A33,'ELBA BOOK'!$AR$18:$AR$323)</f>
        <v>0</v>
      </c>
      <c r="F33" s="429"/>
      <c r="G33" s="218">
        <f>+SUMIF('ELBA BOOK'!$D$18:$D$323,$A33,'ELBA BOOK'!$C$18:$C$323)</f>
        <v>0</v>
      </c>
      <c r="I33" s="381">
        <v>2023</v>
      </c>
      <c r="J33" s="367">
        <f>+SUMIF('ELBA BOOK'!$D$18:$D$323,'ELBA INCOME'!$I33,'ELBA BOOK'!$M$18:$M$323)+SUMIF('ELBA BOOK'!$D$18:$D$323,'ELBA INCOME'!$I33,'ELBA BOOK'!$AD$18:$AD$323)+SUMIF('ELBA BOOK'!$D$18:$D$323,'ELBA INCOME'!$I33,'ELBA BOOK'!$AU$18:$AU$323)</f>
        <v>0</v>
      </c>
      <c r="K33" s="369">
        <f>+SUMIF('ELBA BOOK'!$D$18:$D$323,$I33,'ELBA BOOK'!$P$18:$P$323)+SUMIF('ELBA BOOK'!$D$18:$D$323,$I33,'ELBA BOOK'!$AG$18:$AG$323)+SUMIF('ELBA BOOK'!$D$18:$D$323,$I33,'ELBA BOOK'!$AX$18:$AX$323)</f>
        <v>0</v>
      </c>
      <c r="L33" s="369">
        <f>+SUMIF('ELBA BOOK'!$D$18:$D$323,$I33,'ELBA BOOK'!$O$18:$O$323)+SUMIF('ELBA BOOK'!$D$18:$D$323,$I33,'ELBA BOOK'!$AF$18:$AF$323)+SUMIF('ELBA BOOK'!$D$18:$D$323,$I33,'ELBA BOOK'!$AW$18:$AW$323)</f>
        <v>0</v>
      </c>
      <c r="M33" s="369">
        <f>+SUMIF('ELBA BOOK'!$D$18:$D$323,$I33,'ELBA BOOK'!$S$18:$S$323)+SUMIF('ELBA BOOK'!$D$18:$D$323,$I33,'ELBA BOOK'!$AJ$18:$AJ$323)+SUMIF('ELBA BOOK'!$D$18:$D$323,$I33,'ELBA BOOK'!$BA$18:$BA$323)-K33-L33</f>
        <v>0</v>
      </c>
      <c r="N33" s="387">
        <f t="shared" si="1"/>
        <v>0</v>
      </c>
      <c r="O33" s="377"/>
      <c r="P33" s="384">
        <f t="shared" si="0"/>
        <v>0</v>
      </c>
      <c r="Q33" s="384">
        <f ca="1">+P33*CURVECALC!L29</f>
        <v>0</v>
      </c>
    </row>
    <row r="34" spans="1:17" x14ac:dyDescent="0.2">
      <c r="A34" s="224">
        <v>2024</v>
      </c>
      <c r="B34" s="360">
        <f>+SUMIF('ELBA BOOK'!$D$18:$D$324,$A34,'ELBA BOOK'!$B$18:$B$323)</f>
        <v>0</v>
      </c>
      <c r="C34" s="360">
        <f>+SUMIF('ELBA BOOK'!$D$18:$D$323,$A34,'ELBA BOOK'!$F$18:$F$323)+SUMIF('ELBA BOOK'!$D$18:$D$323,$A34,'ELBA BOOK'!$W$18:$W$323)+SUMIF('ELBA BOOK'!$D$18:$D$323,$A34,'ELBA BOOK'!$AN$18:$AN$323)</f>
        <v>0</v>
      </c>
      <c r="D34" s="360">
        <f>+SUMIF('ELBA BOOK'!$D$18:$D$323,$A34,'ELBA BOOK'!$H$18:$H$323)+SUMIF('ELBA BOOK'!$D$18:$D$323,$A34,'ELBA BOOK'!$Y$18:$Y$323)+SUMIF('ELBA BOOK'!$D$18:$D$323,$A34,'ELBA BOOK'!$AP$18:$AP$323)</f>
        <v>0</v>
      </c>
      <c r="E34" s="360">
        <f>+SUMIF('ELBA BOOK'!$D$18:$D$323,$A34,'ELBA BOOK'!$J$18:$J$323)+SUMIF('ELBA BOOK'!$D$18:$D$323,$A34,'ELBA BOOK'!$AA$18:$AA$323)+SUMIF('ELBA BOOK'!$D$18:$D$323,$A34,'ELBA BOOK'!$AR$18:$AR$323)</f>
        <v>0</v>
      </c>
      <c r="F34" s="429"/>
      <c r="G34" s="218">
        <f>+SUMIF('ELBA BOOK'!$D$18:$D$323,$A34,'ELBA BOOK'!$C$18:$C$323)</f>
        <v>0</v>
      </c>
      <c r="I34" s="381">
        <v>2024</v>
      </c>
      <c r="J34" s="367">
        <f>+SUMIF('ELBA BOOK'!$D$18:$D$323,'ELBA INCOME'!$I34,'ELBA BOOK'!$M$18:$M$323)+SUMIF('ELBA BOOK'!$D$18:$D$323,'ELBA INCOME'!$I34,'ELBA BOOK'!$AD$18:$AD$323)+SUMIF('ELBA BOOK'!$D$18:$D$323,'ELBA INCOME'!$I34,'ELBA BOOK'!$AU$18:$AU$323)</f>
        <v>0</v>
      </c>
      <c r="K34" s="369">
        <f>+SUMIF('ELBA BOOK'!$D$18:$D$323,$I34,'ELBA BOOK'!$P$18:$P$323)+SUMIF('ELBA BOOK'!$D$18:$D$323,$I34,'ELBA BOOK'!$AG$18:$AG$323)+SUMIF('ELBA BOOK'!$D$18:$D$323,$I34,'ELBA BOOK'!$AX$18:$AX$323)</f>
        <v>0</v>
      </c>
      <c r="L34" s="369">
        <f>+SUMIF('ELBA BOOK'!$D$18:$D$323,$I34,'ELBA BOOK'!$O$18:$O$323)+SUMIF('ELBA BOOK'!$D$18:$D$323,$I34,'ELBA BOOK'!$AF$18:$AF$323)+SUMIF('ELBA BOOK'!$D$18:$D$323,$I34,'ELBA BOOK'!$AW$18:$AW$323)</f>
        <v>0</v>
      </c>
      <c r="M34" s="369">
        <f>+SUMIF('ELBA BOOK'!$D$18:$D$323,$I34,'ELBA BOOK'!$S$18:$S$323)+SUMIF('ELBA BOOK'!$D$18:$D$323,$I34,'ELBA BOOK'!$AJ$18:$AJ$323)+SUMIF('ELBA BOOK'!$D$18:$D$323,$I34,'ELBA BOOK'!$BA$18:$BA$323)-K34-L34</f>
        <v>0</v>
      </c>
      <c r="N34" s="387">
        <f t="shared" si="1"/>
        <v>0</v>
      </c>
      <c r="O34" s="377"/>
      <c r="P34" s="384">
        <f t="shared" si="0"/>
        <v>0</v>
      </c>
      <c r="Q34" s="384">
        <f ca="1">+P34*CURVECALC!L30</f>
        <v>0</v>
      </c>
    </row>
    <row r="35" spans="1:17" x14ac:dyDescent="0.2">
      <c r="A35" s="361">
        <v>2025</v>
      </c>
      <c r="B35" s="362">
        <f>+SUMIF('ELBA BOOK'!$D$18:$D$324,$A35,'ELBA BOOK'!$B$18:$B$323)</f>
        <v>0</v>
      </c>
      <c r="C35" s="362">
        <f>+SUMIF('ELBA BOOK'!$D$18:$D$323,$A35,'ELBA BOOK'!$F$18:$F$323)+SUMIF('ELBA BOOK'!$D$18:$D$323,$A35,'ELBA BOOK'!$W$18:$W$323)+SUMIF('ELBA BOOK'!$D$18:$D$323,$A35,'ELBA BOOK'!$AN$18:$AN$323)</f>
        <v>0</v>
      </c>
      <c r="D35" s="362">
        <f>+SUMIF('ELBA BOOK'!$D$18:$D$323,$A35,'ELBA BOOK'!$H$18:$H$323)+SUMIF('ELBA BOOK'!$D$18:$D$323,$A35,'ELBA BOOK'!$Y$18:$Y$323)+SUMIF('ELBA BOOK'!$D$18:$D$323,$A35,'ELBA BOOK'!$AP$18:$AP$323)</f>
        <v>0</v>
      </c>
      <c r="E35" s="362">
        <f>+SUMIF('ELBA BOOK'!$D$18:$D$323,$A35,'ELBA BOOK'!$J$18:$J$323)+SUMIF('ELBA BOOK'!$D$18:$D$323,$A35,'ELBA BOOK'!$AA$18:$AA$323)+SUMIF('ELBA BOOK'!$D$18:$D$323,$A35,'ELBA BOOK'!$AR$18:$AR$323)</f>
        <v>0</v>
      </c>
      <c r="F35" s="430"/>
      <c r="G35" s="219">
        <f>+SUMIF('ELBA BOOK'!$D$18:$D$323,$A35,'ELBA BOOK'!$C$18:$C$323)</f>
        <v>0</v>
      </c>
      <c r="I35" s="382">
        <v>2025</v>
      </c>
      <c r="J35" s="368">
        <f>+SUMIF('ELBA BOOK'!$D$18:$D$323,'ELBA INCOME'!$I35,'ELBA BOOK'!$M$18:$M$323)+SUMIF('ELBA BOOK'!$D$18:$D$323,'ELBA INCOME'!$I35,'ELBA BOOK'!$AD$18:$AD$323)+SUMIF('ELBA BOOK'!$D$18:$D$323,'ELBA INCOME'!$I35,'ELBA BOOK'!$AU$18:$AU$323)</f>
        <v>0</v>
      </c>
      <c r="K35" s="371">
        <f>+SUMIF('ELBA BOOK'!$D$18:$D$323,$I35,'ELBA BOOK'!$P$18:$P$323)+SUMIF('ELBA BOOK'!$D$18:$D$323,$I35,'ELBA BOOK'!$AG$18:$AG$323)+SUMIF('ELBA BOOK'!$D$18:$D$323,$I35,'ELBA BOOK'!$AX$18:$AX$323)</f>
        <v>0</v>
      </c>
      <c r="L35" s="371">
        <f>+SUMIF('ELBA BOOK'!$D$18:$D$323,$I35,'ELBA BOOK'!$O$18:$O$323)+SUMIF('ELBA BOOK'!$D$18:$D$323,$I35,'ELBA BOOK'!$AF$18:$AF$323)+SUMIF('ELBA BOOK'!$D$18:$D$323,$I35,'ELBA BOOK'!$AW$18:$AW$323)</f>
        <v>0</v>
      </c>
      <c r="M35" s="371">
        <f>+SUMIF('ELBA BOOK'!$D$18:$D$323,$I35,'ELBA BOOK'!$S$18:$S$323)+SUMIF('ELBA BOOK'!$D$18:$D$323,$I35,'ELBA BOOK'!$AJ$18:$AJ$323)+SUMIF('ELBA BOOK'!$D$18:$D$323,$I35,'ELBA BOOK'!$BA$18:$BA$323)-K35-L35</f>
        <v>0</v>
      </c>
      <c r="N35" s="388">
        <f t="shared" si="1"/>
        <v>0</v>
      </c>
      <c r="O35" s="378"/>
      <c r="P35" s="385">
        <f t="shared" si="0"/>
        <v>0</v>
      </c>
      <c r="Q35" s="385">
        <f ca="1">+P35*CURVECALC!L31</f>
        <v>0</v>
      </c>
    </row>
    <row r="36" spans="1:17" x14ac:dyDescent="0.2">
      <c r="J36" s="379"/>
      <c r="N36" s="379"/>
    </row>
    <row r="37" spans="1:17" x14ac:dyDescent="0.2">
      <c r="N37" s="379"/>
    </row>
    <row r="38" spans="1:17" x14ac:dyDescent="0.2">
      <c r="N38" s="379"/>
    </row>
    <row r="39" spans="1:17" x14ac:dyDescent="0.2">
      <c r="N39" s="379"/>
    </row>
    <row r="40" spans="1:17" x14ac:dyDescent="0.2">
      <c r="N40" s="379"/>
    </row>
    <row r="41" spans="1:17" x14ac:dyDescent="0.2">
      <c r="N41" s="379"/>
    </row>
  </sheetData>
  <pageMargins left="0.2" right="0.23" top="0.5" bottom="0.5" header="0.23" footer="0.25"/>
  <pageSetup paperSize="5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349"/>
  <sheetViews>
    <sheetView showGridLines="0" zoomScale="80" workbookViewId="0"/>
  </sheetViews>
  <sheetFormatPr defaultRowHeight="12.75" x14ac:dyDescent="0.2"/>
  <cols>
    <col min="1" max="1" width="13" customWidth="1"/>
    <col min="2" max="2" width="17.28515625" customWidth="1"/>
    <col min="3" max="3" width="17.85546875" customWidth="1"/>
    <col min="4" max="4" width="16.5703125" customWidth="1"/>
    <col min="5" max="5" width="17.5703125" customWidth="1"/>
    <col min="6" max="6" width="4" customWidth="1"/>
    <col min="7" max="9" width="17.7109375" customWidth="1"/>
    <col min="10" max="10" width="19.5703125" customWidth="1"/>
    <col min="11" max="12" width="11.140625" customWidth="1"/>
    <col min="13" max="15" width="15.28515625" customWidth="1"/>
    <col min="16" max="18" width="14.85546875" customWidth="1"/>
  </cols>
  <sheetData>
    <row r="1" spans="1:21" ht="23.25" x14ac:dyDescent="0.35">
      <c r="A1" s="499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" x14ac:dyDescent="0.25">
      <c r="A2" s="500" t="s">
        <v>159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490">
        <f ca="1">+TODAY()</f>
        <v>36740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493"/>
      <c r="C5" s="494" t="s">
        <v>157</v>
      </c>
      <c r="D5" s="508" t="s">
        <v>165</v>
      </c>
      <c r="E5" s="495" t="s">
        <v>134</v>
      </c>
      <c r="F5" s="1"/>
      <c r="G5" s="14" t="s">
        <v>171</v>
      </c>
      <c r="H5" s="14" t="s">
        <v>171</v>
      </c>
      <c r="I5" s="14" t="s">
        <v>171</v>
      </c>
      <c r="J5" s="14" t="s">
        <v>162</v>
      </c>
      <c r="K5" s="1"/>
      <c r="L5" s="1"/>
      <c r="M5" s="505" t="s">
        <v>170</v>
      </c>
      <c r="N5" s="506" t="s">
        <v>169</v>
      </c>
      <c r="O5" s="507"/>
      <c r="Q5" s="1"/>
      <c r="R5" s="1"/>
      <c r="S5" s="1"/>
      <c r="T5" s="1"/>
      <c r="U5" s="1"/>
    </row>
    <row r="6" spans="1:21" x14ac:dyDescent="0.2">
      <c r="A6" s="1"/>
      <c r="B6" s="414" t="s">
        <v>157</v>
      </c>
      <c r="C6" s="183" t="s">
        <v>160</v>
      </c>
      <c r="D6" s="497" t="s">
        <v>163</v>
      </c>
      <c r="E6" s="415" t="s">
        <v>163</v>
      </c>
      <c r="F6" s="1"/>
      <c r="G6" s="14" t="s">
        <v>157</v>
      </c>
      <c r="H6" s="14" t="s">
        <v>22</v>
      </c>
      <c r="I6" s="14" t="s">
        <v>23</v>
      </c>
      <c r="J6" s="14" t="s">
        <v>171</v>
      </c>
      <c r="K6" s="1"/>
      <c r="L6" s="1"/>
      <c r="M6" s="493" t="s">
        <v>166</v>
      </c>
      <c r="N6" s="493" t="s">
        <v>166</v>
      </c>
      <c r="O6" s="495" t="s">
        <v>166</v>
      </c>
      <c r="Q6" s="1"/>
      <c r="R6" s="1"/>
      <c r="S6" s="1"/>
      <c r="T6" s="1"/>
      <c r="U6" s="1"/>
    </row>
    <row r="7" spans="1:21" x14ac:dyDescent="0.2">
      <c r="A7" s="14" t="s">
        <v>142</v>
      </c>
      <c r="B7" s="416" t="s">
        <v>158</v>
      </c>
      <c r="C7" s="496" t="s">
        <v>161</v>
      </c>
      <c r="D7" s="498" t="s">
        <v>164</v>
      </c>
      <c r="E7" s="417" t="s">
        <v>164</v>
      </c>
      <c r="F7" s="1"/>
      <c r="G7" s="14" t="s">
        <v>172</v>
      </c>
      <c r="H7" s="14" t="s">
        <v>172</v>
      </c>
      <c r="I7" s="14" t="s">
        <v>172</v>
      </c>
      <c r="J7" s="14" t="s">
        <v>173</v>
      </c>
      <c r="K7" s="1"/>
      <c r="L7" s="1"/>
      <c r="M7" s="414" t="s">
        <v>167</v>
      </c>
      <c r="N7" s="414" t="s">
        <v>167</v>
      </c>
      <c r="O7" s="415" t="s">
        <v>167</v>
      </c>
      <c r="Q7" s="1"/>
      <c r="R7" s="1"/>
      <c r="S7" s="1"/>
      <c r="T7" s="1"/>
      <c r="U7" s="1"/>
    </row>
    <row r="8" spans="1:21" x14ac:dyDescent="0.2">
      <c r="A8" s="14" t="s">
        <v>162</v>
      </c>
      <c r="B8" s="491">
        <f>SUM(B9:B34)</f>
        <v>3629588818.1439147</v>
      </c>
      <c r="C8" s="492">
        <f>SUM(C9:C34)</f>
        <v>-3609178518.5575342</v>
      </c>
      <c r="D8" s="372">
        <f>+'ELBA INCOME'!P9</f>
        <v>20410299.586380154</v>
      </c>
      <c r="E8" s="372">
        <f ca="1">+'ELBA INCOME'!Q9</f>
        <v>10362757.077702602</v>
      </c>
      <c r="F8" s="1"/>
      <c r="G8" s="509">
        <f>SUM(G9:G34)</f>
        <v>-4108086.3689550487</v>
      </c>
      <c r="H8" s="373">
        <f>SUM(H9:H34)</f>
        <v>-186007706.17522332</v>
      </c>
      <c r="I8" s="373">
        <f>SUM(I9:I34)</f>
        <v>-308741995.09801555</v>
      </c>
      <c r="J8" s="372">
        <f>SUM(G8:I8)</f>
        <v>-498857787.64219391</v>
      </c>
      <c r="K8" s="1"/>
      <c r="L8" s="1"/>
      <c r="M8" s="49" t="s">
        <v>157</v>
      </c>
      <c r="N8" s="503" t="s">
        <v>22</v>
      </c>
      <c r="O8" s="504" t="s">
        <v>168</v>
      </c>
      <c r="P8" s="1"/>
      <c r="Q8" s="1"/>
      <c r="R8" s="1"/>
      <c r="S8" s="1"/>
      <c r="T8" s="1"/>
      <c r="U8" s="1"/>
    </row>
    <row r="9" spans="1:21" x14ac:dyDescent="0.2">
      <c r="A9" s="3">
        <f>+'ELBA INCOME'!A10</f>
        <v>2000</v>
      </c>
      <c r="B9" s="208">
        <f>+'ELBA INCOME'!J10</f>
        <v>0</v>
      </c>
      <c r="C9" s="209">
        <f>+'ELBA INCOME'!N10</f>
        <v>0</v>
      </c>
      <c r="D9" s="501">
        <f>+'ELBA INCOME'!P10</f>
        <v>0</v>
      </c>
      <c r="E9" s="501">
        <f ca="1">+'ELBA INCOME'!Q10</f>
        <v>0</v>
      </c>
      <c r="G9" s="208">
        <f>-(SUMIF('ELBA BOOK'!$D$18:$D$323,$A9,'ELBA BOOK'!$BD$18:$BD$323)+SUMIF('ELBA BOOK'!$D$18:$D$323,$A9,'ELBA BOOK'!$R$18:$R$323)+SUMIF('ELBA BOOK'!$D$18:$D$323,$A9,'ELBA BOOK'!$AI$18:$AI$323)+SUMIF('ELBA BOOK'!$D$18:$D$323,$A9,'ELBA BOOK'!$AZ$18:$AZ$323))</f>
        <v>0</v>
      </c>
      <c r="H9" s="209">
        <f>-((+N9/365.25)*SUMIF('ELBA BOOK'!$D$18:$D$323,$A9,H$43:H$348))</f>
        <v>-1432518.8227241614</v>
      </c>
      <c r="I9" s="209">
        <f>-((+O9/365.25)*SUMIF('ELBA BOOK'!$D$18:$D$323,$A9,I$43:I$348))</f>
        <v>0</v>
      </c>
      <c r="J9" s="367">
        <f>SUM(G9:I9)</f>
        <v>-1432518.8227241614</v>
      </c>
      <c r="M9" s="190">
        <f>+'ELBA INCOME'!G10</f>
        <v>0</v>
      </c>
      <c r="N9" s="190">
        <f>+'SHIP POSITIONS'!E9</f>
        <v>365</v>
      </c>
      <c r="O9" s="354">
        <f>+'SHIP POSITIONS'!F9</f>
        <v>365</v>
      </c>
    </row>
    <row r="10" spans="1:21" x14ac:dyDescent="0.2">
      <c r="A10" s="3">
        <f>+'ELBA INCOME'!A11</f>
        <v>2001</v>
      </c>
      <c r="B10" s="208">
        <f>+'ELBA INCOME'!J11</f>
        <v>0</v>
      </c>
      <c r="C10" s="209">
        <f>+'ELBA INCOME'!N11</f>
        <v>0</v>
      </c>
      <c r="D10" s="501">
        <f>+'ELBA INCOME'!P11</f>
        <v>0</v>
      </c>
      <c r="E10" s="501">
        <f ca="1">+'ELBA INCOME'!Q11</f>
        <v>0</v>
      </c>
      <c r="G10" s="208">
        <f>-(SUMIF('ELBA BOOK'!$D$18:$D$323,$A10,'ELBA BOOK'!$BD$18:$BD$323)+SUMIF('ELBA BOOK'!$D$18:$D$323,$A10,'ELBA BOOK'!$R$18:$R$323)+SUMIF('ELBA BOOK'!$D$18:$D$323,$A10,'ELBA BOOK'!$AI$18:$AI$323)+SUMIF('ELBA BOOK'!$D$18:$D$323,$A10,'ELBA BOOK'!$AZ$18:$AZ$323))</f>
        <v>0</v>
      </c>
      <c r="H10" s="209">
        <f>-((+N10/365.25)*SUMIF('ELBA BOOK'!$D$18:$D$323,A10,$H$43:$H$348))</f>
        <v>-8620990.9133078773</v>
      </c>
      <c r="I10" s="209">
        <f>-((+O10/365.25)*SUMIF('ELBA BOOK'!$D$18:$D$323,$A10,I$43:I$348))</f>
        <v>0</v>
      </c>
      <c r="J10" s="367">
        <f t="shared" ref="J10:J34" si="0">SUM(G10:I10)</f>
        <v>-8620990.9133078773</v>
      </c>
      <c r="M10" s="191">
        <f>+'ELBA INCOME'!G11</f>
        <v>0</v>
      </c>
      <c r="N10" s="191">
        <f>+'SHIP POSITIONS'!E10</f>
        <v>365</v>
      </c>
      <c r="O10" s="443">
        <f>+'SHIP POSITIONS'!F10</f>
        <v>365</v>
      </c>
    </row>
    <row r="11" spans="1:21" x14ac:dyDescent="0.2">
      <c r="A11" s="3">
        <f>+'ELBA INCOME'!A12</f>
        <v>2002</v>
      </c>
      <c r="B11" s="208">
        <f>+'ELBA INCOME'!J12</f>
        <v>78553330.609004676</v>
      </c>
      <c r="C11" s="209">
        <f>+'ELBA INCOME'!N12</f>
        <v>-78072191.36060968</v>
      </c>
      <c r="D11" s="501">
        <f>+'ELBA INCOME'!P12</f>
        <v>481139.24839499593</v>
      </c>
      <c r="E11" s="501">
        <f ca="1">+'ELBA INCOME'!Q12</f>
        <v>419963.70393676113</v>
      </c>
      <c r="G11" s="208">
        <f>-(SUMIF('ELBA BOOK'!$D$18:$D$323,$A11,'ELBA BOOK'!$BD$18:$BD$323)+SUMIF('ELBA BOOK'!$D$18:$D$323,$A11,'ELBA BOOK'!$R$18:$R$323)+SUMIF('ELBA BOOK'!$D$18:$D$323,$A11,'ELBA BOOK'!$AI$18:$AI$323)+SUMIF('ELBA BOOK'!$D$18:$D$323,$A11,'ELBA BOOK'!$AZ$18:$AZ$323))</f>
        <v>-4108086.3689550506</v>
      </c>
      <c r="H11" s="209">
        <f>-((+N11/365.25)*SUMIF('ELBA BOOK'!$D$18:$D$323,A11,$H$43:$H$348))</f>
        <v>-2157645.2780744135</v>
      </c>
      <c r="I11" s="209">
        <f>-((+O11/365.25)*SUMIF('ELBA BOOK'!$D$18:$D$323,$A11,I$43:I$348))</f>
        <v>0</v>
      </c>
      <c r="J11" s="367">
        <f t="shared" si="0"/>
        <v>-6265731.6470294641</v>
      </c>
      <c r="M11" s="191">
        <f>+'ELBA INCOME'!G12</f>
        <v>22689229.325745139</v>
      </c>
      <c r="N11" s="191">
        <f>+'SHIP POSITIONS'!E11</f>
        <v>90</v>
      </c>
      <c r="O11" s="443">
        <f>+'SHIP POSITIONS'!F11</f>
        <v>365</v>
      </c>
    </row>
    <row r="12" spans="1:21" x14ac:dyDescent="0.2">
      <c r="A12" s="3">
        <f>+'ELBA INCOME'!A13</f>
        <v>2003</v>
      </c>
      <c r="B12" s="208">
        <f>+'ELBA INCOME'!J13</f>
        <v>195196621.04076934</v>
      </c>
      <c r="C12" s="209">
        <f>+'ELBA INCOME'!N13</f>
        <v>-193970779.53025961</v>
      </c>
      <c r="D12" s="501">
        <f>+'ELBA INCOME'!P13</f>
        <v>1225841.5105097294</v>
      </c>
      <c r="E12" s="501">
        <f ca="1">+'ELBA INCOME'!Q13</f>
        <v>997521.55096999404</v>
      </c>
      <c r="G12" s="208">
        <f>-(SUMIF('ELBA BOOK'!$D$18:$D$323,$A12,'ELBA BOOK'!$BD$18:$BD$323)+SUMIF('ELBA BOOK'!$D$18:$D$323,$A12,'ELBA BOOK'!$R$18:$R$323)+SUMIF('ELBA BOOK'!$D$18:$D$323,$A12,'ELBA BOOK'!$AI$18:$AI$323)+SUMIF('ELBA BOOK'!$D$18:$D$323,$A12,'ELBA BOOK'!$AZ$18:$AZ$323))</f>
        <v>1.862645149230957E-9</v>
      </c>
      <c r="H12" s="209">
        <f>-((+N12/365.25)*SUMIF('ELBA BOOK'!$D$18:$D$323,A12,$H$43:$H$348))</f>
        <v>0</v>
      </c>
      <c r="I12" s="209">
        <f>-((+O12/365.25)*SUMIF('ELBA BOOK'!$D$18:$D$323,$A12,I$43:I$348))</f>
        <v>-10349151.153876279</v>
      </c>
      <c r="J12" s="367">
        <f t="shared" si="0"/>
        <v>-10349151.153876277</v>
      </c>
      <c r="M12" s="191">
        <f>+'ELBA INCOME'!G13</f>
        <v>0</v>
      </c>
      <c r="N12" s="191">
        <f>+'SHIP POSITIONS'!E12</f>
        <v>0</v>
      </c>
      <c r="O12" s="443">
        <f>+'SHIP POSITIONS'!F12</f>
        <v>165</v>
      </c>
    </row>
    <row r="13" spans="1:21" x14ac:dyDescent="0.2">
      <c r="A13" s="3">
        <f>+'ELBA INCOME'!A14</f>
        <v>2004</v>
      </c>
      <c r="B13" s="208">
        <f>+'ELBA INCOME'!J14</f>
        <v>194220481.7667155</v>
      </c>
      <c r="C13" s="209">
        <f>+'ELBA INCOME'!N14</f>
        <v>-192991281.78631401</v>
      </c>
      <c r="D13" s="501">
        <f>+'ELBA INCOME'!P14</f>
        <v>1229199.9804014862</v>
      </c>
      <c r="E13" s="501">
        <f ca="1">+'ELBA INCOME'!Q14</f>
        <v>932237.91778029606</v>
      </c>
      <c r="G13" s="208">
        <f>-(SUMIF('ELBA BOOK'!$D$18:$D$323,$A13,'ELBA BOOK'!$BD$18:$BD$323)+SUMIF('ELBA BOOK'!$D$18:$D$323,$A13,'ELBA BOOK'!$R$18:$R$323)+SUMIF('ELBA BOOK'!$D$18:$D$323,$A13,'ELBA BOOK'!$AI$18:$AI$323)+SUMIF('ELBA BOOK'!$D$18:$D$323,$A13,'ELBA BOOK'!$AZ$18:$AZ$323))</f>
        <v>0</v>
      </c>
      <c r="H13" s="209">
        <f>-((+N13/365.25)*SUMIF('ELBA BOOK'!$D$18:$D$323,A13,$H$43:$H$348))</f>
        <v>-11423089.685104307</v>
      </c>
      <c r="I13" s="209">
        <f>-((+O13/365.25)*SUMIF('ELBA BOOK'!$D$18:$D$323,$A13,I$43:I$348))</f>
        <v>-8022624.8176386338</v>
      </c>
      <c r="J13" s="367">
        <f t="shared" si="0"/>
        <v>-19445714.502742939</v>
      </c>
      <c r="M13" s="191">
        <f>+'ELBA INCOME'!G14</f>
        <v>0</v>
      </c>
      <c r="N13" s="191">
        <f>+'SHIP POSITIONS'!E13</f>
        <v>365</v>
      </c>
      <c r="O13" s="443">
        <f>+'SHIP POSITIONS'!F13</f>
        <v>127</v>
      </c>
    </row>
    <row r="14" spans="1:21" x14ac:dyDescent="0.2">
      <c r="A14" s="3">
        <f>+'ELBA INCOME'!A15</f>
        <v>2005</v>
      </c>
      <c r="B14" s="208">
        <f>+'ELBA INCOME'!J15</f>
        <v>194279254.98982218</v>
      </c>
      <c r="C14" s="209">
        <f>+'ELBA INCOME'!N15</f>
        <v>-193053413.47931242</v>
      </c>
      <c r="D14" s="501">
        <f>+'ELBA INCOME'!P15</f>
        <v>1225841.5105097592</v>
      </c>
      <c r="E14" s="501">
        <f ca="1">+'ELBA INCOME'!Q15</f>
        <v>865583.03162133589</v>
      </c>
      <c r="G14" s="208">
        <f>-(SUMIF('ELBA BOOK'!$D$18:$D$323,$A14,'ELBA BOOK'!$BD$18:$BD$323)+SUMIF('ELBA BOOK'!$D$18:$D$323,$A14,'ELBA BOOK'!$R$18:$R$323)+SUMIF('ELBA BOOK'!$D$18:$D$323,$A14,'ELBA BOOK'!$AI$18:$AI$323)+SUMIF('ELBA BOOK'!$D$18:$D$323,$A14,'ELBA BOOK'!$AZ$18:$AZ$323))</f>
        <v>0</v>
      </c>
      <c r="H14" s="209">
        <f>-((+N14/365.25)*SUMIF('ELBA BOOK'!$D$18:$D$323,A14,$H$43:$H$348))</f>
        <v>-11532524.911777332</v>
      </c>
      <c r="I14" s="209">
        <f>-((+O14/365.25)*SUMIF('ELBA BOOK'!$D$18:$D$323,$A14,I$43:I$348))</f>
        <v>-8099939.4981845515</v>
      </c>
      <c r="J14" s="367">
        <f t="shared" si="0"/>
        <v>-19632464.409961883</v>
      </c>
      <c r="M14" s="191">
        <f>+'ELBA INCOME'!G15</f>
        <v>0</v>
      </c>
      <c r="N14" s="191">
        <f>+'SHIP POSITIONS'!E14</f>
        <v>365</v>
      </c>
      <c r="O14" s="443">
        <f>+'SHIP POSITIONS'!F14</f>
        <v>128</v>
      </c>
    </row>
    <row r="15" spans="1:21" x14ac:dyDescent="0.2">
      <c r="A15" s="3">
        <f>+'ELBA INCOME'!A16</f>
        <v>2006</v>
      </c>
      <c r="B15" s="208">
        <f>+'ELBA INCOME'!J16</f>
        <v>195812564.41892681</v>
      </c>
      <c r="C15" s="209">
        <f>+'ELBA INCOME'!N16</f>
        <v>-194586722.90841711</v>
      </c>
      <c r="D15" s="501">
        <f>+'ELBA INCOME'!P16</f>
        <v>1225841.5105096996</v>
      </c>
      <c r="E15" s="501">
        <f ca="1">+'ELBA INCOME'!Q16</f>
        <v>804915.36638661427</v>
      </c>
      <c r="G15" s="208">
        <f>-(SUMIF('ELBA BOOK'!$D$18:$D$323,$A15,'ELBA BOOK'!$BD$18:$BD$323)+SUMIF('ELBA BOOK'!$D$18:$D$323,$A15,'ELBA BOOK'!$R$18:$R$323)+SUMIF('ELBA BOOK'!$D$18:$D$323,$A15,'ELBA BOOK'!$AI$18:$AI$323)+SUMIF('ELBA BOOK'!$D$18:$D$323,$A15,'ELBA BOOK'!$AZ$18:$AZ$323))</f>
        <v>0</v>
      </c>
      <c r="H15" s="209">
        <f>-((+N15/365.25)*SUMIF('ELBA BOOK'!$D$18:$D$323,A15,$H$43:$H$348))</f>
        <v>-11676581.167727031</v>
      </c>
      <c r="I15" s="209">
        <f>-((+O15/365.25)*SUMIF('ELBA BOOK'!$D$18:$D$323,$A15,I$43:I$348))</f>
        <v>-8137054.9148524096</v>
      </c>
      <c r="J15" s="367">
        <f t="shared" si="0"/>
        <v>-19813636.082579441</v>
      </c>
      <c r="M15" s="191">
        <f>+'ELBA INCOME'!G16</f>
        <v>0</v>
      </c>
      <c r="N15" s="191">
        <f>+'SHIP POSITIONS'!E15</f>
        <v>365</v>
      </c>
      <c r="O15" s="443">
        <f>+'SHIP POSITIONS'!F15</f>
        <v>128</v>
      </c>
    </row>
    <row r="16" spans="1:21" x14ac:dyDescent="0.2">
      <c r="A16" s="3">
        <f>+'ELBA INCOME'!A17</f>
        <v>2007</v>
      </c>
      <c r="B16" s="208">
        <f>+'ELBA INCOME'!J17</f>
        <v>198265254.98091373</v>
      </c>
      <c r="C16" s="209">
        <f>+'ELBA INCOME'!N17</f>
        <v>-197039413.470404</v>
      </c>
      <c r="D16" s="501">
        <f>+'ELBA INCOME'!P17</f>
        <v>1225841.5105097294</v>
      </c>
      <c r="E16" s="501">
        <f ca="1">+'ELBA INCOME'!Q17</f>
        <v>747986.42525817885</v>
      </c>
      <c r="G16" s="208">
        <f>-(SUMIF('ELBA BOOK'!$D$18:$D$323,$A16,'ELBA BOOK'!$BD$18:$BD$323)+SUMIF('ELBA BOOK'!$D$18:$D$323,$A16,'ELBA BOOK'!$R$18:$R$323)+SUMIF('ELBA BOOK'!$D$18:$D$323,$A16,'ELBA BOOK'!$AI$18:$AI$323)+SUMIF('ELBA BOOK'!$D$18:$D$323,$A16,'ELBA BOOK'!$AZ$18:$AZ$323))</f>
        <v>0</v>
      </c>
      <c r="H16" s="209">
        <f>-((+N16/365.25)*SUMIF('ELBA BOOK'!$D$18:$D$323,A16,$H$43:$H$348))</f>
        <v>-11824280.384108489</v>
      </c>
      <c r="I16" s="209">
        <f>-((+O16/365.25)*SUMIF('ELBA BOOK'!$D$18:$D$323,$A16,I$43:I$348))</f>
        <v>-8175108.9231380885</v>
      </c>
      <c r="J16" s="367">
        <f t="shared" si="0"/>
        <v>-19999389.307246577</v>
      </c>
      <c r="M16" s="191">
        <f>+'ELBA INCOME'!G17</f>
        <v>0</v>
      </c>
      <c r="N16" s="191">
        <f>+'SHIP POSITIONS'!E16</f>
        <v>365</v>
      </c>
      <c r="O16" s="443">
        <f>+'SHIP POSITIONS'!F16</f>
        <v>128</v>
      </c>
    </row>
    <row r="17" spans="1:15" x14ac:dyDescent="0.2">
      <c r="A17" s="3">
        <f>+'ELBA INCOME'!A18</f>
        <v>2008</v>
      </c>
      <c r="B17" s="208">
        <f>+'ELBA INCOME'!J18</f>
        <v>201904325.03218159</v>
      </c>
      <c r="C17" s="209">
        <f>+'ELBA INCOME'!N18</f>
        <v>-200675125.05178007</v>
      </c>
      <c r="D17" s="501">
        <f>+'ELBA INCOME'!P18</f>
        <v>1229199.980401516</v>
      </c>
      <c r="E17" s="501">
        <f ca="1">+'ELBA INCOME'!Q18</f>
        <v>698264.52555547445</v>
      </c>
      <c r="G17" s="208">
        <f>-(SUMIF('ELBA BOOK'!$D$18:$D$323,$A17,'ELBA BOOK'!$BD$18:$BD$323)+SUMIF('ELBA BOOK'!$D$18:$D$323,$A17,'ELBA BOOK'!$R$18:$R$323)+SUMIF('ELBA BOOK'!$D$18:$D$323,$A17,'ELBA BOOK'!$AI$18:$AI$323)+SUMIF('ELBA BOOK'!$D$18:$D$323,$A17,'ELBA BOOK'!$AZ$18:$AZ$323))</f>
        <v>0</v>
      </c>
      <c r="H17" s="209">
        <f>-((+N17/365.25)*SUMIF('ELBA BOOK'!$D$18:$D$323,A17,$H$43:$H$348))</f>
        <v>-12008366.732719284</v>
      </c>
      <c r="I17" s="209">
        <f>-((+O17/365.25)*SUMIF('ELBA BOOK'!$D$18:$D$323,$A17,I$43:I$348))</f>
        <v>-8172240.618491197</v>
      </c>
      <c r="J17" s="367">
        <f t="shared" si="0"/>
        <v>-20180607.351210482</v>
      </c>
      <c r="M17" s="191">
        <f>+'ELBA INCOME'!G18</f>
        <v>0</v>
      </c>
      <c r="N17" s="191">
        <f>+'SHIP POSITIONS'!E17</f>
        <v>365</v>
      </c>
      <c r="O17" s="443">
        <f>+'SHIP POSITIONS'!F17</f>
        <v>127</v>
      </c>
    </row>
    <row r="18" spans="1:15" x14ac:dyDescent="0.2">
      <c r="A18" s="3">
        <f>+'ELBA INCOME'!A19</f>
        <v>2009</v>
      </c>
      <c r="B18" s="208">
        <f>+'ELBA INCOME'!J19</f>
        <v>205009398.37065214</v>
      </c>
      <c r="C18" s="209">
        <f>+'ELBA INCOME'!N19</f>
        <v>-203783556.86014241</v>
      </c>
      <c r="D18" s="501">
        <f>+'ELBA INCOME'!P19</f>
        <v>1225841.5105097294</v>
      </c>
      <c r="E18" s="501">
        <f ca="1">+'ELBA INCOME'!Q19</f>
        <v>648841.22686813632</v>
      </c>
      <c r="G18" s="208">
        <f>-(SUMIF('ELBA BOOK'!$D$18:$D$323,$A18,'ELBA BOOK'!$BD$18:$BD$323)+SUMIF('ELBA BOOK'!$D$18:$D$323,$A18,'ELBA BOOK'!$R$18:$R$323)+SUMIF('ELBA BOOK'!$D$18:$D$323,$A18,'ELBA BOOK'!$AI$18:$AI$323)+SUMIF('ELBA BOOK'!$D$18:$D$323,$A18,'ELBA BOOK'!$AZ$18:$AZ$323))</f>
        <v>0</v>
      </c>
      <c r="H18" s="209">
        <f>-((+N18/365.25)*SUMIF('ELBA BOOK'!$D$18:$D$323,A18,$H$43:$H$348))</f>
        <v>-12130978.527254622</v>
      </c>
      <c r="I18" s="209">
        <f>-((+O18/365.25)*SUMIF('ELBA BOOK'!$D$18:$D$323,$A18,I$43:I$348))</f>
        <v>-8254128.2569329469</v>
      </c>
      <c r="J18" s="367">
        <f t="shared" si="0"/>
        <v>-20385106.78418757</v>
      </c>
      <c r="M18" s="191">
        <f>+'ELBA INCOME'!G19</f>
        <v>0</v>
      </c>
      <c r="N18" s="191">
        <f>+'SHIP POSITIONS'!E18</f>
        <v>365</v>
      </c>
      <c r="O18" s="443">
        <f>+'SHIP POSITIONS'!F18</f>
        <v>128</v>
      </c>
    </row>
    <row r="19" spans="1:15" x14ac:dyDescent="0.2">
      <c r="A19" s="3">
        <f>+'ELBA INCOME'!A20</f>
        <v>2010</v>
      </c>
      <c r="B19" s="208">
        <f>+'ELBA INCOME'!J20</f>
        <v>209300851.1984036</v>
      </c>
      <c r="C19" s="209">
        <f>+'ELBA INCOME'!N20</f>
        <v>-208075009.6878939</v>
      </c>
      <c r="D19" s="501">
        <f>+'ELBA INCOME'!P20</f>
        <v>1225841.5105096996</v>
      </c>
      <c r="E19" s="501">
        <f ca="1">+'ELBA INCOME'!Q20</f>
        <v>604613.23983234272</v>
      </c>
      <c r="G19" s="208">
        <f>-(SUMIF('ELBA BOOK'!$D$18:$D$323,$A19,'ELBA BOOK'!$BD$18:$BD$323)+SUMIF('ELBA BOOK'!$D$18:$D$323,$A19,'ELBA BOOK'!$R$18:$R$323)+SUMIF('ELBA BOOK'!$D$18:$D$323,$A19,'ELBA BOOK'!$AI$18:$AI$323)+SUMIF('ELBA BOOK'!$D$18:$D$323,$A19,'ELBA BOOK'!$AZ$18:$AZ$323))</f>
        <v>0</v>
      </c>
      <c r="H19" s="209">
        <f>-((+N19/365.25)*SUMIF('ELBA BOOK'!$D$18:$D$323,A19,$H$43:$H$348))</f>
        <v>-12290168.751715813</v>
      </c>
      <c r="I19" s="209">
        <f>-((+O19/365.25)*SUMIF('ELBA BOOK'!$D$18:$D$323,$A19,I$43:I$348))</f>
        <v>-8295142.8693937212</v>
      </c>
      <c r="J19" s="367">
        <f t="shared" si="0"/>
        <v>-20585311.621109534</v>
      </c>
      <c r="M19" s="191">
        <f>+'ELBA INCOME'!G20</f>
        <v>0</v>
      </c>
      <c r="N19" s="191">
        <f>+'SHIP POSITIONS'!E19</f>
        <v>365</v>
      </c>
      <c r="O19" s="443">
        <f>+'SHIP POSITIONS'!F19</f>
        <v>128</v>
      </c>
    </row>
    <row r="20" spans="1:15" x14ac:dyDescent="0.2">
      <c r="A20" s="3">
        <f>+'ELBA INCOME'!A21</f>
        <v>2011</v>
      </c>
      <c r="B20" s="208">
        <f>+'ELBA INCOME'!J21</f>
        <v>214205224.78140992</v>
      </c>
      <c r="C20" s="209">
        <f>+'ELBA INCOME'!N21</f>
        <v>-212979383.27090022</v>
      </c>
      <c r="D20" s="501">
        <f>+'ELBA INCOME'!P21</f>
        <v>1225841.5105096996</v>
      </c>
      <c r="E20" s="501">
        <f ca="1">+'ELBA INCOME'!Q21</f>
        <v>563258.57910385029</v>
      </c>
      <c r="G20" s="208">
        <f>-(SUMIF('ELBA BOOK'!$D$18:$D$323,$A20,'ELBA BOOK'!$BD$18:$BD$323)+SUMIF('ELBA BOOK'!$D$18:$D$323,$A20,'ELBA BOOK'!$R$18:$R$323)+SUMIF('ELBA BOOK'!$D$18:$D$323,$A20,'ELBA BOOK'!$AI$18:$AI$323)+SUMIF('ELBA BOOK'!$D$18:$D$323,$A20,'ELBA BOOK'!$AZ$18:$AZ$323))</f>
        <v>0</v>
      </c>
      <c r="H20" s="209">
        <f>-((+N20/365.25)*SUMIF('ELBA BOOK'!$D$18:$D$323,A20,$H$43:$H$348))</f>
        <v>-12453384.651320448</v>
      </c>
      <c r="I20" s="209">
        <f>-((+O20/365.25)*SUMIF('ELBA BOOK'!$D$18:$D$323,$A20,I$43:I$348))</f>
        <v>-8337194.6781173972</v>
      </c>
      <c r="J20" s="367">
        <f t="shared" si="0"/>
        <v>-20790579.329437844</v>
      </c>
      <c r="M20" s="191">
        <f>+'ELBA INCOME'!G21</f>
        <v>0</v>
      </c>
      <c r="N20" s="191">
        <f>+'SHIP POSITIONS'!E20</f>
        <v>365</v>
      </c>
      <c r="O20" s="443">
        <f>+'SHIP POSITIONS'!F20</f>
        <v>128</v>
      </c>
    </row>
    <row r="21" spans="1:15" x14ac:dyDescent="0.2">
      <c r="A21" s="3">
        <f>+'ELBA INCOME'!A22</f>
        <v>2012</v>
      </c>
      <c r="B21" s="208">
        <f>+'ELBA INCOME'!J22</f>
        <v>220343668.12616089</v>
      </c>
      <c r="C21" s="209">
        <f>+'ELBA INCOME'!N22</f>
        <v>-219114468.1457594</v>
      </c>
      <c r="D21" s="501">
        <f>+'ELBA INCOME'!P22</f>
        <v>1229199.9804014862</v>
      </c>
      <c r="E21" s="501">
        <f ca="1">+'ELBA INCOME'!Q22</f>
        <v>526040.89247642551</v>
      </c>
      <c r="G21" s="208">
        <f>-(SUMIF('ELBA BOOK'!$D$18:$D$323,$A21,'ELBA BOOK'!$BD$18:$BD$323)+SUMIF('ELBA BOOK'!$D$18:$D$323,$A21,'ELBA BOOK'!$R$18:$R$323)+SUMIF('ELBA BOOK'!$D$18:$D$323,$A21,'ELBA BOOK'!$AI$18:$AI$323)+SUMIF('ELBA BOOK'!$D$18:$D$323,$A21,'ELBA BOOK'!$AZ$18:$AZ$323))</f>
        <v>0</v>
      </c>
      <c r="H21" s="209">
        <f>-((+N21/365.25)*SUMIF('ELBA BOOK'!$D$18:$D$323,A21,$H$43:$H$348))</f>
        <v>-12655130.623447811</v>
      </c>
      <c r="I21" s="209">
        <f>-((+O21/365.25)*SUMIF('ELBA BOOK'!$D$18:$D$323,$A21,I$43:I$348))</f>
        <v>-8337574.451191782</v>
      </c>
      <c r="J21" s="367">
        <f t="shared" si="0"/>
        <v>-20992705.074639592</v>
      </c>
      <c r="M21" s="191">
        <f>+'ELBA INCOME'!G22</f>
        <v>0</v>
      </c>
      <c r="N21" s="191">
        <f>+'SHIP POSITIONS'!E21</f>
        <v>365</v>
      </c>
      <c r="O21" s="443">
        <f>+'SHIP POSITIONS'!F21</f>
        <v>127</v>
      </c>
    </row>
    <row r="22" spans="1:15" x14ac:dyDescent="0.2">
      <c r="A22" s="3">
        <f>+'ELBA INCOME'!A23</f>
        <v>2013</v>
      </c>
      <c r="B22" s="208">
        <f>+'ELBA INCOME'!J23</f>
        <v>225546273.83555967</v>
      </c>
      <c r="C22" s="209">
        <f>+'ELBA INCOME'!N23</f>
        <v>-224320432.32504994</v>
      </c>
      <c r="D22" s="501">
        <f>+'ELBA INCOME'!P23</f>
        <v>1225841.5105097294</v>
      </c>
      <c r="E22" s="501">
        <f ca="1">+'ELBA INCOME'!Q23</f>
        <v>488683.7176189248</v>
      </c>
      <c r="G22" s="208">
        <f>-(SUMIF('ELBA BOOK'!$D$18:$D$323,$A22,'ELBA BOOK'!$BD$18:$BD$323)+SUMIF('ELBA BOOK'!$D$18:$D$323,$A22,'ELBA BOOK'!$R$18:$R$323)+SUMIF('ELBA BOOK'!$D$18:$D$323,$A22,'ELBA BOOK'!$AI$18:$AI$323)+SUMIF('ELBA BOOK'!$D$18:$D$323,$A22,'ELBA BOOK'!$AZ$18:$AZ$323))</f>
        <v>0</v>
      </c>
      <c r="H22" s="209">
        <f>-((+N22/365.25)*SUMIF('ELBA BOOK'!$D$18:$D$323,A22,$H$43:$H$348))</f>
        <v>-12792303.262854479</v>
      </c>
      <c r="I22" s="209">
        <f>-((+O22/365.25)*SUMIF('ELBA BOOK'!$D$18:$D$323,$A22,I$43:I$348))</f>
        <v>-8424515.464019049</v>
      </c>
      <c r="J22" s="367">
        <f t="shared" si="0"/>
        <v>-21216818.726873528</v>
      </c>
      <c r="M22" s="191">
        <f>+'ELBA INCOME'!G23</f>
        <v>0</v>
      </c>
      <c r="N22" s="191">
        <f>+'SHIP POSITIONS'!E22</f>
        <v>365</v>
      </c>
      <c r="O22" s="443">
        <f>+'SHIP POSITIONS'!F22</f>
        <v>128</v>
      </c>
    </row>
    <row r="23" spans="1:15" x14ac:dyDescent="0.2">
      <c r="A23" s="3">
        <f>+'ELBA INCOME'!A24</f>
        <v>2014</v>
      </c>
      <c r="B23" s="208">
        <f>+'ELBA INCOME'!J24</f>
        <v>231982949.30670312</v>
      </c>
      <c r="C23" s="209">
        <f>+'ELBA INCOME'!N24</f>
        <v>-230757107.79619336</v>
      </c>
      <c r="D23" s="501">
        <f>+'ELBA INCOME'!P24</f>
        <v>1225841.5105097592</v>
      </c>
      <c r="E23" s="501">
        <f ca="1">+'ELBA INCOME'!Q24</f>
        <v>455234.27374785458</v>
      </c>
      <c r="G23" s="208">
        <f>-(SUMIF('ELBA BOOK'!$D$18:$D$323,$A23,'ELBA BOOK'!$BD$18:$BD$323)+SUMIF('ELBA BOOK'!$D$18:$D$323,$A23,'ELBA BOOK'!$R$18:$R$323)+SUMIF('ELBA BOOK'!$D$18:$D$323,$A23,'ELBA BOOK'!$AI$18:$AI$323)+SUMIF('ELBA BOOK'!$D$18:$D$323,$A23,'ELBA BOOK'!$AZ$18:$AZ$323))</f>
        <v>0</v>
      </c>
      <c r="H23" s="209">
        <f>-((+N23/365.25)*SUMIF('ELBA BOOK'!$D$18:$D$323,A23,$H$43:$H$348))</f>
        <v>-12968217.369443875</v>
      </c>
      <c r="I23" s="209">
        <f>-((+O23/365.25)*SUMIF('ELBA BOOK'!$D$18:$D$323,$A23,I$43:I$348))</f>
        <v>-8469838.9060367215</v>
      </c>
      <c r="J23" s="367">
        <f t="shared" si="0"/>
        <v>-21438056.275480598</v>
      </c>
      <c r="M23" s="191">
        <f>+'ELBA INCOME'!G24</f>
        <v>0</v>
      </c>
      <c r="N23" s="191">
        <f>+'SHIP POSITIONS'!E23</f>
        <v>365</v>
      </c>
      <c r="O23" s="443">
        <f>+'SHIP POSITIONS'!F23</f>
        <v>128</v>
      </c>
    </row>
    <row r="24" spans="1:15" x14ac:dyDescent="0.2">
      <c r="A24" s="3">
        <f>+'ELBA INCOME'!A25</f>
        <v>2015</v>
      </c>
      <c r="B24" s="208">
        <f>+'ELBA INCOME'!J25</f>
        <v>238726085.15547401</v>
      </c>
      <c r="C24" s="209">
        <f>+'ELBA INCOME'!N25</f>
        <v>-237500243.64496434</v>
      </c>
      <c r="D24" s="501">
        <f>+'ELBA INCOME'!P25</f>
        <v>1225841.5105096698</v>
      </c>
      <c r="E24" s="501">
        <f ca="1">+'ELBA INCOME'!Q25</f>
        <v>424077.54435766389</v>
      </c>
      <c r="G24" s="208">
        <f>-(SUMIF('ELBA BOOK'!$D$18:$D$323,$A24,'ELBA BOOK'!$BD$18:$BD$323)+SUMIF('ELBA BOOK'!$D$18:$D$323,$A24,'ELBA BOOK'!$R$18:$R$323)+SUMIF('ELBA BOOK'!$D$18:$D$323,$A24,'ELBA BOOK'!$AI$18:$AI$323)+SUMIF('ELBA BOOK'!$D$18:$D$323,$A24,'ELBA BOOK'!$AZ$18:$AZ$323))</f>
        <v>0</v>
      </c>
      <c r="H24" s="209">
        <f>-((+N24/365.25)*SUMIF('ELBA BOOK'!$D$18:$D$323,A24,$H$43:$H$348))</f>
        <v>-13148580.072350509</v>
      </c>
      <c r="I24" s="209">
        <f>-((+O24/365.25)*SUMIF('ELBA BOOK'!$D$18:$D$323,$A24,I$43:I$348))</f>
        <v>-8516308.5079681929</v>
      </c>
      <c r="J24" s="367">
        <f t="shared" si="0"/>
        <v>-21664888.580318704</v>
      </c>
      <c r="M24" s="191">
        <f>+'ELBA INCOME'!G25</f>
        <v>0</v>
      </c>
      <c r="N24" s="191">
        <f>+'SHIP POSITIONS'!E24</f>
        <v>365</v>
      </c>
      <c r="O24" s="443">
        <f>+'SHIP POSITIONS'!F24</f>
        <v>128</v>
      </c>
    </row>
    <row r="25" spans="1:15" x14ac:dyDescent="0.2">
      <c r="A25" s="3">
        <f>+'ELBA INCOME'!A26</f>
        <v>2016</v>
      </c>
      <c r="B25" s="208">
        <f>+'ELBA INCOME'!J26</f>
        <v>246208588.15092623</v>
      </c>
      <c r="C25" s="209">
        <f>+'ELBA INCOME'!N26</f>
        <v>-244979388.17052475</v>
      </c>
      <c r="D25" s="501">
        <f>+'ELBA INCOME'!P26</f>
        <v>1229199.9804014862</v>
      </c>
      <c r="E25" s="501">
        <f ca="1">+'ELBA INCOME'!Q26</f>
        <v>396068.19941776444</v>
      </c>
      <c r="G25" s="208">
        <f>-(SUMIF('ELBA BOOK'!$D$18:$D$323,$A25,'ELBA BOOK'!$BD$18:$BD$323)+SUMIF('ELBA BOOK'!$D$18:$D$323,$A25,'ELBA BOOK'!$R$18:$R$323)+SUMIF('ELBA BOOK'!$D$18:$D$323,$A25,'ELBA BOOK'!$AI$18:$AI$323)+SUMIF('ELBA BOOK'!$D$18:$D$323,$A25,'ELBA BOOK'!$AZ$18:$AZ$323))</f>
        <v>0</v>
      </c>
      <c r="H25" s="209">
        <f>-((+N25/365.25)*SUMIF('ELBA BOOK'!$D$18:$D$323,A25,$H$43:$H$348))</f>
        <v>-13369840.916726695</v>
      </c>
      <c r="I25" s="209">
        <f>-((+O25/365.25)*SUMIF('ELBA BOOK'!$D$18:$D$323,$A25,I$43:I$348))</f>
        <v>-8520277.5886926241</v>
      </c>
      <c r="J25" s="367">
        <f t="shared" si="0"/>
        <v>-21890118.505419321</v>
      </c>
      <c r="M25" s="191">
        <f>+'ELBA INCOME'!G26</f>
        <v>0</v>
      </c>
      <c r="N25" s="191">
        <f>+'SHIP POSITIONS'!E25</f>
        <v>365</v>
      </c>
      <c r="O25" s="443">
        <f>+'SHIP POSITIONS'!F25</f>
        <v>127</v>
      </c>
    </row>
    <row r="26" spans="1:15" x14ac:dyDescent="0.2">
      <c r="A26" s="3">
        <f>+'ELBA INCOME'!A27</f>
        <v>2017</v>
      </c>
      <c r="B26" s="208">
        <f>+'ELBA INCOME'!J27</f>
        <v>252568354.66154727</v>
      </c>
      <c r="C26" s="209">
        <f>+'ELBA INCOME'!N27</f>
        <v>-251342513.15103763</v>
      </c>
      <c r="D26" s="501">
        <f>+'ELBA INCOME'!P27</f>
        <v>1225841.51050964</v>
      </c>
      <c r="E26" s="501">
        <f ca="1">+'ELBA INCOME'!Q27</f>
        <v>367952.12715404364</v>
      </c>
      <c r="G26" s="208">
        <f>-(SUMIF('ELBA BOOK'!$D$18:$D$323,$A26,'ELBA BOOK'!$BD$18:$BD$323)+SUMIF('ELBA BOOK'!$D$18:$D$323,$A26,'ELBA BOOK'!$R$18:$R$323)+SUMIF('ELBA BOOK'!$D$18:$D$323,$A26,'ELBA BOOK'!$AI$18:$AI$323)+SUMIF('ELBA BOOK'!$D$18:$D$323,$A26,'ELBA BOOK'!$AZ$18:$AZ$323))</f>
        <v>0</v>
      </c>
      <c r="H26" s="209">
        <f>-((+N26/365.25)*SUMIF('ELBA BOOK'!$D$18:$D$323,A26,$H$43:$H$348))</f>
        <v>-13523104.104566198</v>
      </c>
      <c r="I26" s="209">
        <f>-((+O26/365.25)*SUMIF('ELBA BOOK'!$D$18:$D$323,$A26,I$43:I$348))</f>
        <v>-8612802.8630114421</v>
      </c>
      <c r="J26" s="367">
        <f t="shared" si="0"/>
        <v>-22135906.96757764</v>
      </c>
      <c r="M26" s="191">
        <f>+'ELBA INCOME'!G27</f>
        <v>0</v>
      </c>
      <c r="N26" s="191">
        <f>+'SHIP POSITIONS'!E26</f>
        <v>365</v>
      </c>
      <c r="O26" s="443">
        <f>+'SHIP POSITIONS'!F26</f>
        <v>128</v>
      </c>
    </row>
    <row r="27" spans="1:15" x14ac:dyDescent="0.2">
      <c r="A27" s="3">
        <f>+'ELBA INCOME'!A28</f>
        <v>2018</v>
      </c>
      <c r="B27" s="208">
        <f>+'ELBA INCOME'!J28</f>
        <v>260181334.21229628</v>
      </c>
      <c r="C27" s="209">
        <f>+'ELBA INCOME'!N28</f>
        <v>-258955492.70178661</v>
      </c>
      <c r="D27" s="501">
        <f>+'ELBA INCOME'!P28</f>
        <v>1225841.5105096698</v>
      </c>
      <c r="E27" s="501">
        <f ca="1">+'ELBA INCOME'!Q28</f>
        <v>342776.7658799577</v>
      </c>
      <c r="G27" s="208">
        <f>-(SUMIF('ELBA BOOK'!$D$18:$D$323,$A27,'ELBA BOOK'!$BD$18:$BD$323)+SUMIF('ELBA BOOK'!$D$18:$D$323,$A27,'ELBA BOOK'!$R$18:$R$323)+SUMIF('ELBA BOOK'!$D$18:$D$323,$A27,'ELBA BOOK'!$AI$18:$AI$323)+SUMIF('ELBA BOOK'!$D$18:$D$323,$A27,'ELBA BOOK'!$AZ$18:$AZ$323))</f>
        <v>0</v>
      </c>
      <c r="H27" s="209">
        <f>-((+N27/365.25)*SUMIF('ELBA BOOK'!$D$18:$D$323,A27,$H$43:$H$348))</f>
        <v>0</v>
      </c>
      <c r="I27" s="209">
        <f>-((+O27/365.25)*SUMIF('ELBA BOOK'!$D$18:$D$323,$A27,I$43:I$348))</f>
        <v>-8662887.8028190322</v>
      </c>
      <c r="J27" s="367">
        <f t="shared" si="0"/>
        <v>-8662887.8028190322</v>
      </c>
      <c r="M27" s="191">
        <f>+'ELBA INCOME'!G28</f>
        <v>0</v>
      </c>
      <c r="N27" s="191">
        <f>+'SHIP POSITIONS'!E27</f>
        <v>365</v>
      </c>
      <c r="O27" s="443">
        <f>+'SHIP POSITIONS'!F27</f>
        <v>128</v>
      </c>
    </row>
    <row r="28" spans="1:15" x14ac:dyDescent="0.2">
      <c r="A28" s="3">
        <f>+'ELBA INCOME'!A29</f>
        <v>2019</v>
      </c>
      <c r="B28" s="208">
        <f>+'ELBA INCOME'!J29</f>
        <v>67284257.506447464</v>
      </c>
      <c r="C28" s="209">
        <f>+'ELBA INCOME'!N29</f>
        <v>-66981995.216184795</v>
      </c>
      <c r="D28" s="501">
        <f>+'ELBA INCOME'!P29</f>
        <v>302262.29026266932</v>
      </c>
      <c r="E28" s="501">
        <f ca="1">+'ELBA INCOME'!Q29</f>
        <v>78737.989736985939</v>
      </c>
      <c r="G28" s="208">
        <f>-(SUMIF('ELBA BOOK'!$D$18:$D$323,$A28,'ELBA BOOK'!$BD$18:$BD$323)+SUMIF('ELBA BOOK'!$D$18:$D$323,$A28,'ELBA BOOK'!$R$18:$R$323)+SUMIF('ELBA BOOK'!$D$18:$D$323,$A28,'ELBA BOOK'!$AI$18:$AI$323)+SUMIF('ELBA BOOK'!$D$18:$D$323,$A28,'ELBA BOOK'!$AZ$18:$AZ$323))</f>
        <v>0</v>
      </c>
      <c r="H28" s="209">
        <f>-((+N28/365.25)*SUMIF('ELBA BOOK'!$D$18:$D$323,A28,$H$43:$H$348))</f>
        <v>0</v>
      </c>
      <c r="I28" s="209">
        <f>-((+O28/365.25)*SUMIF('ELBA BOOK'!$D$18:$D$323,$A28,I$43:I$348))</f>
        <v>-20832478.358770084</v>
      </c>
      <c r="J28" s="367">
        <f t="shared" si="0"/>
        <v>-20832478.358770084</v>
      </c>
      <c r="M28" s="191">
        <f>+'ELBA INCOME'!G29</f>
        <v>0</v>
      </c>
      <c r="N28" s="191">
        <f>+'SHIP POSITIONS'!E28</f>
        <v>365</v>
      </c>
      <c r="O28" s="443">
        <f>+'SHIP POSITIONS'!F28</f>
        <v>306</v>
      </c>
    </row>
    <row r="29" spans="1:15" x14ac:dyDescent="0.2">
      <c r="A29" s="3">
        <f>+'ELBA INCOME'!A30</f>
        <v>2020</v>
      </c>
      <c r="B29" s="208">
        <f>+'ELBA INCOME'!J30</f>
        <v>0</v>
      </c>
      <c r="C29" s="209">
        <f>+'ELBA INCOME'!N30</f>
        <v>0</v>
      </c>
      <c r="D29" s="501">
        <f>+'ELBA INCOME'!P30</f>
        <v>0</v>
      </c>
      <c r="E29" s="501">
        <f ca="1">+'ELBA INCOME'!Q30</f>
        <v>0</v>
      </c>
      <c r="G29" s="208">
        <f>-(SUMIF('ELBA BOOK'!$D$18:$D$323,$A29,'ELBA BOOK'!$BD$18:$BD$323)+SUMIF('ELBA BOOK'!$D$18:$D$323,$A29,'ELBA BOOK'!$R$18:$R$323)+SUMIF('ELBA BOOK'!$D$18:$D$323,$A29,'ELBA BOOK'!$AI$18:$AI$323)+SUMIF('ELBA BOOK'!$D$18:$D$323,$A29,'ELBA BOOK'!$AZ$18:$AZ$323))</f>
        <v>0</v>
      </c>
      <c r="H29" s="209">
        <f>-((+N29/365.25)*SUMIF('ELBA BOOK'!$D$18:$D$323,A29,$H$43:$H$348))</f>
        <v>0</v>
      </c>
      <c r="I29" s="209">
        <f>-((+O29/365.25)*SUMIF('ELBA BOOK'!$D$18:$D$323,$A29,I$43:I$348))</f>
        <v>-25067667.674843512</v>
      </c>
      <c r="J29" s="367">
        <f t="shared" si="0"/>
        <v>-25067667.674843512</v>
      </c>
      <c r="M29" s="191">
        <f>+'ELBA INCOME'!G30</f>
        <v>0</v>
      </c>
      <c r="N29" s="191">
        <f>+'SHIP POSITIONS'!E29</f>
        <v>365</v>
      </c>
      <c r="O29" s="443">
        <f>+'SHIP POSITIONS'!F29</f>
        <v>365</v>
      </c>
    </row>
    <row r="30" spans="1:15" x14ac:dyDescent="0.2">
      <c r="A30" s="3">
        <f>+'ELBA INCOME'!A31</f>
        <v>2021</v>
      </c>
      <c r="B30" s="208">
        <f>+'ELBA INCOME'!J31</f>
        <v>0</v>
      </c>
      <c r="C30" s="209">
        <f>+'ELBA INCOME'!N31</f>
        <v>0</v>
      </c>
      <c r="D30" s="501">
        <f>+'ELBA INCOME'!P31</f>
        <v>0</v>
      </c>
      <c r="E30" s="501">
        <f ca="1">+'ELBA INCOME'!Q31</f>
        <v>0</v>
      </c>
      <c r="G30" s="208">
        <f>-(SUMIF('ELBA BOOK'!$D$18:$D$323,$A30,'ELBA BOOK'!$BD$18:$BD$323)+SUMIF('ELBA BOOK'!$D$18:$D$323,$A30,'ELBA BOOK'!$R$18:$R$323)+SUMIF('ELBA BOOK'!$D$18:$D$323,$A30,'ELBA BOOK'!$AI$18:$AI$323)+SUMIF('ELBA BOOK'!$D$18:$D$323,$A30,'ELBA BOOK'!$AZ$18:$AZ$323))</f>
        <v>0</v>
      </c>
      <c r="H30" s="209">
        <f>-((+N30/365.25)*SUMIF('ELBA BOOK'!$D$18:$D$323,A30,$H$43:$H$348))</f>
        <v>0</v>
      </c>
      <c r="I30" s="209">
        <f>-((+O30/365.25)*SUMIF('ELBA BOOK'!$D$18:$D$323,$A30,I$43:I$348))</f>
        <v>-25153264.891889591</v>
      </c>
      <c r="J30" s="367">
        <f t="shared" si="0"/>
        <v>-25153264.891889591</v>
      </c>
      <c r="M30" s="191">
        <f>+'ELBA INCOME'!G31</f>
        <v>0</v>
      </c>
      <c r="N30" s="191">
        <f>+'SHIP POSITIONS'!E30</f>
        <v>365</v>
      </c>
      <c r="O30" s="443">
        <f>+'SHIP POSITIONS'!F30</f>
        <v>365</v>
      </c>
    </row>
    <row r="31" spans="1:15" x14ac:dyDescent="0.2">
      <c r="A31" s="3">
        <f>+'ELBA INCOME'!A32</f>
        <v>2022</v>
      </c>
      <c r="B31" s="208">
        <f>+'ELBA INCOME'!J32</f>
        <v>0</v>
      </c>
      <c r="C31" s="209">
        <f>+'ELBA INCOME'!N32</f>
        <v>0</v>
      </c>
      <c r="D31" s="501">
        <f>+'ELBA INCOME'!P32</f>
        <v>0</v>
      </c>
      <c r="E31" s="501">
        <f ca="1">+'ELBA INCOME'!Q32</f>
        <v>0</v>
      </c>
      <c r="G31" s="208">
        <f>-(SUMIF('ELBA BOOK'!$D$18:$D$323,$A31,'ELBA BOOK'!$BD$18:$BD$323)+SUMIF('ELBA BOOK'!$D$18:$D$323,$A31,'ELBA BOOK'!$R$18:$R$323)+SUMIF('ELBA BOOK'!$D$18:$D$323,$A31,'ELBA BOOK'!$AI$18:$AI$323)+SUMIF('ELBA BOOK'!$D$18:$D$323,$A31,'ELBA BOOK'!$AZ$18:$AZ$323))</f>
        <v>0</v>
      </c>
      <c r="H31" s="209">
        <f>-((+N31/365.25)*SUMIF('ELBA BOOK'!$D$18:$D$323,A31,$H$43:$H$348))</f>
        <v>0</v>
      </c>
      <c r="I31" s="209">
        <f>-((+O31/365.25)*SUMIF('ELBA BOOK'!$D$18:$D$323,$A31,I$43:I$348))</f>
        <v>-25311089.355830088</v>
      </c>
      <c r="J31" s="367">
        <f t="shared" si="0"/>
        <v>-25311089.355830088</v>
      </c>
      <c r="M31" s="191">
        <f>+'ELBA INCOME'!G32</f>
        <v>0</v>
      </c>
      <c r="N31" s="191">
        <f>+'SHIP POSITIONS'!E31</f>
        <v>365</v>
      </c>
      <c r="O31" s="443">
        <f>+'SHIP POSITIONS'!F31</f>
        <v>365</v>
      </c>
    </row>
    <row r="32" spans="1:15" x14ac:dyDescent="0.2">
      <c r="A32" s="3">
        <f>+'ELBA INCOME'!A33</f>
        <v>2023</v>
      </c>
      <c r="B32" s="208">
        <f>+'ELBA INCOME'!J33</f>
        <v>0</v>
      </c>
      <c r="C32" s="209">
        <f>+'ELBA INCOME'!N33</f>
        <v>0</v>
      </c>
      <c r="D32" s="501">
        <f>+'ELBA INCOME'!P33</f>
        <v>0</v>
      </c>
      <c r="E32" s="501">
        <f ca="1">+'ELBA INCOME'!Q33</f>
        <v>0</v>
      </c>
      <c r="G32" s="208">
        <f>-(SUMIF('ELBA BOOK'!$D$18:$D$323,$A32,'ELBA BOOK'!$BD$18:$BD$323)+SUMIF('ELBA BOOK'!$D$18:$D$323,$A32,'ELBA BOOK'!$R$18:$R$323)+SUMIF('ELBA BOOK'!$D$18:$D$323,$A32,'ELBA BOOK'!$AI$18:$AI$323)+SUMIF('ELBA BOOK'!$D$18:$D$323,$A32,'ELBA BOOK'!$AZ$18:$AZ$323))</f>
        <v>0</v>
      </c>
      <c r="H32" s="209">
        <f>-((+N32/365.25)*SUMIF('ELBA BOOK'!$D$18:$D$323,A32,$H$43:$H$348))</f>
        <v>0</v>
      </c>
      <c r="I32" s="209">
        <f>-((+O32/365.25)*SUMIF('ELBA BOOK'!$D$18:$D$323,$A32,I$43:I$348))</f>
        <v>-25472904.956937861</v>
      </c>
      <c r="J32" s="367">
        <f t="shared" si="0"/>
        <v>-25472904.956937861</v>
      </c>
      <c r="M32" s="191">
        <f>+'ELBA INCOME'!G33</f>
        <v>0</v>
      </c>
      <c r="N32" s="191">
        <f>+'SHIP POSITIONS'!E32</f>
        <v>365</v>
      </c>
      <c r="O32" s="443">
        <f>+'SHIP POSITIONS'!F32</f>
        <v>365</v>
      </c>
    </row>
    <row r="33" spans="1:15" x14ac:dyDescent="0.2">
      <c r="A33" s="3">
        <f>+'ELBA INCOME'!A34</f>
        <v>2024</v>
      </c>
      <c r="B33" s="208">
        <f>+'ELBA INCOME'!J34</f>
        <v>0</v>
      </c>
      <c r="C33" s="209">
        <f>+'ELBA INCOME'!N34</f>
        <v>0</v>
      </c>
      <c r="D33" s="501">
        <f>+'ELBA INCOME'!P34</f>
        <v>0</v>
      </c>
      <c r="E33" s="501">
        <f ca="1">+'ELBA INCOME'!Q34</f>
        <v>0</v>
      </c>
      <c r="G33" s="208">
        <f>-(SUMIF('ELBA BOOK'!$D$18:$D$323,$A33,'ELBA BOOK'!$BD$18:$BD$323)+SUMIF('ELBA BOOK'!$D$18:$D$323,$A33,'ELBA BOOK'!$R$18:$R$323)+SUMIF('ELBA BOOK'!$D$18:$D$323,$A33,'ELBA BOOK'!$AI$18:$AI$323)+SUMIF('ELBA BOOK'!$D$18:$D$323,$A33,'ELBA BOOK'!$AZ$18:$AZ$323))</f>
        <v>0</v>
      </c>
      <c r="H33" s="209">
        <f>-((+N33/365.25)*SUMIF('ELBA BOOK'!$D$18:$D$323,A33,$H$43:$H$348))</f>
        <v>0</v>
      </c>
      <c r="I33" s="209">
        <f>-((+O33/365.25)*SUMIF('ELBA BOOK'!$D$18:$D$323,$A33,I$43:I$348))</f>
        <v>-25708882.703566507</v>
      </c>
      <c r="J33" s="367">
        <f t="shared" si="0"/>
        <v>-25708882.703566507</v>
      </c>
      <c r="M33" s="191">
        <f>+'ELBA INCOME'!G34</f>
        <v>0</v>
      </c>
      <c r="N33" s="191">
        <f>+'SHIP POSITIONS'!E33</f>
        <v>365</v>
      </c>
      <c r="O33" s="443">
        <f>+'SHIP POSITIONS'!F33</f>
        <v>365</v>
      </c>
    </row>
    <row r="34" spans="1:15" x14ac:dyDescent="0.2">
      <c r="A34" s="3">
        <f>+'ELBA INCOME'!A35</f>
        <v>2025</v>
      </c>
      <c r="B34" s="210">
        <f>+'ELBA INCOME'!J35</f>
        <v>0</v>
      </c>
      <c r="C34" s="211">
        <f>+'ELBA INCOME'!N35</f>
        <v>0</v>
      </c>
      <c r="D34" s="502">
        <f>+'ELBA INCOME'!P35</f>
        <v>0</v>
      </c>
      <c r="E34" s="502">
        <f ca="1">+'ELBA INCOME'!Q35</f>
        <v>0</v>
      </c>
      <c r="G34" s="210">
        <f>-(SUMIF('ELBA BOOK'!$D$18:$D$323,$A34,'ELBA BOOK'!$BD$18:$BD$323)+SUMIF('ELBA BOOK'!$D$18:$D$323,$A34,'ELBA BOOK'!$R$18:$R$323)+SUMIF('ELBA BOOK'!$D$18:$D$323,$A34,'ELBA BOOK'!$AI$18:$AI$323)+SUMIF('ELBA BOOK'!$D$18:$D$323,$A34,'ELBA BOOK'!$AZ$18:$AZ$323))</f>
        <v>0</v>
      </c>
      <c r="H34" s="211">
        <f>-((+N34/365.25)*SUMIF('ELBA BOOK'!$D$18:$D$323,A34,$H$43:$H$348))</f>
        <v>0</v>
      </c>
      <c r="I34" s="211">
        <f>-((+O34/365.25)*SUMIF('ELBA BOOK'!$D$18:$D$323,$A34,I$43:I$348))</f>
        <v>-25808915.841813885</v>
      </c>
      <c r="J34" s="368">
        <f t="shared" si="0"/>
        <v>-25808915.841813885</v>
      </c>
      <c r="M34" s="192">
        <f>+'ELBA INCOME'!G35</f>
        <v>0</v>
      </c>
      <c r="N34" s="192">
        <f>+'SHIP POSITIONS'!E34</f>
        <v>365</v>
      </c>
      <c r="O34" s="455">
        <f>+'SHIP POSITIONS'!F34</f>
        <v>365</v>
      </c>
    </row>
    <row r="35" spans="1:15" x14ac:dyDescent="0.2">
      <c r="A35" s="3"/>
      <c r="B35" s="3"/>
    </row>
    <row r="36" spans="1:15" x14ac:dyDescent="0.2">
      <c r="A36" s="3"/>
      <c r="B36" s="3"/>
    </row>
    <row r="37" spans="1:15" x14ac:dyDescent="0.2">
      <c r="A37" s="3"/>
      <c r="B37" s="3"/>
    </row>
    <row r="38" spans="1:15" x14ac:dyDescent="0.2">
      <c r="A38" s="3"/>
      <c r="B38" s="3"/>
    </row>
    <row r="39" spans="1:15" x14ac:dyDescent="0.2">
      <c r="B39" s="3"/>
    </row>
    <row r="40" spans="1:15" x14ac:dyDescent="0.2">
      <c r="B40" s="3"/>
    </row>
    <row r="43" spans="1:15" x14ac:dyDescent="0.2">
      <c r="G43" s="9">
        <f>+'ELBA BOOK'!A18</f>
        <v>36708</v>
      </c>
      <c r="H43" s="379">
        <f>+(SHIPS!C26+SHIPS!C336)*($G44-$G43)</f>
        <v>0</v>
      </c>
      <c r="I43" s="379">
        <f>+(SHIPS!D26+SHIPS!D336)*($G44-$G43)</f>
        <v>0</v>
      </c>
      <c r="J43" s="379"/>
    </row>
    <row r="44" spans="1:15" x14ac:dyDescent="0.2">
      <c r="G44" s="9">
        <f>+'ELBA BOOK'!A19</f>
        <v>36739</v>
      </c>
      <c r="H44" s="379">
        <f>+(SHIPS!C27+SHIPS!C337)*($G45-$G44)</f>
        <v>0</v>
      </c>
      <c r="I44" s="379">
        <f>+(SHIPS!D27+SHIPS!D337)*($G45-$G44)</f>
        <v>0</v>
      </c>
      <c r="J44" s="379"/>
    </row>
    <row r="45" spans="1:15" x14ac:dyDescent="0.2">
      <c r="G45" s="9">
        <f>+'ELBA BOOK'!A20</f>
        <v>36770</v>
      </c>
      <c r="H45" s="379">
        <f>+(SHIPS!C28+SHIPS!C338)*($G46-$G45)</f>
        <v>0</v>
      </c>
      <c r="I45" s="379">
        <f>+(SHIPS!D28+SHIPS!D338)*($G46-$G45)</f>
        <v>0</v>
      </c>
      <c r="J45" s="379"/>
    </row>
    <row r="46" spans="1:15" x14ac:dyDescent="0.2">
      <c r="G46" s="9">
        <f>+'ELBA BOOK'!A21</f>
        <v>36800</v>
      </c>
      <c r="H46" s="379">
        <f>+(SHIPS!C29+SHIPS!C339)*($G47-$G46)</f>
        <v>0</v>
      </c>
      <c r="I46" s="379">
        <f>+(SHIPS!D29+SHIPS!D339)*($G47-$G46)</f>
        <v>0</v>
      </c>
      <c r="J46" s="379"/>
    </row>
    <row r="47" spans="1:15" x14ac:dyDescent="0.2">
      <c r="G47" s="9">
        <f>+'ELBA BOOK'!A22</f>
        <v>36831</v>
      </c>
      <c r="H47" s="379">
        <f>+(SHIPS!C30+SHIPS!C340)*($G48-$G47)</f>
        <v>705000</v>
      </c>
      <c r="I47" s="379">
        <f>+(SHIPS!D30+SHIPS!D340)*($G48-$G47)</f>
        <v>0</v>
      </c>
      <c r="J47" s="379"/>
    </row>
    <row r="48" spans="1:15" x14ac:dyDescent="0.2">
      <c r="G48" s="9">
        <f>+'ELBA BOOK'!A23</f>
        <v>36861</v>
      </c>
      <c r="H48" s="379">
        <f>+(SHIPS!C31+SHIPS!C341)*($G49-$G48)</f>
        <v>728500</v>
      </c>
      <c r="I48" s="379">
        <f>+(SHIPS!D31+SHIPS!D341)*($G49-$G48)</f>
        <v>0</v>
      </c>
      <c r="J48" s="379"/>
    </row>
    <row r="49" spans="7:10" x14ac:dyDescent="0.2">
      <c r="G49" s="9">
        <f>+'ELBA BOOK'!A24</f>
        <v>36892</v>
      </c>
      <c r="H49" s="379">
        <f>+(SHIPS!C32+SHIPS!C342)*($G50-$G49)</f>
        <v>728500</v>
      </c>
      <c r="I49" s="379">
        <f>+(SHIPS!D32+SHIPS!D342)*($G50-$G49)</f>
        <v>0</v>
      </c>
      <c r="J49" s="379"/>
    </row>
    <row r="50" spans="7:10" x14ac:dyDescent="0.2">
      <c r="G50" s="9">
        <f>+'ELBA BOOK'!A25</f>
        <v>36923</v>
      </c>
      <c r="H50" s="379">
        <f>+(SHIPS!C33+SHIPS!C343)*($G51-$G50)</f>
        <v>658000</v>
      </c>
      <c r="I50" s="379">
        <f>+(SHIPS!D33+SHIPS!D343)*($G51-$G50)</f>
        <v>0</v>
      </c>
      <c r="J50" s="379"/>
    </row>
    <row r="51" spans="7:10" x14ac:dyDescent="0.2">
      <c r="G51" s="9">
        <f>+'ELBA BOOK'!A26</f>
        <v>36951</v>
      </c>
      <c r="H51" s="379">
        <f>+(SHIPS!C34+SHIPS!C344)*($G52-$G51)</f>
        <v>729404.16666666674</v>
      </c>
      <c r="I51" s="379">
        <f>+(SHIPS!D34+SHIPS!D344)*($G52-$G51)</f>
        <v>0</v>
      </c>
      <c r="J51" s="379"/>
    </row>
    <row r="52" spans="7:10" x14ac:dyDescent="0.2">
      <c r="G52" s="9">
        <f>+'ELBA BOOK'!A27</f>
        <v>36982</v>
      </c>
      <c r="H52" s="379">
        <f>+(SHIPS!C35+SHIPS!C345)*($G53-$G52)</f>
        <v>706751.82291666674</v>
      </c>
      <c r="I52" s="379">
        <f>+(SHIPS!D35+SHIPS!D345)*($G53-$G52)</f>
        <v>0</v>
      </c>
      <c r="J52" s="379"/>
    </row>
    <row r="53" spans="7:10" x14ac:dyDescent="0.2">
      <c r="G53" s="9">
        <f>+'ELBA BOOK'!A28</f>
        <v>37012</v>
      </c>
      <c r="H53" s="379">
        <f>+(SHIPS!C36+SHIPS!C346)*($G54-$G53)</f>
        <v>731218.15496600117</v>
      </c>
      <c r="I53" s="379">
        <f>+(SHIPS!D36+SHIPS!D346)*($G54-$G53)</f>
        <v>0</v>
      </c>
      <c r="J53" s="379"/>
    </row>
    <row r="54" spans="7:10" x14ac:dyDescent="0.2">
      <c r="G54" s="9">
        <f>+'ELBA BOOK'!A29</f>
        <v>37043</v>
      </c>
      <c r="H54" s="379">
        <f>+(SHIPS!C37+SHIPS!C347)*($G55-$G54)</f>
        <v>708510.9526988843</v>
      </c>
      <c r="I54" s="379">
        <f>+(SHIPS!D37+SHIPS!D347)*($G55-$G54)</f>
        <v>0</v>
      </c>
      <c r="J54" s="379"/>
    </row>
    <row r="55" spans="7:10" x14ac:dyDescent="0.2">
      <c r="G55" s="9">
        <f>+'ELBA BOOK'!A30</f>
        <v>37073</v>
      </c>
      <c r="H55" s="379">
        <f>+(SHIPS!C38+SHIPS!C348)*($G56-$G55)</f>
        <v>733039.70942312956</v>
      </c>
      <c r="I55" s="379">
        <f>+(SHIPS!D38+SHIPS!D348)*($G56-$G55)</f>
        <v>0</v>
      </c>
      <c r="J55" s="379"/>
    </row>
    <row r="56" spans="7:10" x14ac:dyDescent="0.2">
      <c r="G56" s="9">
        <f>+'ELBA BOOK'!A31</f>
        <v>37104</v>
      </c>
      <c r="H56" s="379">
        <f>+(SHIPS!C39+SHIPS!C349)*($G57-$G56)</f>
        <v>733953.33381776104</v>
      </c>
      <c r="I56" s="379">
        <f>+(SHIPS!D39+SHIPS!D349)*($G57-$G56)</f>
        <v>0</v>
      </c>
      <c r="J56" s="379"/>
    </row>
    <row r="57" spans="7:10" x14ac:dyDescent="0.2">
      <c r="G57" s="9">
        <f>+'ELBA BOOK'!A32</f>
        <v>37135</v>
      </c>
      <c r="H57" s="379">
        <f>+(SHIPS!C40+SHIPS!C350)*($G58-$G57)</f>
        <v>711163.41444827232</v>
      </c>
      <c r="I57" s="379">
        <f>+(SHIPS!D40+SHIPS!D350)*($G58-$G57)</f>
        <v>0</v>
      </c>
      <c r="J57" s="379"/>
    </row>
    <row r="58" spans="7:10" x14ac:dyDescent="0.2">
      <c r="G58" s="9">
        <f>+'ELBA BOOK'!A33</f>
        <v>37165</v>
      </c>
      <c r="H58" s="379">
        <f>+(SHIPS!C41+SHIPS!C351)*($G59-$G58)</f>
        <v>735786.29672487429</v>
      </c>
      <c r="I58" s="379">
        <f>+(SHIPS!D41+SHIPS!D351)*($G59-$G58)</f>
        <v>0</v>
      </c>
      <c r="J58" s="379"/>
    </row>
    <row r="59" spans="7:10" x14ac:dyDescent="0.2">
      <c r="G59" s="9">
        <f>+'ELBA BOOK'!A34</f>
        <v>37196</v>
      </c>
      <c r="H59" s="379">
        <f>+(SHIPS!C42+SHIPS!C352)*($G60-$G59)</f>
        <v>712940.94500940433</v>
      </c>
      <c r="I59" s="379">
        <f>+(SHIPS!D42+SHIPS!D352)*($G60-$G59)</f>
        <v>0</v>
      </c>
      <c r="J59" s="379"/>
    </row>
    <row r="60" spans="7:10" x14ac:dyDescent="0.2">
      <c r="G60" s="9">
        <f>+'ELBA BOOK'!A35</f>
        <v>37226</v>
      </c>
      <c r="H60" s="379">
        <f>+(SHIPS!C43+SHIPS!C353)*($G61-$G60)</f>
        <v>737626.90493300196</v>
      </c>
      <c r="I60" s="379">
        <f>+(SHIPS!D43+SHIPS!D353)*($G61-$G60)</f>
        <v>0</v>
      </c>
      <c r="J60" s="379"/>
    </row>
    <row r="61" spans="7:10" x14ac:dyDescent="0.2">
      <c r="G61" s="9">
        <f>+'ELBA BOOK'!A36</f>
        <v>37257</v>
      </c>
      <c r="H61" s="379">
        <f>+(SHIPS!C44+SHIPS!C354)*($G62-$G61)</f>
        <v>738550.08598494588</v>
      </c>
      <c r="I61" s="379">
        <f>+(SHIPS!D44+SHIPS!D354)*($G62-$G61)</f>
        <v>0</v>
      </c>
      <c r="J61" s="379"/>
    </row>
    <row r="62" spans="7:10" x14ac:dyDescent="0.2">
      <c r="G62" s="9">
        <f>+'ELBA BOOK'!A37</f>
        <v>37288</v>
      </c>
      <c r="H62" s="379">
        <f>+(SHIPS!C45+SHIPS!C355)*($G63-$G62)</f>
        <v>667913.07513744966</v>
      </c>
      <c r="I62" s="379">
        <f>+(SHIPS!D45+SHIPS!D355)*($G63-$G62)</f>
        <v>0</v>
      </c>
      <c r="J62" s="379"/>
    </row>
    <row r="63" spans="7:10" x14ac:dyDescent="0.2">
      <c r="G63" s="9">
        <f>+'ELBA BOOK'!A38</f>
        <v>37316</v>
      </c>
      <c r="H63" s="379">
        <f>+(SHIPS!C46+SHIPS!C356)*($G64-$G63)</f>
        <v>740402.22197727021</v>
      </c>
      <c r="I63" s="379">
        <f>+(SHIPS!D46+SHIPS!D356)*($G64-$G63)</f>
        <v>0</v>
      </c>
      <c r="J63" s="379"/>
    </row>
    <row r="64" spans="7:10" x14ac:dyDescent="0.2">
      <c r="G64" s="9">
        <f>+'ELBA BOOK'!A39</f>
        <v>37347</v>
      </c>
      <c r="H64" s="379">
        <f>+(SHIPS!C47+SHIPS!C357)*($G65-$G64)</f>
        <v>717417.27574811899</v>
      </c>
      <c r="I64" s="379">
        <f>+(SHIPS!D47+SHIPS!D357)*($G65-$G64)</f>
        <v>0</v>
      </c>
      <c r="J64" s="379"/>
    </row>
    <row r="65" spans="7:10" x14ac:dyDescent="0.2">
      <c r="G65" s="9">
        <f>+'ELBA BOOK'!A40</f>
        <v>37377</v>
      </c>
      <c r="H65" s="379">
        <f>+(SHIPS!C48+SHIPS!C358)*($G66-$G65)</f>
        <v>742262.08324168075</v>
      </c>
      <c r="I65" s="379">
        <f>+(SHIPS!D48+SHIPS!D358)*($G66-$G65)</f>
        <v>0</v>
      </c>
      <c r="J65" s="379"/>
    </row>
    <row r="66" spans="7:10" x14ac:dyDescent="0.2">
      <c r="G66" s="9">
        <f>+'ELBA BOOK'!A41</f>
        <v>37408</v>
      </c>
      <c r="H66" s="379">
        <f>+(SHIPS!C49+SHIPS!C359)*($G67-$G66)</f>
        <v>719220.89120816218</v>
      </c>
      <c r="I66" s="379">
        <f>+(SHIPS!D49+SHIPS!D359)*($G67-$G66)</f>
        <v>0</v>
      </c>
      <c r="J66" s="379"/>
    </row>
    <row r="67" spans="7:10" x14ac:dyDescent="0.2">
      <c r="G67" s="9">
        <f>+'ELBA BOOK'!A42</f>
        <v>37438</v>
      </c>
      <c r="H67" s="379">
        <f>+(SHIPS!C50+SHIPS!C360)*($G68-$G67)</f>
        <v>744129.7020003408</v>
      </c>
      <c r="I67" s="379">
        <f>+(SHIPS!D50+SHIPS!D360)*($G68-$G67)</f>
        <v>0</v>
      </c>
      <c r="J67" s="379"/>
    </row>
    <row r="68" spans="7:10" x14ac:dyDescent="0.2">
      <c r="G68" s="9">
        <f>+'ELBA BOOK'!A43</f>
        <v>37469</v>
      </c>
      <c r="H68" s="379">
        <f>+(SHIPS!C51+SHIPS!C361)*($G69-$G68)</f>
        <v>745066.43054617487</v>
      </c>
      <c r="I68" s="379">
        <f>+(SHIPS!D51+SHIPS!D361)*($G69-$G68)</f>
        <v>0</v>
      </c>
      <c r="J68" s="379"/>
    </row>
    <row r="69" spans="7:10" x14ac:dyDescent="0.2">
      <c r="G69" s="9">
        <f>+'ELBA BOOK'!A44</f>
        <v>37500</v>
      </c>
      <c r="H69" s="379">
        <f>+(SHIPS!C52+SHIPS!C362)*($G70-$G69)</f>
        <v>721940.4296223995</v>
      </c>
      <c r="I69" s="379">
        <f>+(SHIPS!D52+SHIPS!D362)*($G70-$G69)</f>
        <v>0</v>
      </c>
      <c r="J69" s="379"/>
    </row>
    <row r="70" spans="7:10" x14ac:dyDescent="0.2">
      <c r="G70" s="9">
        <f>+'ELBA BOOK'!A45</f>
        <v>37530</v>
      </c>
      <c r="H70" s="379">
        <f>+(SHIPS!C53+SHIPS!C363)*($G71-$G70)</f>
        <v>746945.74625691655</v>
      </c>
      <c r="I70" s="379">
        <f>+(SHIPS!D53+SHIPS!D363)*($G71-$G70)</f>
        <v>0</v>
      </c>
      <c r="J70" s="379"/>
    </row>
    <row r="71" spans="7:10" x14ac:dyDescent="0.2">
      <c r="G71" s="9">
        <f>+'ELBA BOOK'!A46</f>
        <v>37561</v>
      </c>
      <c r="H71" s="379">
        <f>+(SHIPS!C54+SHIPS!C364)*($G72-$G71)</f>
        <v>723762.9111886631</v>
      </c>
      <c r="I71" s="379">
        <f>+(SHIPS!D54+SHIPS!D364)*($G72-$G71)</f>
        <v>0</v>
      </c>
      <c r="J71" s="379"/>
    </row>
    <row r="72" spans="7:10" x14ac:dyDescent="0.2">
      <c r="G72" s="9">
        <f>+'ELBA BOOK'!A47</f>
        <v>37591</v>
      </c>
      <c r="H72" s="379">
        <f>+(SHIPS!C55+SHIPS!C365)*($G73-$G72)</f>
        <v>748832.90060653875</v>
      </c>
      <c r="I72" s="379">
        <f>+(SHIPS!D55+SHIPS!D365)*($G73-$G72)</f>
        <v>0</v>
      </c>
      <c r="J72" s="379"/>
    </row>
    <row r="73" spans="7:10" x14ac:dyDescent="0.2">
      <c r="G73" s="9">
        <f>+'ELBA BOOK'!A48</f>
        <v>37622</v>
      </c>
      <c r="H73" s="379">
        <f>+(SHIPS!C56+SHIPS!C366)*($G74-$G73)</f>
        <v>951279.4274828023</v>
      </c>
      <c r="I73" s="379">
        <f>+(SHIPS!D56+SHIPS!D366)*($G74-$G73)</f>
        <v>1941840</v>
      </c>
      <c r="J73" s="379"/>
    </row>
    <row r="74" spans="7:10" x14ac:dyDescent="0.2">
      <c r="G74" s="9">
        <f>+'ELBA BOOK'!A49</f>
        <v>37653</v>
      </c>
      <c r="H74" s="379">
        <f>+(SHIPS!C57+SHIPS!C367)*($G75-$G74)</f>
        <v>860076.83664908481</v>
      </c>
      <c r="I74" s="379">
        <f>+(SHIPS!D57+SHIPS!D367)*($G75-$G74)</f>
        <v>1754549.4166666667</v>
      </c>
      <c r="J74" s="379"/>
    </row>
    <row r="75" spans="7:10" x14ac:dyDescent="0.2">
      <c r="G75" s="9">
        <f>+'ELBA BOOK'!A50</f>
        <v>37681</v>
      </c>
      <c r="H75" s="379">
        <f>+(SHIPS!C58+SHIPS!C368)*($G76-$G75)</f>
        <v>953178.40113649587</v>
      </c>
      <c r="I75" s="379">
        <f>+(SHIPS!D58+SHIPS!D368)*($G76-$G75)</f>
        <v>1943235.1601128473</v>
      </c>
      <c r="J75" s="379"/>
    </row>
    <row r="76" spans="7:10" x14ac:dyDescent="0.2">
      <c r="G76" s="9">
        <f>+'ELBA BOOK'!A51</f>
        <v>37712</v>
      </c>
      <c r="H76" s="379">
        <f>+(SHIPS!C59+SHIPS!C369)*($G77-$G76)</f>
        <v>923352.44142470672</v>
      </c>
      <c r="I76" s="379">
        <f>+(SHIPS!D59+SHIPS!D369)*($G77-$G76)</f>
        <v>1881227.342770725</v>
      </c>
      <c r="J76" s="379"/>
    </row>
    <row r="77" spans="7:10" x14ac:dyDescent="0.2">
      <c r="G77" s="9">
        <f>+'ELBA BOOK'!A52</f>
        <v>37742</v>
      </c>
      <c r="H77" s="379">
        <f>+(SHIPS!C60+SHIPS!C370)*($G78-$G77)</f>
        <v>955085.29542248626</v>
      </c>
      <c r="I77" s="379">
        <f>+(SHIPS!D60+SHIPS!D370)*($G78-$G77)</f>
        <v>1944636.1394482139</v>
      </c>
      <c r="J77" s="379"/>
    </row>
    <row r="78" spans="7:10" x14ac:dyDescent="0.2">
      <c r="G78" s="9">
        <f>+'ELBA BOOK'!A53</f>
        <v>37773</v>
      </c>
      <c r="H78" s="379">
        <f>+(SHIPS!C61+SHIPS!C371)*($G79-$G78)</f>
        <v>925201.66753672564</v>
      </c>
      <c r="I78" s="379">
        <f>+(SHIPS!D61+SHIPS!D371)*($G79-$G78)</f>
        <v>1882585.9537794171</v>
      </c>
      <c r="J78" s="379"/>
    </row>
    <row r="79" spans="7:10" x14ac:dyDescent="0.2">
      <c r="G79" s="9">
        <f>+'ELBA BOOK'!A54</f>
        <v>37803</v>
      </c>
      <c r="H79" s="379">
        <f>+(SHIPS!C62+SHIPS!C372)*($G80-$G79)</f>
        <v>957000.14337778592</v>
      </c>
      <c r="I79" s="379">
        <f>+(SHIPS!D62+SHIPS!D372)*($G80-$G79)</f>
        <v>1946042.9622781174</v>
      </c>
      <c r="J79" s="379"/>
    </row>
    <row r="80" spans="7:10" x14ac:dyDescent="0.2">
      <c r="G80" s="9">
        <f>+'ELBA BOOK'!A55</f>
        <v>37834</v>
      </c>
      <c r="H80" s="379">
        <f>+(SHIPS!C63+SHIPS!C373)*($G81-$G80)</f>
        <v>957960.56034315634</v>
      </c>
      <c r="I80" s="379">
        <f>+(SHIPS!D63+SHIPS!D373)*($G81-$G80)</f>
        <v>1946748.5726161967</v>
      </c>
      <c r="J80" s="379"/>
    </row>
    <row r="81" spans="7:10" x14ac:dyDescent="0.2">
      <c r="G81" s="9">
        <f>+'ELBA BOOK'!A56</f>
        <v>37865</v>
      </c>
      <c r="H81" s="379">
        <f>+(SHIPS!C64+SHIPS!C374)*($G82-$G81)</f>
        <v>927989.97888116562</v>
      </c>
      <c r="I81" s="379">
        <f>+(SHIPS!D64+SHIPS!D374)*($G82-$G81)</f>
        <v>1884634.5028798198</v>
      </c>
      <c r="J81" s="379"/>
    </row>
    <row r="82" spans="7:10" x14ac:dyDescent="0.2">
      <c r="G82" s="9">
        <f>+'ELBA BOOK'!A57</f>
        <v>37895</v>
      </c>
      <c r="H82" s="379">
        <f>+(SHIPS!C65+SHIPS!C375)*($G83-$G82)</f>
        <v>959887.40104840719</v>
      </c>
      <c r="I82" s="379">
        <f>+(SHIPS!D65+SHIPS!D375)*($G83-$G82)</f>
        <v>1948164.2064195136</v>
      </c>
      <c r="J82" s="379"/>
    </row>
    <row r="83" spans="7:10" x14ac:dyDescent="0.2">
      <c r="G83" s="9">
        <f>+'ELBA BOOK'!A58</f>
        <v>37926</v>
      </c>
      <c r="H83" s="379">
        <f>+(SHIPS!C66+SHIPS!C376)*($G84-$G83)</f>
        <v>929858.54819412064</v>
      </c>
      <c r="I83" s="379">
        <f>+(SHIPS!D66+SHIPS!D376)*($G84-$G83)</f>
        <v>1886007.3251769878</v>
      </c>
      <c r="J83" s="379"/>
    </row>
    <row r="84" spans="7:10" x14ac:dyDescent="0.2">
      <c r="G84" s="9">
        <f>+'ELBA BOOK'!A59</f>
        <v>37956</v>
      </c>
      <c r="H84" s="379">
        <f>+(SHIPS!C67+SHIPS!C377)*($G85-$G84)</f>
        <v>961822.27861962048</v>
      </c>
      <c r="I84" s="379">
        <f>+(SHIPS!D67+SHIPS!D377)*($G85-$G84)</f>
        <v>1949585.7448412548</v>
      </c>
      <c r="J84" s="379"/>
    </row>
    <row r="85" spans="7:10" x14ac:dyDescent="0.2">
      <c r="G85" s="9">
        <f>+'ELBA BOOK'!A60</f>
        <v>37987</v>
      </c>
      <c r="H85" s="379">
        <f>+(SHIPS!C68+SHIPS!C378)*($G86-$G85)</f>
        <v>962792.74170007801</v>
      </c>
      <c r="I85" s="379">
        <f>+(SHIPS!D68+SHIPS!D378)*($G86-$G85)</f>
        <v>1950298.7359763407</v>
      </c>
      <c r="J85" s="379"/>
    </row>
    <row r="86" spans="7:10" x14ac:dyDescent="0.2">
      <c r="G86" s="9">
        <f>+'ELBA BOOK'!A61</f>
        <v>38018</v>
      </c>
      <c r="H86" s="379">
        <f>+(SHIPS!C69+SHIPS!C379)*($G87-$G86)</f>
        <v>901586.82486387028</v>
      </c>
      <c r="I86" s="379">
        <f>+(SHIPS!D69+SHIPS!D379)*($G87-$G86)</f>
        <v>1825141.3923477135</v>
      </c>
      <c r="J86" s="379"/>
    </row>
    <row r="87" spans="7:10" x14ac:dyDescent="0.2">
      <c r="G87" s="9">
        <f>+'ELBA BOOK'!A62</f>
        <v>38047</v>
      </c>
      <c r="H87" s="379">
        <f>+(SHIPS!C70+SHIPS!C380)*($G88-$G87)</f>
        <v>964739.73746732541</v>
      </c>
      <c r="I87" s="379">
        <f>+(SHIPS!D70+SHIPS!D380)*($G88-$G87)</f>
        <v>1951729.1775356864</v>
      </c>
      <c r="J87" s="379"/>
    </row>
    <row r="88" spans="7:10" x14ac:dyDescent="0.2">
      <c r="G88" s="9">
        <f>+'ELBA BOOK'!A63</f>
        <v>38078</v>
      </c>
      <c r="H88" s="379">
        <f>+(SHIPS!C71+SHIPS!C381)*($G89-$G88)</f>
        <v>934564.14056811202</v>
      </c>
      <c r="I88" s="379">
        <f>+(SHIPS!D71+SHIPS!D381)*($G89-$G88)</f>
        <v>1889464.4846666639</v>
      </c>
      <c r="J88" s="379"/>
    </row>
    <row r="89" spans="7:10" x14ac:dyDescent="0.2">
      <c r="G89" s="9">
        <f>+'ELBA BOOK'!A64</f>
        <v>38108</v>
      </c>
      <c r="H89" s="379">
        <f>+(SHIPS!C72+SHIPS!C382)*($G90-$G89)</f>
        <v>966694.85416743881</v>
      </c>
      <c r="I89" s="379">
        <f>+(SHIPS!D72+SHIPS!D382)*($G90-$G89)</f>
        <v>1953165.58547671</v>
      </c>
      <c r="J89" s="379"/>
    </row>
    <row r="90" spans="7:10" x14ac:dyDescent="0.2">
      <c r="G90" s="9">
        <f>+'ELBA BOOK'!A65</f>
        <v>38139</v>
      </c>
      <c r="H90" s="379">
        <f>+(SHIPS!C73+SHIPS!C383)*($G91-$G90)</f>
        <v>936460.13075511716</v>
      </c>
      <c r="I90" s="379">
        <f>+(SHIPS!D73+SHIPS!D383)*($G91-$G90)</f>
        <v>1890857.4528514063</v>
      </c>
      <c r="J90" s="379"/>
    </row>
    <row r="91" spans="7:10" x14ac:dyDescent="0.2">
      <c r="G91" s="9">
        <f>+'ELBA BOOK'!A66</f>
        <v>38169</v>
      </c>
      <c r="H91" s="379">
        <f>+(SHIPS!C74+SHIPS!C384)*($G92-$G91)</f>
        <v>968658.12567288568</v>
      </c>
      <c r="I91" s="379">
        <f>+(SHIPS!D74+SHIPS!D384)*($G92-$G91)</f>
        <v>1954607.9846852305</v>
      </c>
      <c r="J91" s="379"/>
    </row>
    <row r="92" spans="7:10" x14ac:dyDescent="0.2">
      <c r="G92" s="9">
        <f>+'ELBA BOOK'!A67</f>
        <v>38200</v>
      </c>
      <c r="H92" s="379">
        <f>+(SHIPS!C75+SHIPS!C385)*($G93-$G92)</f>
        <v>969642.83010137081</v>
      </c>
      <c r="I92" s="379">
        <f>+(SHIPS!D75+SHIPS!D385)*($G93-$G92)</f>
        <v>1955331.4388199914</v>
      </c>
      <c r="J92" s="379"/>
    </row>
    <row r="93" spans="7:10" x14ac:dyDescent="0.2">
      <c r="G93" s="9">
        <f>+'ELBA BOOK'!A68</f>
        <v>38231</v>
      </c>
      <c r="H93" s="379">
        <f>+(SHIPS!C76+SHIPS!C386)*($G94-$G93)</f>
        <v>939318.95419104723</v>
      </c>
      <c r="I93" s="379">
        <f>+(SHIPS!D76+SHIPS!D386)*($G94-$G93)</f>
        <v>1892957.8065976126</v>
      </c>
      <c r="J93" s="379"/>
    </row>
    <row r="94" spans="7:10" x14ac:dyDescent="0.2">
      <c r="G94" s="9">
        <f>+'ELBA BOOK'!A69</f>
        <v>38261</v>
      </c>
      <c r="H94" s="379">
        <f>+(SHIPS!C77+SHIPS!C387)*($G95-$G94)</f>
        <v>971618.39763491007</v>
      </c>
      <c r="I94" s="379">
        <f>+(SHIPS!D77+SHIPS!D387)*($G95-$G94)</f>
        <v>1956782.8718178475</v>
      </c>
      <c r="J94" s="379"/>
    </row>
    <row r="95" spans="7:10" x14ac:dyDescent="0.2">
      <c r="G95" s="9">
        <f>+'ELBA BOOK'!A70</f>
        <v>38292</v>
      </c>
      <c r="H95" s="379">
        <f>+(SHIPS!C78+SHIPS!C388)*($G96-$G95)</f>
        <v>941234.77673869312</v>
      </c>
      <c r="I95" s="379">
        <f>+(SHIPS!D78+SHIPS!D388)*($G96-$G95)</f>
        <v>1894365.3454523885</v>
      </c>
      <c r="J95" s="379"/>
    </row>
    <row r="96" spans="7:10" x14ac:dyDescent="0.2">
      <c r="G96" s="9">
        <f>+'ELBA BOOK'!A71</f>
        <v>38322</v>
      </c>
      <c r="H96" s="379">
        <f>+(SHIPS!C79+SHIPS!C389)*($G97-$G96)</f>
        <v>973602.20527435094</v>
      </c>
      <c r="I96" s="379">
        <f>+(SHIPS!D79+SHIPS!D389)*($G97-$G96)</f>
        <v>1958240.3587528169</v>
      </c>
      <c r="J96" s="379"/>
    </row>
    <row r="97" spans="7:10" x14ac:dyDescent="0.2">
      <c r="G97" s="9">
        <f>+'ELBA BOOK'!A72</f>
        <v>38353</v>
      </c>
      <c r="H97" s="379">
        <f>+(SHIPS!C80+SHIPS!C390)*($G98-$G97)</f>
        <v>974597.20986867254</v>
      </c>
      <c r="I97" s="379">
        <f>+(SHIPS!D80+SHIPS!D390)*($G98-$G97)</f>
        <v>1958971.3803335521</v>
      </c>
      <c r="J97" s="379"/>
    </row>
    <row r="98" spans="7:10" x14ac:dyDescent="0.2">
      <c r="G98" s="9">
        <f>+'ELBA BOOK'!A73</f>
        <v>38384</v>
      </c>
      <c r="H98" s="379">
        <f>+(SHIPS!C81+SHIPS!C391)*($G99-$G98)</f>
        <v>881181.93699672597</v>
      </c>
      <c r="I98" s="379">
        <f>+(SHIPS!D81+SHIPS!D391)*($G99-$G98)</f>
        <v>1770055.1579524383</v>
      </c>
      <c r="J98" s="379"/>
    </row>
    <row r="99" spans="7:10" x14ac:dyDescent="0.2">
      <c r="G99" s="9">
        <f>+'ELBA BOOK'!A74</f>
        <v>38412</v>
      </c>
      <c r="H99" s="379">
        <f>+(SHIPS!C82+SHIPS!C392)*($G100-$G99)</f>
        <v>976593.44215462659</v>
      </c>
      <c r="I99" s="379">
        <f>+(SHIPS!D82+SHIPS!D392)*($G100-$G99)</f>
        <v>1960437.9955527384</v>
      </c>
      <c r="J99" s="379"/>
    </row>
    <row r="100" spans="7:10" x14ac:dyDescent="0.2">
      <c r="G100" s="9">
        <f>+'ELBA BOOK'!A75</f>
        <v>38443</v>
      </c>
      <c r="H100" s="379">
        <f>+(SHIPS!C83+SHIPS!C393)*($G101-$G100)</f>
        <v>946059.366283015</v>
      </c>
      <c r="I100" s="379">
        <f>+(SHIPS!D83+SHIPS!D393)*($G101-$G100)</f>
        <v>1897909.9311711034</v>
      </c>
      <c r="J100" s="379"/>
    </row>
    <row r="101" spans="7:10" x14ac:dyDescent="0.2">
      <c r="G101" s="9">
        <f>+'ELBA BOOK'!A76</f>
        <v>38473</v>
      </c>
      <c r="H101" s="379">
        <f>+(SHIPS!C84+SHIPS!C394)*($G102-$G101)</f>
        <v>978598.00073930807</v>
      </c>
      <c r="I101" s="379">
        <f>+(SHIPS!D84+SHIPS!D394)*($G102-$G101)</f>
        <v>1961910.728034189</v>
      </c>
      <c r="J101" s="379"/>
    </row>
    <row r="102" spans="7:10" x14ac:dyDescent="0.2">
      <c r="G102" s="9">
        <f>+'ELBA BOOK'!A77</f>
        <v>38504</v>
      </c>
      <c r="H102" s="379">
        <f>+(SHIPS!C85+SHIPS!C395)*($G103-$G102)</f>
        <v>948003.30313630484</v>
      </c>
      <c r="I102" s="379">
        <f>+(SHIPS!D85+SHIPS!D395)*($G103-$G102)</f>
        <v>1899338.1253718648</v>
      </c>
      <c r="J102" s="379"/>
    </row>
    <row r="103" spans="7:10" x14ac:dyDescent="0.2">
      <c r="G103" s="9">
        <f>+'ELBA BOOK'!A78</f>
        <v>38534</v>
      </c>
      <c r="H103" s="379">
        <f>+(SHIPS!C86+SHIPS!C396)*($G104-$G103)</f>
        <v>980610.92035176686</v>
      </c>
      <c r="I103" s="379">
        <f>+(SHIPS!D86+SHIPS!D396)*($G104-$G103)</f>
        <v>1963389.6032930468</v>
      </c>
      <c r="J103" s="379"/>
    </row>
    <row r="104" spans="7:10" x14ac:dyDescent="0.2">
      <c r="G104" s="9">
        <f>+'ELBA BOOK'!A79</f>
        <v>38565</v>
      </c>
      <c r="H104" s="379">
        <f>+(SHIPS!C87+SHIPS!C397)*($G105-$G104)</f>
        <v>981620.52643583296</v>
      </c>
      <c r="I104" s="379">
        <f>+(SHIPS!D87+SHIPS!D397)*($G105-$G104)</f>
        <v>1964131.3524665742</v>
      </c>
      <c r="J104" s="379"/>
    </row>
    <row r="105" spans="7:10" x14ac:dyDescent="0.2">
      <c r="G105" s="9">
        <f>+'ELBA BOOK'!A80</f>
        <v>38596</v>
      </c>
      <c r="H105" s="379">
        <f>+(SHIPS!C88+SHIPS!C398)*($G106-$G105)</f>
        <v>950934.42180571717</v>
      </c>
      <c r="I105" s="379">
        <f>+(SHIPS!D88+SHIPS!D398)*($G106-$G105)</f>
        <v>1901491.5938234318</v>
      </c>
      <c r="J105" s="379"/>
    </row>
    <row r="106" spans="7:10" x14ac:dyDescent="0.2">
      <c r="G106" s="9">
        <f>+'ELBA BOOK'!A81</f>
        <v>38626</v>
      </c>
      <c r="H106" s="379">
        <f>+(SHIPS!C89+SHIPS!C399)*($G107-$G106)</f>
        <v>983646.05302396172</v>
      </c>
      <c r="I106" s="379">
        <f>+(SHIPS!D89+SHIPS!D399)*($G107-$G106)</f>
        <v>1965619.4899653606</v>
      </c>
      <c r="J106" s="379"/>
    </row>
    <row r="107" spans="7:10" x14ac:dyDescent="0.2">
      <c r="G107" s="9">
        <f>+'ELBA BOOK'!A82</f>
        <v>38657</v>
      </c>
      <c r="H107" s="379">
        <f>+(SHIPS!C90+SHIPS!C400)*($G108-$G107)</f>
        <v>952898.69254944683</v>
      </c>
      <c r="I107" s="379">
        <f>+(SHIPS!D90+SHIPS!D400)*($G108-$G107)</f>
        <v>1902934.7271639886</v>
      </c>
      <c r="J107" s="379"/>
    </row>
    <row r="108" spans="7:10" x14ac:dyDescent="0.2">
      <c r="G108" s="9">
        <f>+'ELBA BOOK'!A83</f>
        <v>38687</v>
      </c>
      <c r="H108" s="379">
        <f>+(SHIPS!C91+SHIPS!C401)*($G109-$G108)</f>
        <v>985680.02809755574</v>
      </c>
      <c r="I108" s="379">
        <f>+(SHIPS!D91+SHIPS!D401)*($G109-$G108)</f>
        <v>1967113.8344959887</v>
      </c>
      <c r="J108" s="379"/>
    </row>
    <row r="109" spans="7:10" x14ac:dyDescent="0.2">
      <c r="G109" s="9">
        <f>+'ELBA BOOK'!A84</f>
        <v>38718</v>
      </c>
      <c r="H109" s="379">
        <f>+(SHIPS!C92+SHIPS!C402)*($G110-$G109)</f>
        <v>986700.19482275902</v>
      </c>
      <c r="I109" s="379">
        <f>+(SHIPS!D92+SHIPS!D402)*($G110-$G109)</f>
        <v>1967863.3424845219</v>
      </c>
      <c r="J109" s="379"/>
    </row>
    <row r="110" spans="7:10" x14ac:dyDescent="0.2">
      <c r="G110" s="9">
        <f>+'ELBA BOOK'!A85</f>
        <v>38749</v>
      </c>
      <c r="H110" s="379">
        <f>+(SHIPS!C93+SHIPS!C403)*($G111-$G110)</f>
        <v>892136.43977640592</v>
      </c>
      <c r="I110" s="379">
        <f>+(SHIPS!D93+SHIPS!D403)*($G111-$G110)</f>
        <v>1778103.3398240285</v>
      </c>
      <c r="J110" s="379"/>
    </row>
    <row r="111" spans="7:10" x14ac:dyDescent="0.2">
      <c r="G111" s="9">
        <f>+'ELBA BOOK'!A86</f>
        <v>38777</v>
      </c>
      <c r="H111" s="379">
        <f>+(SHIPS!C94+SHIPS!C404)*($G112-$G111)</f>
        <v>988746.90874300513</v>
      </c>
      <c r="I111" s="379">
        <f>+(SHIPS!D94+SHIPS!D404)*($G112-$G111)</f>
        <v>1969367.04613959</v>
      </c>
      <c r="J111" s="379"/>
    </row>
    <row r="112" spans="7:10" x14ac:dyDescent="0.2">
      <c r="G112" s="9">
        <f>+'ELBA BOOK'!A87</f>
        <v>38808</v>
      </c>
      <c r="H112" s="379">
        <f>+(SHIPS!C95+SHIPS!C405)*($G113-$G112)</f>
        <v>957845.2885189224</v>
      </c>
      <c r="I112" s="379">
        <f>+(SHIPS!D95+SHIPS!D405)*($G113-$G112)</f>
        <v>1906568.9499861752</v>
      </c>
      <c r="J112" s="379"/>
    </row>
    <row r="113" spans="7:10" x14ac:dyDescent="0.2">
      <c r="G113" s="9">
        <f>+'ELBA BOOK'!A88</f>
        <v>38838</v>
      </c>
      <c r="H113" s="379">
        <f>+(SHIPS!C96+SHIPS!C406)*($G114-$G113)</f>
        <v>990802.15952122584</v>
      </c>
      <c r="I113" s="379">
        <f>+(SHIPS!D96+SHIPS!D406)*($G114-$G113)</f>
        <v>1970877.0217530457</v>
      </c>
      <c r="J113" s="379"/>
    </row>
    <row r="114" spans="7:10" x14ac:dyDescent="0.2">
      <c r="G114" s="9">
        <f>+'ELBA BOOK'!A89</f>
        <v>38869</v>
      </c>
      <c r="H114" s="379">
        <f>+(SHIPS!C97+SHIPS!C407)*($G115-$G114)</f>
        <v>959838.38453570497</v>
      </c>
      <c r="I114" s="379">
        <f>+(SHIPS!D97+SHIPS!D407)*($G115-$G114)</f>
        <v>1908033.2610145465</v>
      </c>
      <c r="J114" s="379"/>
    </row>
    <row r="115" spans="7:10" x14ac:dyDescent="0.2">
      <c r="G115" s="9">
        <f>+'ELBA BOOK'!A90</f>
        <v>38899</v>
      </c>
      <c r="H115" s="379">
        <f>+(SHIPS!C98+SHIPS!C408)*($G116-$G115)</f>
        <v>992865.9827647151</v>
      </c>
      <c r="I115" s="379">
        <f>+(SHIPS!D98+SHIPS!D408)*($G116-$G115)</f>
        <v>1972393.2954852709</v>
      </c>
      <c r="J115" s="379"/>
    </row>
    <row r="116" spans="7:10" x14ac:dyDescent="0.2">
      <c r="G116" s="9">
        <f>+'ELBA BOOK'!A91</f>
        <v>38930</v>
      </c>
      <c r="H116" s="379">
        <f>+(SHIPS!C99+SHIPS!C409)*($G117-$G116)</f>
        <v>993901.12022880826</v>
      </c>
      <c r="I116" s="379">
        <f>+(SHIPS!D99+SHIPS!D409)*($G117-$G116)</f>
        <v>1973153.8023508652</v>
      </c>
      <c r="J116" s="379"/>
    </row>
    <row r="117" spans="7:10" x14ac:dyDescent="0.2">
      <c r="G117" s="9">
        <f>+'ELBA BOOK'!A92</f>
        <v>38961</v>
      </c>
      <c r="H117" s="379">
        <f>+(SHIPS!C100+SHIPS!C410)*($G118-$G117)</f>
        <v>962843.62667350157</v>
      </c>
      <c r="I117" s="379">
        <f>+(SHIPS!D100+SHIPS!D410)*($G118-$G117)</f>
        <v>1910241.1873604157</v>
      </c>
      <c r="J117" s="379"/>
    </row>
    <row r="118" spans="7:10" x14ac:dyDescent="0.2">
      <c r="G118" s="9">
        <f>+'ELBA BOOK'!A93</f>
        <v>38991</v>
      </c>
      <c r="H118" s="379">
        <f>+(SHIPS!C101+SHIPS!C411)*($G119-$G118)</f>
        <v>995977.86925892928</v>
      </c>
      <c r="I118" s="379">
        <f>+(SHIPS!D101+SHIPS!D411)*($G119-$G118)</f>
        <v>1974679.5725507748</v>
      </c>
      <c r="J118" s="379"/>
    </row>
    <row r="119" spans="7:10" x14ac:dyDescent="0.2">
      <c r="G119" s="9">
        <f>+'ELBA BOOK'!A94</f>
        <v>39022</v>
      </c>
      <c r="H119" s="379">
        <f>+(SHIPS!C102+SHIPS!C412)*($G120-$G119)</f>
        <v>964857.57079343754</v>
      </c>
      <c r="I119" s="379">
        <f>+(SHIPS!D102+SHIPS!D412)*($G120-$G119)</f>
        <v>1911720.8153163765</v>
      </c>
      <c r="J119" s="379"/>
    </row>
    <row r="120" spans="7:10" x14ac:dyDescent="0.2">
      <c r="G120" s="9">
        <f>+'ELBA BOOK'!A95</f>
        <v>39052</v>
      </c>
      <c r="H120" s="379">
        <f>+(SHIPS!C103+SHIPS!C413)*($G121-$G120)</f>
        <v>998063.28042367706</v>
      </c>
      <c r="I120" s="379">
        <f>+(SHIPS!D103+SHIPS!D413)*($G121-$G120)</f>
        <v>1976211.7067487841</v>
      </c>
      <c r="J120" s="379"/>
    </row>
    <row r="121" spans="7:10" x14ac:dyDescent="0.2">
      <c r="G121" s="9">
        <f>+'ELBA BOOK'!A96</f>
        <v>39083</v>
      </c>
      <c r="H121" s="379">
        <f>+(SHIPS!C104+SHIPS!C414)*($G122-$G121)</f>
        <v>999109.24559122638</v>
      </c>
      <c r="I121" s="379">
        <f>+(SHIPS!D104+SHIPS!D414)*($G122-$G121)</f>
        <v>1976980.168637844</v>
      </c>
      <c r="J121" s="379"/>
    </row>
    <row r="122" spans="7:10" x14ac:dyDescent="0.2">
      <c r="G122" s="9">
        <f>+'ELBA BOOK'!A97</f>
        <v>39114</v>
      </c>
      <c r="H122" s="379">
        <f>+(SHIPS!C105+SHIPS!C415)*($G123-$G122)</f>
        <v>903367.96502840309</v>
      </c>
      <c r="I122" s="379">
        <f>+(SHIPS!D105+SHIPS!D415)*($G123-$G122)</f>
        <v>1786355.0477966722</v>
      </c>
      <c r="J122" s="379"/>
    </row>
    <row r="123" spans="7:10" x14ac:dyDescent="0.2">
      <c r="G123" s="9">
        <f>+'ELBA BOOK'!A98</f>
        <v>39142</v>
      </c>
      <c r="H123" s="379">
        <f>+(SHIPS!C106+SHIPS!C416)*($G124-$G123)</f>
        <v>1001207.7177484017</v>
      </c>
      <c r="I123" s="379">
        <f>+(SHIPS!D106+SHIPS!D416)*($G124-$G123)</f>
        <v>1978521.8986381087</v>
      </c>
      <c r="J123" s="379"/>
    </row>
    <row r="124" spans="7:10" x14ac:dyDescent="0.2">
      <c r="G124" s="9">
        <f>+'ELBA BOOK'!A99</f>
        <v>39173</v>
      </c>
      <c r="H124" s="379">
        <f>+(SHIPS!C107+SHIPS!C417)*($G125-$G124)</f>
        <v>969929.2585423009</v>
      </c>
      <c r="I124" s="379">
        <f>+(SHIPS!D107+SHIPS!D417)*($G125-$G124)</f>
        <v>1915446.9420260692</v>
      </c>
      <c r="J124" s="379"/>
    </row>
    <row r="125" spans="7:10" x14ac:dyDescent="0.2">
      <c r="G125" s="9">
        <f>+'ELBA BOOK'!A100</f>
        <v>39203</v>
      </c>
      <c r="H125" s="379">
        <f>+(SHIPS!C108+SHIPS!C418)*($G126-$G125)</f>
        <v>1003314.9426475173</v>
      </c>
      <c r="I125" s="379">
        <f>+(SHIPS!D108+SHIPS!D418)*($G126-$G125)</f>
        <v>1980070.0592049111</v>
      </c>
      <c r="J125" s="379"/>
    </row>
    <row r="126" spans="7:10" x14ac:dyDescent="0.2">
      <c r="G126" s="9">
        <f>+'ELBA BOOK'!A101</f>
        <v>39234</v>
      </c>
      <c r="H126" s="379">
        <f>+(SHIPS!C109+SHIPS!C419)*($G127-$G126)</f>
        <v>971972.75688196742</v>
      </c>
      <c r="I126" s="379">
        <f>+(SHIPS!D109+SHIPS!D419)*($G127-$G126)</f>
        <v>1916948.2832208916</v>
      </c>
      <c r="J126" s="379"/>
    </row>
    <row r="127" spans="7:10" x14ac:dyDescent="0.2">
      <c r="G127" s="9">
        <f>+'ELBA BOOK'!A102</f>
        <v>39264</v>
      </c>
      <c r="H127" s="379">
        <f>+(SHIPS!C110+SHIPS!C420)*($G128-$G127)</f>
        <v>1005430.9567963206</v>
      </c>
      <c r="I127" s="379">
        <f>+(SHIPS!D110+SHIPS!D420)*($G128-$G127)</f>
        <v>1981624.6771601886</v>
      </c>
      <c r="J127" s="379"/>
    </row>
    <row r="128" spans="7:10" x14ac:dyDescent="0.2">
      <c r="G128" s="9">
        <f>+'ELBA BOOK'!A103</f>
        <v>39295</v>
      </c>
      <c r="H128" s="379">
        <f>+(SHIPS!C111+SHIPS!C421)*($G129-$G128)</f>
        <v>1006492.2712896464</v>
      </c>
      <c r="I128" s="379">
        <f>+(SHIPS!D111+SHIPS!D421)*($G129-$G128)</f>
        <v>1982404.4160709388</v>
      </c>
      <c r="J128" s="379"/>
    </row>
    <row r="129" spans="7:10" x14ac:dyDescent="0.2">
      <c r="G129" s="9">
        <f>+'ELBA BOOK'!A104</f>
        <v>39326</v>
      </c>
      <c r="H129" s="379">
        <f>+(SHIPS!C112+SHIPS!C422)*($G130-$G129)</f>
        <v>975053.99695629021</v>
      </c>
      <c r="I129" s="379">
        <f>+(SHIPS!D112+SHIPS!D422)*($G130-$G129)</f>
        <v>1919212.0446171809</v>
      </c>
      <c r="J129" s="379"/>
    </row>
    <row r="130" spans="7:10" x14ac:dyDescent="0.2">
      <c r="G130" s="9">
        <f>+'ELBA BOOK'!A105</f>
        <v>39356</v>
      </c>
      <c r="H130" s="379">
        <f>+(SHIPS!C113+SHIPS!C423)*($G131-$G130)</f>
        <v>1008621.5380982808</v>
      </c>
      <c r="I130" s="379">
        <f>+(SHIPS!D113+SHIPS!D423)*($G131-$G130)</f>
        <v>1983968.7706449155</v>
      </c>
      <c r="J130" s="379"/>
    </row>
    <row r="131" spans="7:10" x14ac:dyDescent="0.2">
      <c r="G131" s="9">
        <f>+'ELBA BOOK'!A106</f>
        <v>39387</v>
      </c>
      <c r="H131" s="379">
        <f>+(SHIPS!C114+SHIPS!C424)*($G132-$G131)</f>
        <v>977118.87061546999</v>
      </c>
      <c r="I131" s="379">
        <f>+(SHIPS!D114+SHIPS!D424)*($G132-$G131)</f>
        <v>1920729.0900810573</v>
      </c>
      <c r="J131" s="379"/>
    </row>
    <row r="132" spans="7:10" x14ac:dyDescent="0.2">
      <c r="G132" s="9">
        <f>+'ELBA BOOK'!A107</f>
        <v>39417</v>
      </c>
      <c r="H132" s="379">
        <f>+(SHIPS!C115+SHIPS!C425)*($G133-$G132)</f>
        <v>1010759.6860935607</v>
      </c>
      <c r="I132" s="379">
        <f>+(SHIPS!D115+SHIPS!D425)*($G133-$G132)</f>
        <v>1985539.6501526837</v>
      </c>
      <c r="J132" s="379"/>
    </row>
    <row r="133" spans="7:10" x14ac:dyDescent="0.2">
      <c r="G133" s="9">
        <f>+'ELBA BOOK'!A108</f>
        <v>39448</v>
      </c>
      <c r="H133" s="379">
        <f>+(SHIPS!C116+SHIPS!C426)*($G134-$G133)</f>
        <v>1011832.1021062556</v>
      </c>
      <c r="I133" s="379">
        <f>+(SHIPS!D116+SHIPS!D426)*($G134-$G133)</f>
        <v>1986327.5452571686</v>
      </c>
      <c r="J133" s="379"/>
    </row>
    <row r="134" spans="7:10" x14ac:dyDescent="0.2">
      <c r="G134" s="9">
        <f>+'ELBA BOOK'!A109</f>
        <v>39479</v>
      </c>
      <c r="H134" s="379">
        <f>+(SHIPS!C117+SHIPS!C427)*($G135-$G134)</f>
        <v>947557.92958872055</v>
      </c>
      <c r="I134" s="379">
        <f>+(SHIPS!D117+SHIPS!D427)*($G135-$G134)</f>
        <v>1858915.9797575432</v>
      </c>
      <c r="J134" s="379"/>
    </row>
    <row r="135" spans="7:10" x14ac:dyDescent="0.2">
      <c r="G135" s="9">
        <f>+'ELBA BOOK'!A110</f>
        <v>39508</v>
      </c>
      <c r="H135" s="379">
        <f>+(SHIPS!C118+SHIPS!C428)*($G136-$G135)</f>
        <v>1013983.6413863084</v>
      </c>
      <c r="I135" s="379">
        <f>+(SHIPS!D118+SHIPS!D428)*($G136-$G135)</f>
        <v>1987908.2632302246</v>
      </c>
      <c r="J135" s="379"/>
    </row>
    <row r="136" spans="7:10" x14ac:dyDescent="0.2">
      <c r="G136" s="9">
        <f>+'ELBA BOOK'!A111</f>
        <v>39539</v>
      </c>
      <c r="H136" s="379">
        <f>+(SHIPS!C119+SHIPS!C429)*($G137-$G136)</f>
        <v>982318.81352180312</v>
      </c>
      <c r="I136" s="379">
        <f>+(SHIPS!D119+SHIPS!D429)*($G137-$G136)</f>
        <v>1924549.4447857623</v>
      </c>
      <c r="J136" s="379"/>
    </row>
    <row r="137" spans="7:10" x14ac:dyDescent="0.2">
      <c r="G137" s="9">
        <f>+'ELBA BOOK'!A112</f>
        <v>39569</v>
      </c>
      <c r="H137" s="379">
        <f>+(SHIPS!C120+SHIPS!C430)*($G138-$G137)</f>
        <v>1016144.1547516393</v>
      </c>
      <c r="I137" s="379">
        <f>+(SHIPS!D120+SHIPS!D430)*($G138-$G137)</f>
        <v>1989495.5743889238</v>
      </c>
      <c r="J137" s="379"/>
    </row>
    <row r="138" spans="7:10" x14ac:dyDescent="0.2">
      <c r="G138" s="9">
        <f>+'ELBA BOOK'!A113</f>
        <v>39600</v>
      </c>
      <c r="H138" s="379">
        <f>+(SHIPS!C121+SHIPS!C431)*($G139-$G138)</f>
        <v>984413.98878132785</v>
      </c>
      <c r="I138" s="379">
        <f>+(SHIPS!D121+SHIPS!D431)*($G139-$G138)</f>
        <v>1926088.7525828071</v>
      </c>
      <c r="J138" s="379"/>
    </row>
    <row r="139" spans="7:10" x14ac:dyDescent="0.2">
      <c r="G139" s="9">
        <f>+'ELBA BOOK'!A114</f>
        <v>39630</v>
      </c>
      <c r="H139" s="379">
        <f>+(SHIPS!C122+SHIPS!C432)*($G140-$G139)</f>
        <v>1018313.6796332209</v>
      </c>
      <c r="I139" s="379">
        <f>+(SHIPS!D122+SHIPS!D432)*($G140-$G139)</f>
        <v>1991089.5062334887</v>
      </c>
      <c r="J139" s="379"/>
    </row>
    <row r="140" spans="7:10" x14ac:dyDescent="0.2">
      <c r="G140" s="9">
        <f>+'ELBA BOOK'!A115</f>
        <v>39661</v>
      </c>
      <c r="H140" s="379">
        <f>+(SHIPS!C123+SHIPS!C433)*($G141-$G140)</f>
        <v>1019401.8331324568</v>
      </c>
      <c r="I140" s="379">
        <f>+(SHIPS!D123+SHIPS!D433)*($G141-$G140)</f>
        <v>1991888.9635381417</v>
      </c>
      <c r="J140" s="379"/>
    </row>
    <row r="141" spans="7:10" x14ac:dyDescent="0.2">
      <c r="G141" s="9">
        <f>+'ELBA BOOK'!A116</f>
        <v>39692</v>
      </c>
      <c r="H141" s="379">
        <f>+(SHIPS!C124+SHIPS!C434)*($G142-$G141)</f>
        <v>987573.14866272523</v>
      </c>
      <c r="I141" s="379">
        <f>+(SHIPS!D124+SHIPS!D434)*($G142-$G141)</f>
        <v>1928409.7610117868</v>
      </c>
      <c r="J141" s="379"/>
    </row>
    <row r="142" spans="7:10" x14ac:dyDescent="0.2">
      <c r="G142" s="9">
        <f>+'ELBA BOOK'!A117</f>
        <v>39722</v>
      </c>
      <c r="H142" s="379">
        <f>+(SHIPS!C125+SHIPS!C435)*($G143-$G142)</f>
        <v>1021584.9458131874</v>
      </c>
      <c r="I142" s="379">
        <f>+(SHIPS!D125+SHIPS!D435)*($G143-$G142)</f>
        <v>1993492.878225469</v>
      </c>
      <c r="J142" s="379"/>
    </row>
    <row r="143" spans="7:10" x14ac:dyDescent="0.2">
      <c r="G143" s="9">
        <f>+'ELBA BOOK'!A118</f>
        <v>39753</v>
      </c>
      <c r="H143" s="379">
        <f>+(SHIPS!C126+SHIPS!C436)*($G144-$G143)</f>
        <v>989690.23979061109</v>
      </c>
      <c r="I143" s="379">
        <f>+(SHIPS!D126+SHIPS!D436)*($G144-$G143)</f>
        <v>1929965.1702146183</v>
      </c>
      <c r="J143" s="379"/>
    </row>
    <row r="144" spans="7:10" x14ac:dyDescent="0.2">
      <c r="G144" s="9">
        <f>+'ELBA BOOK'!A119</f>
        <v>39783</v>
      </c>
      <c r="H144" s="379">
        <f>+(SHIPS!C127+SHIPS!C437)*($G145-$G144)</f>
        <v>1023777.1642720697</v>
      </c>
      <c r="I144" s="379">
        <f>+(SHIPS!D127+SHIPS!D437)*($G145-$G144)</f>
        <v>1995103.4828520953</v>
      </c>
      <c r="J144" s="379"/>
    </row>
    <row r="145" spans="7:10" x14ac:dyDescent="0.2">
      <c r="G145" s="9">
        <f>+'ELBA BOOK'!A120</f>
        <v>39814</v>
      </c>
      <c r="H145" s="379">
        <f>+(SHIPS!C128+SHIPS!C438)*($G146-$G145)</f>
        <v>1024876.70003097</v>
      </c>
      <c r="I145" s="379">
        <f>+(SHIPS!D128+SHIPS!D438)*($G146-$G145)</f>
        <v>1995911.3026080371</v>
      </c>
      <c r="J145" s="379"/>
    </row>
    <row r="146" spans="7:10" x14ac:dyDescent="0.2">
      <c r="G146" s="9">
        <f>+'ELBA BOOK'!A121</f>
        <v>39845</v>
      </c>
      <c r="H146" s="379">
        <f>+(SHIPS!C129+SHIPS!C439)*($G147-$G146)</f>
        <v>926690.28199039679</v>
      </c>
      <c r="I146" s="379">
        <f>+(SHIPS!D129+SHIPS!D439)*($G147-$G146)</f>
        <v>1803489.7596455005</v>
      </c>
      <c r="J146" s="379"/>
    </row>
    <row r="147" spans="7:10" x14ac:dyDescent="0.2">
      <c r="G147" s="9">
        <f>+'ELBA BOOK'!A122</f>
        <v>39873</v>
      </c>
      <c r="H147" s="379">
        <f>+(SHIPS!C130+SHIPS!C440)*($G148-$G147)</f>
        <v>1027082.6484195539</v>
      </c>
      <c r="I147" s="379">
        <f>+(SHIPS!D130+SHIPS!D440)*($G148-$G147)</f>
        <v>1997531.9944995579</v>
      </c>
      <c r="J147" s="379"/>
    </row>
    <row r="148" spans="7:10" x14ac:dyDescent="0.2">
      <c r="G148" s="9">
        <f>+'ELBA BOOK'!A123</f>
        <v>39904</v>
      </c>
      <c r="H148" s="379">
        <f>+(SHIPS!C131+SHIPS!C441)*($G149-$G148)</f>
        <v>995021.68122944643</v>
      </c>
      <c r="I148" s="379">
        <f>+(SHIPS!D131+SHIPS!D441)*($G149-$G148)</f>
        <v>1933882.1357949341</v>
      </c>
      <c r="J148" s="379"/>
    </row>
    <row r="149" spans="7:10" x14ac:dyDescent="0.2">
      <c r="G149" s="9">
        <f>+'ELBA BOOK'!A124</f>
        <v>39934</v>
      </c>
      <c r="H149" s="379">
        <f>+(SHIPS!C132+SHIPS!C442)*($G150-$G149)</f>
        <v>1029297.797834186</v>
      </c>
      <c r="I149" s="379">
        <f>+(SHIPS!D132+SHIPS!D442)*($G150-$G149)</f>
        <v>1999159.4463082128</v>
      </c>
      <c r="J149" s="379"/>
    </row>
    <row r="150" spans="7:10" x14ac:dyDescent="0.2">
      <c r="G150" s="9">
        <f>+'ELBA BOOK'!A125</f>
        <v>39965</v>
      </c>
      <c r="H150" s="379">
        <f>+(SHIPS!C133+SHIPS!C443)*($G151-$G150)</f>
        <v>997169.84023839422</v>
      </c>
      <c r="I150" s="379">
        <f>+(SHIPS!D133+SHIPS!D443)*($G151-$G150)</f>
        <v>1935460.3703109885</v>
      </c>
      <c r="J150" s="379"/>
    </row>
    <row r="151" spans="7:10" x14ac:dyDescent="0.2">
      <c r="G151" s="9">
        <f>+'ELBA BOOK'!A126</f>
        <v>39995</v>
      </c>
      <c r="H151" s="379">
        <f>+(SHIPS!C134+SHIPS!C444)*($G152-$G151)</f>
        <v>1031522.1866524096</v>
      </c>
      <c r="I151" s="379">
        <f>+(SHIPS!D134+SHIPS!D444)*($G152-$G151)</f>
        <v>2000793.6862296634</v>
      </c>
      <c r="J151" s="379"/>
    </row>
    <row r="152" spans="7:10" x14ac:dyDescent="0.2">
      <c r="G152" s="9">
        <f>+'ELBA BOOK'!A127</f>
        <v>40026</v>
      </c>
      <c r="H152" s="379">
        <f>+(SHIPS!C135+SHIPS!C445)*($G153-$G152)</f>
        <v>1032637.8578746021</v>
      </c>
      <c r="I152" s="379">
        <f>+(SHIPS!D135+SHIPS!D445)*($G153-$G152)</f>
        <v>2001613.3605759752</v>
      </c>
      <c r="J152" s="379"/>
    </row>
    <row r="153" spans="7:10" x14ac:dyDescent="0.2">
      <c r="G153" s="9">
        <f>+'ELBA BOOK'!A128</f>
        <v>40057</v>
      </c>
      <c r="H153" s="379">
        <f>+(SHIPS!C136+SHIPS!C446)*($G154-$G153)</f>
        <v>1000408.8903985557</v>
      </c>
      <c r="I153" s="379">
        <f>+(SHIPS!D136+SHIPS!D446)*($G154-$G153)</f>
        <v>1937840.0734617824</v>
      </c>
      <c r="J153" s="379"/>
    </row>
    <row r="154" spans="7:10" x14ac:dyDescent="0.2">
      <c r="G154" s="9">
        <f>+'ELBA BOOK'!A129</f>
        <v>40087</v>
      </c>
      <c r="H154" s="379">
        <f>+(SHIPS!C137+SHIPS!C447)*($G155-$G154)</f>
        <v>1034876.178106449</v>
      </c>
      <c r="I154" s="379">
        <f>+(SHIPS!D137+SHIPS!D447)*($G155-$G154)</f>
        <v>2003257.8357908777</v>
      </c>
      <c r="J154" s="379"/>
    </row>
    <row r="155" spans="7:10" x14ac:dyDescent="0.2">
      <c r="G155" s="9">
        <f>+'ELBA BOOK'!A130</f>
        <v>40118</v>
      </c>
      <c r="H155" s="379">
        <f>+(SHIPS!C138+SHIPS!C448)*($G156-$G155)</f>
        <v>1002579.5194943588</v>
      </c>
      <c r="I155" s="379">
        <f>+(SHIPS!D138+SHIPS!D448)*($G156-$G155)</f>
        <v>1939434.8165633311</v>
      </c>
      <c r="J155" s="379"/>
    </row>
    <row r="156" spans="7:10" x14ac:dyDescent="0.2">
      <c r="G156" s="9">
        <f>+'ELBA BOOK'!A131</f>
        <v>40148</v>
      </c>
      <c r="H156" s="379">
        <f>+(SHIPS!C139+SHIPS!C449)*($G157-$G156)</f>
        <v>1037123.8343875268</v>
      </c>
      <c r="I156" s="379">
        <f>+(SHIPS!D139+SHIPS!D449)*($G157-$G156)</f>
        <v>2004909.1701233215</v>
      </c>
      <c r="J156" s="379"/>
    </row>
    <row r="157" spans="7:10" x14ac:dyDescent="0.2">
      <c r="G157" s="9">
        <f>+'ELBA BOOK'!A132</f>
        <v>40179</v>
      </c>
      <c r="H157" s="379">
        <f>+(SHIPS!C140+SHIPS!C450)*($G158-$G157)</f>
        <v>1038251.1757091675</v>
      </c>
      <c r="I157" s="379">
        <f>+(SHIPS!D140+SHIPS!D450)*($G158-$G157)</f>
        <v>2005737.4183944119</v>
      </c>
      <c r="J157" s="379"/>
    </row>
    <row r="158" spans="7:10" x14ac:dyDescent="0.2">
      <c r="G158" s="9">
        <f>+'ELBA BOOK'!A133</f>
        <v>40210</v>
      </c>
      <c r="H158" s="379">
        <f>+(SHIPS!C141+SHIPS!C451)*($G159-$G158)</f>
        <v>938795.62059483002</v>
      </c>
      <c r="I158" s="379">
        <f>+(SHIPS!D141+SHIPS!D451)*($G159-$G158)</f>
        <v>1812383.4510037594</v>
      </c>
      <c r="J158" s="379"/>
    </row>
    <row r="159" spans="7:10" x14ac:dyDescent="0.2">
      <c r="G159" s="9">
        <f>+'ELBA BOOK'!A134</f>
        <v>40238</v>
      </c>
      <c r="H159" s="379">
        <f>+(SHIPS!C142+SHIPS!C452)*($G160-$G159)</f>
        <v>1040512.9091286837</v>
      </c>
      <c r="I159" s="379">
        <f>+(SHIPS!D142+SHIPS!D452)*($G160-$G159)</f>
        <v>2007399.0950831142</v>
      </c>
      <c r="J159" s="379"/>
    </row>
    <row r="160" spans="7:10" x14ac:dyDescent="0.2">
      <c r="G160" s="9">
        <f>+'ELBA BOOK'!A135</f>
        <v>40269</v>
      </c>
      <c r="H160" s="379">
        <f>+(SHIPS!C143+SHIPS!C453)*($G161-$G160)</f>
        <v>1008045.7848606792</v>
      </c>
      <c r="I160" s="379">
        <f>+(SHIPS!D143+SHIPS!D453)*($G161-$G160)</f>
        <v>1943450.8361592297</v>
      </c>
      <c r="J160" s="379"/>
    </row>
    <row r="161" spans="7:10" x14ac:dyDescent="0.2">
      <c r="G161" s="9">
        <f>+'ELBA BOOK'!A136</f>
        <v>40299</v>
      </c>
      <c r="H161" s="379">
        <f>+(SHIPS!C144+SHIPS!C454)*($G162-$G161)</f>
        <v>1042784.0762539993</v>
      </c>
      <c r="I161" s="379">
        <f>+(SHIPS!D144+SHIPS!D454)*($G162-$G161)</f>
        <v>2009067.7026368247</v>
      </c>
      <c r="J161" s="379"/>
    </row>
    <row r="162" spans="7:10" x14ac:dyDescent="0.2">
      <c r="G162" s="9">
        <f>+'ELBA BOOK'!A137</f>
        <v>40330</v>
      </c>
      <c r="H162" s="379">
        <f>+(SHIPS!C145+SHIPS!C455)*($G163-$G162)</f>
        <v>1010248.2674963179</v>
      </c>
      <c r="I162" s="379">
        <f>+(SHIPS!D145+SHIPS!D455)*($G163-$G162)</f>
        <v>1945068.9817909531</v>
      </c>
      <c r="J162" s="379"/>
    </row>
    <row r="163" spans="7:10" x14ac:dyDescent="0.2">
      <c r="G163" s="9">
        <f>+'ELBA BOOK'!A138</f>
        <v>40360</v>
      </c>
      <c r="H163" s="379">
        <f>+(SHIPS!C146+SHIPS!C456)*($G164-$G163)</f>
        <v>1045064.7164331663</v>
      </c>
      <c r="I163" s="379">
        <f>+(SHIPS!D146+SHIPS!D456)*($G164-$G163)</f>
        <v>2010743.2699642293</v>
      </c>
      <c r="J163" s="379"/>
    </row>
    <row r="164" spans="7:10" x14ac:dyDescent="0.2">
      <c r="G164" s="9">
        <f>+'ELBA BOOK'!A139</f>
        <v>40391</v>
      </c>
      <c r="H164" s="379">
        <f>+(SHIPS!C147+SHIPS!C457)*($G165-$G164)</f>
        <v>1046208.6012590689</v>
      </c>
      <c r="I164" s="379">
        <f>+(SHIPS!D147+SHIPS!D457)*($G165-$G164)</f>
        <v>2011583.6726099881</v>
      </c>
      <c r="J164" s="379"/>
    </row>
    <row r="165" spans="7:10" x14ac:dyDescent="0.2">
      <c r="G165" s="9">
        <f>+'ELBA BOOK'!A140</f>
        <v>40422</v>
      </c>
      <c r="H165" s="379">
        <f>+(SHIPS!C148+SHIPS!C458)*($G166-$G165)</f>
        <v>1013569.2282371212</v>
      </c>
      <c r="I165" s="379">
        <f>+(SHIPS!D148+SHIPS!D458)*($G166-$G165)</f>
        <v>1947508.8639625087</v>
      </c>
      <c r="J165" s="379"/>
    </row>
    <row r="166" spans="7:10" x14ac:dyDescent="0.2">
      <c r="G166" s="9">
        <f>+'ELBA BOOK'!A141</f>
        <v>40452</v>
      </c>
      <c r="H166" s="379">
        <f>+(SHIPS!C149+SHIPS!C459)*($G167-$G166)</f>
        <v>1048503.5251558135</v>
      </c>
      <c r="I166" s="379">
        <f>+(SHIPS!D149+SHIPS!D459)*($G167-$G166)</f>
        <v>2013269.7340656228</v>
      </c>
      <c r="J166" s="379"/>
    </row>
    <row r="167" spans="7:10" x14ac:dyDescent="0.2">
      <c r="G167" s="9">
        <f>+'ELBA BOOK'!A142</f>
        <v>40483</v>
      </c>
      <c r="H167" s="379">
        <f>+(SHIPS!C150+SHIPS!C460)*($G168-$G167)</f>
        <v>1015794.7491934404</v>
      </c>
      <c r="I167" s="379">
        <f>+(SHIPS!D150+SHIPS!D460)*($G168-$G167)</f>
        <v>1949143.9356563801</v>
      </c>
      <c r="J167" s="379"/>
    </row>
    <row r="168" spans="7:10" x14ac:dyDescent="0.2">
      <c r="G168" s="9">
        <f>+'ELBA BOOK'!A143</f>
        <v>40513</v>
      </c>
      <c r="H168" s="379">
        <f>+(SHIPS!C151+SHIPS!C461)*($G169-$G168)</f>
        <v>1050808.0211960685</v>
      </c>
      <c r="I168" s="379">
        <f>+(SHIPS!D151+SHIPS!D461)*($G169-$G168)</f>
        <v>2014962.8280952976</v>
      </c>
      <c r="J168" s="379"/>
    </row>
    <row r="169" spans="7:10" x14ac:dyDescent="0.2">
      <c r="G169" s="9">
        <f>+'ELBA BOOK'!A144</f>
        <v>40544</v>
      </c>
      <c r="H169" s="379">
        <f>+(SHIPS!C152+SHIPS!C462)*($G170-$G169)</f>
        <v>1051963.8712402273</v>
      </c>
      <c r="I169" s="379">
        <f>+(SHIPS!D152+SHIPS!D462)*($G170-$G169)</f>
        <v>2015812.0214871627</v>
      </c>
      <c r="J169" s="379"/>
    </row>
    <row r="170" spans="7:10" x14ac:dyDescent="0.2">
      <c r="G170" s="9">
        <f>+'ELBA BOOK'!A145</f>
        <v>40575</v>
      </c>
      <c r="H170" s="379">
        <f>+(SHIPS!C153+SHIPS!C463)*($G171-$G170)</f>
        <v>951207.08453382924</v>
      </c>
      <c r="I170" s="379">
        <f>+(SHIPS!D153+SHIPS!D463)*($G171-$G170)</f>
        <v>1821502.0500933542</v>
      </c>
      <c r="J170" s="379"/>
    </row>
    <row r="171" spans="7:10" x14ac:dyDescent="0.2">
      <c r="G171" s="9">
        <f>+'ELBA BOOK'!A146</f>
        <v>40603</v>
      </c>
      <c r="H171" s="379">
        <f>+(SHIPS!C154+SHIPS!C464)*($G172-$G171)</f>
        <v>1054282.8004080304</v>
      </c>
      <c r="I171" s="379">
        <f>+(SHIPS!D154+SHIPS!D464)*($G172-$G171)</f>
        <v>2017515.7194153278</v>
      </c>
      <c r="J171" s="379"/>
    </row>
    <row r="172" spans="7:10" x14ac:dyDescent="0.2">
      <c r="G172" s="9">
        <f>+'ELBA BOOK'!A147</f>
        <v>40634</v>
      </c>
      <c r="H172" s="379">
        <f>+(SHIPS!C155+SHIPS!C465)*($G173-$G172)</f>
        <v>1021399.247976336</v>
      </c>
      <c r="I172" s="379">
        <f>+(SHIPS!D155+SHIPS!D465)*($G173-$G172)</f>
        <v>1953261.5141910738</v>
      </c>
      <c r="J172" s="379"/>
    </row>
    <row r="173" spans="7:10" x14ac:dyDescent="0.2">
      <c r="G173" s="9">
        <f>+'ELBA BOOK'!A148</f>
        <v>40664</v>
      </c>
      <c r="H173" s="379">
        <f>+(SHIPS!C156+SHIPS!C466)*($G174-$G173)</f>
        <v>1056611.4018454966</v>
      </c>
      <c r="I173" s="379">
        <f>+(SHIPS!D156+SHIPS!D466)*($G174-$G173)</f>
        <v>2019226.5234793823</v>
      </c>
      <c r="J173" s="379"/>
    </row>
    <row r="174" spans="7:10" x14ac:dyDescent="0.2">
      <c r="G174" s="9">
        <f>+'ELBA BOOK'!A149</f>
        <v>40695</v>
      </c>
      <c r="H174" s="379">
        <f>+(SHIPS!C157+SHIPS!C467)*($G175-$G174)</f>
        <v>1023657.4279993623</v>
      </c>
      <c r="I174" s="379">
        <f>+(SHIPS!D157+SHIPS!D467)*($G175-$G174)</f>
        <v>1954920.5802289976</v>
      </c>
      <c r="J174" s="379"/>
    </row>
    <row r="175" spans="7:10" x14ac:dyDescent="0.2">
      <c r="G175" s="9">
        <f>+'ELBA BOOK'!A150</f>
        <v>40725</v>
      </c>
      <c r="H175" s="379">
        <f>+(SHIPS!C158+SHIPS!C468)*($G176-$G175)</f>
        <v>1058949.7158957287</v>
      </c>
      <c r="I175" s="379">
        <f>+(SHIPS!D158+SHIPS!D468)*($G176-$G175)</f>
        <v>2020944.4633190683</v>
      </c>
      <c r="J175" s="379"/>
    </row>
    <row r="176" spans="7:10" x14ac:dyDescent="0.2">
      <c r="G176" s="9">
        <f>+'ELBA BOOK'!A151</f>
        <v>40756</v>
      </c>
      <c r="H176" s="379">
        <f>+(SHIPS!C159+SHIPS!C469)*($G177-$G176)</f>
        <v>1060122.527803845</v>
      </c>
      <c r="I176" s="379">
        <f>+(SHIPS!D159+SHIPS!D469)*($G177-$G176)</f>
        <v>2021806.118450983</v>
      </c>
      <c r="J176" s="379"/>
    </row>
    <row r="177" spans="7:10" x14ac:dyDescent="0.2">
      <c r="G177" s="9">
        <f>+'ELBA BOOK'!A152</f>
        <v>40787</v>
      </c>
      <c r="H177" s="379">
        <f>+(SHIPS!C160+SHIPS!C470)*($G178-$G177)</f>
        <v>1027062.3707130029</v>
      </c>
      <c r="I177" s="379">
        <f>+(SHIPS!D160+SHIPS!D470)*($G178-$G177)</f>
        <v>1957422.1632558929</v>
      </c>
      <c r="J177" s="379"/>
    </row>
    <row r="178" spans="7:10" x14ac:dyDescent="0.2">
      <c r="G178" s="9">
        <f>+'ELBA BOOK'!A153</f>
        <v>40817</v>
      </c>
      <c r="H178" s="379">
        <f>+(SHIPS!C161+SHIPS!C471)*($G179-$G178)</f>
        <v>1062475.4867848328</v>
      </c>
      <c r="I178" s="379">
        <f>+(SHIPS!D161+SHIPS!D471)*($G179-$G178)</f>
        <v>2023534.8177992096</v>
      </c>
      <c r="J178" s="379"/>
    </row>
    <row r="179" spans="7:10" x14ac:dyDescent="0.2">
      <c r="G179" s="9">
        <f>+'ELBA BOOK'!A154</f>
        <v>40848</v>
      </c>
      <c r="H179" s="379">
        <f>+(SHIPS!C162+SHIPS!C472)*($G180-$G179)</f>
        <v>1029344.1716602915</v>
      </c>
      <c r="I179" s="379">
        <f>+(SHIPS!D162+SHIPS!D472)*($G180-$G179)</f>
        <v>1959098.5833899595</v>
      </c>
      <c r="J179" s="379"/>
    </row>
    <row r="180" spans="7:10" x14ac:dyDescent="0.2">
      <c r="G180" s="9">
        <f>+'ELBA BOOK'!A155</f>
        <v>40878</v>
      </c>
      <c r="H180" s="379">
        <f>+(SHIPS!C163+SHIPS!C473)*($G181-$G180)</f>
        <v>1064838.2599740699</v>
      </c>
      <c r="I180" s="379">
        <f>+(SHIPS!D163+SHIPS!D473)*($G181-$G180)</f>
        <v>2025270.7275644226</v>
      </c>
      <c r="J180" s="379"/>
    </row>
    <row r="181" spans="7:10" x14ac:dyDescent="0.2">
      <c r="G181" s="9">
        <f>+'ELBA BOOK'!A156</f>
        <v>40909</v>
      </c>
      <c r="H181" s="379">
        <f>+(SHIPS!C164+SHIPS!C474)*($G182-$G181)</f>
        <v>1066023.3396823492</v>
      </c>
      <c r="I181" s="379">
        <f>+(SHIPS!D164+SHIPS!D474)*($G182-$G181)</f>
        <v>2026141.3957468485</v>
      </c>
      <c r="J181" s="379"/>
    </row>
    <row r="182" spans="7:10" x14ac:dyDescent="0.2">
      <c r="G182" s="9">
        <f>+'ELBA BOOK'!A157</f>
        <v>40940</v>
      </c>
      <c r="H182" s="379">
        <f>+(SHIPS!C165+SHIPS!C475)*($G183-$G182)</f>
        <v>998358.57293206255</v>
      </c>
      <c r="I182" s="379">
        <f>+(SHIPS!D165+SHIPS!D475)*($G183-$G182)</f>
        <v>1896238.7889296229</v>
      </c>
      <c r="J182" s="379"/>
    </row>
    <row r="183" spans="7:10" x14ac:dyDescent="0.2">
      <c r="G183" s="9">
        <f>+'ELBA BOOK'!A158</f>
        <v>40969</v>
      </c>
      <c r="H183" s="379">
        <f>+(SHIPS!C166+SHIPS!C476)*($G184-$G183)</f>
        <v>1068400.9109906596</v>
      </c>
      <c r="I183" s="379">
        <f>+(SHIPS!D166+SHIPS!D476)*($G184-$G183)</f>
        <v>2027888.1775667823</v>
      </c>
      <c r="J183" s="379"/>
    </row>
    <row r="184" spans="7:10" x14ac:dyDescent="0.2">
      <c r="G184" s="9">
        <f>+'ELBA BOOK'!A159</f>
        <v>41000</v>
      </c>
      <c r="H184" s="379">
        <f>+(SHIPS!C167+SHIPS!C477)*($G185-$G184)</f>
        <v>1035090.3995695715</v>
      </c>
      <c r="I184" s="379">
        <f>+(SHIPS!D167+SHIPS!D477)*($G185-$G184)</f>
        <v>1963320.2891323031</v>
      </c>
      <c r="J184" s="379"/>
    </row>
    <row r="185" spans="7:10" x14ac:dyDescent="0.2">
      <c r="G185" s="9">
        <f>+'ELBA BOOK'!A160</f>
        <v>41030</v>
      </c>
      <c r="H185" s="379">
        <f>+(SHIPS!C168+SHIPS!C478)*($G186-$G185)</f>
        <v>1070788.3991654082</v>
      </c>
      <c r="I185" s="379">
        <f>+(SHIPS!D168+SHIPS!D478)*($G186-$G185)</f>
        <v>2029642.2452258174</v>
      </c>
      <c r="J185" s="379"/>
    </row>
    <row r="186" spans="7:10" x14ac:dyDescent="0.2">
      <c r="G186" s="9">
        <f>+'ELBA BOOK'!A161</f>
        <v>41061</v>
      </c>
      <c r="H186" s="379">
        <f>+(SHIPS!C169+SHIPS!C479)*($G187-$G186)</f>
        <v>1037405.6854809707</v>
      </c>
      <c r="I186" s="379">
        <f>+(SHIPS!D169+SHIPS!D479)*($G187-$G186)</f>
        <v>1965021.3103903593</v>
      </c>
      <c r="J186" s="379"/>
    </row>
    <row r="187" spans="7:10" x14ac:dyDescent="0.2">
      <c r="G187" s="9">
        <f>+'ELBA BOOK'!A162</f>
        <v>41091</v>
      </c>
      <c r="H187" s="379">
        <f>+(SHIPS!C170+SHIPS!C480)*($G188-$G187)</f>
        <v>1073185.8455699135</v>
      </c>
      <c r="I187" s="379">
        <f>+(SHIPS!D170+SHIPS!D480)*($G188-$G187)</f>
        <v>2031403.6291132397</v>
      </c>
      <c r="J187" s="379"/>
    </row>
    <row r="188" spans="7:10" x14ac:dyDescent="0.2">
      <c r="G188" s="9">
        <f>+'ELBA BOOK'!A163</f>
        <v>41122</v>
      </c>
      <c r="H188" s="379">
        <f>+(SHIPS!C171+SHIPS!C481)*($G189-$G188)</f>
        <v>1074388.3160815174</v>
      </c>
      <c r="I188" s="379">
        <f>+(SHIPS!D171+SHIPS!D481)*($G189-$G188)</f>
        <v>2032287.0741738921</v>
      </c>
      <c r="J188" s="379"/>
    </row>
    <row r="189" spans="7:10" x14ac:dyDescent="0.2">
      <c r="G189" s="9">
        <f>+'ELBA BOOK'!A164</f>
        <v>41153</v>
      </c>
      <c r="H189" s="379">
        <f>+(SHIPS!C172+SHIPS!C482)*($G190-$G189)</f>
        <v>1040896.7339419556</v>
      </c>
      <c r="I189" s="379">
        <f>+(SHIPS!D172+SHIPS!D482)*($G190-$G189)</f>
        <v>1967586.1545920204</v>
      </c>
      <c r="J189" s="379"/>
    </row>
    <row r="190" spans="7:10" x14ac:dyDescent="0.2">
      <c r="G190" s="9">
        <f>+'ELBA BOOK'!A165</f>
        <v>41183</v>
      </c>
      <c r="H190" s="379">
        <f>+(SHIPS!C173+SHIPS!C483)*($G191-$G190)</f>
        <v>1076800.7777644792</v>
      </c>
      <c r="I190" s="379">
        <f>+(SHIPS!D173+SHIPS!D483)*($G191-$G190)</f>
        <v>2034059.4896612235</v>
      </c>
      <c r="J190" s="379"/>
    </row>
    <row r="191" spans="7:10" x14ac:dyDescent="0.2">
      <c r="G191" s="9">
        <f>+'ELBA BOOK'!A166</f>
        <v>41214</v>
      </c>
      <c r="H191" s="379">
        <f>+(SHIPS!C174+SHIPS!C484)*($G192-$G191)</f>
        <v>1043236.238114344</v>
      </c>
      <c r="I191" s="379">
        <f>+(SHIPS!D174+SHIPS!D484)*($G192-$G191)</f>
        <v>1969304.9688045331</v>
      </c>
      <c r="J191" s="379"/>
    </row>
    <row r="192" spans="7:10" x14ac:dyDescent="0.2">
      <c r="G192" s="9">
        <f>+'ELBA BOOK'!A167</f>
        <v>41244</v>
      </c>
      <c r="H192" s="379">
        <f>+(SHIPS!C175+SHIPS!C485)*($G193-$G192)</f>
        <v>1079223.3018418739</v>
      </c>
      <c r="I192" s="379">
        <f>+(SHIPS!D175+SHIPS!D485)*($G193-$G192)</f>
        <v>2035839.2979058607</v>
      </c>
      <c r="J192" s="379"/>
    </row>
    <row r="193" spans="7:10" x14ac:dyDescent="0.2">
      <c r="G193" s="9">
        <f>+'ELBA BOOK'!A168</f>
        <v>41275</v>
      </c>
      <c r="H193" s="379">
        <f>+(SHIPS!C176+SHIPS!C486)*($G194-$G193)</f>
        <v>1080438.3503873777</v>
      </c>
      <c r="I193" s="379">
        <f>+(SHIPS!D176+SHIPS!D486)*($G194-$G193)</f>
        <v>2036731.9839431648</v>
      </c>
      <c r="J193" s="379"/>
    </row>
    <row r="194" spans="7:10" x14ac:dyDescent="0.2">
      <c r="G194" s="9">
        <f>+'ELBA BOOK'!A169</f>
        <v>41306</v>
      </c>
      <c r="H194" s="379">
        <f>+(SHIPS!C177+SHIPS!C487)*($G195-$G194)</f>
        <v>976979.54993395181</v>
      </c>
      <c r="I194" s="379">
        <f>+(SHIPS!D177+SHIPS!D487)*($G195-$G194)</f>
        <v>1840436.8655743648</v>
      </c>
      <c r="J194" s="379"/>
    </row>
    <row r="195" spans="7:10" x14ac:dyDescent="0.2">
      <c r="G195" s="9">
        <f>+'ELBA BOOK'!A170</f>
        <v>41334</v>
      </c>
      <c r="H195" s="379">
        <f>+(SHIPS!C178+SHIPS!C488)*($G196-$G195)</f>
        <v>1082876.0468054432</v>
      </c>
      <c r="I195" s="379">
        <f>+(SHIPS!D178+SHIPS!D488)*($G196-$G195)</f>
        <v>2038522.9391800114</v>
      </c>
      <c r="J195" s="379"/>
    </row>
    <row r="196" spans="7:10" x14ac:dyDescent="0.2">
      <c r="G196" s="9">
        <f>+'ELBA BOOK'!A171</f>
        <v>41365</v>
      </c>
      <c r="H196" s="379">
        <f>+(SHIPS!C179+SHIPS!C489)*($G197-$G196)</f>
        <v>1049127.7792609236</v>
      </c>
      <c r="I196" s="379">
        <f>+(SHIPS!D179+SHIPS!D489)*($G197-$G196)</f>
        <v>1973633.4349709384</v>
      </c>
      <c r="J196" s="379"/>
    </row>
    <row r="197" spans="7:10" x14ac:dyDescent="0.2">
      <c r="G197" s="9">
        <f>+'ELBA BOOK'!A172</f>
        <v>41395</v>
      </c>
      <c r="H197" s="379">
        <f>+(SHIPS!C180+SHIPS!C490)*($G198-$G197)</f>
        <v>1085323.910872197</v>
      </c>
      <c r="I197" s="379">
        <f>+(SHIPS!D180+SHIPS!D490)*($G198-$G197)</f>
        <v>2040321.3645035878</v>
      </c>
      <c r="J197" s="379"/>
    </row>
    <row r="198" spans="7:10" x14ac:dyDescent="0.2">
      <c r="G198" s="9">
        <f>+'ELBA BOOK'!A173</f>
        <v>41426</v>
      </c>
      <c r="H198" s="379">
        <f>+(SHIPS!C181+SHIPS!C491)*($G199-$G198)</f>
        <v>1051501.6151804975</v>
      </c>
      <c r="I198" s="379">
        <f>+(SHIPS!D181+SHIPS!D491)*($G199-$G198)</f>
        <v>1975377.4724319067</v>
      </c>
      <c r="J198" s="379"/>
    </row>
    <row r="199" spans="7:10" x14ac:dyDescent="0.2">
      <c r="G199" s="9">
        <f>+'ELBA BOOK'!A174</f>
        <v>41456</v>
      </c>
      <c r="H199" s="379">
        <f>+(SHIPS!C182+SHIPS!C492)*($G200-$G199)</f>
        <v>1087781.9849969721</v>
      </c>
      <c r="I199" s="379">
        <f>+(SHIPS!D182+SHIPS!D492)*($G200-$G199)</f>
        <v>2042127.2910716778</v>
      </c>
      <c r="J199" s="379"/>
    </row>
    <row r="200" spans="7:10" x14ac:dyDescent="0.2">
      <c r="G200" s="9">
        <f>+'ELBA BOOK'!A175</f>
        <v>41487</v>
      </c>
      <c r="H200" s="379">
        <f>+(SHIPS!C183+SHIPS!C493)*($G201-$G200)</f>
        <v>1089014.8641323824</v>
      </c>
      <c r="I200" s="379">
        <f>+(SHIPS!D183+SHIPS!D493)*($G201-$G200)</f>
        <v>2043033.077094744</v>
      </c>
      <c r="J200" s="379"/>
    </row>
    <row r="201" spans="7:10" x14ac:dyDescent="0.2">
      <c r="G201" s="9">
        <f>+'ELBA BOOK'!A176</f>
        <v>41518</v>
      </c>
      <c r="H201" s="379">
        <f>+(SHIPS!C184+SHIPS!C494)*($G202-$G201)</f>
        <v>1055080.9468703144</v>
      </c>
      <c r="I201" s="379">
        <f>+(SHIPS!D184+SHIPS!D494)*($G202-$G201)</f>
        <v>1978007.17758583</v>
      </c>
      <c r="J201" s="379"/>
    </row>
    <row r="202" spans="7:10" x14ac:dyDescent="0.2">
      <c r="G202" s="9">
        <f>+'ELBA BOOK'!A177</f>
        <v>41548</v>
      </c>
      <c r="H202" s="379">
        <f>+(SHIPS!C185+SHIPS!C495)*($G203-$G202)</f>
        <v>1091488.3332488374</v>
      </c>
      <c r="I202" s="379">
        <f>+(SHIPS!D185+SHIPS!D495)*($G203-$G202)</f>
        <v>2044850.3142348831</v>
      </c>
      <c r="J202" s="379"/>
    </row>
    <row r="203" spans="7:10" x14ac:dyDescent="0.2">
      <c r="G203" s="9">
        <f>+'ELBA BOOK'!A178</f>
        <v>41579</v>
      </c>
      <c r="H203" s="379">
        <f>+(SHIPS!C186+SHIPS!C496)*($G204-$G203)</f>
        <v>1057479.6134933284</v>
      </c>
      <c r="I203" s="379">
        <f>+(SHIPS!D186+SHIPS!D496)*($G204-$G203)</f>
        <v>1979769.4579576184</v>
      </c>
      <c r="J203" s="379"/>
    </row>
    <row r="204" spans="7:10" x14ac:dyDescent="0.2">
      <c r="G204" s="9">
        <f>+'ELBA BOOK'!A179</f>
        <v>41609</v>
      </c>
      <c r="H204" s="379">
        <f>+(SHIPS!C187+SHIPS!C497)*($G205-$G204)</f>
        <v>1093972.1192221541</v>
      </c>
      <c r="I204" s="379">
        <f>+(SHIPS!D187+SHIPS!D497)*($G205-$G204)</f>
        <v>2046675.1310837537</v>
      </c>
      <c r="J204" s="379"/>
    </row>
    <row r="205" spans="7:10" x14ac:dyDescent="0.2">
      <c r="G205" s="9">
        <f>+'ELBA BOOK'!A180</f>
        <v>41640</v>
      </c>
      <c r="H205" s="379">
        <f>+(SHIPS!C188+SHIPS!C498)*($G206-$G205)</f>
        <v>1095217.8944705338</v>
      </c>
      <c r="I205" s="379">
        <f>+(SHIPS!D188+SHIPS!D498)*($G206-$G205)</f>
        <v>2047590.3917735112</v>
      </c>
      <c r="J205" s="379"/>
    </row>
    <row r="206" spans="7:10" x14ac:dyDescent="0.2">
      <c r="G206" s="9">
        <f>+'ELBA BOOK'!A181</f>
        <v>41671</v>
      </c>
      <c r="H206" s="379">
        <f>+(SHIPS!C189+SHIPS!C499)*($G207-$G206)</f>
        <v>990356.62652749661</v>
      </c>
      <c r="I206" s="379">
        <f>+(SHIPS!D189+SHIPS!D499)*($G207-$G206)</f>
        <v>1850264.8922315622</v>
      </c>
      <c r="J206" s="379"/>
    </row>
    <row r="207" spans="7:10" x14ac:dyDescent="0.2">
      <c r="G207" s="9">
        <f>+'ELBA BOOK'!A182</f>
        <v>41699</v>
      </c>
      <c r="H207" s="379">
        <f>+(SHIPS!C190+SHIPS!C500)*($G208-$G207)</f>
        <v>1097717.2364696059</v>
      </c>
      <c r="I207" s="379">
        <f>+(SHIPS!D190+SHIPS!D500)*($G208-$G207)</f>
        <v>2049426.6375048237</v>
      </c>
      <c r="J207" s="379"/>
    </row>
    <row r="208" spans="7:10" x14ac:dyDescent="0.2">
      <c r="G208" s="9">
        <f>+'ELBA BOOK'!A183</f>
        <v>41730</v>
      </c>
      <c r="H208" s="379">
        <f>+(SHIPS!C191+SHIPS!C501)*($G209-$G208)</f>
        <v>1063520.1426247591</v>
      </c>
      <c r="I208" s="379">
        <f>+(SHIPS!D191+SHIPS!D501)*($G209-$G208)</f>
        <v>1984207.3843544759</v>
      </c>
      <c r="J208" s="379"/>
    </row>
    <row r="209" spans="7:10" x14ac:dyDescent="0.2">
      <c r="G209" s="9">
        <f>+'ELBA BOOK'!A184</f>
        <v>41760</v>
      </c>
      <c r="H209" s="379">
        <f>+(SHIPS!C192+SHIPS!C502)*($G210-$G209)</f>
        <v>1100227.0032415127</v>
      </c>
      <c r="I209" s="379">
        <f>+(SHIPS!D192+SHIPS!D502)*($G210-$G209)</f>
        <v>2051270.5422298328</v>
      </c>
      <c r="J209" s="379"/>
    </row>
    <row r="210" spans="7:10" x14ac:dyDescent="0.2">
      <c r="G210" s="9">
        <f>+'ELBA BOOK'!A185</f>
        <v>41791</v>
      </c>
      <c r="H210" s="379">
        <f>+(SHIPS!C193+SHIPS!C503)*($G211-$G210)</f>
        <v>1065954.0091918702</v>
      </c>
      <c r="I210" s="379">
        <f>+(SHIPS!D193+SHIPS!D503)*($G211-$G210)</f>
        <v>1985995.5258317536</v>
      </c>
      <c r="J210" s="379"/>
    </row>
    <row r="211" spans="7:10" x14ac:dyDescent="0.2">
      <c r="G211" s="9">
        <f>+'ELBA BOOK'!A186</f>
        <v>41821</v>
      </c>
      <c r="H211" s="379">
        <f>+(SHIPS!C194+SHIPS!C504)*($G212-$G211)</f>
        <v>1102747.2382680541</v>
      </c>
      <c r="I211" s="379">
        <f>+(SHIPS!D194+SHIPS!D504)*($G212-$G211)</f>
        <v>2053122.1378942551</v>
      </c>
      <c r="J211" s="379"/>
    </row>
    <row r="212" spans="7:10" x14ac:dyDescent="0.2">
      <c r="G212" s="9">
        <f>+'ELBA BOOK'!A187</f>
        <v>41852</v>
      </c>
      <c r="H212" s="379">
        <f>+(SHIPS!C195+SHIPS!C505)*($G213-$G212)</f>
        <v>1104011.2950144459</v>
      </c>
      <c r="I212" s="379">
        <f>+(SHIPS!D195+SHIPS!D505)*($G213-$G212)</f>
        <v>2054050.8298482017</v>
      </c>
      <c r="J212" s="379"/>
    </row>
    <row r="213" spans="7:10" x14ac:dyDescent="0.2">
      <c r="G213" s="9">
        <f>+'ELBA BOOK'!A188</f>
        <v>41883</v>
      </c>
      <c r="H213" s="379">
        <f>+(SHIPS!C196+SHIPS!C506)*($G214-$G213)</f>
        <v>1069623.8566571544</v>
      </c>
      <c r="I213" s="379">
        <f>+(SHIPS!D196+SHIPS!D506)*($G214-$G213)</f>
        <v>1988691.7321713406</v>
      </c>
      <c r="J213" s="379"/>
    </row>
    <row r="214" spans="7:10" x14ac:dyDescent="0.2">
      <c r="G214" s="9">
        <f>+'ELBA BOOK'!A189</f>
        <v>41913</v>
      </c>
      <c r="H214" s="379">
        <f>+(SHIPS!C197+SHIPS!C507)*($G215-$G214)</f>
        <v>1106547.314348252</v>
      </c>
      <c r="I214" s="379">
        <f>+(SHIPS!D197+SHIPS!D507)*($G215-$G214)</f>
        <v>2055914.0221115879</v>
      </c>
      <c r="J214" s="379"/>
    </row>
    <row r="215" spans="7:10" x14ac:dyDescent="0.2">
      <c r="G215" s="9">
        <f>+'ELBA BOOK'!A190</f>
        <v>41944</v>
      </c>
      <c r="H215" s="379">
        <f>+(SHIPS!C198+SHIPS!C508)*($G216-$G215)</f>
        <v>1072083.1818578816</v>
      </c>
      <c r="I215" s="379">
        <f>+(SHIPS!D198+SHIPS!D508)*($G216-$G215)</f>
        <v>1990498.5778945035</v>
      </c>
      <c r="J215" s="379"/>
    </row>
    <row r="216" spans="7:10" x14ac:dyDescent="0.2">
      <c r="G216" s="9">
        <f>+'ELBA BOOK'!A191</f>
        <v>41974</v>
      </c>
      <c r="H216" s="379">
        <f>+(SHIPS!C199+SHIPS!C509)*($G217-$G216)</f>
        <v>1109093.9114363105</v>
      </c>
      <c r="I216" s="379">
        <f>+(SHIPS!D199+SHIPS!D509)*($G217-$G216)</f>
        <v>2057784.9857628432</v>
      </c>
      <c r="J216" s="379"/>
    </row>
    <row r="217" spans="7:10" x14ac:dyDescent="0.2">
      <c r="G217" s="9">
        <f>+'ELBA BOOK'!A192</f>
        <v>42005</v>
      </c>
      <c r="H217" s="379">
        <f>+(SHIPS!C200+SHIPS!C510)*($G218-$G217)</f>
        <v>1110371.1904184695</v>
      </c>
      <c r="I217" s="379">
        <f>+(SHIPS!D200+SHIPS!D510)*($G218-$G217)</f>
        <v>2058723.3919831826</v>
      </c>
      <c r="J217" s="379"/>
    </row>
    <row r="218" spans="7:10" x14ac:dyDescent="0.2">
      <c r="G218" s="9">
        <f>+'ELBA BOOK'!A193</f>
        <v>42036</v>
      </c>
      <c r="H218" s="379">
        <f>+(SHIPS!C201+SHIPS!C511)*($G219-$G218)</f>
        <v>1004071.9887470396</v>
      </c>
      <c r="I218" s="379">
        <f>+(SHIPS!D201+SHIPS!D511)*($G219-$G218)</f>
        <v>1860341.4545181114</v>
      </c>
      <c r="J218" s="379"/>
    </row>
    <row r="219" spans="7:10" x14ac:dyDescent="0.2">
      <c r="G219" s="9">
        <f>+'ELBA BOOK'!A194</f>
        <v>42064</v>
      </c>
      <c r="H219" s="379">
        <f>+(SHIPS!C202+SHIPS!C512)*($G220-$G219)</f>
        <v>1112933.7369201719</v>
      </c>
      <c r="I219" s="379">
        <f>+(SHIPS!D202+SHIPS!D512)*($G220-$G219)</f>
        <v>2060606.0735356819</v>
      </c>
      <c r="J219" s="379"/>
    </row>
    <row r="220" spans="7:10" x14ac:dyDescent="0.2">
      <c r="G220" s="9">
        <f>+'ELBA BOOK'!A195</f>
        <v>42095</v>
      </c>
      <c r="H220" s="379">
        <f>+(SHIPS!C203+SHIPS!C513)*($G221-$G220)</f>
        <v>1078276.4666504085</v>
      </c>
      <c r="I220" s="379">
        <f>+(SHIPS!D203+SHIPS!D513)*($G221-$G220)</f>
        <v>1995048.7326021432</v>
      </c>
      <c r="J220" s="379"/>
    </row>
    <row r="221" spans="7:10" x14ac:dyDescent="0.2">
      <c r="G221" s="9">
        <f>+'ELBA BOOK'!A196</f>
        <v>42125</v>
      </c>
      <c r="H221" s="379">
        <f>+(SHIPS!C204+SHIPS!C514)*($G222-$G221)</f>
        <v>1115506.9718211279</v>
      </c>
      <c r="I221" s="379">
        <f>+(SHIPS!D204+SHIPS!D514)*($G222-$G221)</f>
        <v>2062496.6077660108</v>
      </c>
      <c r="J221" s="379"/>
    </row>
    <row r="222" spans="7:10" x14ac:dyDescent="0.2">
      <c r="G222" s="9">
        <f>+'ELBA BOOK'!A197</f>
        <v>42156</v>
      </c>
      <c r="H222" s="379">
        <f>+(SHIPS!C205+SHIPS!C515)*($G223-$G222)</f>
        <v>1080771.8819475053</v>
      </c>
      <c r="I222" s="379">
        <f>+(SHIPS!D205+SHIPS!D515)*($G223-$G222)</f>
        <v>1996882.0934182485</v>
      </c>
      <c r="J222" s="379"/>
    </row>
    <row r="223" spans="7:10" x14ac:dyDescent="0.2">
      <c r="G223" s="9">
        <f>+'ELBA BOOK'!A198</f>
        <v>42186</v>
      </c>
      <c r="H223" s="379">
        <f>+(SHIPS!C206+SHIPS!C516)*($G224-$G223)</f>
        <v>1118090.9397027257</v>
      </c>
      <c r="I223" s="379">
        <f>+(SHIPS!D206+SHIPS!D516)*($G224-$G223)</f>
        <v>2064395.0274277437</v>
      </c>
      <c r="J223" s="379"/>
    </row>
    <row r="224" spans="7:10" x14ac:dyDescent="0.2">
      <c r="G224" s="9">
        <f>+'ELBA BOOK'!A199</f>
        <v>42217</v>
      </c>
      <c r="H224" s="379">
        <f>+(SHIPS!C207+SHIPS!C517)*($G225-$G224)</f>
        <v>1119386.9624937733</v>
      </c>
      <c r="I224" s="379">
        <f>+(SHIPS!D207+SHIPS!D517)*($G225-$G224)</f>
        <v>2065347.2045682182</v>
      </c>
      <c r="J224" s="379"/>
    </row>
    <row r="225" spans="7:10" x14ac:dyDescent="0.2">
      <c r="G225" s="9">
        <f>+'ELBA BOOK'!A200</f>
        <v>42248</v>
      </c>
      <c r="H225" s="379">
        <f>+(SHIPS!C208+SHIPS!C518)*($G226-$G225)</f>
        <v>1084534.5341925502</v>
      </c>
      <c r="I225" s="379">
        <f>+(SHIPS!D208+SHIPS!D518)*($G226-$G225)</f>
        <v>1999646.4826558726</v>
      </c>
      <c r="J225" s="379"/>
    </row>
    <row r="226" spans="7:10" x14ac:dyDescent="0.2">
      <c r="G226" s="9">
        <f>+'ELBA BOOK'!A201</f>
        <v>42278</v>
      </c>
      <c r="H226" s="379">
        <f>+(SHIPS!C209+SHIPS!C519)*($G227-$G226)</f>
        <v>1121987.113843411</v>
      </c>
      <c r="I226" s="379">
        <f>+(SHIPS!D209+SHIPS!D519)*($G227-$G226)</f>
        <v>2067257.5140890081</v>
      </c>
      <c r="J226" s="379"/>
    </row>
    <row r="227" spans="7:10" x14ac:dyDescent="0.2">
      <c r="G227" s="9">
        <f>+'ELBA BOOK'!A202</f>
        <v>42309</v>
      </c>
      <c r="H227" s="379">
        <f>+(SHIPS!C210+SHIPS!C520)*($G228-$G227)</f>
        <v>1087056.0519328238</v>
      </c>
      <c r="I227" s="379">
        <f>+(SHIPS!D210+SHIPS!D520)*($G228-$G227)</f>
        <v>2001499.020719381</v>
      </c>
      <c r="J227" s="379"/>
    </row>
    <row r="228" spans="7:10" x14ac:dyDescent="0.2">
      <c r="G228" s="9">
        <f>+'ELBA BOOK'!A203</f>
        <v>42339</v>
      </c>
      <c r="H228" s="379">
        <f>+(SHIPS!C211+SHIPS!C521)*($G229-$G228)</f>
        <v>1124598.1104423848</v>
      </c>
      <c r="I228" s="379">
        <f>+(SHIPS!D211+SHIPS!D521)*($G229-$G228)</f>
        <v>2069175.7915240757</v>
      </c>
      <c r="J228" s="379"/>
    </row>
    <row r="229" spans="7:10" x14ac:dyDescent="0.2">
      <c r="G229" s="9">
        <f>+'ELBA BOOK'!A204</f>
        <v>42370</v>
      </c>
      <c r="H229" s="379">
        <f>+(SHIPS!C212+SHIPS!C522)*($G230-$G229)</f>
        <v>1125907.6898391398</v>
      </c>
      <c r="I229" s="379">
        <f>+(SHIPS!D212+SHIPS!D522)*($G230-$G229)</f>
        <v>2070137.9285897508</v>
      </c>
      <c r="J229" s="379"/>
    </row>
    <row r="230" spans="7:10" x14ac:dyDescent="0.2">
      <c r="G230" s="9">
        <f>+'ELBA BOOK'!A205</f>
        <v>42401</v>
      </c>
      <c r="H230" s="379">
        <f>+(SHIPS!C213+SHIPS!C523)*($G231-$G230)</f>
        <v>1054496.126718156</v>
      </c>
      <c r="I230" s="379">
        <f>+(SHIPS!D213+SHIPS!D523)*($G231-$G230)</f>
        <v>1937482.5817136045</v>
      </c>
      <c r="J230" s="379"/>
    </row>
    <row r="231" spans="7:10" x14ac:dyDescent="0.2">
      <c r="G231" s="9">
        <f>+'ELBA BOOK'!A206</f>
        <v>42430</v>
      </c>
      <c r="H231" s="379">
        <f>+(SHIPS!C214+SHIPS!C524)*($G232-$G231)</f>
        <v>1128535.0391878181</v>
      </c>
      <c r="I231" s="379">
        <f>+(SHIPS!D214+SHIPS!D524)*($G232-$G231)</f>
        <v>2072068.2202537039</v>
      </c>
      <c r="J231" s="379"/>
    </row>
    <row r="232" spans="7:10" x14ac:dyDescent="0.2">
      <c r="G232" s="9">
        <f>+'ELBA BOOK'!A207</f>
        <v>42461</v>
      </c>
      <c r="H232" s="379">
        <f>+(SHIPS!C215+SHIPS!C525)*($G233-$G232)</f>
        <v>1093405.9553414122</v>
      </c>
      <c r="I232" s="379">
        <f>+(SHIPS!D215+SHIPS!D525)*($G233-$G232)</f>
        <v>2006164.241818612</v>
      </c>
      <c r="J232" s="379"/>
    </row>
    <row r="233" spans="7:10" x14ac:dyDescent="0.2">
      <c r="G233" s="9">
        <f>+'ELBA BOOK'!A208</f>
        <v>42491</v>
      </c>
      <c r="H233" s="379">
        <f>+(SHIPS!C216+SHIPS!C526)*($G234-$G233)</f>
        <v>1131173.3472288749</v>
      </c>
      <c r="I233" s="379">
        <f>+(SHIPS!D216+SHIPS!D526)*($G234-$G233)</f>
        <v>2074006.5631775919</v>
      </c>
      <c r="J233" s="379"/>
    </row>
    <row r="234" spans="7:10" x14ac:dyDescent="0.2">
      <c r="G234" s="9">
        <f>+'ELBA BOOK'!A209</f>
        <v>42522</v>
      </c>
      <c r="H234" s="379">
        <f>+(SHIPS!C217+SHIPS!C527)*($G235-$G234)</f>
        <v>1095964.475840905</v>
      </c>
      <c r="I234" s="379">
        <f>+(SHIPS!D217+SHIPS!D527)*($G235-$G234)</f>
        <v>2008043.9655008502</v>
      </c>
      <c r="J234" s="379"/>
    </row>
    <row r="235" spans="7:10" x14ac:dyDescent="0.2">
      <c r="G235" s="9">
        <f>+'ELBA BOOK'!A210</f>
        <v>42552</v>
      </c>
      <c r="H235" s="379">
        <f>+(SHIPS!C218+SHIPS!C528)*($G236-$G235)</f>
        <v>1133822.6596710924</v>
      </c>
      <c r="I235" s="379">
        <f>+(SHIPS!D218+SHIPS!D528)*($G236-$G235)</f>
        <v>2075952.9909432763</v>
      </c>
      <c r="J235" s="379"/>
    </row>
    <row r="236" spans="7:10" x14ac:dyDescent="0.2">
      <c r="G236" s="9">
        <f>+'ELBA BOOK'!A211</f>
        <v>42583</v>
      </c>
      <c r="H236" s="379">
        <f>+(SHIPS!C219+SHIPS!C529)*($G237-$G236)</f>
        <v>1135151.4568787408</v>
      </c>
      <c r="I236" s="379">
        <f>+(SHIPS!D219+SHIPS!D529)*($G237-$G236)</f>
        <v>2076929.2471744083</v>
      </c>
      <c r="J236" s="379"/>
    </row>
    <row r="237" spans="7:10" x14ac:dyDescent="0.2">
      <c r="G237" s="9">
        <f>+'ELBA BOOK'!A212</f>
        <v>42614</v>
      </c>
      <c r="H237" s="379">
        <f>+(SHIPS!C220+SHIPS!C530)*($G238-$G237)</f>
        <v>1099822.2797553919</v>
      </c>
      <c r="I237" s="379">
        <f>+(SHIPS!D220+SHIPS!D530)*($G238-$G237)</f>
        <v>2010878.2618767952</v>
      </c>
      <c r="J237" s="379"/>
    </row>
    <row r="238" spans="7:10" x14ac:dyDescent="0.2">
      <c r="G238" s="9">
        <f>+'ELBA BOOK'!A213</f>
        <v>42644</v>
      </c>
      <c r="H238" s="379">
        <f>+(SHIPS!C221+SHIPS!C531)*($G239-$G238)</f>
        <v>1137817.3620439339</v>
      </c>
      <c r="I238" s="379">
        <f>+(SHIPS!D221+SHIPS!D531)*($G239-$G238)</f>
        <v>2078887.8654753396</v>
      </c>
      <c r="J238" s="379"/>
    </row>
    <row r="239" spans="7:10" x14ac:dyDescent="0.2">
      <c r="G239" s="9">
        <f>+'ELBA BOOK'!A214</f>
        <v>42675</v>
      </c>
      <c r="H239" s="379">
        <f>+(SHIPS!C222+SHIPS!C532)*($G240-$G239)</f>
        <v>1102407.5627885731</v>
      </c>
      <c r="I239" s="379">
        <f>+(SHIPS!D222+SHIPS!D532)*($G240-$G239)</f>
        <v>2012777.6477694323</v>
      </c>
      <c r="J239" s="379"/>
    </row>
    <row r="240" spans="7:10" x14ac:dyDescent="0.2">
      <c r="G240" s="9">
        <f>+'ELBA BOOK'!A215</f>
        <v>42705</v>
      </c>
      <c r="H240" s="379">
        <f>+(SHIPS!C223+SHIPS!C533)*($G241-$G240)</f>
        <v>1140494.3867180843</v>
      </c>
      <c r="I240" s="379">
        <f>+(SHIPS!D223+SHIPS!D533)*($G241-$G240)</f>
        <v>2080854.6531868058</v>
      </c>
      <c r="J240" s="379"/>
    </row>
    <row r="241" spans="7:10" x14ac:dyDescent="0.2">
      <c r="G241" s="9">
        <f>+'ELBA BOOK'!A216</f>
        <v>42736</v>
      </c>
      <c r="H241" s="379">
        <f>+(SHIPS!C224+SHIPS!C534)*($G242-$G241)</f>
        <v>1141837.0833570804</v>
      </c>
      <c r="I241" s="379">
        <f>+(SHIPS!D224+SHIPS!D534)*($G242-$G241)</f>
        <v>2081841.1212142785</v>
      </c>
      <c r="J241" s="379"/>
    </row>
    <row r="242" spans="7:10" x14ac:dyDescent="0.2">
      <c r="G242" s="9">
        <f>+'ELBA BOOK'!A217</f>
        <v>42767</v>
      </c>
      <c r="H242" s="379">
        <f>+(SHIPS!C225+SHIPS!C535)*($G243-$G242)</f>
        <v>1032552.0052858306</v>
      </c>
      <c r="I242" s="379">
        <f>+(SHIPS!D225+SHIPS!D535)*($G243-$G242)</f>
        <v>1881265.4852495906</v>
      </c>
      <c r="J242" s="379"/>
    </row>
    <row r="243" spans="7:10" x14ac:dyDescent="0.2">
      <c r="G243" s="9">
        <f>+'ELBA BOOK'!A218</f>
        <v>42795</v>
      </c>
      <c r="H243" s="379">
        <f>+(SHIPS!C226+SHIPS!C536)*($G244-$G243)</f>
        <v>1144530.8743167426</v>
      </c>
      <c r="I243" s="379">
        <f>+(SHIPS!D226+SHIPS!D536)*($G244-$G243)</f>
        <v>2083820.2269759409</v>
      </c>
      <c r="J243" s="379"/>
    </row>
    <row r="244" spans="7:10" x14ac:dyDescent="0.2">
      <c r="G244" s="9">
        <f>+'ELBA BOOK'!A219</f>
        <v>42826</v>
      </c>
      <c r="H244" s="379">
        <f>+(SHIPS!C227+SHIPS!C537)*($G245-$G244)</f>
        <v>1108918.0454563573</v>
      </c>
      <c r="I244" s="379">
        <f>+(SHIPS!D227+SHIPS!D537)*($G245-$G244)</f>
        <v>2017560.8451117487</v>
      </c>
      <c r="J244" s="379"/>
    </row>
    <row r="245" spans="7:10" x14ac:dyDescent="0.2">
      <c r="G245" s="9">
        <f>+'ELBA BOOK'!A220</f>
        <v>42856</v>
      </c>
      <c r="H245" s="379">
        <f>+(SHIPS!C228+SHIPS!C538)*($G246-$G245)</f>
        <v>1147235.9010972045</v>
      </c>
      <c r="I245" s="379">
        <f>+(SHIPS!D228+SHIPS!D538)*($G246-$G245)</f>
        <v>2085807.5876014782</v>
      </c>
      <c r="J245" s="379"/>
    </row>
    <row r="246" spans="7:10" x14ac:dyDescent="0.2">
      <c r="G246" s="9">
        <f>+'ELBA BOOK'!A221</f>
        <v>42887</v>
      </c>
      <c r="H246" s="379">
        <f>+(SHIPS!C229+SHIPS!C539)*($G247-$G246)</f>
        <v>1111541.2669914423</v>
      </c>
      <c r="I246" s="379">
        <f>+(SHIPS!D229+SHIPS!D539)*($G247-$G246)</f>
        <v>2019488.1041054658</v>
      </c>
      <c r="J246" s="379"/>
    </row>
    <row r="247" spans="7:10" x14ac:dyDescent="0.2">
      <c r="G247" s="9">
        <f>+'ELBA BOOK'!A222</f>
        <v>42917</v>
      </c>
      <c r="H247" s="379">
        <f>+(SHIPS!C230+SHIPS!C540)*($G248-$G247)</f>
        <v>1149952.2105631526</v>
      </c>
      <c r="I247" s="379">
        <f>+(SHIPS!D230+SHIPS!D540)*($G248-$G247)</f>
        <v>2087803.2375219865</v>
      </c>
      <c r="J247" s="379"/>
    </row>
    <row r="248" spans="7:10" x14ac:dyDescent="0.2">
      <c r="G248" s="9">
        <f>+'ELBA BOOK'!A223</f>
        <v>42948</v>
      </c>
      <c r="H248" s="379">
        <f>+(SHIPS!C231+SHIPS!C541)*($G249-$G248)</f>
        <v>1151314.6110018257</v>
      </c>
      <c r="I248" s="379">
        <f>+(SHIPS!D231+SHIPS!D541)*($G249-$G248)</f>
        <v>2088804.1817668239</v>
      </c>
      <c r="J248" s="379"/>
    </row>
    <row r="249" spans="7:10" x14ac:dyDescent="0.2">
      <c r="G249" s="9">
        <f>+'ELBA BOOK'!A224</f>
        <v>42979</v>
      </c>
      <c r="H249" s="379">
        <f>+(SHIPS!C232+SHIPS!C542)*($G250-$G249)</f>
        <v>1115496.6288142705</v>
      </c>
      <c r="I249" s="379">
        <f>+(SHIPS!D232+SHIPS!D542)*($G250-$G249)</f>
        <v>2022394.0754633918</v>
      </c>
      <c r="J249" s="379"/>
    </row>
    <row r="250" spans="7:10" x14ac:dyDescent="0.2">
      <c r="G250" s="9">
        <f>+'ELBA BOOK'!A225</f>
        <v>43009</v>
      </c>
      <c r="H250" s="379">
        <f>+(SHIPS!C233+SHIPS!C543)*($G251-$G250)</f>
        <v>1154047.9327951104</v>
      </c>
      <c r="I250" s="379">
        <f>+(SHIPS!D233+SHIPS!D543)*($G251-$G250)</f>
        <v>2090812.3305024051</v>
      </c>
      <c r="J250" s="379"/>
    </row>
    <row r="251" spans="7:10" x14ac:dyDescent="0.2">
      <c r="G251" s="9">
        <f>+'ELBA BOOK'!A226</f>
        <v>43040</v>
      </c>
      <c r="H251" s="379">
        <f>+(SHIPS!C234+SHIPS!C544)*($G252-$G251)</f>
        <v>1118147.2896662259</v>
      </c>
      <c r="I251" s="379">
        <f>+(SHIPS!D234+SHIPS!D544)*($G252-$G251)</f>
        <v>2024341.4938944699</v>
      </c>
      <c r="J251" s="379"/>
    </row>
    <row r="252" spans="7:10" x14ac:dyDescent="0.2">
      <c r="G252" s="9">
        <f>+'ELBA BOOK'!A227</f>
        <v>43070</v>
      </c>
      <c r="H252" s="379">
        <f>+(SHIPS!C235+SHIPS!C545)*($G253-$G252)</f>
        <v>1156792.6552925762</v>
      </c>
      <c r="I252" s="379">
        <f>+(SHIPS!D235+SHIPS!D545)*($G253-$G252)</f>
        <v>2092828.8552403084</v>
      </c>
      <c r="J252" s="379"/>
    </row>
    <row r="253" spans="7:10" x14ac:dyDescent="0.2">
      <c r="G253" s="9">
        <f>+'ELBA BOOK'!A228</f>
        <v>43101</v>
      </c>
      <c r="H253" s="379">
        <f>+(SHIPS!C236+SHIPS!C546)*($G254-$G253)</f>
        <v>0</v>
      </c>
      <c r="I253" s="379">
        <f>+(SHIPS!D236+SHIPS!D546)*($G254-$G253)</f>
        <v>2093840.269522059</v>
      </c>
      <c r="J253" s="379"/>
    </row>
    <row r="254" spans="7:10" x14ac:dyDescent="0.2">
      <c r="G254" s="9">
        <f>+'ELBA BOOK'!A229</f>
        <v>43132</v>
      </c>
      <c r="H254" s="379">
        <f>+(SHIPS!C237+SHIPS!C547)*($G255-$G254)</f>
        <v>0</v>
      </c>
      <c r="I254" s="379">
        <f>+(SHIPS!D237+SHIPS!D547)*($G255-$G254)</f>
        <v>1892126.0046991324</v>
      </c>
      <c r="J254" s="379"/>
    </row>
    <row r="255" spans="7:10" x14ac:dyDescent="0.2">
      <c r="G255" s="9">
        <f>+'ELBA BOOK'!A230</f>
        <v>43160</v>
      </c>
      <c r="H255" s="379">
        <f>+(SHIPS!C238+SHIPS!C548)*($G256-$G255)</f>
        <v>0</v>
      </c>
      <c r="I255" s="379">
        <f>+(SHIPS!D238+SHIPS!D548)*($G256-$G255)</f>
        <v>2095869.4238146404</v>
      </c>
      <c r="J255" s="379"/>
    </row>
    <row r="256" spans="7:10" x14ac:dyDescent="0.2">
      <c r="G256" s="9">
        <f>+'ELBA BOOK'!A231</f>
        <v>43191</v>
      </c>
      <c r="H256" s="379">
        <f>+(SHIPS!C239+SHIPS!C549)*($G257-$G256)</f>
        <v>0</v>
      </c>
      <c r="I256" s="379">
        <f>+(SHIPS!D239+SHIPS!D549)*($G257-$G256)</f>
        <v>2029245.6509170199</v>
      </c>
      <c r="J256" s="379"/>
    </row>
    <row r="257" spans="7:10" x14ac:dyDescent="0.2">
      <c r="G257" s="9">
        <f>+'ELBA BOOK'!A232</f>
        <v>43221</v>
      </c>
      <c r="H257" s="379">
        <f>+(SHIPS!C240+SHIPS!C550)*($G258-$G257)</f>
        <v>0</v>
      </c>
      <c r="I257" s="379">
        <f>+(SHIPS!D240+SHIPS!D550)*($G258-$G257)</f>
        <v>2097907.0417238669</v>
      </c>
      <c r="J257" s="379"/>
    </row>
    <row r="258" spans="7:10" x14ac:dyDescent="0.2">
      <c r="G258" s="9">
        <f>+'ELBA BOOK'!A233</f>
        <v>43252</v>
      </c>
      <c r="H258" s="379">
        <f>+(SHIPS!C241+SHIPS!C551)*($G259-$G258)</f>
        <v>0</v>
      </c>
      <c r="I258" s="379">
        <f>+(SHIPS!D241+SHIPS!D551)*($G259-$G258)</f>
        <v>2031221.6473168952</v>
      </c>
      <c r="J258" s="379"/>
    </row>
    <row r="259" spans="7:10" x14ac:dyDescent="0.2">
      <c r="G259" s="9">
        <f>+'ELBA BOOK'!A234</f>
        <v>43282</v>
      </c>
      <c r="H259" s="379">
        <f>+(SHIPS!C242+SHIPS!C552)*($G260-$G259)</f>
        <v>0</v>
      </c>
      <c r="I259" s="379">
        <f>+(SHIPS!D242+SHIPS!D552)*($G260-$G259)</f>
        <v>2099953.1585515435</v>
      </c>
      <c r="J259" s="379"/>
    </row>
    <row r="260" spans="7:10" x14ac:dyDescent="0.2">
      <c r="G260" s="9">
        <f>+'ELBA BOOK'!A235</f>
        <v>43313</v>
      </c>
      <c r="H260" s="379">
        <f>+(SHIPS!C243+SHIPS!C553)*($G261-$G260)</f>
        <v>0</v>
      </c>
      <c r="I260" s="379">
        <f>+(SHIPS!D243+SHIPS!D553)*($G261-$G260)</f>
        <v>2100979.4151318595</v>
      </c>
      <c r="J260" s="379"/>
    </row>
    <row r="261" spans="7:10" x14ac:dyDescent="0.2">
      <c r="G261" s="9">
        <f>+'ELBA BOOK'!A236</f>
        <v>43344</v>
      </c>
      <c r="H261" s="379">
        <f>+(SHIPS!C244+SHIPS!C554)*($G262-$G261)</f>
        <v>0</v>
      </c>
      <c r="I261" s="379">
        <f>+(SHIPS!D244+SHIPS!D554)*($G262-$G261)</f>
        <v>2034201.1062065009</v>
      </c>
      <c r="J261" s="379"/>
    </row>
    <row r="262" spans="7:10" x14ac:dyDescent="0.2">
      <c r="G262" s="9">
        <f>+'ELBA BOOK'!A237</f>
        <v>43374</v>
      </c>
      <c r="H262" s="379">
        <f>+(SHIPS!C245+SHIPS!C555)*($G263-$G262)</f>
        <v>0</v>
      </c>
      <c r="I262" s="379">
        <f>+(SHIPS!D245+SHIPS!D555)*($G263-$G262)</f>
        <v>2103038.3468503566</v>
      </c>
      <c r="J262" s="379"/>
    </row>
    <row r="263" spans="7:10" x14ac:dyDescent="0.2">
      <c r="G263" s="9">
        <f>+'ELBA BOOK'!A238</f>
        <v>43405</v>
      </c>
      <c r="H263" s="379">
        <f>+(SHIPS!C246+SHIPS!C556)*($G264-$G263)</f>
        <v>0</v>
      </c>
      <c r="I263" s="379">
        <f>+(SHIPS!D246+SHIPS!D556)*($G264-$G263)</f>
        <v>2036197.7718448015</v>
      </c>
      <c r="J263" s="379"/>
    </row>
    <row r="264" spans="7:10" x14ac:dyDescent="0.2">
      <c r="G264" s="9">
        <f>+'ELBA BOOK'!A239</f>
        <v>43435</v>
      </c>
      <c r="H264" s="379">
        <f>+(SHIPS!C247+SHIPS!C557)*($G265-$G264)</f>
        <v>0</v>
      </c>
      <c r="I264" s="379">
        <f>+(SHIPS!D247+SHIPS!D557)*($G265-$G264)</f>
        <v>2105105.86638735</v>
      </c>
      <c r="J264" s="379"/>
    </row>
    <row r="265" spans="7:10" x14ac:dyDescent="0.2">
      <c r="G265" s="9">
        <f>+'ELBA BOOK'!A240</f>
        <v>43466</v>
      </c>
      <c r="H265" s="379">
        <f>+(SHIPS!C248+SHIPS!C558)*($G266-$G265)</f>
        <v>0</v>
      </c>
      <c r="I265" s="379">
        <f>+(SHIPS!D248+SHIPS!D558)*($G266-$G265)</f>
        <v>2106142.8577756565</v>
      </c>
      <c r="J265" s="379"/>
    </row>
    <row r="266" spans="7:10" x14ac:dyDescent="0.2">
      <c r="G266" s="9">
        <f>+'ELBA BOOK'!A241</f>
        <v>43497</v>
      </c>
      <c r="H266" s="379">
        <f>+(SHIPS!C249+SHIPS!C559)*($G267-$G266)</f>
        <v>0</v>
      </c>
      <c r="I266" s="379">
        <f>+(SHIPS!D249+SHIPS!D559)*($G267-$G266)</f>
        <v>1903261.1699275905</v>
      </c>
      <c r="J266" s="379"/>
    </row>
    <row r="267" spans="7:10" x14ac:dyDescent="0.2">
      <c r="G267" s="9">
        <f>+'ELBA BOOK'!A242</f>
        <v>43525</v>
      </c>
      <c r="H267" s="379">
        <f>+(SHIPS!C250+SHIPS!C560)*($G268-$G267)</f>
        <v>0</v>
      </c>
      <c r="I267" s="379">
        <f>+(SHIPS!D250+SHIPS!D560)*($G268-$G267)</f>
        <v>2108223.3262492782</v>
      </c>
      <c r="J267" s="379"/>
    </row>
    <row r="268" spans="7:10" x14ac:dyDescent="0.2">
      <c r="G268" s="9">
        <f>+'ELBA BOOK'!A243</f>
        <v>43556</v>
      </c>
      <c r="H268" s="379">
        <f>+(SHIPS!C251+SHIPS!C561)*($G269-$G268)</f>
        <v>0</v>
      </c>
      <c r="I268" s="379">
        <f>+(SHIPS!D251+SHIPS!D561)*($G269-$G268)</f>
        <v>2041225.9474312558</v>
      </c>
      <c r="J268" s="379"/>
    </row>
    <row r="269" spans="7:10" x14ac:dyDescent="0.2">
      <c r="G269" s="9">
        <f>+'ELBA BOOK'!A244</f>
        <v>43586</v>
      </c>
      <c r="H269" s="379">
        <f>+(SHIPS!C252+SHIPS!C562)*($G270-$G269)</f>
        <v>0</v>
      </c>
      <c r="I269" s="379">
        <f>+(SHIPS!D252+SHIPS!D562)*($G270-$G269)</f>
        <v>2110312.4723713514</v>
      </c>
      <c r="J269" s="379"/>
    </row>
    <row r="270" spans="7:10" x14ac:dyDescent="0.2">
      <c r="G270" s="9">
        <f>+'ELBA BOOK'!A245</f>
        <v>43617</v>
      </c>
      <c r="H270" s="379">
        <f>+(SHIPS!C253+SHIPS!C563)*($G271-$G270)</f>
        <v>0</v>
      </c>
      <c r="I270" s="379">
        <f>+(SHIPS!D253+SHIPS!D563)*($G271-$G270)</f>
        <v>2043251.9137310889</v>
      </c>
      <c r="J270" s="379"/>
    </row>
    <row r="271" spans="7:10" x14ac:dyDescent="0.2">
      <c r="G271" s="9">
        <f>+'ELBA BOOK'!A246</f>
        <v>43647</v>
      </c>
      <c r="H271" s="379">
        <f>+(SHIPS!C254+SHIPS!C564)*($G272-$G271)</f>
        <v>0</v>
      </c>
      <c r="I271" s="379">
        <f>+(SHIPS!D254+SHIPS!D564)*($G272-$G271)</f>
        <v>2112410.3323364072</v>
      </c>
      <c r="J271" s="379"/>
    </row>
    <row r="272" spans="7:10" x14ac:dyDescent="0.2">
      <c r="G272" s="9">
        <f>+'ELBA BOOK'!A247</f>
        <v>43678</v>
      </c>
      <c r="H272" s="379">
        <f>+(SHIPS!C255+SHIPS!C565)*($G273-$G272)</f>
        <v>0</v>
      </c>
      <c r="I272" s="379">
        <f>+(SHIPS!D255+SHIPS!D565)*($G273-$G272)</f>
        <v>2113462.5413621082</v>
      </c>
      <c r="J272" s="379"/>
    </row>
    <row r="273" spans="7:10" x14ac:dyDescent="0.2">
      <c r="G273" s="9">
        <f>+'ELBA BOOK'!A248</f>
        <v>43709</v>
      </c>
      <c r="H273" s="379">
        <f>+(SHIPS!C256+SHIPS!C566)*($G274-$G273)</f>
        <v>0</v>
      </c>
      <c r="I273" s="379">
        <f>+(SHIPS!D256+SHIPS!D566)*($G274-$G273)</f>
        <v>2046306.7185386571</v>
      </c>
      <c r="J273" s="379"/>
    </row>
    <row r="274" spans="7:10" x14ac:dyDescent="0.2">
      <c r="G274" s="9">
        <f>+'ELBA BOOK'!A249</f>
        <v>43739</v>
      </c>
      <c r="H274" s="379">
        <f>+(SHIPS!C257+SHIPS!C567)*($G275-$G274)</f>
        <v>0</v>
      </c>
      <c r="I274" s="379">
        <f>+(SHIPS!D257+SHIPS!D567)*($G275-$G274)</f>
        <v>2115573.5402867999</v>
      </c>
      <c r="J274" s="379"/>
    </row>
    <row r="275" spans="7:10" x14ac:dyDescent="0.2">
      <c r="G275" s="9">
        <f>+'ELBA BOOK'!A250</f>
        <v>43770</v>
      </c>
      <c r="H275" s="379">
        <f>+(SHIPS!C258+SHIPS!C568)*($G276-$G275)</f>
        <v>0</v>
      </c>
      <c r="I275" s="379">
        <f>+(SHIPS!D258+SHIPS!D568)*($G276-$G275)</f>
        <v>2048353.8767700621</v>
      </c>
      <c r="J275" s="379"/>
    </row>
    <row r="276" spans="7:10" x14ac:dyDescent="0.2">
      <c r="G276" s="9">
        <f>+'ELBA BOOK'!A251</f>
        <v>43800</v>
      </c>
      <c r="H276" s="379">
        <f>+(SHIPS!C259+SHIPS!C569)*($G277-$G276)</f>
        <v>0</v>
      </c>
      <c r="I276" s="379">
        <f>+(SHIPS!D259+SHIPS!D569)*($G277-$G276)</f>
        <v>2117693.3442026665</v>
      </c>
      <c r="J276" s="379"/>
    </row>
    <row r="277" spans="7:10" x14ac:dyDescent="0.2">
      <c r="G277" s="9">
        <f>+'ELBA BOOK'!A252</f>
        <v>43831</v>
      </c>
      <c r="H277" s="379">
        <f>+(SHIPS!C260+SHIPS!C570)*($G278-$G277)</f>
        <v>0</v>
      </c>
      <c r="I277" s="379">
        <f>+(SHIPS!D260+SHIPS!D570)*($G278-$G277)</f>
        <v>2118756.5595030887</v>
      </c>
      <c r="J277" s="379"/>
    </row>
    <row r="278" spans="7:10" x14ac:dyDescent="0.2">
      <c r="G278" s="9">
        <f>+'ELBA BOOK'!A253</f>
        <v>43862</v>
      </c>
      <c r="H278" s="379">
        <f>+(SHIPS!C261+SHIPS!C571)*($G279-$G278)</f>
        <v>0</v>
      </c>
      <c r="I278" s="379">
        <f>+(SHIPS!D261+SHIPS!D571)*($G279-$G278)</f>
        <v>1983059.2808137489</v>
      </c>
      <c r="J278" s="379"/>
    </row>
    <row r="279" spans="7:10" x14ac:dyDescent="0.2">
      <c r="G279" s="9">
        <f>+'ELBA BOOK'!A254</f>
        <v>43891</v>
      </c>
      <c r="H279" s="379">
        <f>+(SHIPS!C262+SHIPS!C572)*($G280-$G279)</f>
        <v>0</v>
      </c>
      <c r="I279" s="379">
        <f>+(SHIPS!D262+SHIPS!D572)*($G280-$G279)</f>
        <v>2120889.6398142106</v>
      </c>
      <c r="J279" s="379"/>
    </row>
    <row r="280" spans="7:10" x14ac:dyDescent="0.2">
      <c r="G280" s="9">
        <f>+'ELBA BOOK'!A255</f>
        <v>43922</v>
      </c>
      <c r="H280" s="379">
        <f>+(SHIPS!C263+SHIPS!C573)*($G281-$G280)</f>
        <v>0</v>
      </c>
      <c r="I280" s="379">
        <f>+(SHIPS!D263+SHIPS!D573)*($G281-$G280)</f>
        <v>2053509.2071585392</v>
      </c>
      <c r="J280" s="379"/>
    </row>
    <row r="281" spans="7:10" x14ac:dyDescent="0.2">
      <c r="G281" s="9">
        <f>+'ELBA BOOK'!A256</f>
        <v>43952</v>
      </c>
      <c r="H281" s="379">
        <f>+(SHIPS!C264+SHIPS!C574)*($G282-$G281)</f>
        <v>0</v>
      </c>
      <c r="I281" s="379">
        <f>+(SHIPS!D264+SHIPS!D574)*($G282-$G281)</f>
        <v>2123031.6172181233</v>
      </c>
      <c r="J281" s="379"/>
    </row>
    <row r="282" spans="7:10" x14ac:dyDescent="0.2">
      <c r="G282" s="9">
        <f>+'ELBA BOOK'!A257</f>
        <v>43983</v>
      </c>
      <c r="H282" s="379">
        <f>+(SHIPS!C265+SHIPS!C575)*($G283-$G282)</f>
        <v>0</v>
      </c>
      <c r="I282" s="379">
        <f>+(SHIPS!D265+SHIPS!D575)*($G283-$G282)</f>
        <v>2055586.4070199947</v>
      </c>
      <c r="J282" s="379"/>
    </row>
    <row r="283" spans="7:10" x14ac:dyDescent="0.2">
      <c r="G283" s="9">
        <f>+'ELBA BOOK'!A258</f>
        <v>44013</v>
      </c>
      <c r="H283" s="379">
        <f>+(SHIPS!C266+SHIPS!C576)*($G284-$G283)</f>
        <v>0</v>
      </c>
      <c r="I283" s="379">
        <f>+(SHIPS!D266+SHIPS!D576)*($G284-$G283)</f>
        <v>2125182.5288246628</v>
      </c>
      <c r="J283" s="379"/>
    </row>
    <row r="284" spans="7:10" x14ac:dyDescent="0.2">
      <c r="G284" s="9">
        <f>+'ELBA BOOK'!A259</f>
        <v>44044</v>
      </c>
      <c r="H284" s="379">
        <f>+(SHIPS!C267+SHIPS!C577)*($G285-$G284)</f>
        <v>0</v>
      </c>
      <c r="I284" s="379">
        <f>+(SHIPS!D267+SHIPS!D577)*($G285-$G284)</f>
        <v>2126261.3465930475</v>
      </c>
      <c r="J284" s="379"/>
    </row>
    <row r="285" spans="7:10" x14ac:dyDescent="0.2">
      <c r="G285" s="9">
        <f>+'ELBA BOOK'!A260</f>
        <v>44075</v>
      </c>
      <c r="H285" s="379">
        <f>+(SHIPS!C268+SHIPS!C578)*($G286-$G285)</f>
        <v>0</v>
      </c>
      <c r="I285" s="379">
        <f>+(SHIPS!D268+SHIPS!D578)*($G286-$G285)</f>
        <v>2058718.463127532</v>
      </c>
      <c r="J285" s="379"/>
    </row>
    <row r="286" spans="7:10" x14ac:dyDescent="0.2">
      <c r="G286" s="9">
        <f>+'ELBA BOOK'!A261</f>
        <v>44105</v>
      </c>
      <c r="H286" s="379">
        <f>+(SHIPS!C269+SHIPS!C579)*($G287-$G286)</f>
        <v>0</v>
      </c>
      <c r="I286" s="379">
        <f>+(SHIPS!D269+SHIPS!D579)*($G287-$G286)</f>
        <v>2128425.729423238</v>
      </c>
      <c r="J286" s="379"/>
    </row>
    <row r="287" spans="7:10" x14ac:dyDescent="0.2">
      <c r="G287" s="9">
        <f>+'ELBA BOOK'!A262</f>
        <v>44136</v>
      </c>
      <c r="H287" s="379">
        <f>+(SHIPS!C270+SHIPS!C580)*($G288-$G287)</f>
        <v>0</v>
      </c>
      <c r="I287" s="379">
        <f>+(SHIPS!D270+SHIPS!D580)*($G288-$G287)</f>
        <v>2060817.3908318095</v>
      </c>
      <c r="J287" s="379"/>
    </row>
    <row r="288" spans="7:10" x14ac:dyDescent="0.2">
      <c r="G288" s="9">
        <f>+'ELBA BOOK'!A263</f>
        <v>44166</v>
      </c>
      <c r="H288" s="379">
        <f>+(SHIPS!C271+SHIPS!C581)*($G289-$G288)</f>
        <v>0</v>
      </c>
      <c r="I288" s="379">
        <f>+(SHIPS!D271+SHIPS!D581)*($G289-$G288)</f>
        <v>2130599.1399092441</v>
      </c>
      <c r="J288" s="379"/>
    </row>
    <row r="289" spans="7:10" x14ac:dyDescent="0.2">
      <c r="G289" s="9">
        <f>+'ELBA BOOK'!A264</f>
        <v>44197</v>
      </c>
      <c r="H289" s="379">
        <f>+(SHIPS!C272+SHIPS!C582)*($G290-$G289)</f>
        <v>0</v>
      </c>
      <c r="I289" s="379">
        <f>+(SHIPS!D272+SHIPS!D582)*($G290-$G289)</f>
        <v>2131689.2422840553</v>
      </c>
      <c r="J289" s="379"/>
    </row>
    <row r="290" spans="7:10" x14ac:dyDescent="0.2">
      <c r="G290" s="9">
        <f>+'ELBA BOOK'!A265</f>
        <v>44228</v>
      </c>
      <c r="H290" s="379">
        <f>+(SHIPS!C273+SHIPS!C583)*($G291-$G290)</f>
        <v>0</v>
      </c>
      <c r="I290" s="379">
        <f>+(SHIPS!D273+SHIPS!D583)*($G291-$G290)</f>
        <v>1926383.3948307566</v>
      </c>
      <c r="J290" s="379"/>
    </row>
    <row r="291" spans="7:10" x14ac:dyDescent="0.2">
      <c r="G291" s="9">
        <f>+'ELBA BOOK'!A266</f>
        <v>44256</v>
      </c>
      <c r="H291" s="379">
        <f>+(SHIPS!C274+SHIPS!C584)*($G292-$G291)</f>
        <v>0</v>
      </c>
      <c r="I291" s="379">
        <f>+(SHIPS!D274+SHIPS!D584)*($G292-$G291)</f>
        <v>2133876.2649048665</v>
      </c>
      <c r="J291" s="379"/>
    </row>
    <row r="292" spans="7:10" x14ac:dyDescent="0.2">
      <c r="G292" s="9">
        <f>+'ELBA BOOK'!A267</f>
        <v>44287</v>
      </c>
      <c r="H292" s="379">
        <f>+(SHIPS!C275+SHIPS!C585)*($G293-$G292)</f>
        <v>0</v>
      </c>
      <c r="I292" s="379">
        <f>+(SHIPS!D275+SHIPS!D585)*($G293-$G292)</f>
        <v>2066103.0915710502</v>
      </c>
      <c r="J292" s="379"/>
    </row>
    <row r="293" spans="7:10" x14ac:dyDescent="0.2">
      <c r="G293" s="9">
        <f>+'ELBA BOOK'!A268</f>
        <v>44317</v>
      </c>
      <c r="H293" s="379">
        <f>+(SHIPS!C276+SHIPS!C586)*($G294-$G293)</f>
        <v>0</v>
      </c>
      <c r="I293" s="379">
        <f>+(SHIPS!D276+SHIPS!D586)*($G294-$G293)</f>
        <v>2136072.4096122175</v>
      </c>
      <c r="J293" s="379"/>
    </row>
    <row r="294" spans="7:10" x14ac:dyDescent="0.2">
      <c r="G294" s="9">
        <f>+'ELBA BOOK'!A269</f>
        <v>44348</v>
      </c>
      <c r="H294" s="379">
        <f>+(SHIPS!C277+SHIPS!C587)*($G295-$G294)</f>
        <v>0</v>
      </c>
      <c r="I294" s="379">
        <f>+(SHIPS!D277+SHIPS!D587)*($G295-$G294)</f>
        <v>2068232.8206118478</v>
      </c>
      <c r="J294" s="379"/>
    </row>
    <row r="295" spans="7:10" x14ac:dyDescent="0.2">
      <c r="G295" s="9">
        <f>+'ELBA BOOK'!A270</f>
        <v>44378</v>
      </c>
      <c r="H295" s="379">
        <f>+(SHIPS!C278+SHIPS!C588)*($G296-$G295)</f>
        <v>0</v>
      </c>
      <c r="I295" s="379">
        <f>+(SHIPS!D278+SHIPS!D588)*($G296-$G295)</f>
        <v>2138277.7144543938</v>
      </c>
      <c r="J295" s="379"/>
    </row>
    <row r="296" spans="7:10" x14ac:dyDescent="0.2">
      <c r="G296" s="9">
        <f>+'ELBA BOOK'!A271</f>
        <v>44409</v>
      </c>
      <c r="H296" s="379">
        <f>+(SHIPS!C279+SHIPS!C589)*($G297-$G296)</f>
        <v>0</v>
      </c>
      <c r="I296" s="379">
        <f>+(SHIPS!D279+SHIPS!D589)*($G297-$G296)</f>
        <v>2139383.813859507</v>
      </c>
      <c r="J296" s="379"/>
    </row>
    <row r="297" spans="7:10" x14ac:dyDescent="0.2">
      <c r="G297" s="9">
        <f>+'ELBA BOOK'!A272</f>
        <v>44440</v>
      </c>
      <c r="H297" s="379">
        <f>+(SHIPS!C280+SHIPS!C590)*($G298-$G297)</f>
        <v>0</v>
      </c>
      <c r="I297" s="379">
        <f>+(SHIPS!D280+SHIPS!D590)*($G298-$G297)</f>
        <v>2071444.08158553</v>
      </c>
      <c r="J297" s="379"/>
    </row>
    <row r="298" spans="7:10" x14ac:dyDescent="0.2">
      <c r="G298" s="9">
        <f>+'ELBA BOOK'!A273</f>
        <v>44470</v>
      </c>
      <c r="H298" s="379">
        <f>+(SHIPS!C281+SHIPS!C591)*($G299-$G298)</f>
        <v>0</v>
      </c>
      <c r="I298" s="379">
        <f>+(SHIPS!D281+SHIPS!D591)*($G299-$G298)</f>
        <v>2141602.9305917942</v>
      </c>
      <c r="J298" s="379"/>
    </row>
    <row r="299" spans="7:10" x14ac:dyDescent="0.2">
      <c r="G299" s="9">
        <f>+'ELBA BOOK'!A274</f>
        <v>44501</v>
      </c>
      <c r="H299" s="379">
        <f>+(SHIPS!C282+SHIPS!C592)*($G300-$G299)</f>
        <v>0</v>
      </c>
      <c r="I299" s="379">
        <f>+(SHIPS!D282+SHIPS!D592)*($G300-$G299)</f>
        <v>2073596.087932768</v>
      </c>
      <c r="J299" s="379"/>
    </row>
    <row r="300" spans="7:10" x14ac:dyDescent="0.2">
      <c r="G300" s="9">
        <f>+'ELBA BOOK'!A275</f>
        <v>44531</v>
      </c>
      <c r="H300" s="379">
        <f>+(SHIPS!C283+SHIPS!C593)*($G301-$G300)</f>
        <v>0</v>
      </c>
      <c r="I300" s="379">
        <f>+(SHIPS!D283+SHIPS!D593)*($G301-$G300)</f>
        <v>2143831.3032753826</v>
      </c>
      <c r="J300" s="379"/>
    </row>
    <row r="301" spans="7:10" x14ac:dyDescent="0.2">
      <c r="G301" s="9">
        <f>+'ELBA BOOK'!A276</f>
        <v>44562</v>
      </c>
      <c r="H301" s="379">
        <f>+(SHIPS!C284+SHIPS!C594)*($G302-$G301)</f>
        <v>0</v>
      </c>
      <c r="I301" s="379">
        <f>+(SHIPS!D284+SHIPS!D594)*($G302-$G301)</f>
        <v>2144948.9726572065</v>
      </c>
      <c r="J301" s="379"/>
    </row>
    <row r="302" spans="7:10" x14ac:dyDescent="0.2">
      <c r="G302" s="9">
        <f>+'ELBA BOOK'!A277</f>
        <v>44593</v>
      </c>
      <c r="H302" s="379">
        <f>+(SHIPS!C285+SHIPS!C595)*($G303-$G302)</f>
        <v>0</v>
      </c>
      <c r="I302" s="379">
        <f>+(SHIPS!D285+SHIPS!D595)*($G303-$G302)</f>
        <v>1938384.8765959176</v>
      </c>
      <c r="J302" s="379"/>
    </row>
    <row r="303" spans="7:10" x14ac:dyDescent="0.2">
      <c r="G303" s="9">
        <f>+'ELBA BOOK'!A278</f>
        <v>44621</v>
      </c>
      <c r="H303" s="379">
        <f>+(SHIPS!C286+SHIPS!C596)*($G304-$G303)</f>
        <v>0</v>
      </c>
      <c r="I303" s="379">
        <f>+(SHIPS!D286+SHIPS!D596)*($G304-$G303)</f>
        <v>2147191.3017054857</v>
      </c>
      <c r="J303" s="379"/>
    </row>
    <row r="304" spans="7:10" x14ac:dyDescent="0.2">
      <c r="G304" s="9">
        <f>+'ELBA BOOK'!A279</f>
        <v>44652</v>
      </c>
      <c r="H304" s="379">
        <f>+(SHIPS!C287+SHIPS!C597)*($G305-$G304)</f>
        <v>0</v>
      </c>
      <c r="I304" s="379">
        <f>+(SHIPS!D287+SHIPS!D597)*($G305-$G304)</f>
        <v>2079015.4558877796</v>
      </c>
      <c r="J304" s="379"/>
    </row>
    <row r="305" spans="7:10" x14ac:dyDescent="0.2">
      <c r="G305" s="9">
        <f>+'ELBA BOOK'!A280</f>
        <v>44682</v>
      </c>
      <c r="H305" s="379">
        <f>+(SHIPS!C288+SHIPS!C598)*($G306-$G305)</f>
        <v>0</v>
      </c>
      <c r="I305" s="379">
        <f>+(SHIPS!D288+SHIPS!D598)*($G306-$G305)</f>
        <v>2149442.9835237972</v>
      </c>
      <c r="J305" s="379"/>
    </row>
    <row r="306" spans="7:10" x14ac:dyDescent="0.2">
      <c r="G306" s="9">
        <f>+'ELBA BOOK'!A281</f>
        <v>44713</v>
      </c>
      <c r="H306" s="379">
        <f>+(SHIPS!C289+SHIPS!C599)*($G307-$G306)</f>
        <v>0</v>
      </c>
      <c r="I306" s="379">
        <f>+(SHIPS!D289+SHIPS!D599)*($G307-$G306)</f>
        <v>2081199.0424898118</v>
      </c>
      <c r="J306" s="379"/>
    </row>
    <row r="307" spans="7:10" x14ac:dyDescent="0.2">
      <c r="G307" s="9">
        <f>+'ELBA BOOK'!A282</f>
        <v>44743</v>
      </c>
      <c r="H307" s="379">
        <f>+(SHIPS!C290+SHIPS!C600)*($G308-$G307)</f>
        <v>0</v>
      </c>
      <c r="I307" s="379">
        <f>+(SHIPS!D290+SHIPS!D600)*($G308-$G307)</f>
        <v>2151704.05712261</v>
      </c>
      <c r="J307" s="379"/>
    </row>
    <row r="308" spans="7:10" x14ac:dyDescent="0.2">
      <c r="G308" s="9">
        <f>+'ELBA BOOK'!A283</f>
        <v>44774</v>
      </c>
      <c r="H308" s="379">
        <f>+(SHIPS!C291+SHIPS!C601)*($G309-$G308)</f>
        <v>0</v>
      </c>
      <c r="I308" s="379">
        <f>+(SHIPS!D291+SHIPS!D601)*($G309-$G308)</f>
        <v>2152838.1280749487</v>
      </c>
      <c r="J308" s="379"/>
    </row>
    <row r="309" spans="7:10" x14ac:dyDescent="0.2">
      <c r="G309" s="9">
        <f>+'ELBA BOOK'!A284</f>
        <v>44805</v>
      </c>
      <c r="H309" s="379">
        <f>+(SHIPS!C292+SHIPS!C602)*($G310-$G309)</f>
        <v>0</v>
      </c>
      <c r="I309" s="379">
        <f>+(SHIPS!D292+SHIPS!D602)*($G310-$G309)</f>
        <v>2084491.5112984886</v>
      </c>
      <c r="J309" s="379"/>
    </row>
    <row r="310" spans="7:10" x14ac:dyDescent="0.2">
      <c r="G310" s="9">
        <f>+'ELBA BOOK'!A285</f>
        <v>44835</v>
      </c>
      <c r="H310" s="379">
        <f>+(SHIPS!C293+SHIPS!C603)*($G311-$G310)</f>
        <v>0</v>
      </c>
      <c r="I310" s="379">
        <f>+(SHIPS!D293+SHIPS!D603)*($G311-$G310)</f>
        <v>2155113.3628452616</v>
      </c>
      <c r="J310" s="379"/>
    </row>
    <row r="311" spans="7:10" x14ac:dyDescent="0.2">
      <c r="G311" s="9">
        <f>+'ELBA BOOK'!A286</f>
        <v>44866</v>
      </c>
      <c r="H311" s="379">
        <f>+(SHIPS!C294+SHIPS!C604)*($G312-$G311)</f>
        <v>0</v>
      </c>
      <c r="I311" s="379">
        <f>+(SHIPS!D294+SHIPS!D604)*($G312-$G311)</f>
        <v>2086697.9385656668</v>
      </c>
      <c r="J311" s="379"/>
    </row>
    <row r="312" spans="7:10" x14ac:dyDescent="0.2">
      <c r="G312" s="9">
        <f>+'ELBA BOOK'!A287</f>
        <v>44896</v>
      </c>
      <c r="H312" s="379">
        <f>+(SHIPS!C295+SHIPS!C605)*($G313-$G312)</f>
        <v>0</v>
      </c>
      <c r="I312" s="379">
        <f>+(SHIPS!D295+SHIPS!D605)*($G313-$G312)</f>
        <v>2157398.0876356019</v>
      </c>
      <c r="J312" s="379"/>
    </row>
    <row r="313" spans="7:10" x14ac:dyDescent="0.2">
      <c r="G313" s="9">
        <f>+'ELBA BOOK'!A288</f>
        <v>44927</v>
      </c>
      <c r="H313" s="379">
        <f>+(SHIPS!C296+SHIPS!C606)*($G314-$G313)</f>
        <v>0</v>
      </c>
      <c r="I313" s="379">
        <f>+(SHIPS!D296+SHIPS!D606)*($G314-$G313)</f>
        <v>2158544.0211515091</v>
      </c>
      <c r="J313" s="379"/>
    </row>
    <row r="314" spans="7:10" x14ac:dyDescent="0.2">
      <c r="G314" s="9">
        <f>+'ELBA BOOK'!A289</f>
        <v>44958</v>
      </c>
      <c r="H314" s="379">
        <f>+(SHIPS!C297+SHIPS!C607)*($G315-$G314)</f>
        <v>0</v>
      </c>
      <c r="I314" s="379">
        <f>+(SHIPS!D297+SHIPS!D607)*($G315-$G314)</f>
        <v>1950689.857316433</v>
      </c>
      <c r="J314" s="379"/>
    </row>
    <row r="315" spans="7:10" x14ac:dyDescent="0.2">
      <c r="G315" s="9">
        <f>+'ELBA BOOK'!A290</f>
        <v>44986</v>
      </c>
      <c r="H315" s="379">
        <f>+(SHIPS!C298+SHIPS!C608)*($G316-$G315)</f>
        <v>0</v>
      </c>
      <c r="I315" s="379">
        <f>+(SHIPS!D298+SHIPS!D608)*($G316-$G315)</f>
        <v>2160843.0552414684</v>
      </c>
      <c r="J315" s="379"/>
    </row>
    <row r="316" spans="7:10" x14ac:dyDescent="0.2">
      <c r="G316" s="9">
        <f>+'ELBA BOOK'!A291</f>
        <v>45017</v>
      </c>
      <c r="H316" s="379">
        <f>+(SHIPS!C299+SHIPS!C609)*($G317-$G316)</f>
        <v>0</v>
      </c>
      <c r="I316" s="379">
        <f>+(SHIPS!D299+SHIPS!D609)*($G317-$G316)</f>
        <v>2092254.3539740853</v>
      </c>
      <c r="J316" s="379"/>
    </row>
    <row r="317" spans="7:10" x14ac:dyDescent="0.2">
      <c r="G317" s="9">
        <f>+'ELBA BOOK'!A292</f>
        <v>45047</v>
      </c>
      <c r="H317" s="379">
        <f>+(SHIPS!C300+SHIPS!C610)*($G318-$G317)</f>
        <v>0</v>
      </c>
      <c r="I317" s="379">
        <f>+(SHIPS!D300+SHIPS!D610)*($G318-$G317)</f>
        <v>2163151.6786185824</v>
      </c>
      <c r="J317" s="379"/>
    </row>
    <row r="318" spans="7:10" x14ac:dyDescent="0.2">
      <c r="G318" s="9">
        <f>+'ELBA BOOK'!A293</f>
        <v>45078</v>
      </c>
      <c r="H318" s="379">
        <f>+(SHIPS!C301+SHIPS!C611)*($G319-$G318)</f>
        <v>0</v>
      </c>
      <c r="I318" s="379">
        <f>+(SHIPS!D301+SHIPS!D611)*($G319-$G318)</f>
        <v>2094493.1601119721</v>
      </c>
      <c r="J318" s="379"/>
    </row>
    <row r="319" spans="7:10" x14ac:dyDescent="0.2">
      <c r="G319" s="9">
        <f>+'ELBA BOOK'!A294</f>
        <v>45108</v>
      </c>
      <c r="H319" s="379">
        <f>+(SHIPS!C302+SHIPS!C612)*($G320-$G319)</f>
        <v>0</v>
      </c>
      <c r="I319" s="379">
        <f>+(SHIPS!D302+SHIPS!D612)*($G320-$G319)</f>
        <v>2165469.9312798344</v>
      </c>
      <c r="J319" s="379"/>
    </row>
    <row r="320" spans="7:10" x14ac:dyDescent="0.2">
      <c r="G320" s="9">
        <f>+'ELBA BOOK'!A295</f>
        <v>45139</v>
      </c>
      <c r="H320" s="379">
        <f>+(SHIPS!C303+SHIPS!C613)*($G321-$G320)</f>
        <v>0</v>
      </c>
      <c r="I320" s="379">
        <f>+(SHIPS!D303+SHIPS!D613)*($G321-$G320)</f>
        <v>2166632.6811366673</v>
      </c>
      <c r="J320" s="379"/>
    </row>
    <row r="321" spans="7:10" x14ac:dyDescent="0.2">
      <c r="G321" s="9">
        <f>+'ELBA BOOK'!A296</f>
        <v>45170</v>
      </c>
      <c r="H321" s="379">
        <f>+(SHIPS!C304+SHIPS!C614)*($G322-$G321)</f>
        <v>0</v>
      </c>
      <c r="I321" s="379">
        <f>+(SHIPS!D304+SHIPS!D614)*($G322-$G321)</f>
        <v>2097868.8903764859</v>
      </c>
      <c r="J321" s="379"/>
    </row>
    <row r="322" spans="7:10" x14ac:dyDescent="0.2">
      <c r="G322" s="9">
        <f>+'ELBA BOOK'!A297</f>
        <v>45200</v>
      </c>
      <c r="H322" s="379">
        <f>+(SHIPS!C305+SHIPS!C615)*($G323-$G322)</f>
        <v>0</v>
      </c>
      <c r="I322" s="379">
        <f>+(SHIPS!D305+SHIPS!D615)*($G323-$G322)</f>
        <v>2168965.4530835957</v>
      </c>
      <c r="J322" s="379"/>
    </row>
    <row r="323" spans="7:10" x14ac:dyDescent="0.2">
      <c r="G323" s="9">
        <f>+'ELBA BOOK'!A298</f>
        <v>45231</v>
      </c>
      <c r="H323" s="379">
        <f>+(SHIPS!C306+SHIPS!C616)*($G324-$G323)</f>
        <v>0</v>
      </c>
      <c r="I323" s="379">
        <f>+(SHIPS!D306+SHIPS!D616)*($G324-$G323)</f>
        <v>2100131.1147846971</v>
      </c>
      <c r="J323" s="379"/>
    </row>
    <row r="324" spans="7:10" x14ac:dyDescent="0.2">
      <c r="G324" s="9">
        <f>+'ELBA BOOK'!A299</f>
        <v>45261</v>
      </c>
      <c r="H324" s="379">
        <f>+(SHIPS!C307+SHIPS!C617)*($G325-$G324)</f>
        <v>0</v>
      </c>
      <c r="I324" s="379">
        <f>+(SHIPS!D307+SHIPS!D617)*($G325-$G324)</f>
        <v>2171307.9550385149</v>
      </c>
      <c r="J324" s="379"/>
    </row>
    <row r="325" spans="7:10" x14ac:dyDescent="0.2">
      <c r="G325" s="9">
        <f>+'ELBA BOOK'!A300</f>
        <v>45292</v>
      </c>
      <c r="H325" s="379">
        <f>+(SHIPS!C308+SHIPS!C618)*($G326-$G325)</f>
        <v>0</v>
      </c>
      <c r="I325" s="379">
        <f>+(SHIPS!D308+SHIPS!D618)*($G326-$G325)</f>
        <v>2172482.8674448454</v>
      </c>
      <c r="J325" s="379"/>
    </row>
    <row r="326" spans="7:10" x14ac:dyDescent="0.2">
      <c r="G326" s="9">
        <f>+'ELBA BOOK'!A301</f>
        <v>45323</v>
      </c>
      <c r="H326" s="379">
        <f>+(SHIPS!C309+SHIPS!C619)*($G327-$G326)</f>
        <v>0</v>
      </c>
      <c r="I326" s="379">
        <f>+(SHIPS!D309+SHIPS!D619)*($G327-$G326)</f>
        <v>2033424.0838701716</v>
      </c>
      <c r="J326" s="379"/>
    </row>
    <row r="327" spans="7:10" x14ac:dyDescent="0.2">
      <c r="G327" s="9">
        <f>+'ELBA BOOK'!A302</f>
        <v>45352</v>
      </c>
      <c r="H327" s="379">
        <f>+(SHIPS!C310+SHIPS!C620)*($G328-$G327)</f>
        <v>0</v>
      </c>
      <c r="I327" s="379">
        <f>+(SHIPS!D310+SHIPS!D620)*($G328-$G327)</f>
        <v>2174840.0405594916</v>
      </c>
      <c r="J327" s="379"/>
    </row>
    <row r="328" spans="7:10" x14ac:dyDescent="0.2">
      <c r="G328" s="9">
        <f>+'ELBA BOOK'!A303</f>
        <v>45383</v>
      </c>
      <c r="H328" s="379">
        <f>+(SHIPS!C311+SHIPS!C621)*($G329-$G328)</f>
        <v>0</v>
      </c>
      <c r="I328" s="379">
        <f>+(SHIPS!D311+SHIPS!D621)*($G329-$G328)</f>
        <v>2105828.0433651526</v>
      </c>
      <c r="J328" s="379"/>
    </row>
    <row r="329" spans="7:10" x14ac:dyDescent="0.2">
      <c r="G329" s="9">
        <f>+'ELBA BOOK'!A304</f>
        <v>45413</v>
      </c>
      <c r="H329" s="379">
        <f>+(SHIPS!C312+SHIPS!C622)*($G330-$G329)</f>
        <v>0</v>
      </c>
      <c r="I329" s="379">
        <f>+(SHIPS!D312+SHIPS!D622)*($G330-$G329)</f>
        <v>2177207.0454595685</v>
      </c>
      <c r="J329" s="379"/>
    </row>
    <row r="330" spans="7:10" x14ac:dyDescent="0.2">
      <c r="G330" s="9">
        <f>+'ELBA BOOK'!A305</f>
        <v>45444</v>
      </c>
      <c r="H330" s="379">
        <f>+(SHIPS!C313+SHIPS!C623)*($G331-$G330)</f>
        <v>0</v>
      </c>
      <c r="I330" s="379">
        <f>+(SHIPS!D313+SHIPS!D623)*($G331-$G330)</f>
        <v>2108123.4654557514</v>
      </c>
      <c r="J330" s="379"/>
    </row>
    <row r="331" spans="7:10" x14ac:dyDescent="0.2">
      <c r="G331" s="9">
        <f>+'ELBA BOOK'!A306</f>
        <v>45474</v>
      </c>
      <c r="H331" s="379">
        <f>+(SHIPS!C314+SHIPS!C624)*($G332-$G331)</f>
        <v>0</v>
      </c>
      <c r="I331" s="379">
        <f>+(SHIPS!D314+SHIPS!D624)*($G332-$G331)</f>
        <v>2179583.923153521</v>
      </c>
      <c r="J331" s="379"/>
    </row>
    <row r="332" spans="7:10" x14ac:dyDescent="0.2">
      <c r="G332" s="9">
        <f>+'ELBA BOOK'!A307</f>
        <v>45505</v>
      </c>
      <c r="H332" s="379">
        <f>+(SHIPS!C315+SHIPS!C625)*($G333-$G332)</f>
        <v>0</v>
      </c>
      <c r="I332" s="379">
        <f>+(SHIPS!D315+SHIPS!D625)*($G333-$G332)</f>
        <v>2180776.0771600911</v>
      </c>
      <c r="J332" s="379"/>
    </row>
    <row r="333" spans="7:10" x14ac:dyDescent="0.2">
      <c r="G333" s="9">
        <f>+'ELBA BOOK'!A308</f>
        <v>45536</v>
      </c>
      <c r="H333" s="379">
        <f>+(SHIPS!C316+SHIPS!C626)*($G334-$G333)</f>
        <v>0</v>
      </c>
      <c r="I333" s="379">
        <f>+(SHIPS!D316+SHIPS!D626)*($G334-$G333)</f>
        <v>2111584.5627298462</v>
      </c>
      <c r="J333" s="379"/>
    </row>
    <row r="334" spans="7:10" x14ac:dyDescent="0.2">
      <c r="G334" s="9">
        <f>+'ELBA BOOK'!A309</f>
        <v>45566</v>
      </c>
      <c r="H334" s="379">
        <f>+(SHIPS!C317+SHIPS!C627)*($G335-$G334)</f>
        <v>0</v>
      </c>
      <c r="I334" s="379">
        <f>+(SHIPS!D317+SHIPS!D627)*($G335-$G334)</f>
        <v>2183167.8413100517</v>
      </c>
      <c r="J334" s="379"/>
    </row>
    <row r="335" spans="7:10" x14ac:dyDescent="0.2">
      <c r="G335" s="9">
        <f>+'ELBA BOOK'!A310</f>
        <v>45597</v>
      </c>
      <c r="H335" s="379">
        <f>+(SHIPS!C318+SHIPS!C628)*($G336-$G335)</f>
        <v>0</v>
      </c>
      <c r="I335" s="379">
        <f>+(SHIPS!D318+SHIPS!D628)*($G336-$G335)</f>
        <v>2113903.9953026911</v>
      </c>
      <c r="J335" s="379"/>
    </row>
    <row r="336" spans="7:10" x14ac:dyDescent="0.2">
      <c r="G336" s="9">
        <f>+'ELBA BOOK'!A311</f>
        <v>45627</v>
      </c>
      <c r="H336" s="379">
        <f>+(SHIPS!C319+SHIPS!C629)*($G337-$G336)</f>
        <v>0</v>
      </c>
      <c r="I336" s="379">
        <f>+(SHIPS!D319+SHIPS!D629)*($G337-$G336)</f>
        <v>2185569.5815248908</v>
      </c>
      <c r="J336" s="379"/>
    </row>
    <row r="337" spans="7:10" x14ac:dyDescent="0.2">
      <c r="G337" s="9">
        <f>+'ELBA BOOK'!A312</f>
        <v>45658</v>
      </c>
      <c r="H337" s="379">
        <f>+(SHIPS!C320+SHIPS!C630)*($G338-$G337)</f>
        <v>0</v>
      </c>
      <c r="I337" s="379">
        <f>+(SHIPS!D320+SHIPS!D630)*($G338-$G337)</f>
        <v>2186774.2056530677</v>
      </c>
      <c r="J337" s="379"/>
    </row>
    <row r="338" spans="7:10" x14ac:dyDescent="0.2">
      <c r="G338" s="9">
        <f>+'ELBA BOOK'!A313</f>
        <v>45689</v>
      </c>
      <c r="H338" s="379">
        <f>+(SHIPS!C321+SHIPS!C631)*($G339-$G338)</f>
        <v>0</v>
      </c>
      <c r="I338" s="379">
        <f>+(SHIPS!D321+SHIPS!D631)*($G339-$G338)</f>
        <v>1976241.2097940533</v>
      </c>
      <c r="J338" s="379"/>
    </row>
    <row r="339" spans="7:10" x14ac:dyDescent="0.2">
      <c r="G339" s="9">
        <f>+'ELBA BOOK'!A314</f>
        <v>45717</v>
      </c>
      <c r="H339" s="379">
        <f>+(SHIPS!C322+SHIPS!C632)*($G340-$G339)</f>
        <v>0</v>
      </c>
      <c r="I339" s="379">
        <f>+(SHIPS!D322+SHIPS!D632)*($G340-$G339)</f>
        <v>2189190.988038626</v>
      </c>
      <c r="J339" s="379"/>
    </row>
    <row r="340" spans="7:10" x14ac:dyDescent="0.2">
      <c r="G340" s="9">
        <f>+'ELBA BOOK'!A315</f>
        <v>45748</v>
      </c>
      <c r="H340" s="379">
        <f>+(SHIPS!C323+SHIPS!C633)*($G341-$G340)</f>
        <v>0</v>
      </c>
      <c r="I340" s="379">
        <f>+(SHIPS!D323+SHIPS!D633)*($G341-$G340)</f>
        <v>2119744.99041649</v>
      </c>
      <c r="J340" s="379"/>
    </row>
    <row r="341" spans="7:10" x14ac:dyDescent="0.2">
      <c r="G341" s="9">
        <f>+'ELBA BOOK'!A316</f>
        <v>45778</v>
      </c>
      <c r="H341" s="379">
        <f>+(SHIPS!C324+SHIPS!C634)*($G342-$G341)</f>
        <v>0</v>
      </c>
      <c r="I341" s="379">
        <f>+(SHIPS!D324+SHIPS!D634)*($G342-$G341)</f>
        <v>2191617.850840298</v>
      </c>
      <c r="J341" s="379"/>
    </row>
    <row r="342" spans="7:10" x14ac:dyDescent="0.2">
      <c r="G342" s="9">
        <f>+'ELBA BOOK'!A317</f>
        <v>45809</v>
      </c>
      <c r="H342" s="379">
        <f>+(SHIPS!C325+SHIPS!C635)*($G343-$G342)</f>
        <v>0</v>
      </c>
      <c r="I342" s="379">
        <f>+(SHIPS!D325+SHIPS!D635)*($G343-$G342)</f>
        <v>2122098.4601898855</v>
      </c>
      <c r="J342" s="379"/>
    </row>
    <row r="343" spans="7:10" x14ac:dyDescent="0.2">
      <c r="G343" s="9">
        <f>+'ELBA BOOK'!A318</f>
        <v>45839</v>
      </c>
      <c r="H343" s="379">
        <f>+(SHIPS!C326+SHIPS!C636)*($G344-$G343)</f>
        <v>0</v>
      </c>
      <c r="I343" s="379">
        <f>+(SHIPS!D326+SHIPS!D636)*($G344-$G343)</f>
        <v>2194054.8361035683</v>
      </c>
      <c r="J343" s="379"/>
    </row>
    <row r="344" spans="7:10" x14ac:dyDescent="0.2">
      <c r="G344" s="9">
        <f>+'ELBA BOOK'!A319</f>
        <v>45870</v>
      </c>
      <c r="H344" s="379">
        <f>+(SHIPS!C327+SHIPS!C637)*($G345-$G344)</f>
        <v>0</v>
      </c>
      <c r="I344" s="379">
        <f>+(SHIPS!D327+SHIPS!D637)*($G345-$G344)</f>
        <v>2195277.137845451</v>
      </c>
      <c r="J344" s="379"/>
    </row>
    <row r="345" spans="7:10" x14ac:dyDescent="0.2">
      <c r="G345" s="9">
        <f>+'ELBA BOOK'!A320</f>
        <v>45901</v>
      </c>
      <c r="H345" s="379">
        <f>+(SHIPS!C328+SHIPS!C638)*($G346-$G345)</f>
        <v>0</v>
      </c>
      <c r="I345" s="379">
        <f>+(SHIPS!D328+SHIPS!D638)*($G346-$G345)</f>
        <v>2125647.0832735118</v>
      </c>
      <c r="J345" s="379"/>
    </row>
    <row r="346" spans="7:10" x14ac:dyDescent="0.2">
      <c r="G346" s="9">
        <f>+'ELBA BOOK'!A321</f>
        <v>45931</v>
      </c>
      <c r="H346" s="379">
        <f>+(SHIPS!C329+SHIPS!C639)*($G347-$G346)</f>
        <v>0</v>
      </c>
      <c r="I346" s="379">
        <f>+(SHIPS!D329+SHIPS!D639)*($G347-$G346)</f>
        <v>2197729.3860202315</v>
      </c>
      <c r="J346" s="379"/>
    </row>
    <row r="347" spans="7:10" x14ac:dyDescent="0.2">
      <c r="G347" s="9">
        <f>+'ELBA BOOK'!A322</f>
        <v>45962</v>
      </c>
      <c r="H347" s="379">
        <f>+(SHIPS!C330+SHIPS!C640)*($G348-$G347)</f>
        <v>0</v>
      </c>
      <c r="I347" s="379">
        <f>+(SHIPS!D330+SHIPS!D640)*($G348-$G347)</f>
        <v>2128025.1707172007</v>
      </c>
      <c r="J347" s="379"/>
    </row>
    <row r="348" spans="7:10" x14ac:dyDescent="0.2">
      <c r="G348" s="9">
        <f>+'ELBA BOOK'!A323</f>
        <v>45992</v>
      </c>
      <c r="H348" s="379">
        <f>+(SHIPS!C331+SHIPS!C641)*($G349-$G348)</f>
        <v>0</v>
      </c>
      <c r="I348" s="379">
        <f>+(SHIPS!D331+SHIPS!D641)*($G349-$G348)</f>
        <v>2200191.8625391792</v>
      </c>
      <c r="J348" s="379"/>
    </row>
    <row r="349" spans="7:10" x14ac:dyDescent="0.2">
      <c r="G349" s="9">
        <f>+'ELBA BOOK'!A324</f>
        <v>46023</v>
      </c>
    </row>
  </sheetData>
  <pageMargins left="0.5" right="0.5" top="0.5" bottom="0.5" header="0.5" footer="0.5"/>
  <pageSetup paperSize="5"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47</vt:i4>
      </vt:variant>
    </vt:vector>
  </HeadingPairs>
  <TitlesOfParts>
    <vt:vector size="59" baseType="lpstr">
      <vt:lpstr>SHIP CURVES</vt:lpstr>
      <vt:lpstr>TERMINAL CURVES</vt:lpstr>
      <vt:lpstr>PORTS</vt:lpstr>
      <vt:lpstr>ROUTES</vt:lpstr>
      <vt:lpstr>SHIPS</vt:lpstr>
      <vt:lpstr>FREIGHT</vt:lpstr>
      <vt:lpstr>ELBA BOOK</vt:lpstr>
      <vt:lpstr>ELBA INCOME</vt:lpstr>
      <vt:lpstr>SUMMARY</vt:lpstr>
      <vt:lpstr>SHIP POSITIONS</vt:lpstr>
      <vt:lpstr>CURVELOAD</vt:lpstr>
      <vt:lpstr>CURVECALC</vt:lpstr>
      <vt:lpstr>BookType</vt:lpstr>
      <vt:lpstr>bunker_cost</vt:lpstr>
      <vt:lpstr>bunker_cost_route</vt:lpstr>
      <vt:lpstr>bunker_cost_ship</vt:lpstr>
      <vt:lpstr>BUNKERFUEL_PER_CARGO</vt:lpstr>
      <vt:lpstr>BUNKERFUEL_ROUTES</vt:lpstr>
      <vt:lpstr>BUNKERFUEL_SHIPS</vt:lpstr>
      <vt:lpstr>curvecalc</vt:lpstr>
      <vt:lpstr>CurveCode</vt:lpstr>
      <vt:lpstr>CurveDate</vt:lpstr>
      <vt:lpstr>CurveType</vt:lpstr>
      <vt:lpstr>FirstMonth</vt:lpstr>
      <vt:lpstr>fixed_capacity_charge</vt:lpstr>
      <vt:lpstr>FIXED_CHARTER_COST</vt:lpstr>
      <vt:lpstr>LADEN_VOYAGE_DAYS</vt:lpstr>
      <vt:lpstr>LADEN_VOYAGE_ROUTES</vt:lpstr>
      <vt:lpstr>LADEN_VOYAGE_SHIPS</vt:lpstr>
      <vt:lpstr>MILES</vt:lpstr>
      <vt:lpstr>NumOfCurves</vt:lpstr>
      <vt:lpstr>OM_CHARTER_COST</vt:lpstr>
      <vt:lpstr>other_cost</vt:lpstr>
      <vt:lpstr>PORT_CHARGE_SHIPS</vt:lpstr>
      <vt:lpstr>PORT_CHARGES</vt:lpstr>
      <vt:lpstr>port_processing_fee</vt:lpstr>
      <vt:lpstr>port_specs</vt:lpstr>
      <vt:lpstr>PORTS</vt:lpstr>
      <vt:lpstr>Position</vt:lpstr>
      <vt:lpstr>'ELBA INCOME'!Print_Area</vt:lpstr>
      <vt:lpstr>'SHIP POSITIONS'!Print_Area</vt:lpstr>
      <vt:lpstr>SUMMARY!Print_Area</vt:lpstr>
      <vt:lpstr>ROUNDTRIP_DAYS</vt:lpstr>
      <vt:lpstr>ROUNDTRIP_ROUTES</vt:lpstr>
      <vt:lpstr>ROUNDTRIP_SHIPS</vt:lpstr>
      <vt:lpstr>ROUTE_PER_DAY_BY_SHIP</vt:lpstr>
      <vt:lpstr>ROUTE_PER_DAY_ROUTES</vt:lpstr>
      <vt:lpstr>ROUTE_PER_DAY_SHIPS</vt:lpstr>
      <vt:lpstr>ship_curves</vt:lpstr>
      <vt:lpstr>ship_name</vt:lpstr>
      <vt:lpstr>SHIP_ROUTE_PER_DAY</vt:lpstr>
      <vt:lpstr>ship_specs</vt:lpstr>
      <vt:lpstr>SHIPS</vt:lpstr>
      <vt:lpstr>TERMINAL_CHARGES</vt:lpstr>
      <vt:lpstr>terminal_curves</vt:lpstr>
      <vt:lpstr>UNLOAD_CAPACITY</vt:lpstr>
      <vt:lpstr>UNLOAD_CAPACITY_ROUTES</vt:lpstr>
      <vt:lpstr>UNLOAD_CAPACITY_SHIPS</vt:lpstr>
      <vt:lpstr>variable_om_charge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2000-07-24T16:13:37Z</cp:lastPrinted>
  <dcterms:created xsi:type="dcterms:W3CDTF">1998-10-15T21:51:23Z</dcterms:created>
  <dcterms:modified xsi:type="dcterms:W3CDTF">2023-09-13T13:57:36Z</dcterms:modified>
</cp:coreProperties>
</file>