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540ABB-EFB4-4715-BA91-40D6132727DA}" xr6:coauthVersionLast="47" xr6:coauthVersionMax="47" xr10:uidLastSave="{00000000-0000-0000-0000-000000000000}"/>
  <bookViews>
    <workbookView xWindow="-120" yWindow="-120" windowWidth="23280" windowHeight="12480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  <externalReference r:id="rId9"/>
  </externalReferences>
  <definedNames>
    <definedName name="_xlnm.Print_Area" localSheetId="3">CorrMatrix!$A$1:$N$13</definedName>
    <definedName name="_xlnm.Print_Area" localSheetId="0">Inputs!$G$1:$Q$40</definedName>
    <definedName name="_xlnm.Print_Area" localSheetId="2">PositionM!$B$1:$M$29</definedName>
    <definedName name="_xlnm.Print_Area" localSheetId="1">PricesM!$B$1:$V$20</definedName>
  </definedNames>
  <calcPr calcId="0" calcMode="manual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L2" i="3"/>
  <c r="B3" i="3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14" i="3"/>
  <c r="C14" i="3"/>
  <c r="D14" i="3"/>
  <c r="E14" i="3"/>
  <c r="F14" i="3"/>
  <c r="G14" i="3"/>
  <c r="H14" i="3"/>
  <c r="I14" i="3"/>
  <c r="J14" i="3"/>
  <c r="K14" i="3"/>
  <c r="L14" i="3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Q67" i="3"/>
  <c r="B68" i="3"/>
  <c r="C68" i="3"/>
  <c r="D68" i="3"/>
  <c r="E68" i="3"/>
  <c r="F68" i="3"/>
  <c r="G68" i="3"/>
  <c r="H68" i="3"/>
  <c r="I68" i="3"/>
  <c r="J68" i="3"/>
  <c r="K68" i="3"/>
  <c r="Q68" i="3"/>
  <c r="B69" i="3"/>
  <c r="C69" i="3"/>
  <c r="D69" i="3"/>
  <c r="E69" i="3"/>
  <c r="F69" i="3"/>
  <c r="G69" i="3"/>
  <c r="H69" i="3"/>
  <c r="I69" i="3"/>
  <c r="J69" i="3"/>
  <c r="K69" i="3"/>
  <c r="Q69" i="3"/>
  <c r="B70" i="3"/>
  <c r="C70" i="3"/>
  <c r="D70" i="3"/>
  <c r="E70" i="3"/>
  <c r="F70" i="3"/>
  <c r="G70" i="3"/>
  <c r="H70" i="3"/>
  <c r="I70" i="3"/>
  <c r="J70" i="3"/>
  <c r="K70" i="3"/>
  <c r="Q70" i="3"/>
  <c r="B71" i="3"/>
  <c r="C71" i="3"/>
  <c r="D71" i="3"/>
  <c r="E71" i="3"/>
  <c r="F71" i="3"/>
  <c r="G71" i="3"/>
  <c r="H71" i="3"/>
  <c r="I71" i="3"/>
  <c r="J71" i="3"/>
  <c r="K71" i="3"/>
  <c r="Q71" i="3"/>
  <c r="B72" i="3"/>
  <c r="C72" i="3"/>
  <c r="D72" i="3"/>
  <c r="E72" i="3"/>
  <c r="F72" i="3"/>
  <c r="G72" i="3"/>
  <c r="H72" i="3"/>
  <c r="I72" i="3"/>
  <c r="J72" i="3"/>
  <c r="K72" i="3"/>
  <c r="Q72" i="3"/>
  <c r="B73" i="3"/>
  <c r="C73" i="3"/>
  <c r="D73" i="3"/>
  <c r="E73" i="3"/>
  <c r="F73" i="3"/>
  <c r="G73" i="3"/>
  <c r="H73" i="3"/>
  <c r="I73" i="3"/>
  <c r="J73" i="3"/>
  <c r="K73" i="3"/>
  <c r="Q73" i="3"/>
  <c r="B74" i="3"/>
  <c r="C74" i="3"/>
  <c r="D74" i="3"/>
  <c r="E74" i="3"/>
  <c r="F74" i="3"/>
  <c r="G74" i="3"/>
  <c r="H74" i="3"/>
  <c r="I74" i="3"/>
  <c r="J74" i="3"/>
  <c r="K74" i="3"/>
  <c r="Q74" i="3"/>
  <c r="B75" i="3"/>
  <c r="C75" i="3"/>
  <c r="D75" i="3"/>
  <c r="E75" i="3"/>
  <c r="F75" i="3"/>
  <c r="G75" i="3"/>
  <c r="H75" i="3"/>
  <c r="I75" i="3"/>
  <c r="J75" i="3"/>
  <c r="K75" i="3"/>
  <c r="Q75" i="3"/>
  <c r="B76" i="3"/>
  <c r="C76" i="3"/>
  <c r="D76" i="3"/>
  <c r="E76" i="3"/>
  <c r="F76" i="3"/>
  <c r="G76" i="3"/>
  <c r="H76" i="3"/>
  <c r="I76" i="3"/>
  <c r="J76" i="3"/>
  <c r="K76" i="3"/>
  <c r="Q76" i="3"/>
  <c r="B77" i="3"/>
  <c r="C77" i="3"/>
  <c r="D77" i="3"/>
  <c r="E77" i="3"/>
  <c r="F77" i="3"/>
  <c r="G77" i="3"/>
  <c r="H77" i="3"/>
  <c r="I77" i="3"/>
  <c r="J77" i="3"/>
  <c r="K77" i="3"/>
  <c r="Q77" i="3"/>
  <c r="B78" i="3"/>
  <c r="C78" i="3"/>
  <c r="D78" i="3"/>
  <c r="E78" i="3"/>
  <c r="F78" i="3"/>
  <c r="G78" i="3"/>
  <c r="H78" i="3"/>
  <c r="I78" i="3"/>
  <c r="J78" i="3"/>
  <c r="K78" i="3"/>
  <c r="Q78" i="3"/>
  <c r="B79" i="3"/>
  <c r="C79" i="3"/>
  <c r="D79" i="3"/>
  <c r="E79" i="3"/>
  <c r="F79" i="3"/>
  <c r="G79" i="3"/>
  <c r="H79" i="3"/>
  <c r="I79" i="3"/>
  <c r="J79" i="3"/>
  <c r="K79" i="3"/>
  <c r="Q79" i="3"/>
  <c r="B80" i="3"/>
  <c r="C80" i="3"/>
  <c r="D80" i="3"/>
  <c r="E80" i="3"/>
  <c r="F80" i="3"/>
  <c r="G80" i="3"/>
  <c r="H80" i="3"/>
  <c r="I80" i="3"/>
  <c r="J80" i="3"/>
  <c r="K80" i="3"/>
  <c r="Q80" i="3"/>
  <c r="C82" i="3"/>
  <c r="D82" i="3"/>
  <c r="E82" i="3"/>
  <c r="F82" i="3"/>
  <c r="G82" i="3"/>
  <c r="H82" i="3"/>
  <c r="I82" i="3"/>
  <c r="J82" i="3"/>
  <c r="K82" i="3"/>
  <c r="L82" i="3"/>
  <c r="M82" i="3"/>
  <c r="N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C2" i="2"/>
  <c r="D2" i="2"/>
  <c r="E2" i="2"/>
  <c r="F2" i="2"/>
  <c r="G2" i="2"/>
  <c r="H2" i="2"/>
  <c r="I2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32" i="2"/>
  <c r="C32" i="2"/>
  <c r="D32" i="2"/>
  <c r="E32" i="2"/>
  <c r="F32" i="2"/>
  <c r="G32" i="2"/>
  <c r="H32" i="2"/>
  <c r="I32" i="2"/>
  <c r="B33" i="2"/>
  <c r="C33" i="2"/>
  <c r="D33" i="2"/>
  <c r="E33" i="2"/>
  <c r="F33" i="2"/>
  <c r="G33" i="2"/>
  <c r="H33" i="2"/>
  <c r="I33" i="2"/>
  <c r="B34" i="2"/>
  <c r="C34" i="2"/>
  <c r="D34" i="2"/>
  <c r="E34" i="2"/>
  <c r="F34" i="2"/>
  <c r="G34" i="2"/>
  <c r="H34" i="2"/>
  <c r="I34" i="2"/>
  <c r="B35" i="2"/>
  <c r="C35" i="2"/>
  <c r="D35" i="2"/>
  <c r="E35" i="2"/>
  <c r="F35" i="2"/>
  <c r="G35" i="2"/>
  <c r="H35" i="2"/>
  <c r="I35" i="2"/>
  <c r="B36" i="2"/>
  <c r="C36" i="2"/>
  <c r="D36" i="2"/>
  <c r="E36" i="2"/>
  <c r="F36" i="2"/>
  <c r="G36" i="2"/>
  <c r="H36" i="2"/>
  <c r="I36" i="2"/>
  <c r="B37" i="2"/>
  <c r="C37" i="2"/>
  <c r="D37" i="2"/>
  <c r="E37" i="2"/>
  <c r="F37" i="2"/>
  <c r="G37" i="2"/>
  <c r="H37" i="2"/>
  <c r="I37" i="2"/>
  <c r="B38" i="2"/>
  <c r="C38" i="2"/>
  <c r="D38" i="2"/>
  <c r="E38" i="2"/>
  <c r="F38" i="2"/>
  <c r="G38" i="2"/>
  <c r="H38" i="2"/>
  <c r="I38" i="2"/>
  <c r="B39" i="2"/>
  <c r="C39" i="2"/>
  <c r="D39" i="2"/>
  <c r="E39" i="2"/>
  <c r="F39" i="2"/>
  <c r="G39" i="2"/>
  <c r="H39" i="2"/>
  <c r="I39" i="2"/>
  <c r="B40" i="2"/>
  <c r="C40" i="2"/>
  <c r="D40" i="2"/>
  <c r="E40" i="2"/>
  <c r="F40" i="2"/>
  <c r="G40" i="2"/>
  <c r="H40" i="2"/>
  <c r="I40" i="2"/>
  <c r="B41" i="2"/>
  <c r="C41" i="2"/>
  <c r="D41" i="2"/>
  <c r="E41" i="2"/>
  <c r="F41" i="2"/>
  <c r="G41" i="2"/>
  <c r="H41" i="2"/>
  <c r="I41" i="2"/>
  <c r="B42" i="2"/>
  <c r="C42" i="2"/>
  <c r="D42" i="2"/>
  <c r="E42" i="2"/>
  <c r="F42" i="2"/>
  <c r="G42" i="2"/>
  <c r="H42" i="2"/>
  <c r="I42" i="2"/>
  <c r="B43" i="2"/>
  <c r="C43" i="2"/>
  <c r="D43" i="2"/>
  <c r="E43" i="2"/>
  <c r="F43" i="2"/>
  <c r="G43" i="2"/>
  <c r="H43" i="2"/>
  <c r="I43" i="2"/>
  <c r="B44" i="2"/>
  <c r="C44" i="2"/>
  <c r="D44" i="2"/>
  <c r="E44" i="2"/>
  <c r="F44" i="2"/>
  <c r="G44" i="2"/>
  <c r="H44" i="2"/>
  <c r="I44" i="2"/>
  <c r="B45" i="2"/>
  <c r="C45" i="2"/>
  <c r="D45" i="2"/>
  <c r="E45" i="2"/>
  <c r="F45" i="2"/>
  <c r="G45" i="2"/>
  <c r="H45" i="2"/>
  <c r="I45" i="2"/>
  <c r="B46" i="2"/>
  <c r="C46" i="2"/>
  <c r="D46" i="2"/>
  <c r="E46" i="2"/>
  <c r="F46" i="2"/>
  <c r="G46" i="2"/>
  <c r="H46" i="2"/>
  <c r="I46" i="2"/>
  <c r="B47" i="2"/>
  <c r="C47" i="2"/>
  <c r="D47" i="2"/>
  <c r="E47" i="2"/>
  <c r="F47" i="2"/>
  <c r="G47" i="2"/>
  <c r="H47" i="2"/>
  <c r="I47" i="2"/>
  <c r="B48" i="2"/>
  <c r="C48" i="2"/>
  <c r="D48" i="2"/>
  <c r="E48" i="2"/>
  <c r="F48" i="2"/>
  <c r="G48" i="2"/>
  <c r="H48" i="2"/>
  <c r="I48" i="2"/>
  <c r="B49" i="2"/>
  <c r="C49" i="2"/>
  <c r="D49" i="2"/>
  <c r="E49" i="2"/>
  <c r="F49" i="2"/>
  <c r="G49" i="2"/>
  <c r="H49" i="2"/>
  <c r="I49" i="2"/>
  <c r="B50" i="2"/>
  <c r="C50" i="2"/>
  <c r="D50" i="2"/>
  <c r="E50" i="2"/>
  <c r="F50" i="2"/>
  <c r="G50" i="2"/>
  <c r="H50" i="2"/>
  <c r="I50" i="2"/>
  <c r="B51" i="2"/>
  <c r="C51" i="2"/>
  <c r="D51" i="2"/>
  <c r="E51" i="2"/>
  <c r="F51" i="2"/>
  <c r="G51" i="2"/>
  <c r="H51" i="2"/>
  <c r="I51" i="2"/>
  <c r="B52" i="2"/>
  <c r="C52" i="2"/>
  <c r="D52" i="2"/>
  <c r="E52" i="2"/>
  <c r="F52" i="2"/>
  <c r="G52" i="2"/>
  <c r="H52" i="2"/>
  <c r="I52" i="2"/>
  <c r="B53" i="2"/>
  <c r="C53" i="2"/>
  <c r="D53" i="2"/>
  <c r="E53" i="2"/>
  <c r="F53" i="2"/>
  <c r="G53" i="2"/>
  <c r="H53" i="2"/>
  <c r="I53" i="2"/>
  <c r="B54" i="2"/>
  <c r="C54" i="2"/>
  <c r="D54" i="2"/>
  <c r="E54" i="2"/>
  <c r="F54" i="2"/>
  <c r="G54" i="2"/>
  <c r="H54" i="2"/>
  <c r="I54" i="2"/>
  <c r="B55" i="2"/>
  <c r="C55" i="2"/>
  <c r="D55" i="2"/>
  <c r="E55" i="2"/>
  <c r="F55" i="2"/>
  <c r="G55" i="2"/>
  <c r="H55" i="2"/>
  <c r="I55" i="2"/>
  <c r="B56" i="2"/>
  <c r="C56" i="2"/>
  <c r="D56" i="2"/>
  <c r="E56" i="2"/>
  <c r="F56" i="2"/>
  <c r="G56" i="2"/>
  <c r="H56" i="2"/>
  <c r="I56" i="2"/>
  <c r="B57" i="2"/>
  <c r="C57" i="2"/>
  <c r="D57" i="2"/>
  <c r="E57" i="2"/>
  <c r="F57" i="2"/>
  <c r="G57" i="2"/>
  <c r="H57" i="2"/>
  <c r="I57" i="2"/>
  <c r="B58" i="2"/>
  <c r="C58" i="2"/>
  <c r="D58" i="2"/>
  <c r="E58" i="2"/>
  <c r="F58" i="2"/>
  <c r="G58" i="2"/>
  <c r="H58" i="2"/>
  <c r="I58" i="2"/>
  <c r="B59" i="2"/>
  <c r="C59" i="2"/>
  <c r="D59" i="2"/>
  <c r="E59" i="2"/>
  <c r="F59" i="2"/>
  <c r="G59" i="2"/>
  <c r="H59" i="2"/>
  <c r="I59" i="2"/>
  <c r="B60" i="2"/>
  <c r="C60" i="2"/>
  <c r="D60" i="2"/>
  <c r="E60" i="2"/>
  <c r="F60" i="2"/>
  <c r="G60" i="2"/>
  <c r="H60" i="2"/>
  <c r="I60" i="2"/>
  <c r="B61" i="2"/>
  <c r="C61" i="2"/>
  <c r="D61" i="2"/>
  <c r="E61" i="2"/>
  <c r="F61" i="2"/>
  <c r="G61" i="2"/>
  <c r="H61" i="2"/>
  <c r="I61" i="2"/>
  <c r="B62" i="2"/>
  <c r="C62" i="2"/>
  <c r="D62" i="2"/>
  <c r="E62" i="2"/>
  <c r="F62" i="2"/>
  <c r="G62" i="2"/>
  <c r="H62" i="2"/>
  <c r="I62" i="2"/>
  <c r="B63" i="2"/>
  <c r="C63" i="2"/>
  <c r="D63" i="2"/>
  <c r="E63" i="2"/>
  <c r="F63" i="2"/>
  <c r="G63" i="2"/>
  <c r="H63" i="2"/>
  <c r="I63" i="2"/>
  <c r="B64" i="2"/>
  <c r="C64" i="2"/>
  <c r="D64" i="2"/>
  <c r="E64" i="2"/>
  <c r="F64" i="2"/>
  <c r="G64" i="2"/>
  <c r="H64" i="2"/>
  <c r="I64" i="2"/>
  <c r="B65" i="2"/>
  <c r="C65" i="2"/>
  <c r="D65" i="2"/>
  <c r="E65" i="2"/>
  <c r="F65" i="2"/>
  <c r="G65" i="2"/>
  <c r="H65" i="2"/>
  <c r="I65" i="2"/>
  <c r="B66" i="2"/>
  <c r="C66" i="2"/>
  <c r="D66" i="2"/>
  <c r="E66" i="2"/>
  <c r="F66" i="2"/>
  <c r="G66" i="2"/>
  <c r="H66" i="2"/>
  <c r="I66" i="2"/>
  <c r="B67" i="2"/>
  <c r="C67" i="2"/>
  <c r="D67" i="2"/>
  <c r="E67" i="2"/>
  <c r="F67" i="2"/>
  <c r="G67" i="2"/>
  <c r="H67" i="2"/>
  <c r="I67" i="2"/>
  <c r="B68" i="2"/>
  <c r="C68" i="2"/>
  <c r="D68" i="2"/>
  <c r="E68" i="2"/>
  <c r="F68" i="2"/>
  <c r="G68" i="2"/>
  <c r="H68" i="2"/>
  <c r="I68" i="2"/>
  <c r="B69" i="2"/>
  <c r="C69" i="2"/>
  <c r="D69" i="2"/>
  <c r="E69" i="2"/>
  <c r="F69" i="2"/>
  <c r="G69" i="2"/>
  <c r="H69" i="2"/>
  <c r="I69" i="2"/>
  <c r="B70" i="2"/>
  <c r="C70" i="2"/>
  <c r="D70" i="2"/>
  <c r="E70" i="2"/>
  <c r="F70" i="2"/>
  <c r="G70" i="2"/>
  <c r="H70" i="2"/>
  <c r="I70" i="2"/>
  <c r="B71" i="2"/>
  <c r="C71" i="2"/>
  <c r="D71" i="2"/>
  <c r="E71" i="2"/>
  <c r="F71" i="2"/>
  <c r="G71" i="2"/>
  <c r="H71" i="2"/>
  <c r="I71" i="2"/>
  <c r="B72" i="2"/>
  <c r="C72" i="2"/>
  <c r="D72" i="2"/>
  <c r="E72" i="2"/>
  <c r="F72" i="2"/>
  <c r="G72" i="2"/>
  <c r="H72" i="2"/>
  <c r="I72" i="2"/>
  <c r="B73" i="2"/>
  <c r="C73" i="2"/>
  <c r="D73" i="2"/>
  <c r="E73" i="2"/>
  <c r="F73" i="2"/>
  <c r="G73" i="2"/>
  <c r="H73" i="2"/>
  <c r="I73" i="2"/>
  <c r="B74" i="2"/>
  <c r="C74" i="2"/>
  <c r="D74" i="2"/>
  <c r="E74" i="2"/>
  <c r="F74" i="2"/>
  <c r="G74" i="2"/>
  <c r="H74" i="2"/>
  <c r="I74" i="2"/>
  <c r="B75" i="2"/>
  <c r="C75" i="2"/>
  <c r="D75" i="2"/>
  <c r="E75" i="2"/>
  <c r="F75" i="2"/>
  <c r="G75" i="2"/>
  <c r="H75" i="2"/>
  <c r="I75" i="2"/>
  <c r="B76" i="2"/>
  <c r="C76" i="2"/>
  <c r="D76" i="2"/>
  <c r="E76" i="2"/>
  <c r="F76" i="2"/>
  <c r="G76" i="2"/>
  <c r="H76" i="2"/>
  <c r="I76" i="2"/>
  <c r="B77" i="2"/>
  <c r="C77" i="2"/>
  <c r="D77" i="2"/>
  <c r="E77" i="2"/>
  <c r="F77" i="2"/>
  <c r="G77" i="2"/>
  <c r="H77" i="2"/>
  <c r="I77" i="2"/>
  <c r="B78" i="2"/>
  <c r="C78" i="2"/>
  <c r="D78" i="2"/>
  <c r="E78" i="2"/>
  <c r="F78" i="2"/>
  <c r="G78" i="2"/>
  <c r="H78" i="2"/>
  <c r="I78" i="2"/>
  <c r="B79" i="2"/>
  <c r="C79" i="2"/>
  <c r="D79" i="2"/>
  <c r="E79" i="2"/>
  <c r="F79" i="2"/>
  <c r="G79" i="2"/>
  <c r="H79" i="2"/>
  <c r="I79" i="2"/>
  <c r="B80" i="2"/>
  <c r="C80" i="2"/>
  <c r="D80" i="2"/>
  <c r="E80" i="2"/>
  <c r="F80" i="2"/>
  <c r="G80" i="2"/>
  <c r="H80" i="2"/>
  <c r="I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<sst xmlns="http://schemas.openxmlformats.org/spreadsheetml/2006/main" count="121" uniqueCount="51">
  <si>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</si>
  <si>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</si>
  <si>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</si>
  <si>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</si>
  <si>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</si>
  <si>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</si>
  <si>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</si>
  <si>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</si>
  <si>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</si>
  <si>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</si>
  <si>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</si>
  <si>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</si>
  <si>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</si>
  <si>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</si>
  <si>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</si>
  <si>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</si>
  <si>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</si>
  <si>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</si>
  <si>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</si>
  <si>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</si>
  <si>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</si>
  <si>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</si>
  <si>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</si>
  <si>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</si>
  <si>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</si>
  <si>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</si>
  <si>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</si>
  <si>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</si>
  <si>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</si>
  <si>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</si>
  <si>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</si>
  <si>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</si>
  <si>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</si>
  <si>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</si>
  <si>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</si>
  <si>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</si>
  <si>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</si>
  <si>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</si>
  <si>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</si>
  <si>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</si>
  <si>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</si>
  <si>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</si>
  <si>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</si>
  <si>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</si>
  <si>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</si>
  <si>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</si>
  <si>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</si>
  <si>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</si>
  <si>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</si>
  <si>
    <t>Correlations in grey to be updated</t>
  </si>
  <si>
    <t>ValueCopy 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</si>
</sst>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17" formatCode="0.00000"/>
    <numFmt numFmtId="219" formatCode="[$$-409]#,##0.0"/>
  </numFmts>
  <fonts count="32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  <font>
      <sz val="1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8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61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6" borderId="0" xfId="0" applyFont="1" applyFill="1"/>
    <xf numFmtId="0" fontId="0" fillId="2" borderId="0" xfId="0" applyFill="1" applyBorder="1"/>
    <xf numFmtId="0" fontId="29" fillId="7" borderId="0" xfId="0" applyFont="1" applyFill="1" applyBorder="1"/>
    <xf numFmtId="190" fontId="7" fillId="8" borderId="0" xfId="0" applyNumberFormat="1" applyFont="1" applyFill="1" applyBorder="1"/>
    <xf numFmtId="190" fontId="30" fillId="9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0" borderId="0" xfId="0" applyFont="1" applyFill="1"/>
    <xf numFmtId="0" fontId="7" fillId="11" borderId="0" xfId="0" applyFont="1" applyFill="1" applyBorder="1"/>
    <xf numFmtId="190" fontId="7" fillId="1" borderId="0" xfId="0" applyNumberFormat="1" applyFont="1" applyFill="1" applyBorder="1"/>
    <xf numFmtId="0" fontId="24" fillId="12" borderId="28" xfId="0" applyFont="1" applyFill="1" applyBorder="1"/>
    <xf numFmtId="0" fontId="24" fillId="12" borderId="30" xfId="0" applyFont="1" applyFill="1" applyBorder="1" applyAlignment="1">
      <alignment horizontal="center"/>
    </xf>
    <xf numFmtId="0" fontId="24" fillId="12" borderId="6" xfId="0" applyFont="1" applyFill="1" applyBorder="1"/>
    <xf numFmtId="0" fontId="24" fillId="12" borderId="3" xfId="0" applyFont="1" applyFill="1" applyBorder="1" applyAlignment="1">
      <alignment horizontal="center"/>
    </xf>
    <xf numFmtId="1" fontId="25" fillId="12" borderId="32" xfId="0" applyNumberFormat="1" applyFont="1" applyFill="1" applyBorder="1" applyAlignment="1">
      <alignment horizontal="center"/>
    </xf>
    <xf numFmtId="1" fontId="26" fillId="12" borderId="3" xfId="0" applyNumberFormat="1" applyFont="1" applyFill="1" applyBorder="1" applyAlignment="1">
      <alignment horizontal="center"/>
    </xf>
    <xf numFmtId="0" fontId="26" fillId="12" borderId="6" xfId="0" applyFont="1" applyFill="1" applyBorder="1"/>
    <xf numFmtId="15" fontId="25" fillId="12" borderId="32" xfId="0" applyNumberFormat="1" applyFont="1" applyFill="1" applyBorder="1" applyAlignment="1">
      <alignment horizontal="center"/>
    </xf>
    <xf numFmtId="0" fontId="24" fillId="12" borderId="26" xfId="0" applyFont="1" applyFill="1" applyBorder="1"/>
    <xf numFmtId="9" fontId="24" fillId="12" borderId="31" xfId="0" applyNumberFormat="1" applyFont="1" applyFill="1" applyBorder="1" applyAlignment="1">
      <alignment horizontal="center"/>
    </xf>
    <xf numFmtId="0" fontId="23" fillId="12" borderId="28" xfId="0" applyFont="1" applyFill="1" applyBorder="1" applyAlignment="1">
      <alignment horizontal="center"/>
    </xf>
    <xf numFmtId="1" fontId="23" fillId="12" borderId="29" xfId="0" applyNumberFormat="1" applyFont="1" applyFill="1" applyBorder="1" applyAlignment="1">
      <alignment horizontal="center"/>
    </xf>
    <xf numFmtId="0" fontId="23" fillId="12" borderId="29" xfId="0" applyFont="1" applyFill="1" applyBorder="1" applyAlignment="1">
      <alignment horizontal="center"/>
    </xf>
    <xf numFmtId="0" fontId="23" fillId="12" borderId="30" xfId="0" applyFont="1" applyFill="1" applyBorder="1" applyAlignment="1">
      <alignment horizontal="center"/>
    </xf>
    <xf numFmtId="0" fontId="23" fillId="12" borderId="6" xfId="0" applyFont="1" applyFill="1" applyBorder="1" applyAlignment="1">
      <alignment horizontal="center"/>
    </xf>
    <xf numFmtId="1" fontId="23" fillId="12" borderId="0" xfId="0" applyNumberFormat="1" applyFont="1" applyFill="1" applyBorder="1" applyAlignment="1">
      <alignment horizontal="center"/>
    </xf>
    <xf numFmtId="0" fontId="23" fillId="12" borderId="0" xfId="0" applyFont="1" applyFill="1" applyBorder="1" applyAlignment="1">
      <alignment horizontal="center"/>
    </xf>
    <xf numFmtId="0" fontId="23" fillId="12" borderId="3" xfId="0" applyFont="1" applyFill="1" applyBorder="1" applyAlignment="1">
      <alignment horizontal="center"/>
    </xf>
    <xf numFmtId="0" fontId="23" fillId="12" borderId="26" xfId="0" applyFont="1" applyFill="1" applyBorder="1" applyAlignment="1">
      <alignment horizontal="center"/>
    </xf>
    <xf numFmtId="1" fontId="23" fillId="12" borderId="27" xfId="0" applyNumberFormat="1" applyFont="1" applyFill="1" applyBorder="1" applyAlignment="1">
      <alignment horizontal="center"/>
    </xf>
    <xf numFmtId="0" fontId="23" fillId="12" borderId="27" xfId="0" applyFont="1" applyFill="1" applyBorder="1" applyAlignment="1">
      <alignment horizontal="center"/>
    </xf>
    <xf numFmtId="0" fontId="23" fillId="12" borderId="31" xfId="0" applyFont="1" applyFill="1" applyBorder="1" applyAlignment="1">
      <alignment horizontal="center"/>
    </xf>
    <xf numFmtId="0" fontId="14" fillId="0" borderId="0" xfId="0" applyFont="1"/>
    <xf numFmtId="0" fontId="14" fillId="13" borderId="28" xfId="0" applyFont="1" applyFill="1" applyBorder="1"/>
    <xf numFmtId="1" fontId="8" fillId="13" borderId="29" xfId="0" applyNumberFormat="1" applyFont="1" applyFill="1" applyBorder="1" applyAlignment="1">
      <alignment horizontal="center"/>
    </xf>
    <xf numFmtId="0" fontId="8" fillId="13" borderId="29" xfId="0" applyFont="1" applyFill="1" applyBorder="1" applyAlignment="1">
      <alignment horizontal="center"/>
    </xf>
    <xf numFmtId="190" fontId="8" fillId="13" borderId="30" xfId="0" applyNumberFormat="1" applyFont="1" applyFill="1" applyBorder="1"/>
    <xf numFmtId="0" fontId="14" fillId="13" borderId="26" xfId="0" applyFont="1" applyFill="1" applyBorder="1" applyAlignment="1">
      <alignment horizontal="left"/>
    </xf>
    <xf numFmtId="1" fontId="7" fillId="13" borderId="27" xfId="0" applyNumberFormat="1" applyFont="1" applyFill="1" applyBorder="1" applyAlignment="1">
      <alignment horizontal="center"/>
    </xf>
    <xf numFmtId="0" fontId="7" fillId="13" borderId="27" xfId="0" applyFont="1" applyFill="1" applyBorder="1" applyAlignment="1">
      <alignment horizontal="center"/>
    </xf>
    <xf numFmtId="0" fontId="0" fillId="13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2" borderId="0" xfId="0" applyNumberFormat="1" applyFont="1" applyFill="1" applyAlignment="1">
      <alignment horizontal="center"/>
    </xf>
    <xf numFmtId="0" fontId="0" fillId="12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4" borderId="0" xfId="0" applyFill="1" applyAlignment="1">
      <alignment horizontal="center"/>
    </xf>
    <xf numFmtId="1" fontId="22" fillId="15" borderId="9" xfId="0" applyNumberFormat="1" applyFont="1" applyFill="1" applyBorder="1" applyAlignment="1">
      <alignment horizontal="center"/>
    </xf>
    <xf numFmtId="171" fontId="0" fillId="12" borderId="0" xfId="1" applyFont="1" applyFill="1" applyAlignment="1">
      <alignment horizontal="center"/>
    </xf>
    <xf numFmtId="3" fontId="21" fillId="16" borderId="2" xfId="3" applyNumberFormat="1" applyFont="1" applyFill="1" applyBorder="1" applyAlignment="1">
      <alignment horizontal="center" wrapText="1"/>
    </xf>
    <xf numFmtId="2" fontId="0" fillId="1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00" fontId="4" fillId="0" borderId="0" xfId="0" applyNumberFormat="1" applyFont="1" applyFill="1" applyAlignment="1">
      <alignment horizontal="center"/>
    </xf>
    <xf numFmtId="3" fontId="21" fillId="12" borderId="2" xfId="3" applyNumberFormat="1" applyFont="1" applyFill="1" applyBorder="1" applyAlignment="1">
      <alignment horizontal="center" wrapText="1"/>
    </xf>
    <xf numFmtId="219" fontId="22" fillId="5" borderId="10" xfId="0" quotePrefix="1" applyNumberFormat="1" applyFont="1" applyFill="1" applyBorder="1" applyAlignment="1">
      <alignment horizontal="center"/>
    </xf>
    <xf numFmtId="219" fontId="22" fillId="15" borderId="10" xfId="0" quotePrefix="1" applyNumberFormat="1" applyFont="1" applyFill="1" applyBorder="1" applyAlignment="1">
      <alignment horizontal="center"/>
    </xf>
    <xf numFmtId="201" fontId="0" fillId="12" borderId="0" xfId="0" applyNumberFormat="1" applyFill="1" applyAlignment="1">
      <alignment horizontal="center"/>
    </xf>
    <xf numFmtId="201" fontId="5" fillId="2" borderId="1" xfId="3" applyNumberFormat="1" applyFont="1" applyFill="1" applyBorder="1" applyAlignment="1">
      <alignment horizontal="center" wrapText="1"/>
    </xf>
    <xf numFmtId="201" fontId="2" fillId="0" borderId="2" xfId="5" applyNumberFormat="1" applyFont="1" applyFill="1" applyBorder="1" applyAlignment="1">
      <alignment horizontal="center" wrapText="1"/>
    </xf>
    <xf numFmtId="201" fontId="23" fillId="0" borderId="6" xfId="0" applyNumberFormat="1" applyFont="1" applyFill="1" applyBorder="1" applyAlignment="1">
      <alignment horizontal="center"/>
    </xf>
    <xf numFmtId="201" fontId="23" fillId="0" borderId="3" xfId="0" applyNumberFormat="1" applyFont="1" applyFill="1" applyBorder="1" applyAlignment="1">
      <alignment horizontal="center"/>
    </xf>
    <xf numFmtId="201" fontId="23" fillId="0" borderId="29" xfId="0" applyNumberFormat="1" applyFont="1" applyFill="1" applyBorder="1" applyAlignment="1">
      <alignment horizontal="center"/>
    </xf>
    <xf numFmtId="201" fontId="23" fillId="0" borderId="27" xfId="0" applyNumberFormat="1" applyFont="1" applyFill="1" applyBorder="1" applyAlignment="1">
      <alignment horizontal="center"/>
    </xf>
    <xf numFmtId="171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201" fontId="23" fillId="2" borderId="6" xfId="0" applyNumberFormat="1" applyFont="1" applyFill="1" applyBorder="1" applyAlignment="1">
      <alignment horizontal="center"/>
    </xf>
    <xf numFmtId="201" fontId="23" fillId="2" borderId="0" xfId="0" applyNumberFormat="1" applyFont="1" applyFill="1" applyBorder="1" applyAlignment="1">
      <alignment horizontal="center"/>
    </xf>
    <xf numFmtId="201" fontId="23" fillId="2" borderId="3" xfId="0" applyNumberFormat="1" applyFont="1" applyFill="1" applyBorder="1" applyAlignment="1">
      <alignment horizontal="center"/>
    </xf>
    <xf numFmtId="201" fontId="23" fillId="2" borderId="29" xfId="0" applyNumberFormat="1" applyFont="1" applyFill="1" applyBorder="1" applyAlignment="1">
      <alignment horizontal="center"/>
    </xf>
    <xf numFmtId="201" fontId="23" fillId="2" borderId="27" xfId="0" applyNumberFormat="1" applyFont="1" applyFill="1" applyBorder="1" applyAlignment="1">
      <alignment horizontal="center"/>
    </xf>
    <xf numFmtId="0" fontId="23" fillId="2" borderId="0" xfId="0" applyFont="1" applyFill="1"/>
    <xf numFmtId="0" fontId="31" fillId="2" borderId="0" xfId="0" applyFont="1" applyFill="1"/>
    <xf numFmtId="171" fontId="0" fillId="0" borderId="0" xfId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01" fontId="0" fillId="0" borderId="0" xfId="0" applyNumberFormat="1" applyFill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50366699727041"/>
          <c:y val="7.0424872084120585E-2"/>
          <c:w val="0.85836131116435943"/>
          <c:h val="0.746503644091678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6-4BC4-9FF8-969C8C247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86020415"/>
        <c:axId val="1"/>
      </c:barChart>
      <c:catAx>
        <c:axId val="286020415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6020415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85725</xdr:colOff>
          <xdr:row>1</xdr:row>
          <xdr:rowOff>19050</xdr:rowOff>
        </xdr:from>
        <xdr:to>
          <xdr:col>8</xdr:col>
          <xdr:colOff>257175</xdr:colOff>
          <xdr:row>4</xdr:row>
          <xdr:rowOff>171450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86A5214-9D77-6A22-3B73-0BC509141C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47625</xdr:colOff>
      <xdr:row>0</xdr:row>
      <xdr:rowOff>190500</xdr:rowOff>
    </xdr:from>
    <xdr:to>
      <xdr:col>24</xdr:col>
      <xdr:colOff>352425</xdr:colOff>
      <xdr:row>17</xdr:row>
      <xdr:rowOff>66675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35E47C4F-4367-4B11-324F-05952C149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MG/Positions/MGPositions270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Page">
    <ddeItems>
      <ddeItem name="MAG/CLS1 10 23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0 7 7 23" advise="1">
        <values rows="4"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11 23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11 7 7 23" advise="1">
        <values rows="3"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4 12 6 23" advise="1">
        <values rows="10">
          <value t="str">
            <val>490.00</val>
          </value>
          <value t="str">
            <val>00  MA</val>
          </value>
          <value t="str">
            <val>00  AP</val>
          </value>
          <value t="str">
            <val>50  MA</val>
          </value>
          <value t="str">
            <val>00  JU</val>
          </value>
          <value t="str">
            <val>00  JU</val>
          </value>
          <value t="str">
            <val>00  AU</val>
          </value>
          <value t="str">
            <val>00  SE</val>
          </value>
          <value t="str">
            <val xml:space="preserve">      </val>
          </value>
          <value t="str">
            <val>te...&lt;</val>
          </value>
        </values>
      </ddeItem>
      <ddeItem name="MAG/CLS1 5 23 7 23" advise="1">
        <values rows="9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5 7 7 23" advise="1">
        <values rows="9">
          <value t="str">
            <val xml:space="preserve"> 491.00</val>
          </value>
          <value t="str">
            <val xml:space="preserve"> 493.00</val>
          </value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6 23 7 23" advise="1">
        <values rows="8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6 7 7 23" advise="1">
        <values rows="8">
          <value t="str">
            <val xml:space="preserve"> 493.00</val>
          </value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7 23 7 23" advise="1">
        <values rows="7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7 7 7 23" advise="1">
        <values rows="7">
          <value t="str">
            <val xml:space="preserve"> 494.50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8 23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8 7 7 23" advise="1">
        <values rows="6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G/CLS1 9 23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G/CLS1 9 7 7 23" advise="1">
        <values rows="5">
          <value t="str">
            <val xml:space="preserve"> 495.00</val>
          </value>
          <value t="str">
            <val xml:space="preserve"> 495.00</val>
          </value>
          <value t="str">
            <val xml:space="preserve"> 495.00</val>
          </value>
          <value t="str">
            <val xml:space="preserve">       </val>
          </value>
          <value t="str">
            <val>pt Date</val>
          </value>
        </values>
      </ddeItem>
      <ddeItem name="MAL/CLS1 10 23 7 23" advise="1">
        <values rows="4"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0 39 7 23" advise="1">
        <values rows="4"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10 7 7 23" advise="1">
        <values rows="4"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11 23 7 23" advise="1">
        <values rows="3"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11 39 7 23" advise="1">
        <values rows="3"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11 7 7 23" advise="1">
        <values rows="3"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4 12 7 23" advise="1">
        <values rows="10">
          <value t="str">
            <val>1550.75</val>
          </value>
          <value t="str">
            <val>75  MAR</val>
          </value>
          <value t="str">
            <val>25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25  AUG</val>
          </value>
          <value t="str">
            <val>50  SEP</val>
          </value>
          <value t="str">
            <val xml:space="preserve">       </val>
          </value>
          <value t="str">
            <val>te...&lt;M</val>
          </value>
        </values>
      </ddeItem>
      <ddeItem name="MAL/CLS1 5 23 7 23" advise="1">
        <values rows="9">
          <value t="str">
            <val>1553.00</val>
          </value>
          <value t="str">
            <val>1548.50</val>
          </value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5 39 7 23" advise="1">
        <values rows="9">
          <value t="str">
            <val>1529.50</val>
          </value>
          <value t="str">
            <val>1526.50</val>
          </value>
          <value t="str">
            <val>1523.50</val>
          </value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5 55 7 23" advise="1">
        <values rows="9">
          <value t="str">
            <val>1518.50</val>
          </value>
          <value t="str">
            <val>1517.50</val>
          </value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5 7 7 23" advise="1">
        <values rows="9">
          <value t="str">
            <val>1556.75</val>
          </value>
          <value t="str">
            <val>1566.25</val>
          </value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6 23 7 23" advise="1">
        <values rows="8">
          <value t="str">
            <val>1548.50</val>
          </value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6 55 7 23" advise="1">
        <values rows="8">
          <value t="str">
            <val>1517.50</val>
          </value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6 7 7 23" advise="1">
        <values rows="8">
          <value t="str">
            <val>1566.25</val>
          </value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7 23 7 23" advise="1">
        <values rows="7">
          <value t="str">
            <val>1545.00</val>
          </value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7 39 7 23" advise="1">
        <values rows="7">
          <value t="str">
            <val>1523.50</val>
          </value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7 55 7 23" advise="1">
        <values rows="7">
          <value t="str">
            <val>1516.50</val>
          </value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7 7 7 23" advise="1">
        <values rows="7">
          <value t="str">
            <val>1569.00</val>
          </value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8 23 7 23" advise="1">
        <values rows="6">
          <value t="str">
            <val>1541.50</val>
          </value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8 39 7 23" advise="1">
        <values rows="6">
          <value t="str">
            <val>1522.50</val>
          </value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8 55 7 23" advise="1">
        <values rows="6">
          <value t="str">
            <val>1515.50</val>
          </value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8 7 7 23" advise="1">
        <values rows="6">
          <value t="str">
            <val>1570.00</val>
          </value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AL/CLS1 9 23 7 23" advise="1">
        <values rows="5">
          <value t="str">
            <val>1538.50</val>
          </value>
          <value t="str">
            <val>1535.50</val>
          </value>
          <value t="str">
            <val>1532.50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AL/CLS1 9 39 7 23" advise="1">
        <values rows="5">
          <value t="str">
            <val>1521.50</val>
          </value>
          <value t="str">
            <val>1520.50</val>
          </value>
          <value t="str">
            <val>1519.50</val>
          </value>
          <value t="str">
            <val xml:space="preserve">       </val>
          </value>
          <value t="str">
            <val>Records</val>
          </value>
        </values>
      </ddeItem>
      <ddeItem name="MAL/CLS1 9 55 7 23" advise="1">
        <values rows="5">
          <value t="str">
            <val>1514.50</val>
          </value>
          <value t="str">
            <val>1513.50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AL/CLS1 9 7 7 23" advise="1">
        <values rows="5">
          <value t="str">
            <val>1567.00</val>
          </value>
          <value t="str">
            <val>1562.25</val>
          </value>
          <value t="str">
            <val>1557.50</val>
          </value>
          <value t="str">
            <val xml:space="preserve">       </val>
          </value>
          <value t="str">
            <val>pt Date</val>
          </value>
        </values>
      </ddeItem>
      <ddeItem name="MCU/CLS1 10 23 7 23" advise="1">
        <values rows="4"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0 39 7 23" advise="1">
        <values rows="4"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10 7 7 23" advise="1">
        <values rows="4"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11 23 7 23" advise="1">
        <values rows="3"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11 39 7 23" advise="1">
        <values rows="3"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11 7 7 23" advise="1">
        <values rows="3"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4 12 7 23" advise="1">
        <values rows="10">
          <value t="str">
            <val>1854.00</val>
          </value>
          <value t="str">
            <val>50  MAR</val>
          </value>
          <value t="str">
            <val>75  APR</val>
          </value>
          <value t="str">
            <val>25  MAY</val>
          </value>
          <value t="str">
            <val>75  JUN</val>
          </value>
          <value t="str">
            <val>25  JUL</val>
          </value>
          <value t="str">
            <val>00  AUG</val>
          </value>
          <value t="str">
            <val>75  SEP</val>
          </value>
          <value t="str">
            <val xml:space="preserve">       </val>
          </value>
          <value t="str">
            <val>te...&lt;M</val>
          </value>
        </values>
      </ddeItem>
      <ddeItem name="MCU/CLS1 5 23 7 23" advise="1">
        <values rows="9">
          <value t="str">
            <val>1880.50</val>
          </value>
          <value t="str">
            <val>1878.75</val>
          </value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5 39 7 23" advise="1">
        <values rows="9">
          <value t="str">
            <val>1869.25</val>
          </value>
          <value t="str">
            <val>1867.75</val>
          </value>
          <value t="str">
            <val>1866.25</val>
          </value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5 55 7 23" advise="1">
        <values rows="9">
          <value t="str">
            <val>1861.25</val>
          </value>
          <value t="str">
            <val>1860.50</val>
          </value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5 7 7 23" advise="1">
        <values rows="9">
          <value t="str">
            <val>1860.50</val>
          </value>
          <value t="str">
            <val>1871.75</val>
          </value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6 23 7 23" advise="1">
        <values rows="8">
          <value t="str">
            <val>1878.75</val>
          </value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6 55 7 23" advise="1">
        <values rows="8">
          <value t="str">
            <val>1860.50</val>
          </value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6 7 7 23" advise="1">
        <values rows="8">
          <value t="str">
            <val>1871.75</val>
          </value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7 23 7 23" advise="1">
        <values rows="7">
          <value t="str">
            <val>1877.00</val>
          </value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7 39 7 23" advise="1">
        <values rows="7">
          <value t="str">
            <val>1866.25</val>
          </value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7 55 7 23" advise="1">
        <values rows="7">
          <value t="str">
            <val>1859.75</val>
          </value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7 7 7 23" advise="1">
        <values rows="7">
          <value t="str">
            <val>1879.25</val>
          </value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8 23 7 23" advise="1">
        <values rows="6">
          <value t="str">
            <val>1875.25</val>
          </value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8 39 7 23" advise="1">
        <values rows="6">
          <value t="str">
            <val>1865.25</val>
          </value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8 55 7 23" advise="1">
        <values rows="6">
          <value t="str">
            <val>1859.00</val>
          </value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8 7 7 23" advise="1">
        <values rows="6">
          <value t="str">
            <val>1884.75</val>
          </value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CU/CLS1 9 23 7 23" advise="1">
        <values rows="5">
          <value t="str">
            <val>1873.75</val>
          </value>
          <value t="str">
            <val>1872.25</val>
          </value>
          <value t="str">
            <val>1870.75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CU/CLS1 9 39 7 23" advise="1">
        <values rows="5">
          <value t="str">
            <val>1864.25</val>
          </value>
          <value t="str">
            <val>1863.25</val>
          </value>
          <value t="str">
            <val>1862.25</val>
          </value>
          <value t="str">
            <val xml:space="preserve">       </val>
          </value>
          <value t="str">
            <val>Records</val>
          </value>
        </values>
      </ddeItem>
      <ddeItem name="MCU/CLS1 9 55 7 23" advise="1">
        <values rows="5">
          <value t="str">
            <val>1858.25</val>
          </value>
          <value t="str">
            <val>1857.50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CU/CLS1 9 7 7 23" advise="1">
        <values rows="5">
          <value t="str">
            <val>1887.25</val>
          </value>
          <value t="str">
            <val>1885.00</val>
          </value>
          <value t="str">
            <val>1882.75</val>
          </value>
          <value t="str">
            <val xml:space="preserve">       </val>
          </value>
          <value t="str">
            <val>pt Date</val>
          </value>
        </values>
      </ddeItem>
      <ddeItem name="MNI/CLS1 10 10 4 23" advise="1">
        <values rows="4"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10 26 4 23" advise="1">
        <values rows="4"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0 42 4 23" advise="1">
        <values rows="4"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11 10 4 23" advise="1">
        <values rows="3"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11 26 4 23" advise="1">
        <values rows="3"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11 42 4 23" advise="1">
        <values rows="3"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4 12 4 23" advise="1">
        <values rows="10">
          <value t="str">
            <val>7856</val>
          </value>
          <value t="str">
            <val xml:space="preserve">70  </val>
          </value>
          <value t="str">
            <val xml:space="preserve">50  </val>
          </value>
          <value t="str">
            <val xml:space="preserve">95  </val>
          </value>
          <value t="str">
            <val xml:space="preserve">30  </val>
          </value>
          <value t="str">
            <val xml:space="preserve">65  </val>
          </value>
          <value t="str">
            <val xml:space="preserve">80  </val>
          </value>
          <value t="str">
            <val xml:space="preserve">95  </val>
          </value>
          <value t="str">
            <val xml:space="preserve">    </val>
          </value>
          <value t="str">
            <val>te..</val>
          </value>
        </values>
      </ddeItem>
      <ddeItem name="MNI/CLS1 5 10 4 23" advise="1">
        <values rows="9">
          <value t="str">
            <val>7870</val>
          </value>
          <value t="str">
            <val>7850</val>
          </value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5 26 4 23" advise="1">
        <values rows="9">
          <value t="str">
            <val>7420</val>
          </value>
          <value t="str">
            <val>7360</val>
          </value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5 42 4 23" advise="1">
        <values rows="9">
          <value t="str">
            <val>7085</val>
          </value>
          <value t="str">
            <val>7050</val>
          </value>
          <value t="str">
            <val>7015</val>
          </value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5 58 4 23" advise="1">
        <values rows="9">
          <value t="str">
            <val>6865</val>
          </value>
          <value t="str">
            <val>6840</val>
          </value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6 10 4 23" advise="1">
        <values rows="8">
          <value t="str">
            <val>7850</val>
          </value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6 26 4 23" advise="1">
        <values rows="8">
          <value t="str">
            <val>7360</val>
          </value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6 58 4 23" advise="1">
        <values rows="8">
          <value t="str">
            <val>6840</val>
          </value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7 10 4 23" advise="1">
        <values rows="7">
          <value t="str">
            <val>7795</val>
          </value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7 26 4 23" advise="1">
        <values rows="7">
          <value t="str">
            <val>7305</val>
          </value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7 42 4 23" advise="1">
        <values rows="7">
          <value t="str">
            <val>7015</val>
          </value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7 58 4 23" advise="1">
        <values rows="7">
          <value t="str">
            <val>6815</val>
          </value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8 10 4 23" advise="1">
        <values rows="6">
          <value t="str">
            <val>7730</val>
          </value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8 26 4 23" advise="1">
        <values rows="6">
          <value t="str">
            <val>7255</val>
          </value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8 42 4 23" advise="1">
        <values rows="6">
          <value t="str">
            <val>6975</val>
          </value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8 58 4 23" advise="1">
        <values rows="6">
          <value t="str">
            <val>6790</val>
          </value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NI/CLS1 9 10 4 23" advise="1">
        <values rows="5">
          <value t="str">
            <val>7665</val>
          </value>
          <value t="str">
            <val>7580</val>
          </value>
          <value t="str">
            <val>7495</val>
          </value>
          <value t="str">
            <val xml:space="preserve">    </val>
          </value>
          <value t="str">
            <val>Date</val>
          </value>
        </values>
      </ddeItem>
      <ddeItem name="MNI/CLS1 9 26 4 23" advise="1">
        <values rows="5">
          <value t="str">
            <val>7205</val>
          </value>
          <value t="str">
            <val>7155</val>
          </value>
          <value t="str">
            <val>7120</val>
          </value>
          <value t="str">
            <val xml:space="preserve">    </val>
          </value>
          <value t="str">
            <val xml:space="preserve">&gt;   </val>
          </value>
        </values>
      </ddeItem>
      <ddeItem name="MNI/CLS1 9 42 4 23" advise="1">
        <values rows="5">
          <value t="str">
            <val>6945</val>
          </value>
          <value t="str">
            <val>6915</val>
          </value>
          <value t="str">
            <val>6890</val>
          </value>
          <value t="str">
            <val xml:space="preserve">    </val>
          </value>
          <value t="str">
            <val>ords</val>
          </value>
        </values>
      </ddeItem>
      <ddeItem name="MNI/CLS1 9 58 4 23" advise="1">
        <values rows="5">
          <value t="str">
            <val>6765</val>
          </value>
          <value t="str">
            <val>6745</val>
          </value>
          <value t="str">
            <val xml:space="preserve">    </val>
          </value>
          <value t="str">
            <val xml:space="preserve">    </val>
          </value>
          <value t="str">
            <val xml:space="preserve">S&gt;  </val>
          </value>
        </values>
      </ddeItem>
      <ddeItem name="MPB/CLS1 10 24 6 23" advise="1">
        <values rows="4"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0 8 6 23" advise="1">
        <values rows="4"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11 24 6 23" advise="1">
        <values rows="3"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11 8 6 23" advise="1">
        <values rows="3"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4 12 6 23" advise="1">
        <values rows="10">
          <value t="str">
            <val>472.50</val>
          </value>
          <value t="str">
            <val>00  MA</val>
          </value>
          <value t="str">
            <val>75  AP</val>
          </value>
          <value t="str">
            <val>75  MA</val>
          </value>
          <value t="str">
            <val>25  JU</val>
          </value>
          <value t="str">
            <val>00  JU</val>
          </value>
          <value t="str">
            <val>25  AU</val>
          </value>
          <value t="str">
            <val>50  SE</val>
          </value>
          <value t="str">
            <val xml:space="preserve">      </val>
          </value>
          <value t="str">
            <val>te...&lt;</val>
          </value>
        </values>
      </ddeItem>
      <ddeItem name="MPB/CLS1 5 24 6 23" advise="1">
        <values rows="9">
          <value t="str">
            <val>489.75</val>
          </value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5 8 6 23" advise="1">
        <values rows="9">
          <value t="str">
            <val>476.00</val>
          </value>
          <value t="str">
            <val>479.75</val>
          </value>
          <value t="str">
            <val>481.75</val>
          </value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6 24 6 23" advise="1">
        <values rows="8">
          <value t="str">
            <val>490.75</val>
          </value>
          <value t="str">
            <val>491.75</val>
          </value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6 8 6 23" advise="1">
        <values rows="8">
          <value t="str">
            <val>479.75</val>
          </value>
          <value t="str">
            <val>481.75</val>
          </value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8 24 6 23" advise="1">
        <values rows="6">
          <value t="str">
            <val>492.75</val>
          </value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8 8 6 23" advise="1">
        <values rows="6">
          <value t="str">
            <val>484.25</val>
          </value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PB/CLS1 9 24 6 23" advise="1">
        <values rows="5">
          <value t="str">
            <val>493.75</val>
          </value>
          <value t="str">
            <val>494.75</val>
          </value>
          <value t="str">
            <val>495.50</val>
          </value>
          <value t="str">
            <val xml:space="preserve">      </val>
          </value>
          <value t="str">
            <val xml:space="preserve">S1&gt;   </val>
          </value>
        </values>
      </ddeItem>
      <ddeItem name="MPB/CLS1 9 8 6 23" advise="1">
        <values rows="5">
          <value t="str">
            <val>486.00</val>
          </value>
          <value t="str">
            <val>487.25</val>
          </value>
          <value t="str">
            <val>488.50</val>
          </value>
          <value t="str">
            <val xml:space="preserve">      </val>
          </value>
          <value t="str">
            <val>t Date</val>
          </value>
        </values>
      </ddeItem>
      <ddeItem name="MSN/CLS1 10 23 7 23" advise="1">
        <values rows="4"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0 7 7 23" advise="1">
        <values rows="4"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11 23 7 23" advise="1">
        <values rows="3"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11 7 7 23" advise="1">
        <values rows="3"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4 12 7 23" advise="1">
        <values rows="10">
          <value t="str">
            <val>5260.00</val>
          </value>
          <value t="str">
            <val>00  MAR</val>
          </value>
          <value t="str">
            <val>00  APR</val>
          </value>
          <value t="str">
            <val>00  MAY</val>
          </value>
          <value t="str">
            <val>00  JUN</val>
          </value>
          <value t="str">
            <val>00  JUL</val>
          </value>
          <value t="str">
            <val>00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SN/CLS1 5 23 7 23" advise="1">
        <values rows="9">
          <value t="str">
            <val>5342.00</val>
          </value>
          <value t="str">
            <val>5348.00</val>
          </value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5 39 7 23" advise="1">
        <values rows="9">
          <value t="str">
            <val>5380.00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       </val>
          </value>
          <value t="str">
            <val>Records</val>
          </value>
        </values>
      </ddeItem>
      <ddeItem name="MSN/CLS1 5 7 7 23" advise="1">
        <values rows="9">
          <value t="str">
            <val>5276.00</val>
          </value>
          <value t="str">
            <val>5290.00</val>
          </value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6 23 7 23" advise="1">
        <values rows="8">
          <value t="str">
            <val>5348.00</val>
          </value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6 7 7 23" advise="1">
        <values rows="8">
          <value t="str">
            <val>5290.00</val>
          </value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7 23 7 23" advise="1">
        <values rows="7">
          <value t="str">
            <val>5354.00</val>
          </value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7 7 7 23" advise="1">
        <values rows="7">
          <value t="str">
            <val>5302.00</val>
          </value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8 23 7 23" advise="1">
        <values rows="6">
          <value t="str">
            <val>5360.00</val>
          </value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8 7 7 23" advise="1">
        <values rows="6">
          <value t="str">
            <val>5313.00</val>
          </value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SN/CLS1 9 23 7 23" advise="1">
        <values rows="5">
          <value t="str">
            <val>5365.00</val>
          </value>
          <value t="str">
            <val>5370.00</val>
          </value>
          <value t="str">
            <val>5375.00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SN/CLS1 9 7 7 23" advise="1">
        <values rows="5">
          <value t="str">
            <val>5323.00</val>
          </value>
          <value t="str">
            <val>5330.00</val>
          </value>
          <value t="str">
            <val>5336.00</val>
          </value>
          <value t="str">
            <val xml:space="preserve">       </val>
          </value>
          <value t="str">
            <val>pt Date</val>
          </value>
        </values>
      </ddeItem>
      <ddeItem name="MZN/CLS1 10 23 7 23" advise="1">
        <values rows="4"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0 39 7 23" advise="1">
        <values rows="4"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10 7 7 23" advise="1">
        <values rows="4"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11 23 7 23" advise="1">
        <values rows="3"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11 39 7 23" advise="1">
        <values rows="3"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11 7 7 23" advise="1">
        <values rows="3"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4 12 7 23" advise="1">
        <values rows="10">
          <value t="str">
            <val>1152.50</val>
          </value>
          <value t="str">
            <val>00  MAR</val>
          </value>
          <value t="str">
            <val>75  APR</val>
          </value>
          <value t="str">
            <val>75  MAY</val>
          </value>
          <value t="str">
            <val>00  JUN</val>
          </value>
          <value t="str">
            <val>00  JUL</val>
          </value>
          <value t="str">
            <val>50  AUG</val>
          </value>
          <value t="str">
            <val>00  SEP</val>
          </value>
          <value t="str">
            <val xml:space="preserve">       </val>
          </value>
          <value t="str">
            <val>te...&lt;M</val>
          </value>
        </values>
      </ddeItem>
      <ddeItem name="MZN/CLS1 5 23 7 23" advise="1">
        <values rows="9">
          <value t="str">
            <val>1164.50</val>
          </value>
          <value t="str">
            <val>1163.00</val>
          </value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5 39 7 23" advise="1">
        <values rows="9">
          <value t="str">
            <val>1152.50</val>
          </value>
          <value t="str">
            <val>1150.75</val>
          </value>
          <value t="str">
            <val>1149.00</val>
          </value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5 55 7 23" advise="1">
        <values rows="9">
          <value t="str">
            <val>1139.75</val>
          </value>
          <value t="str">
            <val>1138.00</val>
          </value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5 7 7 23" advise="1">
        <values rows="9">
          <value t="str">
            <val>1156.00</val>
          </value>
          <value t="str">
            <val>1164.75</val>
          </value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6 23 7 23" advise="1">
        <values rows="8">
          <value t="str">
            <val>1163.00</val>
          </value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6 55 7 23" advise="1">
        <values rows="8">
          <value t="str">
            <val>1138.00</val>
          </value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6 7 7 23" advise="1">
        <values rows="8">
          <value t="str">
            <val>1164.75</val>
          </value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7 23 7 23" advise="1">
        <values rows="7">
          <value t="str">
            <val>1161.25</val>
          </value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7 39 7 23" advise="1">
        <values rows="7">
          <value t="str">
            <val>1149.00</val>
          </value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7 55 7 23" advise="1">
        <values rows="7">
          <value t="str">
            <val>1136.25</val>
          </value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7 7 7 23" advise="1">
        <values rows="7">
          <value t="str">
            <val>1166.75</val>
          </value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8 23 7 23" advise="1">
        <values rows="6">
          <value t="str">
            <val>1159.50</val>
          </value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8 39 7 23" advise="1">
        <values rows="6">
          <value t="str">
            <val>1147.00</val>
          </value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8 55 7 23" advise="1">
        <values rows="6">
          <value t="str">
            <val>1134.50</val>
          </value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8 7 7 23" advise="1">
        <values rows="6">
          <value t="str">
            <val>1168.00</val>
          </value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  <ddeItem name="MZN/CLS1 9 23 7 23" advise="1">
        <values rows="5">
          <value t="str">
            <val>1157.75</val>
          </value>
          <value t="str">
            <val>1156.00</val>
          </value>
          <value t="str">
            <val>1154.25</val>
          </value>
          <value t="str">
            <val xml:space="preserve">       </val>
          </value>
          <value t="str">
            <val xml:space="preserve">LS1&gt;   </val>
          </value>
        </values>
      </ddeItem>
      <ddeItem name="MZN/CLS1 9 39 7 23" advise="1">
        <values rows="5">
          <value t="str">
            <val>1145.00</val>
          </value>
          <value t="str">
            <val>1143.25</val>
          </value>
          <value t="str">
            <val>1141.50</val>
          </value>
          <value t="str">
            <val xml:space="preserve">       </val>
          </value>
          <value t="str">
            <val>Records</val>
          </value>
        </values>
      </ddeItem>
      <ddeItem name="MZN/CLS1 9 55 7 23" advise="1">
        <values rows="5">
          <value t="str">
            <val>1132.75</val>
          </value>
          <value t="str">
            <val>1131.00</val>
          </value>
          <value t="str">
            <val xml:space="preserve">       </val>
          </value>
          <value t="str">
            <val xml:space="preserve">       </val>
          </value>
          <value t="str">
            <val xml:space="preserve">-CLS&gt;  </val>
          </value>
        </values>
      </ddeItem>
      <ddeItem name="MZN/CLS1 9 7 7 23" advise="1">
        <values rows="5">
          <value t="str">
            <val>1169.00</val>
          </value>
          <value t="str">
            <val>1167.50</val>
          </value>
          <value t="str">
            <val>1166.00</val>
          </value>
          <value t="str">
            <val xml:space="preserve">       </val>
          </value>
          <value t="str">
            <val>pt Date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GENLS1 27-07-2000"/>
    </sheetNames>
    <sheetDataSet>
      <sheetData sheetId="0">
        <row r="7">
          <cell r="R7">
            <v>36708</v>
          </cell>
          <cell r="S7">
            <v>267295</v>
          </cell>
          <cell r="U7">
            <v>36708</v>
          </cell>
          <cell r="V7">
            <v>295626</v>
          </cell>
          <cell r="X7">
            <v>36708</v>
          </cell>
          <cell r="Y7">
            <v>97359</v>
          </cell>
          <cell r="AA7">
            <v>36708</v>
          </cell>
          <cell r="AB7">
            <v>5300</v>
          </cell>
          <cell r="AD7">
            <v>36708</v>
          </cell>
          <cell r="AE7">
            <v>287396</v>
          </cell>
          <cell r="AG7">
            <v>36708</v>
          </cell>
          <cell r="AH7">
            <v>2905</v>
          </cell>
          <cell r="AJ7">
            <v>36708</v>
          </cell>
          <cell r="AK7">
            <v>89735</v>
          </cell>
          <cell r="AM7">
            <v>36708</v>
          </cell>
          <cell r="AN7">
            <v>-90183</v>
          </cell>
          <cell r="AP7">
            <v>36708</v>
          </cell>
          <cell r="AQ7">
            <v>71845</v>
          </cell>
          <cell r="AS7">
            <v>36708</v>
          </cell>
          <cell r="AT7">
            <v>19317</v>
          </cell>
        </row>
        <row r="8">
          <cell r="R8">
            <v>36739</v>
          </cell>
          <cell r="S8">
            <v>-252782</v>
          </cell>
          <cell r="U8">
            <v>36739</v>
          </cell>
          <cell r="V8">
            <v>119318</v>
          </cell>
          <cell r="X8">
            <v>36739</v>
          </cell>
          <cell r="Y8">
            <v>-7378</v>
          </cell>
          <cell r="AA8">
            <v>36739</v>
          </cell>
          <cell r="AB8">
            <v>1343</v>
          </cell>
          <cell r="AD8">
            <v>36739</v>
          </cell>
          <cell r="AE8">
            <v>664330</v>
          </cell>
          <cell r="AG8">
            <v>36739</v>
          </cell>
          <cell r="AH8">
            <v>-940</v>
          </cell>
          <cell r="AJ8">
            <v>36739</v>
          </cell>
          <cell r="AK8">
            <v>18873</v>
          </cell>
          <cell r="AM8">
            <v>36739</v>
          </cell>
          <cell r="AN8">
            <v>15657</v>
          </cell>
          <cell r="AP8">
            <v>36770</v>
          </cell>
          <cell r="AQ8">
            <v>-3280</v>
          </cell>
          <cell r="AS8">
            <v>36739</v>
          </cell>
          <cell r="AT8">
            <v>0</v>
          </cell>
        </row>
        <row r="9">
          <cell r="R9">
            <v>36770</v>
          </cell>
          <cell r="S9">
            <v>53050</v>
          </cell>
          <cell r="U9">
            <v>36770</v>
          </cell>
          <cell r="V9">
            <v>-148527</v>
          </cell>
          <cell r="X9">
            <v>36770</v>
          </cell>
          <cell r="Y9">
            <v>1827</v>
          </cell>
          <cell r="AA9">
            <v>36770</v>
          </cell>
          <cell r="AB9">
            <v>3705</v>
          </cell>
          <cell r="AD9">
            <v>36770</v>
          </cell>
          <cell r="AE9">
            <v>-1067146</v>
          </cell>
          <cell r="AG9">
            <v>36770</v>
          </cell>
          <cell r="AH9">
            <v>887</v>
          </cell>
          <cell r="AJ9">
            <v>36770</v>
          </cell>
          <cell r="AK9">
            <v>-57155</v>
          </cell>
          <cell r="AM9">
            <v>36770</v>
          </cell>
          <cell r="AN9">
            <v>8198</v>
          </cell>
          <cell r="AP9">
            <v>36861</v>
          </cell>
          <cell r="AQ9">
            <v>-22250</v>
          </cell>
          <cell r="AS9">
            <v>36770</v>
          </cell>
          <cell r="AT9">
            <v>-10000</v>
          </cell>
        </row>
        <row r="10">
          <cell r="R10">
            <v>36800</v>
          </cell>
          <cell r="S10">
            <v>39922</v>
          </cell>
          <cell r="U10">
            <v>36800</v>
          </cell>
          <cell r="V10">
            <v>-128331</v>
          </cell>
          <cell r="X10">
            <v>36800</v>
          </cell>
          <cell r="Y10">
            <v>12460</v>
          </cell>
          <cell r="AA10">
            <v>36800</v>
          </cell>
          <cell r="AB10">
            <v>793</v>
          </cell>
          <cell r="AD10">
            <v>36800</v>
          </cell>
          <cell r="AE10">
            <v>403781</v>
          </cell>
          <cell r="AG10">
            <v>36800</v>
          </cell>
          <cell r="AH10">
            <v>-878</v>
          </cell>
          <cell r="AJ10">
            <v>36800</v>
          </cell>
          <cell r="AK10">
            <v>4857</v>
          </cell>
          <cell r="AM10">
            <v>36800</v>
          </cell>
          <cell r="AN10">
            <v>-56361</v>
          </cell>
          <cell r="AP10">
            <v>36951</v>
          </cell>
          <cell r="AQ10">
            <v>-43310</v>
          </cell>
          <cell r="AS10">
            <v>36800</v>
          </cell>
          <cell r="AT10">
            <v>-20000</v>
          </cell>
        </row>
        <row r="11">
          <cell r="R11">
            <v>36831</v>
          </cell>
          <cell r="S11">
            <v>-36058</v>
          </cell>
          <cell r="U11">
            <v>36831</v>
          </cell>
          <cell r="V11">
            <v>-4377</v>
          </cell>
          <cell r="X11">
            <v>36831</v>
          </cell>
          <cell r="Y11">
            <v>3719</v>
          </cell>
          <cell r="AA11">
            <v>36831</v>
          </cell>
          <cell r="AB11">
            <v>-911</v>
          </cell>
          <cell r="AD11">
            <v>36831</v>
          </cell>
          <cell r="AE11">
            <v>672336</v>
          </cell>
          <cell r="AG11">
            <v>36831</v>
          </cell>
          <cell r="AH11">
            <v>-174</v>
          </cell>
          <cell r="AJ11">
            <v>36831</v>
          </cell>
          <cell r="AK11">
            <v>-8814</v>
          </cell>
          <cell r="AM11">
            <v>36831</v>
          </cell>
          <cell r="AN11">
            <v>-8328</v>
          </cell>
          <cell r="AP11">
            <v>37012</v>
          </cell>
          <cell r="AQ11">
            <v>18860</v>
          </cell>
          <cell r="AS11">
            <v>36831</v>
          </cell>
          <cell r="AT11">
            <v>-20000</v>
          </cell>
        </row>
        <row r="12">
          <cell r="R12">
            <v>36861</v>
          </cell>
          <cell r="S12">
            <v>-65658</v>
          </cell>
          <cell r="U12">
            <v>36861</v>
          </cell>
          <cell r="V12">
            <v>53637</v>
          </cell>
          <cell r="X12">
            <v>36861</v>
          </cell>
          <cell r="Y12">
            <v>-5532</v>
          </cell>
          <cell r="AA12">
            <v>36861</v>
          </cell>
          <cell r="AB12">
            <v>2418</v>
          </cell>
          <cell r="AD12">
            <v>36861</v>
          </cell>
          <cell r="AE12">
            <v>-1229059</v>
          </cell>
          <cell r="AG12">
            <v>36861</v>
          </cell>
          <cell r="AH12">
            <v>-304</v>
          </cell>
          <cell r="AJ12">
            <v>36861</v>
          </cell>
          <cell r="AK12">
            <v>-4566</v>
          </cell>
          <cell r="AM12">
            <v>36861</v>
          </cell>
          <cell r="AN12">
            <v>23824</v>
          </cell>
          <cell r="AP12">
            <v>37377</v>
          </cell>
          <cell r="AQ12">
            <v>-20000</v>
          </cell>
          <cell r="AS12">
            <v>36861</v>
          </cell>
          <cell r="AT12">
            <v>-40000</v>
          </cell>
        </row>
        <row r="13">
          <cell r="R13">
            <v>36892</v>
          </cell>
          <cell r="S13">
            <v>10651</v>
          </cell>
          <cell r="U13">
            <v>36892</v>
          </cell>
          <cell r="V13">
            <v>12518</v>
          </cell>
          <cell r="X13">
            <v>36892</v>
          </cell>
          <cell r="Y13">
            <v>-18883</v>
          </cell>
          <cell r="AA13">
            <v>36892</v>
          </cell>
          <cell r="AB13">
            <v>728</v>
          </cell>
          <cell r="AD13">
            <v>36892</v>
          </cell>
          <cell r="AE13">
            <v>152555</v>
          </cell>
          <cell r="AG13">
            <v>36892</v>
          </cell>
          <cell r="AH13">
            <v>-31</v>
          </cell>
          <cell r="AJ13">
            <v>36892</v>
          </cell>
          <cell r="AK13">
            <v>-5406</v>
          </cell>
          <cell r="AM13">
            <v>36892</v>
          </cell>
          <cell r="AN13">
            <v>33533</v>
          </cell>
          <cell r="AS13">
            <v>36892</v>
          </cell>
          <cell r="AT13">
            <v>20000</v>
          </cell>
        </row>
        <row r="14">
          <cell r="R14">
            <v>36923</v>
          </cell>
          <cell r="S14">
            <v>-8110</v>
          </cell>
          <cell r="U14">
            <v>36923</v>
          </cell>
          <cell r="V14">
            <v>-1128</v>
          </cell>
          <cell r="X14">
            <v>36923</v>
          </cell>
          <cell r="Y14">
            <v>-7216</v>
          </cell>
          <cell r="AA14">
            <v>36923</v>
          </cell>
          <cell r="AB14">
            <v>86</v>
          </cell>
          <cell r="AD14">
            <v>36923</v>
          </cell>
          <cell r="AE14">
            <v>-38742</v>
          </cell>
          <cell r="AG14">
            <v>36923</v>
          </cell>
          <cell r="AH14">
            <v>-28</v>
          </cell>
          <cell r="AJ14">
            <v>36923</v>
          </cell>
          <cell r="AK14">
            <v>-1215</v>
          </cell>
          <cell r="AM14">
            <v>36923</v>
          </cell>
          <cell r="AN14">
            <v>6173</v>
          </cell>
          <cell r="AS14">
            <v>36923</v>
          </cell>
          <cell r="AT14">
            <v>20000</v>
          </cell>
        </row>
        <row r="15">
          <cell r="R15">
            <v>36951</v>
          </cell>
          <cell r="S15">
            <v>-9729</v>
          </cell>
          <cell r="U15">
            <v>36951</v>
          </cell>
          <cell r="V15">
            <v>-42739</v>
          </cell>
          <cell r="X15">
            <v>36951</v>
          </cell>
          <cell r="Y15">
            <v>-10574</v>
          </cell>
          <cell r="AA15">
            <v>36951</v>
          </cell>
          <cell r="AB15">
            <v>553</v>
          </cell>
          <cell r="AD15">
            <v>36951</v>
          </cell>
          <cell r="AE15">
            <v>170528</v>
          </cell>
          <cell r="AG15">
            <v>36951</v>
          </cell>
          <cell r="AH15">
            <v>-103</v>
          </cell>
          <cell r="AJ15">
            <v>36951</v>
          </cell>
          <cell r="AK15">
            <v>-4527</v>
          </cell>
          <cell r="AM15">
            <v>36951</v>
          </cell>
          <cell r="AN15">
            <v>13600</v>
          </cell>
          <cell r="AS15">
            <v>36951</v>
          </cell>
          <cell r="AT15">
            <v>25000</v>
          </cell>
        </row>
        <row r="16">
          <cell r="R16">
            <v>36982</v>
          </cell>
          <cell r="S16">
            <v>-8386</v>
          </cell>
          <cell r="U16">
            <v>36982</v>
          </cell>
          <cell r="V16">
            <v>-29392</v>
          </cell>
          <cell r="X16">
            <v>36982</v>
          </cell>
          <cell r="Y16">
            <v>-1803</v>
          </cell>
          <cell r="AA16">
            <v>36982</v>
          </cell>
          <cell r="AB16">
            <v>649</v>
          </cell>
          <cell r="AD16">
            <v>36982</v>
          </cell>
          <cell r="AE16">
            <v>28807</v>
          </cell>
          <cell r="AG16">
            <v>36982</v>
          </cell>
          <cell r="AH16">
            <v>-6</v>
          </cell>
          <cell r="AJ16">
            <v>36982</v>
          </cell>
          <cell r="AK16">
            <v>-1787</v>
          </cell>
          <cell r="AM16">
            <v>36982</v>
          </cell>
          <cell r="AN16">
            <v>26878</v>
          </cell>
          <cell r="AS16">
            <v>36982</v>
          </cell>
          <cell r="AT16">
            <v>-6666</v>
          </cell>
        </row>
        <row r="17">
          <cell r="R17">
            <v>37012</v>
          </cell>
          <cell r="S17">
            <v>-1616</v>
          </cell>
          <cell r="U17">
            <v>37012</v>
          </cell>
          <cell r="V17">
            <v>7253</v>
          </cell>
          <cell r="X17">
            <v>37012</v>
          </cell>
          <cell r="Y17">
            <v>-6874</v>
          </cell>
          <cell r="AA17">
            <v>37012</v>
          </cell>
          <cell r="AB17">
            <v>1</v>
          </cell>
          <cell r="AD17">
            <v>37012</v>
          </cell>
          <cell r="AE17">
            <v>-37616</v>
          </cell>
          <cell r="AG17">
            <v>37012</v>
          </cell>
          <cell r="AH17">
            <v>46</v>
          </cell>
          <cell r="AJ17">
            <v>37012</v>
          </cell>
          <cell r="AK17">
            <v>-4662</v>
          </cell>
          <cell r="AM17">
            <v>37012</v>
          </cell>
          <cell r="AN17">
            <v>-23470</v>
          </cell>
          <cell r="AS17">
            <v>37012</v>
          </cell>
          <cell r="AT17">
            <v>-10000</v>
          </cell>
        </row>
        <row r="18">
          <cell r="R18">
            <v>37043</v>
          </cell>
          <cell r="S18">
            <v>-3124</v>
          </cell>
          <cell r="U18">
            <v>37043</v>
          </cell>
          <cell r="V18">
            <v>1236</v>
          </cell>
          <cell r="X18">
            <v>37043</v>
          </cell>
          <cell r="Y18">
            <v>-9692</v>
          </cell>
          <cell r="AA18">
            <v>37043</v>
          </cell>
          <cell r="AB18">
            <v>2101</v>
          </cell>
          <cell r="AD18">
            <v>37043</v>
          </cell>
          <cell r="AE18">
            <v>-3794</v>
          </cell>
          <cell r="AG18">
            <v>37043</v>
          </cell>
          <cell r="AH18">
            <v>-154</v>
          </cell>
          <cell r="AJ18">
            <v>37043</v>
          </cell>
          <cell r="AK18">
            <v>1291</v>
          </cell>
          <cell r="AM18">
            <v>37043</v>
          </cell>
          <cell r="AN18">
            <v>24724</v>
          </cell>
          <cell r="AS18">
            <v>37043</v>
          </cell>
          <cell r="AT18">
            <v>20000</v>
          </cell>
        </row>
        <row r="19">
          <cell r="R19">
            <v>37073</v>
          </cell>
          <cell r="S19">
            <v>-5986</v>
          </cell>
          <cell r="U19">
            <v>37073</v>
          </cell>
          <cell r="V19">
            <v>1103</v>
          </cell>
          <cell r="X19">
            <v>37073</v>
          </cell>
          <cell r="Y19">
            <v>-25900</v>
          </cell>
          <cell r="AA19">
            <v>37073</v>
          </cell>
          <cell r="AB19">
            <v>-947</v>
          </cell>
          <cell r="AD19">
            <v>37073</v>
          </cell>
          <cell r="AE19">
            <v>9163</v>
          </cell>
          <cell r="AG19">
            <v>37073</v>
          </cell>
          <cell r="AH19">
            <v>-50</v>
          </cell>
          <cell r="AJ19">
            <v>37073</v>
          </cell>
          <cell r="AK19">
            <v>-4514</v>
          </cell>
          <cell r="AM19">
            <v>37073</v>
          </cell>
          <cell r="AN19">
            <v>611</v>
          </cell>
          <cell r="AS19">
            <v>37073</v>
          </cell>
          <cell r="AT19">
            <v>10000</v>
          </cell>
        </row>
        <row r="20">
          <cell r="R20">
            <v>37104</v>
          </cell>
          <cell r="S20">
            <v>1156</v>
          </cell>
          <cell r="U20">
            <v>37104</v>
          </cell>
          <cell r="V20">
            <v>-1853</v>
          </cell>
          <cell r="X20">
            <v>37104</v>
          </cell>
          <cell r="Y20">
            <v>-2975</v>
          </cell>
          <cell r="AA20">
            <v>37104</v>
          </cell>
          <cell r="AB20">
            <v>-71</v>
          </cell>
          <cell r="AD20">
            <v>37104</v>
          </cell>
          <cell r="AE20">
            <v>-1061</v>
          </cell>
          <cell r="AG20">
            <v>37104</v>
          </cell>
          <cell r="AH20">
            <v>70</v>
          </cell>
          <cell r="AJ20">
            <v>37104</v>
          </cell>
          <cell r="AK20">
            <v>-7888</v>
          </cell>
          <cell r="AM20">
            <v>37104</v>
          </cell>
          <cell r="AN20">
            <v>-6720</v>
          </cell>
          <cell r="AS20">
            <v>37104</v>
          </cell>
          <cell r="AT20">
            <v>-16666</v>
          </cell>
        </row>
        <row r="21">
          <cell r="R21">
            <v>37135</v>
          </cell>
          <cell r="S21">
            <v>-1212</v>
          </cell>
          <cell r="U21">
            <v>37135</v>
          </cell>
          <cell r="V21">
            <v>-6722</v>
          </cell>
          <cell r="X21">
            <v>37135</v>
          </cell>
          <cell r="Y21">
            <v>-1075</v>
          </cell>
          <cell r="AA21">
            <v>37135</v>
          </cell>
          <cell r="AB21">
            <v>-341</v>
          </cell>
          <cell r="AD21">
            <v>37135</v>
          </cell>
          <cell r="AE21">
            <v>9163</v>
          </cell>
          <cell r="AJ21">
            <v>37135</v>
          </cell>
          <cell r="AK21">
            <v>-1401</v>
          </cell>
          <cell r="AM21">
            <v>37135</v>
          </cell>
          <cell r="AN21">
            <v>611</v>
          </cell>
          <cell r="AS21">
            <v>37135</v>
          </cell>
          <cell r="AT21">
            <v>10000</v>
          </cell>
        </row>
        <row r="22">
          <cell r="R22">
            <v>37165</v>
          </cell>
          <cell r="S22">
            <v>2639</v>
          </cell>
          <cell r="U22">
            <v>37165</v>
          </cell>
          <cell r="V22">
            <v>-39</v>
          </cell>
          <cell r="X22">
            <v>37165</v>
          </cell>
          <cell r="Y22">
            <v>-325</v>
          </cell>
          <cell r="AA22">
            <v>37165</v>
          </cell>
          <cell r="AB22">
            <v>-924</v>
          </cell>
          <cell r="AD22">
            <v>37165</v>
          </cell>
          <cell r="AE22">
            <v>27971</v>
          </cell>
          <cell r="AJ22">
            <v>37165</v>
          </cell>
          <cell r="AK22">
            <v>-3546</v>
          </cell>
          <cell r="AM22">
            <v>37165</v>
          </cell>
          <cell r="AN22">
            <v>7813</v>
          </cell>
          <cell r="AS22">
            <v>37196</v>
          </cell>
          <cell r="AT22">
            <v>-6666</v>
          </cell>
        </row>
        <row r="23">
          <cell r="R23">
            <v>37196</v>
          </cell>
          <cell r="S23">
            <v>9881</v>
          </cell>
          <cell r="U23">
            <v>37196</v>
          </cell>
          <cell r="V23">
            <v>-4886</v>
          </cell>
          <cell r="X23">
            <v>37196</v>
          </cell>
          <cell r="Y23">
            <v>925</v>
          </cell>
          <cell r="AA23">
            <v>37196</v>
          </cell>
          <cell r="AB23">
            <v>-276</v>
          </cell>
          <cell r="AD23">
            <v>37196</v>
          </cell>
          <cell r="AE23">
            <v>-18808</v>
          </cell>
          <cell r="AJ23">
            <v>37196</v>
          </cell>
          <cell r="AK23">
            <v>-4308</v>
          </cell>
          <cell r="AM23">
            <v>37196</v>
          </cell>
          <cell r="AN23">
            <v>-7202</v>
          </cell>
          <cell r="AS23">
            <v>37226</v>
          </cell>
          <cell r="AT23">
            <v>10000</v>
          </cell>
        </row>
        <row r="24">
          <cell r="R24">
            <v>37226</v>
          </cell>
          <cell r="S24">
            <v>-22211</v>
          </cell>
          <cell r="U24">
            <v>37226</v>
          </cell>
          <cell r="V24">
            <v>-110980</v>
          </cell>
          <cell r="X24">
            <v>37226</v>
          </cell>
          <cell r="Y24">
            <v>925</v>
          </cell>
          <cell r="AA24">
            <v>37226</v>
          </cell>
          <cell r="AB24">
            <v>-10284</v>
          </cell>
          <cell r="AD24">
            <v>37226</v>
          </cell>
          <cell r="AE24">
            <v>0</v>
          </cell>
          <cell r="AJ24">
            <v>37226</v>
          </cell>
          <cell r="AK24">
            <v>3890</v>
          </cell>
          <cell r="AM24">
            <v>37226</v>
          </cell>
          <cell r="AN24">
            <v>0</v>
          </cell>
        </row>
        <row r="25">
          <cell r="R25">
            <v>37257</v>
          </cell>
          <cell r="S25">
            <v>38601</v>
          </cell>
          <cell r="U25">
            <v>37257</v>
          </cell>
          <cell r="V25">
            <v>-889</v>
          </cell>
          <cell r="X25">
            <v>37257</v>
          </cell>
          <cell r="Y25">
            <v>675</v>
          </cell>
          <cell r="AA25">
            <v>37257</v>
          </cell>
          <cell r="AB25">
            <v>-654</v>
          </cell>
          <cell r="AD25">
            <v>37257</v>
          </cell>
          <cell r="AE25">
            <v>18808</v>
          </cell>
          <cell r="AJ25">
            <v>37257</v>
          </cell>
          <cell r="AK25">
            <v>4197</v>
          </cell>
          <cell r="AM25">
            <v>37257</v>
          </cell>
          <cell r="AN25">
            <v>7202</v>
          </cell>
        </row>
        <row r="26">
          <cell r="R26">
            <v>37288</v>
          </cell>
          <cell r="S26">
            <v>15351</v>
          </cell>
          <cell r="U26">
            <v>37288</v>
          </cell>
          <cell r="V26">
            <v>-187</v>
          </cell>
          <cell r="X26">
            <v>37288</v>
          </cell>
          <cell r="Y26">
            <v>900</v>
          </cell>
          <cell r="AA26">
            <v>37288</v>
          </cell>
          <cell r="AB26">
            <v>-72</v>
          </cell>
          <cell r="AD26">
            <v>37288</v>
          </cell>
          <cell r="AE26">
            <v>0</v>
          </cell>
          <cell r="AJ26">
            <v>37288</v>
          </cell>
          <cell r="AK26">
            <v>-817</v>
          </cell>
          <cell r="AM26">
            <v>37288</v>
          </cell>
          <cell r="AN26">
            <v>0</v>
          </cell>
        </row>
        <row r="27">
          <cell r="R27">
            <v>37316</v>
          </cell>
          <cell r="S27">
            <v>22114</v>
          </cell>
          <cell r="U27">
            <v>37316</v>
          </cell>
          <cell r="V27">
            <v>1045</v>
          </cell>
          <cell r="X27">
            <v>37316</v>
          </cell>
          <cell r="Y27">
            <v>1000</v>
          </cell>
          <cell r="AA27">
            <v>37316</v>
          </cell>
          <cell r="AB27">
            <v>-234</v>
          </cell>
          <cell r="AD27">
            <v>37316</v>
          </cell>
          <cell r="AE27">
            <v>0</v>
          </cell>
          <cell r="AJ27">
            <v>37316</v>
          </cell>
          <cell r="AK27">
            <v>2810</v>
          </cell>
          <cell r="AM27">
            <v>37316</v>
          </cell>
          <cell r="AN27">
            <v>0</v>
          </cell>
        </row>
        <row r="28">
          <cell r="R28">
            <v>37347</v>
          </cell>
          <cell r="S28">
            <v>5476</v>
          </cell>
          <cell r="U28">
            <v>37347</v>
          </cell>
          <cell r="V28">
            <v>13805</v>
          </cell>
          <cell r="AA28">
            <v>37347</v>
          </cell>
          <cell r="AB28">
            <v>-150</v>
          </cell>
          <cell r="AD28">
            <v>37347</v>
          </cell>
          <cell r="AE28">
            <v>0</v>
          </cell>
          <cell r="AJ28">
            <v>37347</v>
          </cell>
          <cell r="AK28">
            <v>-1139</v>
          </cell>
          <cell r="AM28">
            <v>37347</v>
          </cell>
          <cell r="AN28">
            <v>0</v>
          </cell>
        </row>
        <row r="29">
          <cell r="R29">
            <v>37377</v>
          </cell>
          <cell r="S29">
            <v>5075</v>
          </cell>
          <cell r="U29">
            <v>37377</v>
          </cell>
          <cell r="V29">
            <v>-1895</v>
          </cell>
          <cell r="AA29">
            <v>37377</v>
          </cell>
          <cell r="AB29">
            <v>54</v>
          </cell>
          <cell r="AD29">
            <v>37377</v>
          </cell>
          <cell r="AE29">
            <v>0</v>
          </cell>
          <cell r="AJ29">
            <v>37377</v>
          </cell>
          <cell r="AK29">
            <v>-1410</v>
          </cell>
          <cell r="AM29">
            <v>37377</v>
          </cell>
          <cell r="AN29">
            <v>0</v>
          </cell>
        </row>
        <row r="30">
          <cell r="R30">
            <v>37408</v>
          </cell>
          <cell r="S30">
            <v>-27120</v>
          </cell>
          <cell r="U30">
            <v>37408</v>
          </cell>
          <cell r="V30">
            <v>-1395</v>
          </cell>
          <cell r="AA30">
            <v>37408</v>
          </cell>
          <cell r="AB30">
            <v>-78</v>
          </cell>
          <cell r="AD30">
            <v>37408</v>
          </cell>
          <cell r="AE30">
            <v>0</v>
          </cell>
          <cell r="AJ30">
            <v>37408</v>
          </cell>
          <cell r="AK30">
            <v>345</v>
          </cell>
          <cell r="AM30">
            <v>37408</v>
          </cell>
          <cell r="AN30">
            <v>0</v>
          </cell>
        </row>
        <row r="31">
          <cell r="R31">
            <v>37438</v>
          </cell>
          <cell r="S31">
            <v>2853</v>
          </cell>
          <cell r="U31">
            <v>37438</v>
          </cell>
          <cell r="V31">
            <v>-1295</v>
          </cell>
          <cell r="AA31">
            <v>37438</v>
          </cell>
          <cell r="AB31">
            <v>-186</v>
          </cell>
          <cell r="AD31">
            <v>37438</v>
          </cell>
          <cell r="AE31">
            <v>0</v>
          </cell>
          <cell r="AJ31">
            <v>37438</v>
          </cell>
          <cell r="AK31">
            <v>-2050</v>
          </cell>
          <cell r="AM31">
            <v>37438</v>
          </cell>
          <cell r="AN31">
            <v>0</v>
          </cell>
        </row>
        <row r="32">
          <cell r="R32">
            <v>37469</v>
          </cell>
          <cell r="S32">
            <v>-14148</v>
          </cell>
          <cell r="U32">
            <v>37469</v>
          </cell>
          <cell r="V32">
            <v>-1086</v>
          </cell>
          <cell r="AA32">
            <v>37469</v>
          </cell>
          <cell r="AB32">
            <v>-12</v>
          </cell>
          <cell r="AD32">
            <v>37469</v>
          </cell>
          <cell r="AE32">
            <v>0</v>
          </cell>
          <cell r="AJ32">
            <v>37469</v>
          </cell>
          <cell r="AK32">
            <v>-396</v>
          </cell>
          <cell r="AM32">
            <v>37469</v>
          </cell>
          <cell r="AN32">
            <v>0</v>
          </cell>
        </row>
        <row r="33">
          <cell r="R33">
            <v>37500</v>
          </cell>
          <cell r="S33">
            <v>40143</v>
          </cell>
          <cell r="U33">
            <v>37500</v>
          </cell>
          <cell r="V33">
            <v>250</v>
          </cell>
          <cell r="AA33">
            <v>37500</v>
          </cell>
          <cell r="AB33">
            <v>24</v>
          </cell>
          <cell r="AD33">
            <v>37500</v>
          </cell>
          <cell r="AE33">
            <v>0</v>
          </cell>
          <cell r="AJ33">
            <v>37500</v>
          </cell>
          <cell r="AK33">
            <v>-390</v>
          </cell>
          <cell r="AM33">
            <v>37500</v>
          </cell>
          <cell r="AN33">
            <v>0</v>
          </cell>
        </row>
        <row r="34">
          <cell r="R34">
            <v>37530</v>
          </cell>
          <cell r="S34">
            <v>-1415</v>
          </cell>
          <cell r="U34">
            <v>37530</v>
          </cell>
          <cell r="V34">
            <v>-25</v>
          </cell>
          <cell r="AA34">
            <v>37530</v>
          </cell>
          <cell r="AB34">
            <v>-6</v>
          </cell>
          <cell r="AD34">
            <v>37530</v>
          </cell>
          <cell r="AE34">
            <v>0</v>
          </cell>
          <cell r="AJ34">
            <v>37530</v>
          </cell>
          <cell r="AK34">
            <v>215</v>
          </cell>
          <cell r="AM34">
            <v>37530</v>
          </cell>
          <cell r="AN34">
            <v>0</v>
          </cell>
        </row>
        <row r="35">
          <cell r="R35">
            <v>37561</v>
          </cell>
          <cell r="S35">
            <v>3685</v>
          </cell>
          <cell r="U35">
            <v>37561</v>
          </cell>
          <cell r="V35">
            <v>50</v>
          </cell>
          <cell r="AA35">
            <v>37561</v>
          </cell>
          <cell r="AB35">
            <v>-12</v>
          </cell>
          <cell r="AD35">
            <v>37561</v>
          </cell>
          <cell r="AE35">
            <v>0</v>
          </cell>
          <cell r="AJ35">
            <v>37561</v>
          </cell>
          <cell r="AK35">
            <v>219</v>
          </cell>
          <cell r="AM35">
            <v>37561</v>
          </cell>
          <cell r="AN35">
            <v>0</v>
          </cell>
        </row>
        <row r="36">
          <cell r="R36">
            <v>37591</v>
          </cell>
          <cell r="S36">
            <v>-12424</v>
          </cell>
          <cell r="U36">
            <v>37591</v>
          </cell>
          <cell r="V36">
            <v>150</v>
          </cell>
          <cell r="AD36">
            <v>37591</v>
          </cell>
          <cell r="AE36">
            <v>0</v>
          </cell>
          <cell r="AJ36">
            <v>37591</v>
          </cell>
          <cell r="AK36">
            <v>223</v>
          </cell>
          <cell r="AM36">
            <v>37591</v>
          </cell>
          <cell r="AN36">
            <v>0</v>
          </cell>
        </row>
        <row r="37">
          <cell r="R37">
            <v>37622</v>
          </cell>
          <cell r="S37">
            <v>-1019</v>
          </cell>
          <cell r="U37">
            <v>37622</v>
          </cell>
          <cell r="V37">
            <v>100</v>
          </cell>
          <cell r="AD37">
            <v>37622</v>
          </cell>
          <cell r="AE37">
            <v>0</v>
          </cell>
          <cell r="AJ37">
            <v>37622</v>
          </cell>
          <cell r="AK37">
            <v>228</v>
          </cell>
          <cell r="AM37">
            <v>37622</v>
          </cell>
          <cell r="AN37">
            <v>0</v>
          </cell>
        </row>
        <row r="38">
          <cell r="R38">
            <v>37653</v>
          </cell>
          <cell r="S38">
            <v>-5640</v>
          </cell>
          <cell r="U38">
            <v>37653</v>
          </cell>
          <cell r="V38">
            <v>100</v>
          </cell>
          <cell r="AD38">
            <v>37653</v>
          </cell>
          <cell r="AE38">
            <v>0</v>
          </cell>
          <cell r="AJ38">
            <v>37653</v>
          </cell>
          <cell r="AK38">
            <v>0</v>
          </cell>
          <cell r="AM38">
            <v>37653</v>
          </cell>
          <cell r="AN38">
            <v>0</v>
          </cell>
        </row>
        <row r="39">
          <cell r="R39">
            <v>37681</v>
          </cell>
          <cell r="S39">
            <v>-5573</v>
          </cell>
          <cell r="U39">
            <v>37681</v>
          </cell>
          <cell r="V39">
            <v>-25</v>
          </cell>
        </row>
        <row r="40">
          <cell r="R40">
            <v>37712</v>
          </cell>
          <cell r="S40">
            <v>119</v>
          </cell>
          <cell r="U40">
            <v>37712</v>
          </cell>
          <cell r="V40">
            <v>100</v>
          </cell>
        </row>
        <row r="41">
          <cell r="R41">
            <v>37742</v>
          </cell>
          <cell r="S41">
            <v>107</v>
          </cell>
          <cell r="U41">
            <v>37742</v>
          </cell>
          <cell r="V41">
            <v>100</v>
          </cell>
        </row>
        <row r="42">
          <cell r="R42">
            <v>37773</v>
          </cell>
          <cell r="S42">
            <v>75</v>
          </cell>
          <cell r="U42">
            <v>37773</v>
          </cell>
          <cell r="V42">
            <v>100</v>
          </cell>
        </row>
        <row r="43">
          <cell r="R43">
            <v>37803</v>
          </cell>
          <cell r="S43">
            <v>-9905</v>
          </cell>
          <cell r="U43">
            <v>37803</v>
          </cell>
          <cell r="V43">
            <v>100</v>
          </cell>
        </row>
        <row r="44">
          <cell r="R44">
            <v>37834</v>
          </cell>
          <cell r="S44">
            <v>-6790</v>
          </cell>
          <cell r="U44">
            <v>37834</v>
          </cell>
          <cell r="V44">
            <v>100</v>
          </cell>
        </row>
        <row r="45">
          <cell r="R45">
            <v>37865</v>
          </cell>
          <cell r="S45">
            <v>55</v>
          </cell>
          <cell r="U45">
            <v>37865</v>
          </cell>
          <cell r="V45">
            <v>100</v>
          </cell>
        </row>
        <row r="46">
          <cell r="R46">
            <v>37895</v>
          </cell>
          <cell r="S46">
            <v>676</v>
          </cell>
          <cell r="U46">
            <v>37895</v>
          </cell>
          <cell r="V46">
            <v>100</v>
          </cell>
        </row>
        <row r="47">
          <cell r="R47">
            <v>37926</v>
          </cell>
          <cell r="S47">
            <v>667</v>
          </cell>
          <cell r="U47">
            <v>37926</v>
          </cell>
          <cell r="V47">
            <v>100</v>
          </cell>
        </row>
        <row r="48">
          <cell r="R48">
            <v>37956</v>
          </cell>
          <cell r="S48">
            <v>637</v>
          </cell>
          <cell r="U48">
            <v>37956</v>
          </cell>
          <cell r="V48">
            <v>200</v>
          </cell>
        </row>
        <row r="49">
          <cell r="R49">
            <v>37987</v>
          </cell>
          <cell r="S49">
            <v>-75</v>
          </cell>
          <cell r="U49">
            <v>37987</v>
          </cell>
          <cell r="V49">
            <v>-25</v>
          </cell>
        </row>
        <row r="50">
          <cell r="R50">
            <v>38018</v>
          </cell>
          <cell r="S50">
            <v>-100</v>
          </cell>
          <cell r="U50">
            <v>38018</v>
          </cell>
          <cell r="V50">
            <v>-25</v>
          </cell>
        </row>
        <row r="51">
          <cell r="R51">
            <v>38047</v>
          </cell>
          <cell r="S51">
            <v>-75</v>
          </cell>
          <cell r="U51">
            <v>38047</v>
          </cell>
          <cell r="V51">
            <v>-25</v>
          </cell>
        </row>
        <row r="52">
          <cell r="R52">
            <v>38078</v>
          </cell>
          <cell r="S52">
            <v>-100</v>
          </cell>
          <cell r="U52">
            <v>38078</v>
          </cell>
          <cell r="V52">
            <v>-25</v>
          </cell>
        </row>
        <row r="53">
          <cell r="R53">
            <v>38108</v>
          </cell>
          <cell r="S53">
            <v>-75</v>
          </cell>
          <cell r="U53">
            <v>38108</v>
          </cell>
          <cell r="V53">
            <v>-25</v>
          </cell>
        </row>
        <row r="54">
          <cell r="R54">
            <v>38139</v>
          </cell>
          <cell r="S54">
            <v>-100</v>
          </cell>
          <cell r="U54">
            <v>38139</v>
          </cell>
          <cell r="V54">
            <v>-25</v>
          </cell>
        </row>
        <row r="55">
          <cell r="R55">
            <v>38169</v>
          </cell>
          <cell r="S55">
            <v>-75</v>
          </cell>
          <cell r="U55">
            <v>38169</v>
          </cell>
          <cell r="V55">
            <v>-25</v>
          </cell>
        </row>
        <row r="56">
          <cell r="R56">
            <v>38200</v>
          </cell>
          <cell r="S56">
            <v>-25</v>
          </cell>
          <cell r="U56">
            <v>38200</v>
          </cell>
          <cell r="V56">
            <v>-25</v>
          </cell>
        </row>
        <row r="57">
          <cell r="R57">
            <v>38231</v>
          </cell>
          <cell r="S57">
            <v>0</v>
          </cell>
          <cell r="U57">
            <v>38231</v>
          </cell>
          <cell r="V57">
            <v>-25</v>
          </cell>
        </row>
        <row r="58">
          <cell r="R58">
            <v>38261</v>
          </cell>
          <cell r="S58">
            <v>-25</v>
          </cell>
          <cell r="U58">
            <v>38261</v>
          </cell>
          <cell r="V58">
            <v>-25</v>
          </cell>
        </row>
        <row r="59">
          <cell r="R59">
            <v>38292</v>
          </cell>
          <cell r="S59">
            <v>0</v>
          </cell>
          <cell r="U59">
            <v>38292</v>
          </cell>
          <cell r="V59">
            <v>-25</v>
          </cell>
        </row>
        <row r="60">
          <cell r="R60">
            <v>38322</v>
          </cell>
          <cell r="S60">
            <v>-15025</v>
          </cell>
          <cell r="U60">
            <v>38322</v>
          </cell>
          <cell r="V60">
            <v>-25</v>
          </cell>
        </row>
        <row r="61">
          <cell r="R61">
            <v>38384</v>
          </cell>
          <cell r="S61">
            <v>-25</v>
          </cell>
        </row>
        <row r="62">
          <cell r="R62">
            <v>38443</v>
          </cell>
          <cell r="S62">
            <v>-25</v>
          </cell>
        </row>
        <row r="63">
          <cell r="R63">
            <v>38504</v>
          </cell>
          <cell r="S63">
            <v>-25</v>
          </cell>
        </row>
        <row r="64">
          <cell r="R64">
            <v>38565</v>
          </cell>
          <cell r="S64">
            <v>-25</v>
          </cell>
        </row>
        <row r="65">
          <cell r="R65">
            <v>38626</v>
          </cell>
          <cell r="S65">
            <v>-25</v>
          </cell>
        </row>
        <row r="66">
          <cell r="R66">
            <v>38687</v>
          </cell>
          <cell r="S66">
            <v>-25</v>
          </cell>
        </row>
        <row r="67">
          <cell r="R67">
            <v>38749</v>
          </cell>
          <cell r="S67">
            <v>-25</v>
          </cell>
        </row>
        <row r="68">
          <cell r="R68">
            <v>38808</v>
          </cell>
          <cell r="S68">
            <v>-25</v>
          </cell>
        </row>
        <row r="69">
          <cell r="R69">
            <v>38869</v>
          </cell>
          <cell r="S69">
            <v>-25</v>
          </cell>
        </row>
        <row r="70">
          <cell r="R70">
            <v>38991</v>
          </cell>
          <cell r="S70">
            <v>-25</v>
          </cell>
        </row>
        <row r="71">
          <cell r="R71">
            <v>39052</v>
          </cell>
          <cell r="S71">
            <v>-25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topLeftCell="D3" workbookViewId="0">
      <selection activeCell="K23" sqref="K23"/>
    </sheetView>
  </sheetViews>
  <sheetFormatPr defaultRowHeight="12.75" x14ac:dyDescent="0.25"/>
  <cols>
    <col min="1" max="1" width="14" style="26" customWidth="1"/>
    <col min="2" max="2" width="10.28515625" style="36" customWidth="1"/>
    <col min="3" max="3" width="8.5703125" style="37" bestFit="1" customWidth="1"/>
    <col min="4" max="4" width="5.42578125" style="38" bestFit="1" customWidth="1"/>
    <col min="5" max="5" width="10.85546875" style="31" bestFit="1" customWidth="1"/>
    <col min="6" max="6" width="14.42578125" style="26" bestFit="1" customWidth="1"/>
    <col min="7" max="7" width="12.85546875" style="26" customWidth="1"/>
    <col min="8" max="8" width="7.85546875" style="26" customWidth="1"/>
    <col min="9" max="9" width="7.7109375" style="26" customWidth="1"/>
    <col min="10" max="10" width="25.5703125" style="26" bestFit="1" customWidth="1"/>
    <col min="11" max="11" width="18.28515625" style="26" bestFit="1" customWidth="1"/>
    <col min="12" max="12" width="12" style="26" customWidth="1"/>
    <col min="13" max="13" width="17.5703125" style="27" customWidth="1"/>
    <col min="14" max="15" width="21.140625" style="26" bestFit="1" customWidth="1"/>
    <col min="16" max="16384" width="9.140625" style="26"/>
  </cols>
  <sheetData>
    <row r="1" spans="1:27" ht="16.5" x14ac:dyDescent="0.3">
      <c r="A1" s="130" t="s">
        <v>43</v>
      </c>
      <c r="B1" s="131"/>
      <c r="C1" s="132"/>
      <c r="D1" s="46"/>
      <c r="E1" s="47"/>
      <c r="F1" s="24"/>
      <c r="G1" s="24"/>
      <c r="H1" s="24"/>
      <c r="J1" s="181" t="s">
        <v>0</v>
      </c>
      <c r="K1" s="182">
        <v>10</v>
      </c>
      <c r="M1" s="40"/>
      <c r="N1" s="24"/>
      <c r="Z1" s="26">
        <v>-175328</v>
      </c>
      <c r="AA1" s="26">
        <v>1</v>
      </c>
    </row>
    <row r="2" spans="1:27" ht="16.5" x14ac:dyDescent="0.3">
      <c r="A2" s="24"/>
      <c r="B2" s="145" t="s">
        <v>1</v>
      </c>
      <c r="C2" s="146" t="s">
        <v>2</v>
      </c>
      <c r="D2" s="147" t="s">
        <v>3</v>
      </c>
      <c r="E2" s="147" t="s">
        <v>4</v>
      </c>
      <c r="F2" s="148" t="s">
        <v>5</v>
      </c>
      <c r="G2" s="61"/>
      <c r="H2" s="24"/>
      <c r="J2" s="183" t="s">
        <v>6</v>
      </c>
      <c r="K2" s="184">
        <v>10</v>
      </c>
      <c r="M2" s="24"/>
      <c r="N2" s="24"/>
      <c r="Z2" s="26">
        <v>-166138</v>
      </c>
      <c r="AA2" s="26">
        <v>4</v>
      </c>
    </row>
    <row r="3" spans="1:27" ht="16.5" x14ac:dyDescent="0.3">
      <c r="A3" s="149" t="s">
        <v>30</v>
      </c>
      <c r="B3" s="191">
        <v>1</v>
      </c>
      <c r="C3" s="192">
        <v>1</v>
      </c>
      <c r="D3" s="193">
        <v>1</v>
      </c>
      <c r="E3" s="193">
        <v>0</v>
      </c>
      <c r="F3" s="194">
        <v>0</v>
      </c>
      <c r="G3" s="61"/>
      <c r="H3" s="24"/>
      <c r="J3" s="183" t="s">
        <v>7</v>
      </c>
      <c r="K3" s="184">
        <v>1</v>
      </c>
      <c r="M3" s="24"/>
      <c r="N3" s="24"/>
      <c r="Z3" s="26">
        <v>-156948</v>
      </c>
      <c r="AA3" s="26">
        <v>0</v>
      </c>
    </row>
    <row r="4" spans="1:27" ht="17.25" thickBot="1" x14ac:dyDescent="0.35">
      <c r="A4" s="150" t="s">
        <v>31</v>
      </c>
      <c r="B4" s="195">
        <v>2</v>
      </c>
      <c r="C4" s="196">
        <v>2</v>
      </c>
      <c r="D4" s="197">
        <v>2</v>
      </c>
      <c r="E4" s="197">
        <v>0</v>
      </c>
      <c r="F4" s="198">
        <v>0</v>
      </c>
      <c r="G4" s="61"/>
      <c r="H4" s="24"/>
      <c r="J4" s="183" t="s">
        <v>8</v>
      </c>
      <c r="K4" s="184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7.25" thickBot="1" x14ac:dyDescent="0.35">
      <c r="A5" s="150" t="s">
        <v>32</v>
      </c>
      <c r="B5" s="195">
        <v>3</v>
      </c>
      <c r="C5" s="196">
        <v>3</v>
      </c>
      <c r="D5" s="197">
        <v>3</v>
      </c>
      <c r="E5" s="197">
        <v>0</v>
      </c>
      <c r="F5" s="198">
        <v>0</v>
      </c>
      <c r="G5" s="61"/>
      <c r="H5" s="24"/>
      <c r="J5" s="183" t="s">
        <v>10</v>
      </c>
      <c r="K5" s="185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7.25" thickBot="1" x14ac:dyDescent="0.35">
      <c r="A6" s="151" t="s">
        <v>33</v>
      </c>
      <c r="B6" s="195">
        <v>4</v>
      </c>
      <c r="C6" s="196">
        <v>4</v>
      </c>
      <c r="D6" s="197">
        <v>4</v>
      </c>
      <c r="E6" s="197">
        <v>0</v>
      </c>
      <c r="F6" s="198">
        <v>0</v>
      </c>
      <c r="G6" s="24"/>
      <c r="H6"/>
      <c r="I6"/>
      <c r="J6" s="183" t="s">
        <v>11</v>
      </c>
      <c r="K6" s="186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7.25" thickBot="1" x14ac:dyDescent="0.35">
      <c r="A7" s="151" t="s">
        <v>34</v>
      </c>
      <c r="B7" s="195">
        <v>5</v>
      </c>
      <c r="C7" s="196">
        <v>5</v>
      </c>
      <c r="D7" s="197">
        <v>5</v>
      </c>
      <c r="E7" s="197">
        <v>0</v>
      </c>
      <c r="F7" s="198">
        <v>0</v>
      </c>
      <c r="G7" s="137"/>
      <c r="H7" s="67" t="s">
        <v>12</v>
      </c>
      <c r="I7" s="38"/>
      <c r="J7" s="187" t="s">
        <v>13</v>
      </c>
      <c r="K7" s="188">
        <v>36707</v>
      </c>
      <c r="L7" s="155" t="s">
        <v>45</v>
      </c>
      <c r="M7" s="24"/>
      <c r="N7" s="24"/>
      <c r="O7" s="24"/>
      <c r="P7" s="24"/>
      <c r="Z7" s="26">
        <v>-120188</v>
      </c>
      <c r="AA7" s="26">
        <v>38</v>
      </c>
    </row>
    <row r="8" spans="1:27" ht="16.5" x14ac:dyDescent="0.3">
      <c r="A8" s="151" t="s">
        <v>35</v>
      </c>
      <c r="B8" s="195">
        <v>6</v>
      </c>
      <c r="C8" s="196">
        <v>6</v>
      </c>
      <c r="D8" s="197">
        <v>6</v>
      </c>
      <c r="E8" s="197">
        <v>0</v>
      </c>
      <c r="F8" s="198">
        <v>0</v>
      </c>
      <c r="G8" s="137"/>
      <c r="H8" s="67" t="s">
        <v>14</v>
      </c>
      <c r="I8" s="38"/>
      <c r="J8" s="183" t="s">
        <v>15</v>
      </c>
      <c r="K8" s="184">
        <v>1</v>
      </c>
      <c r="L8" s="155" t="s">
        <v>46</v>
      </c>
      <c r="M8" s="24"/>
      <c r="N8" s="24"/>
      <c r="O8" s="24"/>
      <c r="P8" s="24"/>
      <c r="Z8" s="26">
        <v>-110998</v>
      </c>
      <c r="AA8" s="26">
        <v>45</v>
      </c>
    </row>
    <row r="9" spans="1:27" ht="16.5" x14ac:dyDescent="0.3">
      <c r="A9" s="151" t="s">
        <v>36</v>
      </c>
      <c r="B9" s="195">
        <v>7</v>
      </c>
      <c r="C9" s="196">
        <v>7</v>
      </c>
      <c r="D9" s="197">
        <v>7</v>
      </c>
      <c r="E9" s="197">
        <v>0</v>
      </c>
      <c r="F9" s="198">
        <v>0</v>
      </c>
      <c r="G9" s="57"/>
      <c r="H9" s="24"/>
      <c r="J9" s="183" t="s">
        <v>16</v>
      </c>
      <c r="K9" s="184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6.5" x14ac:dyDescent="0.3">
      <c r="A10" s="151" t="s">
        <v>37</v>
      </c>
      <c r="B10" s="195">
        <v>8</v>
      </c>
      <c r="C10" s="196">
        <v>8</v>
      </c>
      <c r="D10" s="197">
        <v>8</v>
      </c>
      <c r="E10" s="197">
        <v>0</v>
      </c>
      <c r="F10" s="198">
        <v>0</v>
      </c>
      <c r="G10" s="24"/>
      <c r="H10"/>
      <c r="I10"/>
      <c r="J10" s="189" t="s">
        <v>17</v>
      </c>
      <c r="K10" s="190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6.5" thickBot="1" x14ac:dyDescent="0.35">
      <c r="A11" s="151" t="s">
        <v>38</v>
      </c>
      <c r="B11" s="195">
        <v>9</v>
      </c>
      <c r="C11" s="196">
        <v>9</v>
      </c>
      <c r="D11" s="197">
        <v>9</v>
      </c>
      <c r="E11" s="197">
        <v>0</v>
      </c>
      <c r="F11" s="198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5.75" x14ac:dyDescent="0.3">
      <c r="A12" s="151" t="s">
        <v>39</v>
      </c>
      <c r="B12" s="195">
        <v>10</v>
      </c>
      <c r="C12" s="196">
        <v>10</v>
      </c>
      <c r="D12" s="197">
        <v>10</v>
      </c>
      <c r="E12" s="197">
        <v>0</v>
      </c>
      <c r="F12" s="198">
        <v>0</v>
      </c>
      <c r="G12" s="24"/>
      <c r="H12" s="141"/>
      <c r="I12" s="141"/>
      <c r="J12" s="142" t="s">
        <v>18</v>
      </c>
      <c r="K12" s="143" t="s">
        <v>19</v>
      </c>
      <c r="L12" s="39"/>
      <c r="M12" s="66"/>
      <c r="N12" s="153" t="s">
        <v>44</v>
      </c>
      <c r="O12" s="153" t="s">
        <v>50</v>
      </c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5.75" x14ac:dyDescent="0.3">
      <c r="A13" s="152" t="s">
        <v>9</v>
      </c>
      <c r="B13" s="199">
        <v>11</v>
      </c>
      <c r="C13" s="200">
        <v>10</v>
      </c>
      <c r="D13" s="201">
        <v>10</v>
      </c>
      <c r="E13" s="201">
        <v>0</v>
      </c>
      <c r="F13" s="202">
        <v>0</v>
      </c>
      <c r="G13" s="24"/>
      <c r="H13" s="138" t="s">
        <v>30</v>
      </c>
      <c r="I13" s="144"/>
      <c r="J13" s="139">
        <v>1</v>
      </c>
      <c r="K13" s="239">
        <v>-395779.21780185623</v>
      </c>
      <c r="L13" s="51"/>
      <c r="M13" s="66"/>
      <c r="N13" s="154">
        <v>-552888.37644996692</v>
      </c>
      <c r="O13" s="154">
        <v>-392105.57420146227</v>
      </c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5" x14ac:dyDescent="0.25">
      <c r="G14" s="178"/>
      <c r="H14" s="138" t="s">
        <v>31</v>
      </c>
      <c r="I14" s="144"/>
      <c r="J14" s="139">
        <v>2</v>
      </c>
      <c r="K14" s="239">
        <v>-1884408.0018691525</v>
      </c>
      <c r="L14" s="51"/>
      <c r="M14" s="24"/>
      <c r="N14" s="154">
        <v>-3100568.2250459851</v>
      </c>
      <c r="O14" s="154">
        <v>-1852876.3597581773</v>
      </c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5" x14ac:dyDescent="0.25">
      <c r="A15" s="203"/>
      <c r="G15" s="172"/>
      <c r="H15" s="138" t="s">
        <v>32</v>
      </c>
      <c r="I15" s="144"/>
      <c r="J15" s="139">
        <v>3</v>
      </c>
      <c r="K15" s="239">
        <v>-393706.35530140385</v>
      </c>
      <c r="L15" s="51"/>
      <c r="M15" s="24"/>
      <c r="N15" s="154">
        <v>-421390.97466169432</v>
      </c>
      <c r="O15" s="154">
        <v>-386068.27627403487</v>
      </c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5" x14ac:dyDescent="0.25">
      <c r="A16" s="60"/>
      <c r="F16" s="69"/>
      <c r="G16" s="173"/>
      <c r="H16" s="138" t="s">
        <v>33</v>
      </c>
      <c r="I16" s="144"/>
      <c r="J16" s="139">
        <v>4</v>
      </c>
      <c r="K16" s="239">
        <v>-2506832.0134067978</v>
      </c>
      <c r="L16" s="51"/>
      <c r="M16"/>
      <c r="N16" s="154">
        <v>-2568543.7415360119</v>
      </c>
      <c r="O16" s="154">
        <v>-2460289.5191482645</v>
      </c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5" x14ac:dyDescent="0.25">
      <c r="A17" s="60"/>
      <c r="B17" s="61"/>
      <c r="C17" s="62"/>
      <c r="D17" s="61"/>
      <c r="E17"/>
      <c r="F17" s="69"/>
      <c r="G17" s="177"/>
      <c r="H17" s="138" t="s">
        <v>34</v>
      </c>
      <c r="I17" s="144"/>
      <c r="J17" s="139">
        <v>5</v>
      </c>
      <c r="K17" s="239">
        <v>-20979.696286667011</v>
      </c>
      <c r="L17" s="51"/>
      <c r="M17"/>
      <c r="N17" s="154">
        <v>-11553.613052117455</v>
      </c>
      <c r="O17" s="154">
        <v>-4413.4406203142316</v>
      </c>
      <c r="P17" s="24"/>
      <c r="Z17" s="26">
        <v>-28288</v>
      </c>
      <c r="AA17" s="26">
        <v>312</v>
      </c>
    </row>
    <row r="18" spans="1:27" ht="15" x14ac:dyDescent="0.25">
      <c r="A18" s="60"/>
      <c r="B18" s="61"/>
      <c r="C18" s="62"/>
      <c r="D18" s="61"/>
      <c r="E18"/>
      <c r="F18" s="92"/>
      <c r="G18" s="176"/>
      <c r="H18" s="138" t="s">
        <v>35</v>
      </c>
      <c r="I18" s="144"/>
      <c r="J18" s="139">
        <v>6</v>
      </c>
      <c r="K18" s="239">
        <v>-66694.697048959904</v>
      </c>
      <c r="L18" s="51"/>
      <c r="M18"/>
      <c r="N18" s="154">
        <v>-64903.229977038136</v>
      </c>
      <c r="O18" s="154">
        <v>-66610.280925578423</v>
      </c>
      <c r="P18" s="24"/>
      <c r="Z18" s="26">
        <v>-19098</v>
      </c>
      <c r="AA18" s="26">
        <v>331</v>
      </c>
    </row>
    <row r="19" spans="1:27" ht="15" x14ac:dyDescent="0.25">
      <c r="A19" s="57"/>
      <c r="B19" s="61"/>
      <c r="C19" s="62"/>
      <c r="D19" s="61"/>
      <c r="E19" s="64"/>
      <c r="F19" s="93"/>
      <c r="G19" s="174"/>
      <c r="H19" s="138" t="s">
        <v>36</v>
      </c>
      <c r="I19" s="144"/>
      <c r="J19" s="139">
        <v>7</v>
      </c>
      <c r="K19" s="239">
        <v>-375963.98022047151</v>
      </c>
      <c r="L19" s="51"/>
      <c r="M19" s="54"/>
      <c r="N19" s="154">
        <v>-350243.2017905867</v>
      </c>
      <c r="O19" s="154">
        <v>-372337.18446612393</v>
      </c>
      <c r="Z19" s="26">
        <v>-9908</v>
      </c>
      <c r="AA19" s="26">
        <v>311</v>
      </c>
    </row>
    <row r="20" spans="1:27" ht="15" x14ac:dyDescent="0.25">
      <c r="A20" s="63"/>
      <c r="B20" s="61"/>
      <c r="C20" s="62"/>
      <c r="D20" s="61"/>
      <c r="E20" s="64"/>
      <c r="F20" s="93"/>
      <c r="G20" s="179"/>
      <c r="H20" s="138" t="s">
        <v>37</v>
      </c>
      <c r="I20" s="144"/>
      <c r="J20" s="139">
        <v>8</v>
      </c>
      <c r="K20" s="239">
        <v>-89730.413952056799</v>
      </c>
      <c r="L20" s="51"/>
      <c r="M20" s="54"/>
      <c r="N20" s="154">
        <v>-88237.592039464595</v>
      </c>
      <c r="O20" s="154">
        <v>-119256.70098277011</v>
      </c>
      <c r="Z20" s="26">
        <v>-718</v>
      </c>
      <c r="AA20" s="26">
        <v>308</v>
      </c>
    </row>
    <row r="21" spans="1:27" ht="15" x14ac:dyDescent="0.25">
      <c r="A21" s="63"/>
      <c r="B21" s="204" t="s">
        <v>47</v>
      </c>
      <c r="C21" s="205"/>
      <c r="D21" s="206"/>
      <c r="E21" s="207"/>
      <c r="F21" s="64"/>
      <c r="G21" s="175"/>
      <c r="H21" s="138" t="s">
        <v>38</v>
      </c>
      <c r="I21" s="144"/>
      <c r="J21" s="139">
        <v>9</v>
      </c>
      <c r="K21" s="239">
        <v>-511634.03757679829</v>
      </c>
      <c r="L21" s="51"/>
      <c r="M21" s="54"/>
      <c r="N21" s="154">
        <v>-60236.511027367087</v>
      </c>
      <c r="O21" s="154">
        <v>-57967.275284883101</v>
      </c>
      <c r="Z21" s="26">
        <v>8472</v>
      </c>
      <c r="AA21" s="26">
        <v>307</v>
      </c>
    </row>
    <row r="22" spans="1:27" ht="15" x14ac:dyDescent="0.25">
      <c r="A22" s="57"/>
      <c r="B22" s="208" t="s">
        <v>48</v>
      </c>
      <c r="C22" s="209"/>
      <c r="D22" s="210"/>
      <c r="E22" s="211"/>
      <c r="F22" s="64"/>
      <c r="G22" s="180"/>
      <c r="H22" s="138" t="s">
        <v>39</v>
      </c>
      <c r="I22" s="144"/>
      <c r="J22" s="139">
        <v>10</v>
      </c>
      <c r="K22" s="239">
        <v>-880.01809317328298</v>
      </c>
      <c r="L22" s="51"/>
      <c r="M22" s="54"/>
      <c r="N22" s="154">
        <v>-1247.9971689740928</v>
      </c>
      <c r="O22" s="154">
        <v>-1847.819309887931</v>
      </c>
      <c r="Z22" s="26">
        <v>17662</v>
      </c>
      <c r="AA22" s="26">
        <v>283</v>
      </c>
    </row>
    <row r="23" spans="1:27" ht="15" x14ac:dyDescent="0.25">
      <c r="A23" s="57"/>
      <c r="B23" s="61"/>
      <c r="C23" s="62"/>
      <c r="D23" s="61"/>
      <c r="E23" s="64"/>
      <c r="F23" s="54"/>
      <c r="G23" s="54"/>
      <c r="H23" s="138" t="s">
        <v>40</v>
      </c>
      <c r="I23" s="144" t="s">
        <v>41</v>
      </c>
      <c r="J23" s="232"/>
      <c r="K23" s="240">
        <v>-4290217.2188528534</v>
      </c>
      <c r="L23" s="51"/>
      <c r="M23" s="54"/>
      <c r="N23" s="154">
        <v>-5539816.6011411576</v>
      </c>
      <c r="O23" s="154">
        <v>-4170652.9290578016</v>
      </c>
      <c r="Z23" s="26">
        <v>26852</v>
      </c>
      <c r="AA23" s="26">
        <v>216</v>
      </c>
    </row>
    <row r="24" spans="1:27" ht="15" x14ac:dyDescent="0.25">
      <c r="A24" s="57"/>
      <c r="B24" s="61"/>
      <c r="C24" s="62"/>
      <c r="D24" s="61"/>
      <c r="E24" s="64"/>
      <c r="F24" s="54"/>
      <c r="G24" s="54"/>
      <c r="H24" s="138"/>
      <c r="I24" s="144"/>
      <c r="J24" s="139"/>
      <c r="K24" s="140"/>
      <c r="L24" s="51"/>
      <c r="M24" s="54"/>
      <c r="N24" s="24"/>
      <c r="Z24" s="26">
        <v>36042</v>
      </c>
      <c r="AA24" s="26">
        <v>200</v>
      </c>
    </row>
    <row r="25" spans="1:27" ht="15" x14ac:dyDescent="0.25">
      <c r="A25" s="60"/>
      <c r="B25" s="61"/>
      <c r="C25" s="62"/>
      <c r="D25" s="61"/>
      <c r="E25" s="25"/>
      <c r="F25" s="24"/>
      <c r="G25" s="24"/>
      <c r="H25" s="138"/>
      <c r="I25" s="144"/>
      <c r="J25" s="139"/>
      <c r="K25" s="140"/>
      <c r="L25" s="51"/>
      <c r="M25" s="24"/>
      <c r="N25" s="24"/>
      <c r="Z25" s="26">
        <v>45232</v>
      </c>
      <c r="AA25" s="26">
        <v>186</v>
      </c>
    </row>
    <row r="26" spans="1:27" ht="15.75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25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5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5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4.25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4.25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5" x14ac:dyDescent="0.25">
      <c r="A32" s="32"/>
      <c r="N32" s="24"/>
      <c r="Z32" s="26">
        <v>109562</v>
      </c>
      <c r="AA32" s="26">
        <v>52</v>
      </c>
    </row>
    <row r="33" spans="1:27" ht="13.5" x14ac:dyDescent="0.25">
      <c r="A33" s="33"/>
      <c r="N33" s="24"/>
      <c r="Z33" s="26">
        <v>118752</v>
      </c>
      <c r="AA33" s="26">
        <v>41</v>
      </c>
    </row>
    <row r="34" spans="1:27" ht="13.5" x14ac:dyDescent="0.25">
      <c r="A34" s="33"/>
      <c r="N34" s="24"/>
      <c r="Z34" s="26">
        <v>127942</v>
      </c>
      <c r="AA34" s="26">
        <v>39</v>
      </c>
    </row>
    <row r="35" spans="1:27" ht="13.5" x14ac:dyDescent="0.25">
      <c r="A35" s="33"/>
      <c r="N35" s="24"/>
      <c r="Z35" s="26">
        <v>137132</v>
      </c>
      <c r="AA35" s="26">
        <v>22</v>
      </c>
    </row>
    <row r="36" spans="1:27" ht="13.5" x14ac:dyDescent="0.25">
      <c r="A36" s="33"/>
      <c r="N36" s="24"/>
      <c r="Z36" s="26">
        <v>146322</v>
      </c>
      <c r="AA36" s="26">
        <v>13</v>
      </c>
    </row>
    <row r="37" spans="1:27" ht="13.5" x14ac:dyDescent="0.25">
      <c r="A37" s="33"/>
      <c r="N37" s="24"/>
      <c r="Z37" s="26">
        <v>155512</v>
      </c>
      <c r="AA37" s="26">
        <v>11</v>
      </c>
    </row>
    <row r="38" spans="1:27" ht="13.5" x14ac:dyDescent="0.25">
      <c r="A38" s="33"/>
      <c r="N38" s="24"/>
      <c r="Z38" s="26">
        <v>164702</v>
      </c>
      <c r="AA38" s="26">
        <v>11</v>
      </c>
    </row>
    <row r="39" spans="1:27" ht="13.5" x14ac:dyDescent="0.25">
      <c r="A39" s="33"/>
      <c r="N39" s="24"/>
      <c r="Z39" s="26">
        <v>173892</v>
      </c>
      <c r="AA39" s="26">
        <v>9</v>
      </c>
    </row>
    <row r="40" spans="1:27" ht="13.5" x14ac:dyDescent="0.25">
      <c r="A40" s="33"/>
      <c r="N40" s="24"/>
      <c r="Z40" s="26">
        <v>183082</v>
      </c>
      <c r="AA40" s="26">
        <v>3</v>
      </c>
    </row>
    <row r="41" spans="1:27" ht="13.5" x14ac:dyDescent="0.25">
      <c r="A41" s="33"/>
      <c r="N41" s="24"/>
      <c r="Z41" s="26">
        <v>192272</v>
      </c>
      <c r="AA41" s="26">
        <v>3</v>
      </c>
    </row>
    <row r="42" spans="1:27" ht="13.5" x14ac:dyDescent="0.25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5" x14ac:dyDescent="0.25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5" x14ac:dyDescent="0.25">
      <c r="N44" s="24"/>
      <c r="Z44" s="26">
        <v>219842</v>
      </c>
      <c r="AA44" s="26">
        <v>0</v>
      </c>
    </row>
    <row r="45" spans="1:27" ht="13.5" x14ac:dyDescent="0.25">
      <c r="N45" s="24"/>
      <c r="Z45" s="26">
        <v>229032</v>
      </c>
      <c r="AA45" s="26">
        <v>2</v>
      </c>
    </row>
    <row r="46" spans="1:27" ht="13.5" x14ac:dyDescent="0.25">
      <c r="N46" s="24"/>
      <c r="Z46" s="26">
        <v>238222</v>
      </c>
      <c r="AA46" s="26">
        <v>1</v>
      </c>
    </row>
    <row r="47" spans="1:27" ht="13.5" x14ac:dyDescent="0.25">
      <c r="N47" s="24"/>
      <c r="Z47" s="26">
        <v>247412</v>
      </c>
      <c r="AA47" s="26">
        <v>1</v>
      </c>
    </row>
    <row r="48" spans="1:27" ht="13.5" x14ac:dyDescent="0.25">
      <c r="N48" s="24"/>
      <c r="Z48" s="26">
        <v>256602</v>
      </c>
      <c r="AA48" s="26">
        <v>0</v>
      </c>
    </row>
    <row r="49" spans="14:27" ht="13.5" x14ac:dyDescent="0.25">
      <c r="N49" s="24"/>
      <c r="Z49" s="26">
        <v>265792</v>
      </c>
      <c r="AA49" s="26">
        <v>1</v>
      </c>
    </row>
    <row r="50" spans="14:27" ht="13.5" x14ac:dyDescent="0.25">
      <c r="N50" s="24"/>
      <c r="Z50" s="26">
        <v>274982</v>
      </c>
      <c r="AA50" s="26">
        <v>1</v>
      </c>
    </row>
    <row r="51" spans="14:27" ht="13.5" x14ac:dyDescent="0.25">
      <c r="N51" s="24"/>
    </row>
    <row r="52" spans="14:27" ht="13.5" x14ac:dyDescent="0.25">
      <c r="N52" s="24"/>
    </row>
    <row r="53" spans="14:27" ht="13.5" x14ac:dyDescent="0.25">
      <c r="N53" s="24"/>
    </row>
    <row r="54" spans="14:27" ht="13.5" x14ac:dyDescent="0.25">
      <c r="N54" s="24"/>
    </row>
    <row r="55" spans="14:27" ht="13.5" x14ac:dyDescent="0.25">
      <c r="N55" s="24"/>
    </row>
    <row r="56" spans="14:27" ht="13.5" x14ac:dyDescent="0.25">
      <c r="N56" s="24"/>
    </row>
    <row r="57" spans="14:27" ht="13.5" x14ac:dyDescent="0.25">
      <c r="N57" s="24"/>
    </row>
    <row r="58" spans="14:27" ht="13.5" x14ac:dyDescent="0.25">
      <c r="N58" s="24"/>
    </row>
    <row r="59" spans="14:27" ht="13.5" x14ac:dyDescent="0.25">
      <c r="N59" s="24"/>
    </row>
    <row r="60" spans="14:27" ht="13.5" x14ac:dyDescent="0.25">
      <c r="N60" s="24"/>
    </row>
    <row r="61" spans="14:27" ht="13.5" x14ac:dyDescent="0.25">
      <c r="N61" s="24"/>
    </row>
    <row r="62" spans="14:27" ht="13.5" x14ac:dyDescent="0.25">
      <c r="N62" s="24"/>
    </row>
    <row r="63" spans="14:27" ht="13.5" x14ac:dyDescent="0.25">
      <c r="N63" s="24"/>
    </row>
    <row r="64" spans="14:27" ht="13.5" x14ac:dyDescent="0.25">
      <c r="N64" s="24"/>
    </row>
    <row r="65" spans="14:14" ht="13.5" x14ac:dyDescent="0.25">
      <c r="N65" s="24"/>
    </row>
    <row r="66" spans="14:14" ht="13.5" x14ac:dyDescent="0.25">
      <c r="N66" s="24"/>
    </row>
    <row r="67" spans="14:14" ht="13.5" x14ac:dyDescent="0.25">
      <c r="N67" s="24"/>
    </row>
    <row r="68" spans="14:14" ht="13.5" x14ac:dyDescent="0.25">
      <c r="N68" s="24"/>
    </row>
    <row r="69" spans="14:14" ht="13.5" x14ac:dyDescent="0.25">
      <c r="N69" s="24"/>
    </row>
    <row r="70" spans="14:14" ht="13.5" x14ac:dyDescent="0.25">
      <c r="N70" s="24"/>
    </row>
    <row r="71" spans="14:14" ht="13.5" x14ac:dyDescent="0.25">
      <c r="N71" s="24"/>
    </row>
    <row r="72" spans="14:14" ht="13.5" x14ac:dyDescent="0.25">
      <c r="N72" s="24"/>
    </row>
    <row r="73" spans="14:14" ht="13.5" x14ac:dyDescent="0.25">
      <c r="N73" s="24"/>
    </row>
    <row r="74" spans="14:14" ht="13.5" x14ac:dyDescent="0.25">
      <c r="N74" s="24"/>
    </row>
    <row r="75" spans="14:14" ht="13.5" x14ac:dyDescent="0.25">
      <c r="N75" s="24"/>
    </row>
    <row r="76" spans="14:14" ht="13.5" x14ac:dyDescent="0.25">
      <c r="N76" s="24"/>
    </row>
    <row r="77" spans="14:14" ht="13.5" x14ac:dyDescent="0.25">
      <c r="N77" s="24"/>
    </row>
    <row r="78" spans="14:14" ht="13.5" x14ac:dyDescent="0.25">
      <c r="N78" s="24"/>
    </row>
    <row r="79" spans="14:14" ht="13.5" x14ac:dyDescent="0.25">
      <c r="N79" s="24"/>
    </row>
    <row r="80" spans="14:14" ht="13.5" x14ac:dyDescent="0.25">
      <c r="N80" s="24"/>
    </row>
    <row r="81" spans="14:14" ht="13.5" x14ac:dyDescent="0.25">
      <c r="N81" s="24"/>
    </row>
    <row r="82" spans="14:14" ht="13.5" x14ac:dyDescent="0.25">
      <c r="N82" s="24"/>
    </row>
    <row r="83" spans="14:14" ht="13.5" x14ac:dyDescent="0.25">
      <c r="N83" s="24"/>
    </row>
    <row r="84" spans="14:14" ht="13.5" x14ac:dyDescent="0.25">
      <c r="N84" s="24"/>
    </row>
    <row r="85" spans="14:14" ht="13.5" x14ac:dyDescent="0.25">
      <c r="N85" s="24"/>
    </row>
    <row r="86" spans="14:14" ht="13.5" x14ac:dyDescent="0.25">
      <c r="N86" s="24"/>
    </row>
    <row r="87" spans="14:14" ht="13.5" x14ac:dyDescent="0.25">
      <c r="N87" s="24"/>
    </row>
    <row r="88" spans="14:14" ht="13.5" x14ac:dyDescent="0.25">
      <c r="N88" s="24"/>
    </row>
    <row r="89" spans="14:14" ht="13.5" x14ac:dyDescent="0.25">
      <c r="N89" s="24"/>
    </row>
    <row r="90" spans="14:14" ht="13.5" x14ac:dyDescent="0.25">
      <c r="N90" s="24"/>
    </row>
    <row r="91" spans="14:14" ht="13.5" x14ac:dyDescent="0.25">
      <c r="N91" s="24"/>
    </row>
    <row r="92" spans="14:14" ht="13.5" x14ac:dyDescent="0.25">
      <c r="N92" s="24"/>
    </row>
    <row r="93" spans="14:14" ht="13.5" x14ac:dyDescent="0.25">
      <c r="N93" s="24"/>
    </row>
    <row r="94" spans="14:14" ht="13.5" x14ac:dyDescent="0.25">
      <c r="N94" s="24"/>
    </row>
    <row r="95" spans="14:14" ht="13.5" x14ac:dyDescent="0.25">
      <c r="N95" s="24"/>
    </row>
    <row r="96" spans="14:14" ht="13.5" x14ac:dyDescent="0.25">
      <c r="N96" s="24"/>
    </row>
    <row r="97" spans="14:14" ht="13.5" x14ac:dyDescent="0.25">
      <c r="N97" s="24"/>
    </row>
    <row r="98" spans="14:14" ht="13.5" x14ac:dyDescent="0.25">
      <c r="N98" s="24"/>
    </row>
    <row r="99" spans="14:14" ht="13.5" x14ac:dyDescent="0.25">
      <c r="N99" s="24"/>
    </row>
    <row r="100" spans="14:14" ht="13.5" x14ac:dyDescent="0.25">
      <c r="N100" s="24"/>
    </row>
    <row r="101" spans="14:14" ht="13.5" x14ac:dyDescent="0.25">
      <c r="N101" s="24"/>
    </row>
    <row r="102" spans="14:14" ht="13.5" x14ac:dyDescent="0.25">
      <c r="N102" s="24"/>
    </row>
    <row r="103" spans="14:14" ht="13.5" x14ac:dyDescent="0.25">
      <c r="N103" s="24"/>
    </row>
    <row r="104" spans="14:14" ht="13.5" x14ac:dyDescent="0.25">
      <c r="N104" s="24"/>
    </row>
    <row r="105" spans="14:14" ht="13.5" x14ac:dyDescent="0.25">
      <c r="N105" s="24"/>
    </row>
    <row r="106" spans="14:14" ht="13.5" x14ac:dyDescent="0.25">
      <c r="N106" s="24"/>
    </row>
    <row r="107" spans="14:14" ht="13.5" x14ac:dyDescent="0.25">
      <c r="N107" s="24"/>
    </row>
    <row r="108" spans="14:14" ht="13.5" x14ac:dyDescent="0.25">
      <c r="N108" s="24"/>
    </row>
    <row r="109" spans="14:14" ht="13.5" x14ac:dyDescent="0.25">
      <c r="N109" s="24"/>
    </row>
    <row r="110" spans="14:14" ht="13.5" x14ac:dyDescent="0.25">
      <c r="N110" s="24"/>
    </row>
    <row r="111" spans="14:14" ht="13.5" x14ac:dyDescent="0.25">
      <c r="N111" s="24"/>
    </row>
    <row r="112" spans="14:14" ht="13.5" x14ac:dyDescent="0.25">
      <c r="N112" s="24"/>
    </row>
    <row r="113" spans="14:14" ht="13.5" x14ac:dyDescent="0.25">
      <c r="N113" s="24"/>
    </row>
    <row r="114" spans="14:14" ht="13.5" x14ac:dyDescent="0.25">
      <c r="N114" s="24"/>
    </row>
    <row r="115" spans="14:14" ht="13.5" x14ac:dyDescent="0.25">
      <c r="N115" s="24"/>
    </row>
    <row r="116" spans="14:14" ht="13.5" x14ac:dyDescent="0.25">
      <c r="N116" s="24"/>
    </row>
    <row r="117" spans="14:14" ht="13.5" x14ac:dyDescent="0.25">
      <c r="N117" s="24"/>
    </row>
    <row r="118" spans="14:14" ht="13.5" x14ac:dyDescent="0.25">
      <c r="N118" s="24"/>
    </row>
    <row r="119" spans="14:14" ht="13.5" x14ac:dyDescent="0.25">
      <c r="N119" s="24"/>
    </row>
    <row r="120" spans="14:14" ht="13.5" x14ac:dyDescent="0.25">
      <c r="N120" s="24"/>
    </row>
    <row r="121" spans="14:14" ht="13.5" x14ac:dyDescent="0.25">
      <c r="N121" s="24"/>
    </row>
    <row r="122" spans="14:14" ht="13.5" x14ac:dyDescent="0.25">
      <c r="N122" s="24"/>
    </row>
    <row r="123" spans="14:14" ht="13.5" x14ac:dyDescent="0.25">
      <c r="N123" s="24"/>
    </row>
    <row r="124" spans="14:14" ht="13.5" x14ac:dyDescent="0.25">
      <c r="N124" s="24"/>
    </row>
    <row r="125" spans="14:14" ht="13.5" x14ac:dyDescent="0.25">
      <c r="N125" s="24"/>
    </row>
    <row r="126" spans="14:14" ht="13.5" x14ac:dyDescent="0.25">
      <c r="N126" s="24"/>
    </row>
    <row r="127" spans="14:14" ht="13.5" x14ac:dyDescent="0.25">
      <c r="N127" s="24"/>
    </row>
    <row r="128" spans="14:14" ht="13.5" x14ac:dyDescent="0.25">
      <c r="N128" s="24"/>
    </row>
    <row r="129" spans="14:14" ht="13.5" x14ac:dyDescent="0.25">
      <c r="N129" s="24"/>
    </row>
    <row r="130" spans="14:14" ht="13.5" x14ac:dyDescent="0.25">
      <c r="N130" s="24"/>
    </row>
    <row r="131" spans="14:14" ht="13.5" x14ac:dyDescent="0.25">
      <c r="N131" s="24"/>
    </row>
    <row r="132" spans="14:14" ht="13.5" x14ac:dyDescent="0.25">
      <c r="N132" s="24"/>
    </row>
    <row r="133" spans="14:14" ht="13.5" x14ac:dyDescent="0.25">
      <c r="N133" s="24"/>
    </row>
    <row r="134" spans="14:14" ht="13.5" x14ac:dyDescent="0.25">
      <c r="N134" s="24"/>
    </row>
    <row r="135" spans="14:14" ht="13.5" x14ac:dyDescent="0.25">
      <c r="N135" s="24"/>
    </row>
    <row r="136" spans="14:14" ht="13.5" x14ac:dyDescent="0.25">
      <c r="N136" s="24"/>
    </row>
    <row r="137" spans="14:14" ht="13.5" x14ac:dyDescent="0.25">
      <c r="N137" s="24"/>
    </row>
    <row r="138" spans="14:14" ht="13.5" x14ac:dyDescent="0.25">
      <c r="N138" s="24"/>
    </row>
    <row r="139" spans="14:14" ht="13.5" x14ac:dyDescent="0.25">
      <c r="N139" s="24"/>
    </row>
    <row r="140" spans="14:14" ht="13.5" x14ac:dyDescent="0.25">
      <c r="N140" s="24"/>
    </row>
    <row r="141" spans="14:14" ht="13.5" x14ac:dyDescent="0.25">
      <c r="N141" s="24"/>
    </row>
    <row r="142" spans="14:14" ht="13.5" x14ac:dyDescent="0.25">
      <c r="N142" s="24"/>
    </row>
    <row r="143" spans="14:14" ht="13.5" x14ac:dyDescent="0.25">
      <c r="N143" s="24"/>
    </row>
    <row r="144" spans="14:14" ht="13.5" x14ac:dyDescent="0.25">
      <c r="N144" s="24"/>
    </row>
    <row r="145" spans="14:14" ht="13.5" x14ac:dyDescent="0.25">
      <c r="N145" s="24"/>
    </row>
    <row r="146" spans="14:14" ht="13.5" x14ac:dyDescent="0.25">
      <c r="N146" s="24"/>
    </row>
    <row r="147" spans="14:14" ht="13.5" x14ac:dyDescent="0.25">
      <c r="N147" s="24"/>
    </row>
    <row r="148" spans="14:14" ht="13.5" x14ac:dyDescent="0.25">
      <c r="N148" s="24"/>
    </row>
    <row r="149" spans="14:14" ht="13.5" x14ac:dyDescent="0.25">
      <c r="N149" s="24"/>
    </row>
    <row r="150" spans="14:14" ht="13.5" x14ac:dyDescent="0.25">
      <c r="N150" s="24"/>
    </row>
    <row r="151" spans="14:14" ht="13.5" x14ac:dyDescent="0.25">
      <c r="N151" s="24"/>
    </row>
    <row r="152" spans="14:14" ht="13.5" x14ac:dyDescent="0.25">
      <c r="N152" s="24"/>
    </row>
    <row r="153" spans="14:14" ht="13.5" x14ac:dyDescent="0.25">
      <c r="N153" s="24"/>
    </row>
    <row r="154" spans="14:14" ht="13.5" x14ac:dyDescent="0.25">
      <c r="N154" s="24"/>
    </row>
    <row r="155" spans="14:14" ht="13.5" x14ac:dyDescent="0.25">
      <c r="N155" s="24"/>
    </row>
    <row r="156" spans="14:14" ht="13.5" x14ac:dyDescent="0.25">
      <c r="N156" s="24"/>
    </row>
    <row r="157" spans="14:14" ht="13.5" x14ac:dyDescent="0.25">
      <c r="N157" s="24"/>
    </row>
    <row r="158" spans="14:14" ht="13.5" x14ac:dyDescent="0.25">
      <c r="N158" s="24"/>
    </row>
    <row r="159" spans="14:14" ht="13.5" x14ac:dyDescent="0.25">
      <c r="N159" s="24"/>
    </row>
    <row r="160" spans="14:14" ht="13.5" x14ac:dyDescent="0.25">
      <c r="N160" s="24"/>
    </row>
    <row r="161" spans="14:14" ht="13.5" x14ac:dyDescent="0.25">
      <c r="N161" s="24"/>
    </row>
    <row r="162" spans="14:14" ht="13.5" x14ac:dyDescent="0.25">
      <c r="N162" s="24"/>
    </row>
    <row r="163" spans="14:14" ht="13.5" x14ac:dyDescent="0.25">
      <c r="N163" s="24"/>
    </row>
    <row r="164" spans="14:14" ht="13.5" x14ac:dyDescent="0.25">
      <c r="N164" s="24"/>
    </row>
    <row r="165" spans="14:14" ht="13.5" x14ac:dyDescent="0.25">
      <c r="N165" s="24"/>
    </row>
    <row r="166" spans="14:14" ht="13.5" x14ac:dyDescent="0.25">
      <c r="N166" s="24"/>
    </row>
    <row r="167" spans="14:14" ht="13.5" x14ac:dyDescent="0.25">
      <c r="N167" s="24"/>
    </row>
    <row r="168" spans="14:14" ht="13.5" x14ac:dyDescent="0.25">
      <c r="N168" s="24"/>
    </row>
    <row r="169" spans="14:14" ht="13.5" x14ac:dyDescent="0.25">
      <c r="N169" s="24"/>
    </row>
    <row r="170" spans="14:14" ht="13.5" x14ac:dyDescent="0.25">
      <c r="N170" s="24"/>
    </row>
    <row r="171" spans="14:14" ht="13.5" x14ac:dyDescent="0.25">
      <c r="N171" s="24"/>
    </row>
    <row r="172" spans="14:14" ht="13.5" x14ac:dyDescent="0.25">
      <c r="N172" s="24"/>
    </row>
    <row r="173" spans="14:14" ht="13.5" x14ac:dyDescent="0.25">
      <c r="N173" s="24"/>
    </row>
    <row r="174" spans="14:14" ht="13.5" x14ac:dyDescent="0.25">
      <c r="N174" s="24"/>
    </row>
    <row r="175" spans="14:14" ht="13.5" x14ac:dyDescent="0.25">
      <c r="N175" s="24"/>
    </row>
    <row r="176" spans="14:14" ht="13.5" x14ac:dyDescent="0.25">
      <c r="N176" s="24"/>
    </row>
    <row r="177" spans="14:14" ht="13.5" x14ac:dyDescent="0.25">
      <c r="N177" s="24"/>
    </row>
    <row r="178" spans="14:14" ht="13.5" x14ac:dyDescent="0.25">
      <c r="N178" s="24"/>
    </row>
    <row r="179" spans="14:14" ht="13.5" x14ac:dyDescent="0.25">
      <c r="N179" s="24"/>
    </row>
    <row r="180" spans="14:14" ht="13.5" x14ac:dyDescent="0.25">
      <c r="N180" s="24"/>
    </row>
    <row r="181" spans="14:14" ht="13.5" x14ac:dyDescent="0.25">
      <c r="N181" s="24"/>
    </row>
    <row r="182" spans="14:14" ht="13.5" x14ac:dyDescent="0.25">
      <c r="N182" s="24"/>
    </row>
    <row r="183" spans="14:14" ht="13.5" x14ac:dyDescent="0.25">
      <c r="N183" s="24"/>
    </row>
    <row r="184" spans="14:14" ht="13.5" x14ac:dyDescent="0.25">
      <c r="N184" s="24"/>
    </row>
    <row r="185" spans="14:14" ht="13.5" x14ac:dyDescent="0.25">
      <c r="N185" s="24"/>
    </row>
    <row r="186" spans="14:14" ht="13.5" x14ac:dyDescent="0.25">
      <c r="N186" s="24"/>
    </row>
    <row r="187" spans="14:14" ht="13.5" x14ac:dyDescent="0.25">
      <c r="N187" s="24"/>
    </row>
    <row r="188" spans="14:14" ht="13.5" x14ac:dyDescent="0.25">
      <c r="N188" s="24"/>
    </row>
    <row r="189" spans="14:14" ht="13.5" x14ac:dyDescent="0.25">
      <c r="N189" s="24"/>
    </row>
    <row r="190" spans="14:14" ht="13.5" x14ac:dyDescent="0.25">
      <c r="N190" s="24"/>
    </row>
    <row r="191" spans="14:14" ht="13.5" x14ac:dyDescent="0.25">
      <c r="N191" s="24"/>
    </row>
    <row r="192" spans="14:14" ht="13.5" x14ac:dyDescent="0.25">
      <c r="N192" s="24"/>
    </row>
    <row r="193" spans="14:14" ht="13.5" x14ac:dyDescent="0.25">
      <c r="N193" s="24"/>
    </row>
    <row r="194" spans="14:14" ht="13.5" x14ac:dyDescent="0.25">
      <c r="N194" s="24"/>
    </row>
    <row r="195" spans="14:14" ht="13.5" x14ac:dyDescent="0.25">
      <c r="N195" s="24"/>
    </row>
    <row r="196" spans="14:14" ht="13.5" x14ac:dyDescent="0.25">
      <c r="N196" s="24"/>
    </row>
    <row r="197" spans="14:14" ht="13.5" x14ac:dyDescent="0.25">
      <c r="N197" s="24"/>
    </row>
    <row r="198" spans="14:14" ht="13.5" x14ac:dyDescent="0.25">
      <c r="N198" s="24"/>
    </row>
    <row r="199" spans="14:14" ht="13.5" x14ac:dyDescent="0.25">
      <c r="N199" s="24"/>
    </row>
    <row r="200" spans="14:14" ht="13.5" x14ac:dyDescent="0.25">
      <c r="N200" s="24"/>
    </row>
    <row r="201" spans="14:14" ht="13.5" x14ac:dyDescent="0.25">
      <c r="N201" s="24"/>
    </row>
    <row r="202" spans="14:14" ht="13.5" x14ac:dyDescent="0.25">
      <c r="N202" s="24"/>
    </row>
    <row r="203" spans="14:14" ht="13.5" x14ac:dyDescent="0.25">
      <c r="N203" s="24"/>
    </row>
    <row r="204" spans="14:14" ht="13.5" x14ac:dyDescent="0.25">
      <c r="N204" s="24"/>
    </row>
    <row r="205" spans="14:14" ht="13.5" x14ac:dyDescent="0.25">
      <c r="N205" s="24"/>
    </row>
    <row r="206" spans="14:14" ht="13.5" x14ac:dyDescent="0.25">
      <c r="N206" s="24"/>
    </row>
    <row r="207" spans="14:14" ht="13.5" x14ac:dyDescent="0.25">
      <c r="N207" s="24"/>
    </row>
    <row r="208" spans="14:14" ht="13.5" x14ac:dyDescent="0.25">
      <c r="N208" s="24"/>
    </row>
    <row r="209" spans="14:14" ht="13.5" x14ac:dyDescent="0.25">
      <c r="N209" s="24"/>
    </row>
    <row r="210" spans="14:14" ht="13.5" x14ac:dyDescent="0.25">
      <c r="N210" s="24"/>
    </row>
    <row r="211" spans="14:14" ht="13.5" x14ac:dyDescent="0.25">
      <c r="N211" s="24"/>
    </row>
    <row r="212" spans="14:14" ht="13.5" x14ac:dyDescent="0.25">
      <c r="N212" s="24"/>
    </row>
    <row r="213" spans="14:14" ht="13.5" x14ac:dyDescent="0.25">
      <c r="N213" s="24"/>
    </row>
    <row r="214" spans="14:14" ht="13.5" x14ac:dyDescent="0.25">
      <c r="N214" s="24"/>
    </row>
    <row r="215" spans="14:14" ht="13.5" x14ac:dyDescent="0.25">
      <c r="N215" s="24"/>
    </row>
    <row r="216" spans="14:14" ht="13.5" x14ac:dyDescent="0.25">
      <c r="N216" s="24"/>
    </row>
    <row r="217" spans="14:14" ht="13.5" x14ac:dyDescent="0.25">
      <c r="N217" s="24"/>
    </row>
    <row r="218" spans="14:14" ht="13.5" x14ac:dyDescent="0.25">
      <c r="N218" s="24"/>
    </row>
    <row r="219" spans="14:14" ht="13.5" x14ac:dyDescent="0.25">
      <c r="N219" s="24"/>
    </row>
    <row r="220" spans="14:14" ht="13.5" x14ac:dyDescent="0.25">
      <c r="N220" s="24"/>
    </row>
    <row r="221" spans="14:14" ht="13.5" x14ac:dyDescent="0.25">
      <c r="N221" s="24"/>
    </row>
    <row r="222" spans="14:14" ht="13.5" x14ac:dyDescent="0.25">
      <c r="N222" s="24"/>
    </row>
    <row r="223" spans="14:14" ht="13.5" x14ac:dyDescent="0.25">
      <c r="N223" s="24"/>
    </row>
    <row r="224" spans="14:14" ht="13.5" x14ac:dyDescent="0.25">
      <c r="N224" s="24"/>
    </row>
    <row r="225" spans="14:14" ht="13.5" x14ac:dyDescent="0.25">
      <c r="N225" s="24"/>
    </row>
    <row r="226" spans="14:14" ht="13.5" x14ac:dyDescent="0.25">
      <c r="N226" s="24"/>
    </row>
    <row r="227" spans="14:14" ht="13.5" x14ac:dyDescent="0.25">
      <c r="N227" s="24"/>
    </row>
    <row r="228" spans="14:14" ht="13.5" x14ac:dyDescent="0.25">
      <c r="N228" s="24"/>
    </row>
    <row r="229" spans="14:14" ht="13.5" x14ac:dyDescent="0.25">
      <c r="N229" s="24"/>
    </row>
    <row r="230" spans="14:14" ht="13.5" x14ac:dyDescent="0.25">
      <c r="N230" s="24"/>
    </row>
    <row r="231" spans="14:14" ht="13.5" x14ac:dyDescent="0.25">
      <c r="N231" s="24"/>
    </row>
    <row r="232" spans="14:14" ht="13.5" x14ac:dyDescent="0.25">
      <c r="N232" s="24"/>
    </row>
    <row r="233" spans="14:14" ht="13.5" x14ac:dyDescent="0.25">
      <c r="N233" s="24"/>
    </row>
    <row r="234" spans="14:14" ht="13.5" x14ac:dyDescent="0.25">
      <c r="N234" s="24"/>
    </row>
    <row r="235" spans="14:14" ht="13.5" x14ac:dyDescent="0.25">
      <c r="N235" s="24"/>
    </row>
    <row r="236" spans="14:14" ht="13.5" x14ac:dyDescent="0.25">
      <c r="N236" s="24"/>
    </row>
    <row r="237" spans="14:14" ht="13.5" x14ac:dyDescent="0.25">
      <c r="N237" s="24"/>
    </row>
    <row r="238" spans="14:14" ht="13.5" x14ac:dyDescent="0.25">
      <c r="N238" s="24"/>
    </row>
    <row r="239" spans="14:14" ht="13.5" x14ac:dyDescent="0.25">
      <c r="N239" s="24"/>
    </row>
    <row r="240" spans="14:14" ht="13.5" x14ac:dyDescent="0.25">
      <c r="N240" s="24"/>
    </row>
    <row r="241" spans="14:14" ht="13.5" x14ac:dyDescent="0.25">
      <c r="N241" s="24"/>
    </row>
    <row r="242" spans="14:14" ht="13.5" x14ac:dyDescent="0.25">
      <c r="N242" s="24"/>
    </row>
    <row r="243" spans="14:14" ht="13.5" x14ac:dyDescent="0.25">
      <c r="N243" s="24"/>
    </row>
    <row r="244" spans="14:14" ht="13.5" x14ac:dyDescent="0.25">
      <c r="N244" s="24"/>
    </row>
    <row r="245" spans="14:14" ht="13.5" x14ac:dyDescent="0.25">
      <c r="N245" s="24"/>
    </row>
    <row r="246" spans="14:14" ht="13.5" x14ac:dyDescent="0.25">
      <c r="N246" s="24"/>
    </row>
    <row r="247" spans="14:14" ht="13.5" x14ac:dyDescent="0.25">
      <c r="N247" s="24"/>
    </row>
    <row r="248" spans="14:14" ht="13.5" x14ac:dyDescent="0.25">
      <c r="N248" s="24"/>
    </row>
    <row r="249" spans="14:14" ht="13.5" x14ac:dyDescent="0.25">
      <c r="N249" s="24"/>
    </row>
    <row r="250" spans="14:14" ht="13.5" x14ac:dyDescent="0.25">
      <c r="N250" s="24"/>
    </row>
    <row r="251" spans="14:14" ht="13.5" x14ac:dyDescent="0.25">
      <c r="N251" s="24"/>
    </row>
    <row r="252" spans="14:14" ht="13.5" x14ac:dyDescent="0.25">
      <c r="N252" s="24"/>
    </row>
    <row r="253" spans="14:14" ht="13.5" x14ac:dyDescent="0.25">
      <c r="N253" s="24"/>
    </row>
    <row r="254" spans="14:14" ht="13.5" x14ac:dyDescent="0.25">
      <c r="N254" s="24"/>
    </row>
    <row r="255" spans="14:14" ht="13.5" x14ac:dyDescent="0.25">
      <c r="N255" s="24"/>
    </row>
    <row r="256" spans="14:14" ht="13.5" x14ac:dyDescent="0.25">
      <c r="N256" s="24"/>
    </row>
    <row r="257" spans="14:14" ht="13.5" x14ac:dyDescent="0.25">
      <c r="N257" s="24"/>
    </row>
    <row r="258" spans="14:14" ht="13.5" x14ac:dyDescent="0.25">
      <c r="N258" s="24"/>
    </row>
    <row r="259" spans="14:14" ht="13.5" x14ac:dyDescent="0.25">
      <c r="N259" s="24"/>
    </row>
    <row r="260" spans="14:14" ht="13.5" x14ac:dyDescent="0.25">
      <c r="N260" s="24"/>
    </row>
    <row r="261" spans="14:14" ht="13.5" x14ac:dyDescent="0.25">
      <c r="N261" s="24"/>
    </row>
    <row r="262" spans="14:14" ht="13.5" x14ac:dyDescent="0.25">
      <c r="N262" s="24"/>
    </row>
    <row r="263" spans="14:14" ht="13.5" x14ac:dyDescent="0.25">
      <c r="N263" s="24"/>
    </row>
    <row r="264" spans="14:14" ht="13.5" x14ac:dyDescent="0.25">
      <c r="N264" s="24"/>
    </row>
    <row r="265" spans="14:14" ht="13.5" x14ac:dyDescent="0.25">
      <c r="N265" s="24"/>
    </row>
    <row r="266" spans="14:14" ht="13.5" x14ac:dyDescent="0.25">
      <c r="N266" s="24"/>
    </row>
    <row r="267" spans="14:14" ht="13.5" x14ac:dyDescent="0.25">
      <c r="N267" s="24"/>
    </row>
    <row r="268" spans="14:14" ht="13.5" x14ac:dyDescent="0.25">
      <c r="N268" s="24"/>
    </row>
    <row r="269" spans="14:14" ht="13.5" x14ac:dyDescent="0.25">
      <c r="N269" s="24"/>
    </row>
    <row r="270" spans="14:14" ht="13.5" x14ac:dyDescent="0.25">
      <c r="N270" s="24"/>
    </row>
    <row r="271" spans="14:14" ht="13.5" x14ac:dyDescent="0.25">
      <c r="N271" s="24"/>
    </row>
    <row r="272" spans="14:14" ht="13.5" x14ac:dyDescent="0.25">
      <c r="N272" s="24"/>
    </row>
    <row r="273" spans="14:14" ht="13.5" x14ac:dyDescent="0.25">
      <c r="N273" s="24"/>
    </row>
    <row r="274" spans="14:14" ht="13.5" x14ac:dyDescent="0.25">
      <c r="N274" s="24"/>
    </row>
    <row r="275" spans="14:14" ht="13.5" x14ac:dyDescent="0.25">
      <c r="N275" s="24"/>
    </row>
    <row r="276" spans="14:14" ht="13.5" x14ac:dyDescent="0.25">
      <c r="N276" s="24"/>
    </row>
    <row r="277" spans="14:14" ht="13.5" x14ac:dyDescent="0.25">
      <c r="N277" s="24"/>
    </row>
    <row r="278" spans="14:14" ht="13.5" x14ac:dyDescent="0.25">
      <c r="N278" s="24"/>
    </row>
    <row r="279" spans="14:14" ht="13.5" x14ac:dyDescent="0.25">
      <c r="N279" s="24"/>
    </row>
    <row r="280" spans="14:14" ht="13.5" x14ac:dyDescent="0.25">
      <c r="N280" s="24"/>
    </row>
    <row r="281" spans="14:14" ht="13.5" x14ac:dyDescent="0.25">
      <c r="N281" s="24"/>
    </row>
    <row r="282" spans="14:14" ht="13.5" x14ac:dyDescent="0.25">
      <c r="N282" s="24"/>
    </row>
    <row r="283" spans="14:14" ht="13.5" x14ac:dyDescent="0.25">
      <c r="N283" s="24"/>
    </row>
    <row r="284" spans="14:14" ht="13.5" x14ac:dyDescent="0.25">
      <c r="N284" s="24"/>
    </row>
    <row r="285" spans="14:14" ht="13.5" x14ac:dyDescent="0.25">
      <c r="N285" s="24"/>
    </row>
    <row r="286" spans="14:14" ht="13.5" x14ac:dyDescent="0.25">
      <c r="N286" s="24"/>
    </row>
    <row r="287" spans="14:14" ht="13.5" x14ac:dyDescent="0.25">
      <c r="N287" s="24"/>
    </row>
    <row r="288" spans="14:14" ht="13.5" x14ac:dyDescent="0.25">
      <c r="N288" s="24"/>
    </row>
    <row r="289" spans="14:14" ht="13.5" x14ac:dyDescent="0.25">
      <c r="N289" s="24"/>
    </row>
    <row r="290" spans="14:14" ht="13.5" x14ac:dyDescent="0.25">
      <c r="N290" s="24"/>
    </row>
    <row r="291" spans="14:14" ht="13.5" x14ac:dyDescent="0.25">
      <c r="N291" s="24"/>
    </row>
    <row r="292" spans="14:14" ht="13.5" x14ac:dyDescent="0.25">
      <c r="N292" s="24"/>
    </row>
    <row r="293" spans="14:14" ht="13.5" x14ac:dyDescent="0.25">
      <c r="N293" s="24"/>
    </row>
    <row r="294" spans="14:14" ht="13.5" x14ac:dyDescent="0.25">
      <c r="N294" s="24"/>
    </row>
    <row r="295" spans="14:14" ht="13.5" x14ac:dyDescent="0.25">
      <c r="N295" s="24"/>
    </row>
    <row r="296" spans="14:14" ht="13.5" x14ac:dyDescent="0.25">
      <c r="N296" s="24"/>
    </row>
    <row r="297" spans="14:14" ht="13.5" x14ac:dyDescent="0.25">
      <c r="N297" s="24"/>
    </row>
    <row r="298" spans="14:14" ht="13.5" x14ac:dyDescent="0.25">
      <c r="N298" s="24"/>
    </row>
    <row r="299" spans="14:14" ht="13.5" x14ac:dyDescent="0.25">
      <c r="N299" s="24"/>
    </row>
    <row r="300" spans="14:14" ht="13.5" x14ac:dyDescent="0.25">
      <c r="N300" s="24"/>
    </row>
    <row r="301" spans="14:14" ht="13.5" x14ac:dyDescent="0.25">
      <c r="N301" s="24"/>
    </row>
    <row r="302" spans="14:14" ht="13.5" x14ac:dyDescent="0.25">
      <c r="N302" s="24"/>
    </row>
    <row r="303" spans="14:14" ht="13.5" x14ac:dyDescent="0.25">
      <c r="N303" s="24"/>
    </row>
    <row r="304" spans="14:14" ht="13.5" x14ac:dyDescent="0.25">
      <c r="N304" s="24"/>
    </row>
    <row r="305" spans="14:14" ht="13.5" x14ac:dyDescent="0.25">
      <c r="N305" s="24"/>
    </row>
    <row r="306" spans="14:14" ht="13.5" x14ac:dyDescent="0.25">
      <c r="N306" s="24"/>
    </row>
    <row r="307" spans="14:14" ht="13.5" x14ac:dyDescent="0.25">
      <c r="N307" s="24"/>
    </row>
    <row r="308" spans="14:14" ht="13.5" x14ac:dyDescent="0.25">
      <c r="N308" s="24"/>
    </row>
    <row r="309" spans="14:14" ht="13.5" x14ac:dyDescent="0.25">
      <c r="N309" s="24"/>
    </row>
    <row r="310" spans="14:14" ht="13.5" x14ac:dyDescent="0.25">
      <c r="N310" s="24"/>
    </row>
    <row r="311" spans="14:14" ht="13.5" x14ac:dyDescent="0.25">
      <c r="N311" s="24"/>
    </row>
    <row r="312" spans="14:14" ht="13.5" x14ac:dyDescent="0.25">
      <c r="N312" s="24"/>
    </row>
    <row r="313" spans="14:14" ht="13.5" x14ac:dyDescent="0.25">
      <c r="N313" s="24"/>
    </row>
    <row r="314" spans="14:14" ht="13.5" x14ac:dyDescent="0.25">
      <c r="N314" s="24"/>
    </row>
    <row r="315" spans="14:14" ht="13.5" x14ac:dyDescent="0.25">
      <c r="N315" s="24"/>
    </row>
    <row r="316" spans="14:14" ht="13.5" x14ac:dyDescent="0.25">
      <c r="N316" s="24"/>
    </row>
    <row r="317" spans="14:14" ht="13.5" x14ac:dyDescent="0.25">
      <c r="N317" s="24"/>
    </row>
    <row r="318" spans="14:14" ht="13.5" x14ac:dyDescent="0.25">
      <c r="N318" s="24"/>
    </row>
    <row r="319" spans="14:14" ht="13.5" x14ac:dyDescent="0.25">
      <c r="N319" s="24"/>
    </row>
    <row r="320" spans="14:14" ht="13.5" x14ac:dyDescent="0.25">
      <c r="N320" s="24"/>
    </row>
    <row r="321" spans="14:14" ht="13.5" x14ac:dyDescent="0.25">
      <c r="N321" s="24"/>
    </row>
    <row r="322" spans="14:14" ht="13.5" x14ac:dyDescent="0.25">
      <c r="N322" s="24"/>
    </row>
    <row r="323" spans="14:14" ht="13.5" x14ac:dyDescent="0.25">
      <c r="N323" s="24"/>
    </row>
    <row r="324" spans="14:14" ht="13.5" x14ac:dyDescent="0.25">
      <c r="N324" s="24"/>
    </row>
    <row r="325" spans="14:14" ht="13.5" x14ac:dyDescent="0.25">
      <c r="N325" s="24"/>
    </row>
    <row r="326" spans="14:14" ht="13.5" x14ac:dyDescent="0.25">
      <c r="N326" s="24"/>
    </row>
    <row r="327" spans="14:14" ht="13.5" x14ac:dyDescent="0.25">
      <c r="N327" s="24"/>
    </row>
    <row r="328" spans="14:14" ht="13.5" x14ac:dyDescent="0.25">
      <c r="N328" s="24"/>
    </row>
    <row r="329" spans="14:14" ht="13.5" x14ac:dyDescent="0.25">
      <c r="N329" s="24"/>
    </row>
    <row r="330" spans="14:14" ht="13.5" x14ac:dyDescent="0.25">
      <c r="N330" s="24"/>
    </row>
    <row r="331" spans="14:14" ht="13.5" x14ac:dyDescent="0.25">
      <c r="N331" s="24"/>
    </row>
    <row r="332" spans="14:14" ht="13.5" x14ac:dyDescent="0.25">
      <c r="N332" s="24"/>
    </row>
    <row r="333" spans="14:14" ht="13.5" x14ac:dyDescent="0.25">
      <c r="N333" s="24"/>
    </row>
    <row r="334" spans="14:14" ht="13.5" x14ac:dyDescent="0.25">
      <c r="N334" s="24"/>
    </row>
    <row r="335" spans="14:14" ht="13.5" x14ac:dyDescent="0.25">
      <c r="N335" s="24"/>
    </row>
    <row r="336" spans="14:14" ht="13.5" x14ac:dyDescent="0.25">
      <c r="N336" s="24"/>
    </row>
    <row r="337" spans="14:14" ht="13.5" x14ac:dyDescent="0.25">
      <c r="N337" s="24"/>
    </row>
    <row r="338" spans="14:14" ht="13.5" x14ac:dyDescent="0.25">
      <c r="N338" s="24"/>
    </row>
    <row r="339" spans="14:14" ht="13.5" x14ac:dyDescent="0.25">
      <c r="N339" s="24"/>
    </row>
    <row r="340" spans="14:14" ht="13.5" x14ac:dyDescent="0.25">
      <c r="N340" s="24"/>
    </row>
    <row r="341" spans="14:14" ht="13.5" x14ac:dyDescent="0.25">
      <c r="N341" s="24"/>
    </row>
    <row r="342" spans="14:14" ht="13.5" x14ac:dyDescent="0.25">
      <c r="N342" s="24"/>
    </row>
    <row r="343" spans="14:14" ht="13.5" x14ac:dyDescent="0.25">
      <c r="N343" s="24"/>
    </row>
    <row r="344" spans="14:14" ht="13.5" x14ac:dyDescent="0.25">
      <c r="N344" s="24"/>
    </row>
    <row r="345" spans="14:14" ht="13.5" x14ac:dyDescent="0.25">
      <c r="N345" s="24"/>
    </row>
    <row r="346" spans="14:14" ht="13.5" x14ac:dyDescent="0.25">
      <c r="N346" s="24"/>
    </row>
    <row r="347" spans="14:14" ht="13.5" x14ac:dyDescent="0.25">
      <c r="N347" s="24"/>
    </row>
    <row r="348" spans="14:14" ht="13.5" x14ac:dyDescent="0.25">
      <c r="N348" s="24"/>
    </row>
    <row r="349" spans="14:14" ht="13.5" x14ac:dyDescent="0.25">
      <c r="N349" s="24"/>
    </row>
    <row r="350" spans="14:14" ht="13.5" x14ac:dyDescent="0.25">
      <c r="N350" s="24"/>
    </row>
    <row r="351" spans="14:14" ht="13.5" x14ac:dyDescent="0.25">
      <c r="N351" s="24"/>
    </row>
    <row r="352" spans="14:14" ht="13.5" x14ac:dyDescent="0.25">
      <c r="N352" s="24"/>
    </row>
    <row r="353" spans="14:14" ht="13.5" x14ac:dyDescent="0.25">
      <c r="N353" s="24"/>
    </row>
    <row r="354" spans="14:14" ht="13.5" x14ac:dyDescent="0.25">
      <c r="N354" s="24"/>
    </row>
    <row r="355" spans="14:14" ht="13.5" x14ac:dyDescent="0.25">
      <c r="N355" s="24"/>
    </row>
    <row r="356" spans="14:14" ht="13.5" x14ac:dyDescent="0.25">
      <c r="N356" s="24"/>
    </row>
    <row r="357" spans="14:14" ht="13.5" x14ac:dyDescent="0.25">
      <c r="N357" s="24"/>
    </row>
    <row r="358" spans="14:14" ht="13.5" x14ac:dyDescent="0.25">
      <c r="N358" s="24"/>
    </row>
    <row r="359" spans="14:14" ht="13.5" x14ac:dyDescent="0.25">
      <c r="N359" s="24"/>
    </row>
    <row r="360" spans="14:14" ht="13.5" x14ac:dyDescent="0.25">
      <c r="N360" s="24"/>
    </row>
    <row r="361" spans="14:14" ht="13.5" x14ac:dyDescent="0.25">
      <c r="N361" s="24"/>
    </row>
    <row r="362" spans="14:14" ht="13.5" x14ac:dyDescent="0.25">
      <c r="N362" s="24"/>
    </row>
    <row r="363" spans="14:14" ht="13.5" x14ac:dyDescent="0.25">
      <c r="N363" s="24"/>
    </row>
    <row r="364" spans="14:14" ht="13.5" x14ac:dyDescent="0.25">
      <c r="N364" s="24"/>
    </row>
    <row r="365" spans="14:14" ht="13.5" x14ac:dyDescent="0.25">
      <c r="N365" s="24"/>
    </row>
    <row r="366" spans="14:14" ht="13.5" x14ac:dyDescent="0.25">
      <c r="N366" s="24"/>
    </row>
    <row r="367" spans="14:14" ht="13.5" x14ac:dyDescent="0.25">
      <c r="N367" s="24"/>
    </row>
    <row r="368" spans="14:14" ht="13.5" x14ac:dyDescent="0.25">
      <c r="N368" s="24"/>
    </row>
    <row r="369" spans="14:14" ht="13.5" x14ac:dyDescent="0.25">
      <c r="N369" s="24"/>
    </row>
    <row r="370" spans="14:14" ht="13.5" x14ac:dyDescent="0.25">
      <c r="N370" s="24"/>
    </row>
    <row r="371" spans="14:14" ht="13.5" x14ac:dyDescent="0.25">
      <c r="N371" s="24"/>
    </row>
    <row r="372" spans="14:14" ht="13.5" x14ac:dyDescent="0.25">
      <c r="N372" s="24"/>
    </row>
    <row r="373" spans="14:14" ht="13.5" x14ac:dyDescent="0.25">
      <c r="N373" s="24"/>
    </row>
    <row r="374" spans="14:14" ht="13.5" x14ac:dyDescent="0.25">
      <c r="N374" s="24"/>
    </row>
    <row r="375" spans="14:14" ht="13.5" x14ac:dyDescent="0.25">
      <c r="N375" s="24"/>
    </row>
    <row r="376" spans="14:14" ht="13.5" x14ac:dyDescent="0.25">
      <c r="N376" s="24"/>
    </row>
    <row r="377" spans="14:14" ht="13.5" x14ac:dyDescent="0.25">
      <c r="N377" s="24"/>
    </row>
    <row r="378" spans="14:14" ht="13.5" x14ac:dyDescent="0.25">
      <c r="N378" s="24"/>
    </row>
    <row r="379" spans="14:14" ht="13.5" x14ac:dyDescent="0.25">
      <c r="N379" s="24"/>
    </row>
    <row r="380" spans="14:14" ht="13.5" x14ac:dyDescent="0.25">
      <c r="N380" s="24"/>
    </row>
    <row r="381" spans="14:14" ht="13.5" x14ac:dyDescent="0.25">
      <c r="N381" s="24"/>
    </row>
    <row r="382" spans="14:14" ht="13.5" x14ac:dyDescent="0.25">
      <c r="N382" s="24"/>
    </row>
    <row r="383" spans="14:14" ht="13.5" x14ac:dyDescent="0.25">
      <c r="N383" s="24"/>
    </row>
    <row r="384" spans="14:14" ht="13.5" x14ac:dyDescent="0.25">
      <c r="N384" s="24"/>
    </row>
    <row r="385" spans="14:14" ht="13.5" x14ac:dyDescent="0.25">
      <c r="N385" s="24"/>
    </row>
    <row r="386" spans="14:14" ht="13.5" x14ac:dyDescent="0.25">
      <c r="N386" s="24"/>
    </row>
    <row r="387" spans="14:14" ht="13.5" x14ac:dyDescent="0.25">
      <c r="N387" s="24"/>
    </row>
    <row r="388" spans="14:14" ht="13.5" x14ac:dyDescent="0.25">
      <c r="N388" s="24"/>
    </row>
    <row r="389" spans="14:14" ht="13.5" x14ac:dyDescent="0.25">
      <c r="N389" s="24"/>
    </row>
    <row r="390" spans="14:14" ht="13.5" x14ac:dyDescent="0.25">
      <c r="N390" s="24"/>
    </row>
    <row r="391" spans="14:14" ht="13.5" x14ac:dyDescent="0.25">
      <c r="N391" s="24"/>
    </row>
    <row r="392" spans="14:14" ht="13.5" x14ac:dyDescent="0.25">
      <c r="N392" s="24"/>
    </row>
    <row r="393" spans="14:14" ht="13.5" x14ac:dyDescent="0.25">
      <c r="N393" s="24"/>
    </row>
    <row r="394" spans="14:14" ht="13.5" x14ac:dyDescent="0.25">
      <c r="N394" s="24"/>
    </row>
    <row r="395" spans="14:14" ht="13.5" x14ac:dyDescent="0.25">
      <c r="N395" s="24"/>
    </row>
    <row r="396" spans="14:14" ht="13.5" x14ac:dyDescent="0.25">
      <c r="N396" s="24"/>
    </row>
    <row r="397" spans="14:14" ht="13.5" x14ac:dyDescent="0.25">
      <c r="N397" s="24"/>
    </row>
    <row r="398" spans="14:14" ht="13.5" x14ac:dyDescent="0.25">
      <c r="N398" s="24"/>
    </row>
    <row r="399" spans="14:14" ht="13.5" x14ac:dyDescent="0.25">
      <c r="N399" s="24"/>
    </row>
    <row r="400" spans="14:14" ht="13.5" x14ac:dyDescent="0.25">
      <c r="N400" s="24"/>
    </row>
    <row r="401" spans="14:14" ht="13.5" x14ac:dyDescent="0.25">
      <c r="N401" s="24"/>
    </row>
    <row r="402" spans="14:14" ht="13.5" x14ac:dyDescent="0.25">
      <c r="N402" s="24"/>
    </row>
    <row r="403" spans="14:14" ht="13.5" x14ac:dyDescent="0.25">
      <c r="N403" s="24"/>
    </row>
    <row r="404" spans="14:14" ht="13.5" x14ac:dyDescent="0.25">
      <c r="N404" s="24"/>
    </row>
    <row r="405" spans="14:14" ht="13.5" x14ac:dyDescent="0.25">
      <c r="N405" s="24"/>
    </row>
    <row r="406" spans="14:14" ht="13.5" x14ac:dyDescent="0.25">
      <c r="N406" s="24"/>
    </row>
    <row r="407" spans="14:14" ht="13.5" x14ac:dyDescent="0.25">
      <c r="N407" s="24"/>
    </row>
    <row r="408" spans="14:14" ht="13.5" x14ac:dyDescent="0.25">
      <c r="N408" s="24"/>
    </row>
    <row r="409" spans="14:14" ht="13.5" x14ac:dyDescent="0.25">
      <c r="N409" s="24"/>
    </row>
    <row r="410" spans="14:14" ht="13.5" x14ac:dyDescent="0.25">
      <c r="N410" s="24"/>
    </row>
    <row r="411" spans="14:14" ht="13.5" x14ac:dyDescent="0.25">
      <c r="N411" s="24"/>
    </row>
    <row r="412" spans="14:14" ht="13.5" x14ac:dyDescent="0.25">
      <c r="N412" s="24"/>
    </row>
    <row r="413" spans="14:14" ht="13.5" x14ac:dyDescent="0.25">
      <c r="N413" s="24"/>
    </row>
    <row r="414" spans="14:14" ht="13.5" x14ac:dyDescent="0.25">
      <c r="N414" s="24"/>
    </row>
    <row r="415" spans="14:14" ht="13.5" x14ac:dyDescent="0.25">
      <c r="N415" s="24"/>
    </row>
    <row r="416" spans="14:14" ht="13.5" x14ac:dyDescent="0.25">
      <c r="N416" s="24"/>
    </row>
    <row r="417" spans="14:14" ht="13.5" x14ac:dyDescent="0.25">
      <c r="N417" s="24"/>
    </row>
    <row r="418" spans="14:14" ht="13.5" x14ac:dyDescent="0.25">
      <c r="N418" s="24"/>
    </row>
    <row r="419" spans="14:14" ht="13.5" x14ac:dyDescent="0.25">
      <c r="N419" s="24"/>
    </row>
    <row r="420" spans="14:14" ht="13.5" x14ac:dyDescent="0.25">
      <c r="N420" s="24"/>
    </row>
    <row r="421" spans="14:14" ht="13.5" x14ac:dyDescent="0.25">
      <c r="N421" s="24"/>
    </row>
    <row r="422" spans="14:14" ht="13.5" x14ac:dyDescent="0.25">
      <c r="N422" s="24"/>
    </row>
    <row r="423" spans="14:14" ht="13.5" x14ac:dyDescent="0.25">
      <c r="N423" s="24"/>
    </row>
    <row r="424" spans="14:14" ht="13.5" x14ac:dyDescent="0.25">
      <c r="N424" s="24"/>
    </row>
    <row r="425" spans="14:14" ht="13.5" x14ac:dyDescent="0.25">
      <c r="N425" s="24"/>
    </row>
    <row r="426" spans="14:14" ht="13.5" x14ac:dyDescent="0.25">
      <c r="N426" s="24"/>
    </row>
    <row r="427" spans="14:14" ht="13.5" x14ac:dyDescent="0.25">
      <c r="N427" s="24"/>
    </row>
    <row r="428" spans="14:14" ht="13.5" x14ac:dyDescent="0.25">
      <c r="N428" s="24"/>
    </row>
    <row r="429" spans="14:14" ht="13.5" x14ac:dyDescent="0.25">
      <c r="N429" s="24"/>
    </row>
    <row r="430" spans="14:14" ht="13.5" x14ac:dyDescent="0.25">
      <c r="N430" s="24"/>
    </row>
    <row r="431" spans="14:14" ht="13.5" x14ac:dyDescent="0.25">
      <c r="N431" s="24"/>
    </row>
    <row r="432" spans="14:14" ht="13.5" x14ac:dyDescent="0.25">
      <c r="N432" s="24"/>
    </row>
    <row r="433" spans="14:14" ht="13.5" x14ac:dyDescent="0.25">
      <c r="N433" s="24"/>
    </row>
    <row r="434" spans="14:14" ht="13.5" x14ac:dyDescent="0.25">
      <c r="N434" s="24"/>
    </row>
    <row r="435" spans="14:14" ht="13.5" x14ac:dyDescent="0.25">
      <c r="N435" s="24"/>
    </row>
    <row r="436" spans="14:14" ht="13.5" x14ac:dyDescent="0.25">
      <c r="N436" s="24"/>
    </row>
    <row r="437" spans="14:14" ht="13.5" x14ac:dyDescent="0.25">
      <c r="N437" s="24"/>
    </row>
    <row r="438" spans="14:14" ht="13.5" x14ac:dyDescent="0.25">
      <c r="N438" s="24"/>
    </row>
    <row r="439" spans="14:14" ht="13.5" x14ac:dyDescent="0.25">
      <c r="N439" s="24"/>
    </row>
    <row r="440" spans="14:14" ht="13.5" x14ac:dyDescent="0.25">
      <c r="N440" s="24"/>
    </row>
    <row r="441" spans="14:14" ht="13.5" x14ac:dyDescent="0.25">
      <c r="N441" s="24"/>
    </row>
    <row r="442" spans="14:14" ht="13.5" x14ac:dyDescent="0.25">
      <c r="N442" s="24"/>
    </row>
    <row r="443" spans="14:14" ht="13.5" x14ac:dyDescent="0.25">
      <c r="N443" s="24"/>
    </row>
    <row r="444" spans="14:14" ht="13.5" x14ac:dyDescent="0.25">
      <c r="N444" s="24"/>
    </row>
    <row r="445" spans="14:14" ht="13.5" x14ac:dyDescent="0.25">
      <c r="N445" s="24"/>
    </row>
    <row r="446" spans="14:14" ht="13.5" x14ac:dyDescent="0.25">
      <c r="N446" s="24"/>
    </row>
    <row r="447" spans="14:14" ht="13.5" x14ac:dyDescent="0.25">
      <c r="N447" s="24"/>
    </row>
    <row r="448" spans="14:14" ht="13.5" x14ac:dyDescent="0.25">
      <c r="N448" s="24"/>
    </row>
    <row r="449" spans="14:14" ht="13.5" x14ac:dyDescent="0.25">
      <c r="N449" s="24"/>
    </row>
    <row r="450" spans="14:14" ht="13.5" x14ac:dyDescent="0.25">
      <c r="N450" s="24"/>
    </row>
    <row r="451" spans="14:14" ht="13.5" x14ac:dyDescent="0.25">
      <c r="N451" s="24"/>
    </row>
    <row r="452" spans="14:14" ht="13.5" x14ac:dyDescent="0.25">
      <c r="N452" s="24"/>
    </row>
    <row r="453" spans="14:14" ht="13.5" x14ac:dyDescent="0.25">
      <c r="N453" s="24"/>
    </row>
    <row r="454" spans="14:14" ht="13.5" x14ac:dyDescent="0.25">
      <c r="N454" s="24"/>
    </row>
    <row r="455" spans="14:14" ht="13.5" x14ac:dyDescent="0.25">
      <c r="N455" s="24"/>
    </row>
    <row r="456" spans="14:14" ht="13.5" x14ac:dyDescent="0.25">
      <c r="N456" s="24"/>
    </row>
    <row r="457" spans="14:14" ht="13.5" x14ac:dyDescent="0.25">
      <c r="N457" s="24"/>
    </row>
    <row r="458" spans="14:14" ht="13.5" x14ac:dyDescent="0.25">
      <c r="N458" s="24"/>
    </row>
    <row r="459" spans="14:14" ht="13.5" x14ac:dyDescent="0.25">
      <c r="N459" s="24"/>
    </row>
    <row r="460" spans="14:14" ht="13.5" x14ac:dyDescent="0.25">
      <c r="N460" s="24"/>
    </row>
    <row r="461" spans="14:14" ht="13.5" x14ac:dyDescent="0.25">
      <c r="N461" s="24"/>
    </row>
    <row r="462" spans="14:14" ht="13.5" x14ac:dyDescent="0.25">
      <c r="N462" s="24"/>
    </row>
    <row r="463" spans="14:14" ht="13.5" x14ac:dyDescent="0.25">
      <c r="N463" s="24"/>
    </row>
    <row r="464" spans="14:14" ht="13.5" x14ac:dyDescent="0.25">
      <c r="N464" s="24"/>
    </row>
    <row r="465" spans="14:14" ht="13.5" x14ac:dyDescent="0.25">
      <c r="N465" s="24"/>
    </row>
    <row r="466" spans="14:14" ht="13.5" x14ac:dyDescent="0.25">
      <c r="N466" s="24"/>
    </row>
    <row r="467" spans="14:14" ht="13.5" x14ac:dyDescent="0.25">
      <c r="N467" s="24"/>
    </row>
    <row r="468" spans="14:14" ht="13.5" x14ac:dyDescent="0.25">
      <c r="N468" s="24"/>
    </row>
    <row r="469" spans="14:14" ht="13.5" x14ac:dyDescent="0.25">
      <c r="N469" s="24"/>
    </row>
    <row r="470" spans="14:14" ht="13.5" x14ac:dyDescent="0.25">
      <c r="N470" s="24"/>
    </row>
    <row r="471" spans="14:14" ht="13.5" x14ac:dyDescent="0.25">
      <c r="N471" s="24"/>
    </row>
    <row r="472" spans="14:14" ht="13.5" x14ac:dyDescent="0.25">
      <c r="N472" s="24"/>
    </row>
    <row r="473" spans="14:14" ht="13.5" x14ac:dyDescent="0.25">
      <c r="N473" s="24"/>
    </row>
    <row r="474" spans="14:14" ht="13.5" x14ac:dyDescent="0.25">
      <c r="N474" s="24"/>
    </row>
    <row r="475" spans="14:14" ht="13.5" x14ac:dyDescent="0.25">
      <c r="N475" s="24"/>
    </row>
    <row r="476" spans="14:14" ht="13.5" x14ac:dyDescent="0.25">
      <c r="N476" s="24"/>
    </row>
    <row r="477" spans="14:14" ht="13.5" x14ac:dyDescent="0.25">
      <c r="N477" s="24"/>
    </row>
    <row r="478" spans="14:14" ht="13.5" x14ac:dyDescent="0.25">
      <c r="N478" s="24"/>
    </row>
    <row r="479" spans="14:14" ht="13.5" x14ac:dyDescent="0.25">
      <c r="N479" s="24"/>
    </row>
    <row r="480" spans="14:14" ht="13.5" x14ac:dyDescent="0.25">
      <c r="N480" s="24"/>
    </row>
    <row r="481" spans="14:14" ht="13.5" x14ac:dyDescent="0.25">
      <c r="N481" s="24"/>
    </row>
    <row r="482" spans="14:14" ht="13.5" x14ac:dyDescent="0.25">
      <c r="N482" s="24"/>
    </row>
    <row r="483" spans="14:14" ht="13.5" x14ac:dyDescent="0.25">
      <c r="N483" s="24"/>
    </row>
    <row r="484" spans="14:14" ht="13.5" x14ac:dyDescent="0.25">
      <c r="N484" s="24"/>
    </row>
    <row r="485" spans="14:14" ht="13.5" x14ac:dyDescent="0.25">
      <c r="N485" s="24"/>
    </row>
    <row r="486" spans="14:14" ht="13.5" x14ac:dyDescent="0.25">
      <c r="N486" s="24"/>
    </row>
    <row r="487" spans="14:14" ht="13.5" x14ac:dyDescent="0.25">
      <c r="N487" s="24"/>
    </row>
    <row r="488" spans="14:14" ht="13.5" x14ac:dyDescent="0.25">
      <c r="N488" s="24"/>
    </row>
    <row r="489" spans="14:14" ht="13.5" x14ac:dyDescent="0.25">
      <c r="N489" s="24"/>
    </row>
    <row r="490" spans="14:14" ht="13.5" x14ac:dyDescent="0.25">
      <c r="N490" s="24"/>
    </row>
    <row r="491" spans="14:14" ht="13.5" x14ac:dyDescent="0.25">
      <c r="N491" s="24"/>
    </row>
    <row r="492" spans="14:14" ht="13.5" x14ac:dyDescent="0.25">
      <c r="N492" s="24"/>
    </row>
    <row r="493" spans="14:14" ht="13.5" x14ac:dyDescent="0.25">
      <c r="N493" s="24"/>
    </row>
    <row r="494" spans="14:14" ht="13.5" x14ac:dyDescent="0.25">
      <c r="N494" s="24"/>
    </row>
    <row r="495" spans="14:14" ht="13.5" x14ac:dyDescent="0.25">
      <c r="N495" s="24"/>
    </row>
    <row r="496" spans="14:14" ht="13.5" x14ac:dyDescent="0.25">
      <c r="N496" s="24"/>
    </row>
    <row r="497" spans="14:14" ht="13.5" x14ac:dyDescent="0.25">
      <c r="N497" s="24"/>
    </row>
    <row r="498" spans="14:14" ht="13.5" x14ac:dyDescent="0.25">
      <c r="N498" s="24"/>
    </row>
    <row r="499" spans="14:14" ht="13.5" x14ac:dyDescent="0.25">
      <c r="N499" s="24"/>
    </row>
    <row r="500" spans="14:14" ht="13.5" x14ac:dyDescent="0.25">
      <c r="N500" s="24"/>
    </row>
    <row r="501" spans="14:14" ht="13.5" x14ac:dyDescent="0.25">
      <c r="N501" s="24"/>
    </row>
    <row r="502" spans="14:14" ht="13.5" x14ac:dyDescent="0.25">
      <c r="N502" s="24"/>
    </row>
    <row r="503" spans="14:14" ht="13.5" x14ac:dyDescent="0.25">
      <c r="N503" s="24"/>
    </row>
    <row r="504" spans="14:14" ht="13.5" x14ac:dyDescent="0.25">
      <c r="N504" s="24"/>
    </row>
    <row r="505" spans="14:14" ht="13.5" x14ac:dyDescent="0.25">
      <c r="N505" s="24"/>
    </row>
    <row r="506" spans="14:14" ht="13.5" x14ac:dyDescent="0.25">
      <c r="N506" s="24"/>
    </row>
    <row r="507" spans="14:14" ht="13.5" x14ac:dyDescent="0.25">
      <c r="N507" s="24"/>
    </row>
    <row r="508" spans="14:14" ht="13.5" x14ac:dyDescent="0.25">
      <c r="N508" s="24"/>
    </row>
    <row r="509" spans="14:14" ht="13.5" x14ac:dyDescent="0.25">
      <c r="N509" s="24"/>
    </row>
    <row r="510" spans="14:14" ht="13.5" x14ac:dyDescent="0.25">
      <c r="N510" s="24"/>
    </row>
    <row r="511" spans="14:14" ht="13.5" x14ac:dyDescent="0.25">
      <c r="N511" s="24"/>
    </row>
    <row r="512" spans="14:14" ht="13.5" x14ac:dyDescent="0.25">
      <c r="N512" s="24"/>
    </row>
    <row r="513" spans="14:14" ht="13.5" x14ac:dyDescent="0.25">
      <c r="N513" s="24"/>
    </row>
    <row r="514" spans="14:14" ht="13.5" x14ac:dyDescent="0.25">
      <c r="N514" s="24"/>
    </row>
    <row r="515" spans="14:14" ht="13.5" x14ac:dyDescent="0.25">
      <c r="N515" s="24"/>
    </row>
    <row r="516" spans="14:14" ht="13.5" x14ac:dyDescent="0.25">
      <c r="N516" s="24"/>
    </row>
    <row r="517" spans="14:14" ht="13.5" x14ac:dyDescent="0.25">
      <c r="N517" s="24"/>
    </row>
    <row r="518" spans="14:14" ht="13.5" x14ac:dyDescent="0.25">
      <c r="N518" s="24"/>
    </row>
    <row r="519" spans="14:14" ht="13.5" x14ac:dyDescent="0.25">
      <c r="N519" s="24"/>
    </row>
    <row r="520" spans="14:14" ht="13.5" x14ac:dyDescent="0.25">
      <c r="N520" s="24"/>
    </row>
    <row r="521" spans="14:14" ht="13.5" x14ac:dyDescent="0.25">
      <c r="N521" s="24"/>
    </row>
    <row r="522" spans="14:14" ht="13.5" x14ac:dyDescent="0.25">
      <c r="N522" s="24"/>
    </row>
    <row r="523" spans="14:14" ht="13.5" x14ac:dyDescent="0.25">
      <c r="N523" s="24"/>
    </row>
    <row r="524" spans="14:14" ht="13.5" x14ac:dyDescent="0.25">
      <c r="N524" s="24"/>
    </row>
    <row r="525" spans="14:14" ht="13.5" x14ac:dyDescent="0.25">
      <c r="N525" s="24"/>
    </row>
    <row r="526" spans="14:14" ht="13.5" x14ac:dyDescent="0.25">
      <c r="N526" s="24"/>
    </row>
    <row r="527" spans="14:14" ht="13.5" x14ac:dyDescent="0.25">
      <c r="N527" s="24"/>
    </row>
    <row r="528" spans="14:14" ht="13.5" x14ac:dyDescent="0.25">
      <c r="N528" s="24"/>
    </row>
    <row r="529" spans="14:14" ht="13.5" x14ac:dyDescent="0.25">
      <c r="N529" s="24"/>
    </row>
    <row r="530" spans="14:14" ht="13.5" x14ac:dyDescent="0.25">
      <c r="N530" s="24"/>
    </row>
    <row r="531" spans="14:14" ht="13.5" x14ac:dyDescent="0.25">
      <c r="N531" s="24"/>
    </row>
    <row r="532" spans="14:14" ht="13.5" x14ac:dyDescent="0.25">
      <c r="N532" s="24"/>
    </row>
    <row r="533" spans="14:14" ht="13.5" x14ac:dyDescent="0.25">
      <c r="N533" s="24"/>
    </row>
    <row r="534" spans="14:14" ht="13.5" x14ac:dyDescent="0.25">
      <c r="N534" s="24"/>
    </row>
    <row r="535" spans="14:14" ht="13.5" x14ac:dyDescent="0.25">
      <c r="N535" s="24"/>
    </row>
    <row r="536" spans="14:14" ht="13.5" x14ac:dyDescent="0.25">
      <c r="N536" s="24"/>
    </row>
    <row r="537" spans="14:14" ht="13.5" x14ac:dyDescent="0.25">
      <c r="N537" s="24"/>
    </row>
    <row r="538" spans="14:14" ht="13.5" x14ac:dyDescent="0.25">
      <c r="N538" s="24"/>
    </row>
    <row r="539" spans="14:14" ht="13.5" x14ac:dyDescent="0.25">
      <c r="N539" s="24"/>
    </row>
    <row r="540" spans="14:14" ht="13.5" x14ac:dyDescent="0.25">
      <c r="N540" s="24"/>
    </row>
    <row r="541" spans="14:14" ht="13.5" x14ac:dyDescent="0.25">
      <c r="N541" s="24"/>
    </row>
    <row r="542" spans="14:14" ht="13.5" x14ac:dyDescent="0.25">
      <c r="N542" s="24"/>
    </row>
    <row r="543" spans="14:14" ht="13.5" x14ac:dyDescent="0.25">
      <c r="N543" s="24"/>
    </row>
    <row r="544" spans="14:14" ht="13.5" x14ac:dyDescent="0.25">
      <c r="N544" s="24"/>
    </row>
    <row r="545" spans="14:14" ht="13.5" x14ac:dyDescent="0.25">
      <c r="N545" s="24"/>
    </row>
    <row r="546" spans="14:14" ht="13.5" x14ac:dyDescent="0.25">
      <c r="N546" s="24"/>
    </row>
    <row r="547" spans="14:14" ht="13.5" x14ac:dyDescent="0.25">
      <c r="N547" s="24"/>
    </row>
    <row r="548" spans="14:14" ht="13.5" x14ac:dyDescent="0.25">
      <c r="N548" s="24"/>
    </row>
    <row r="549" spans="14:14" ht="13.5" x14ac:dyDescent="0.25">
      <c r="N549" s="24"/>
    </row>
    <row r="550" spans="14:14" ht="13.5" x14ac:dyDescent="0.25">
      <c r="N550" s="24"/>
    </row>
    <row r="551" spans="14:14" ht="13.5" x14ac:dyDescent="0.25">
      <c r="N551" s="24"/>
    </row>
    <row r="552" spans="14:14" ht="13.5" x14ac:dyDescent="0.25">
      <c r="N552" s="24"/>
    </row>
    <row r="553" spans="14:14" ht="13.5" x14ac:dyDescent="0.25">
      <c r="N553" s="24"/>
    </row>
    <row r="554" spans="14:14" ht="13.5" x14ac:dyDescent="0.25">
      <c r="N554" s="24"/>
    </row>
    <row r="555" spans="14:14" ht="13.5" x14ac:dyDescent="0.25">
      <c r="N555" s="24"/>
    </row>
    <row r="556" spans="14:14" ht="13.5" x14ac:dyDescent="0.25">
      <c r="N556" s="24"/>
    </row>
    <row r="557" spans="14:14" ht="13.5" x14ac:dyDescent="0.25">
      <c r="N557" s="24"/>
    </row>
    <row r="558" spans="14:14" ht="13.5" x14ac:dyDescent="0.25">
      <c r="N558" s="24"/>
    </row>
    <row r="559" spans="14:14" ht="13.5" x14ac:dyDescent="0.25">
      <c r="N559" s="24"/>
    </row>
    <row r="560" spans="14:14" ht="13.5" x14ac:dyDescent="0.25">
      <c r="N560" s="24"/>
    </row>
    <row r="561" spans="14:14" ht="13.5" x14ac:dyDescent="0.25">
      <c r="N561" s="24"/>
    </row>
    <row r="562" spans="14:14" ht="13.5" x14ac:dyDescent="0.25">
      <c r="N562" s="24"/>
    </row>
    <row r="563" spans="14:14" ht="13.5" x14ac:dyDescent="0.25">
      <c r="N563" s="24"/>
    </row>
    <row r="564" spans="14:14" ht="13.5" x14ac:dyDescent="0.25">
      <c r="N564" s="24"/>
    </row>
    <row r="565" spans="14:14" ht="13.5" x14ac:dyDescent="0.25">
      <c r="N565" s="24"/>
    </row>
    <row r="566" spans="14:14" ht="13.5" x14ac:dyDescent="0.25">
      <c r="N566" s="24"/>
    </row>
    <row r="567" spans="14:14" ht="13.5" x14ac:dyDescent="0.25">
      <c r="N567" s="24"/>
    </row>
    <row r="568" spans="14:14" ht="13.5" x14ac:dyDescent="0.25">
      <c r="N568" s="24"/>
    </row>
    <row r="569" spans="14:14" ht="13.5" x14ac:dyDescent="0.25">
      <c r="N569" s="24"/>
    </row>
    <row r="570" spans="14:14" ht="13.5" x14ac:dyDescent="0.25">
      <c r="N570" s="24"/>
    </row>
    <row r="571" spans="14:14" ht="13.5" x14ac:dyDescent="0.25">
      <c r="N571" s="24"/>
    </row>
    <row r="572" spans="14:14" ht="13.5" x14ac:dyDescent="0.25">
      <c r="N572" s="24"/>
    </row>
    <row r="573" spans="14:14" ht="13.5" x14ac:dyDescent="0.25">
      <c r="N573" s="24"/>
    </row>
    <row r="574" spans="14:14" ht="13.5" x14ac:dyDescent="0.25">
      <c r="N574" s="24"/>
    </row>
    <row r="575" spans="14:14" ht="13.5" x14ac:dyDescent="0.25">
      <c r="N575" s="24"/>
    </row>
    <row r="576" spans="14:14" ht="13.5" x14ac:dyDescent="0.25">
      <c r="N576" s="24"/>
    </row>
    <row r="577" spans="14:14" ht="13.5" x14ac:dyDescent="0.25">
      <c r="N577" s="24"/>
    </row>
    <row r="578" spans="14:14" ht="13.5" x14ac:dyDescent="0.25">
      <c r="N578" s="24"/>
    </row>
    <row r="579" spans="14:14" ht="13.5" x14ac:dyDescent="0.25">
      <c r="N579" s="24"/>
    </row>
    <row r="580" spans="14:14" ht="13.5" x14ac:dyDescent="0.25">
      <c r="N580" s="24"/>
    </row>
    <row r="581" spans="14:14" ht="13.5" x14ac:dyDescent="0.25">
      <c r="N581" s="24"/>
    </row>
    <row r="582" spans="14:14" ht="13.5" x14ac:dyDescent="0.25">
      <c r="N582" s="24"/>
    </row>
    <row r="583" spans="14:14" ht="13.5" x14ac:dyDescent="0.25">
      <c r="N583" s="24"/>
    </row>
    <row r="584" spans="14:14" ht="13.5" x14ac:dyDescent="0.25">
      <c r="N584" s="24"/>
    </row>
    <row r="585" spans="14:14" ht="13.5" x14ac:dyDescent="0.25">
      <c r="N585" s="24"/>
    </row>
    <row r="586" spans="14:14" ht="13.5" x14ac:dyDescent="0.25">
      <c r="N586" s="24"/>
    </row>
    <row r="587" spans="14:14" ht="13.5" x14ac:dyDescent="0.25">
      <c r="N587" s="24"/>
    </row>
    <row r="588" spans="14:14" ht="13.5" x14ac:dyDescent="0.25">
      <c r="N588" s="24"/>
    </row>
    <row r="589" spans="14:14" ht="13.5" x14ac:dyDescent="0.25">
      <c r="N589" s="24"/>
    </row>
    <row r="590" spans="14:14" ht="13.5" x14ac:dyDescent="0.25">
      <c r="N590" s="24"/>
    </row>
    <row r="591" spans="14:14" ht="13.5" x14ac:dyDescent="0.25">
      <c r="N591" s="24"/>
    </row>
    <row r="592" spans="14:14" ht="13.5" x14ac:dyDescent="0.25">
      <c r="N592" s="24"/>
    </row>
    <row r="593" spans="14:14" ht="13.5" x14ac:dyDescent="0.25">
      <c r="N593" s="24"/>
    </row>
    <row r="594" spans="14:14" ht="13.5" x14ac:dyDescent="0.25">
      <c r="N594" s="24"/>
    </row>
    <row r="595" spans="14:14" ht="13.5" x14ac:dyDescent="0.25">
      <c r="N595" s="24"/>
    </row>
    <row r="596" spans="14:14" ht="13.5" x14ac:dyDescent="0.25">
      <c r="N596" s="24"/>
    </row>
    <row r="597" spans="14:14" ht="13.5" x14ac:dyDescent="0.25">
      <c r="N597" s="24"/>
    </row>
    <row r="598" spans="14:14" ht="13.5" x14ac:dyDescent="0.25">
      <c r="N598" s="24"/>
    </row>
    <row r="599" spans="14:14" ht="13.5" x14ac:dyDescent="0.25">
      <c r="N599" s="24"/>
    </row>
    <row r="600" spans="14:14" ht="13.5" x14ac:dyDescent="0.25">
      <c r="N600" s="24"/>
    </row>
    <row r="601" spans="14:14" ht="13.5" x14ac:dyDescent="0.25">
      <c r="N601" s="24"/>
    </row>
    <row r="602" spans="14:14" ht="13.5" x14ac:dyDescent="0.25">
      <c r="N602" s="24"/>
    </row>
    <row r="603" spans="14:14" ht="13.5" x14ac:dyDescent="0.25">
      <c r="N603" s="24"/>
    </row>
    <row r="604" spans="14:14" ht="13.5" x14ac:dyDescent="0.25">
      <c r="N604" s="24"/>
    </row>
    <row r="605" spans="14:14" ht="13.5" x14ac:dyDescent="0.25">
      <c r="N605" s="24"/>
    </row>
    <row r="606" spans="14:14" ht="13.5" x14ac:dyDescent="0.25">
      <c r="N606" s="24"/>
    </row>
    <row r="607" spans="14:14" ht="13.5" x14ac:dyDescent="0.25">
      <c r="N607" s="24"/>
    </row>
    <row r="608" spans="14:14" ht="13.5" x14ac:dyDescent="0.25">
      <c r="N608" s="24"/>
    </row>
    <row r="609" spans="14:14" ht="13.5" x14ac:dyDescent="0.25">
      <c r="N609" s="24"/>
    </row>
    <row r="610" spans="14:14" ht="13.5" x14ac:dyDescent="0.25">
      <c r="N610" s="24"/>
    </row>
    <row r="611" spans="14:14" ht="13.5" x14ac:dyDescent="0.25">
      <c r="N611" s="24"/>
    </row>
    <row r="612" spans="14:14" ht="13.5" x14ac:dyDescent="0.25">
      <c r="N612" s="24"/>
    </row>
    <row r="613" spans="14:14" ht="13.5" x14ac:dyDescent="0.25">
      <c r="N613" s="24"/>
    </row>
    <row r="614" spans="14:14" ht="13.5" x14ac:dyDescent="0.25">
      <c r="N614" s="24"/>
    </row>
    <row r="615" spans="14:14" ht="13.5" x14ac:dyDescent="0.25">
      <c r="N615" s="24"/>
    </row>
    <row r="616" spans="14:14" ht="13.5" x14ac:dyDescent="0.25">
      <c r="N616" s="24"/>
    </row>
    <row r="617" spans="14:14" ht="13.5" x14ac:dyDescent="0.25">
      <c r="N617" s="24"/>
    </row>
    <row r="618" spans="14:14" ht="13.5" x14ac:dyDescent="0.25">
      <c r="N618" s="24"/>
    </row>
    <row r="619" spans="14:14" ht="13.5" x14ac:dyDescent="0.25">
      <c r="N619" s="24"/>
    </row>
    <row r="620" spans="14:14" ht="13.5" x14ac:dyDescent="0.25">
      <c r="N620" s="24"/>
    </row>
    <row r="621" spans="14:14" ht="13.5" x14ac:dyDescent="0.25">
      <c r="N621" s="24"/>
    </row>
    <row r="622" spans="14:14" ht="13.5" x14ac:dyDescent="0.25">
      <c r="N622" s="24"/>
    </row>
    <row r="623" spans="14:14" ht="13.5" x14ac:dyDescent="0.25">
      <c r="N623" s="24"/>
    </row>
    <row r="624" spans="14:14" ht="13.5" x14ac:dyDescent="0.25">
      <c r="N624" s="24"/>
    </row>
    <row r="625" spans="14:14" ht="13.5" x14ac:dyDescent="0.25">
      <c r="N625" s="24"/>
    </row>
    <row r="626" spans="14:14" ht="13.5" x14ac:dyDescent="0.25">
      <c r="N626" s="24"/>
    </row>
    <row r="627" spans="14:14" ht="13.5" x14ac:dyDescent="0.25">
      <c r="N627" s="24"/>
    </row>
    <row r="628" spans="14:14" ht="13.5" x14ac:dyDescent="0.25">
      <c r="N628" s="24"/>
    </row>
    <row r="629" spans="14:14" ht="13.5" x14ac:dyDescent="0.25">
      <c r="N629" s="24"/>
    </row>
    <row r="630" spans="14:14" ht="13.5" x14ac:dyDescent="0.25">
      <c r="N630" s="24"/>
    </row>
    <row r="631" spans="14:14" ht="13.5" x14ac:dyDescent="0.25">
      <c r="N631" s="24"/>
    </row>
    <row r="632" spans="14:14" ht="13.5" x14ac:dyDescent="0.25">
      <c r="N632" s="24"/>
    </row>
    <row r="633" spans="14:14" ht="13.5" x14ac:dyDescent="0.25">
      <c r="N633" s="24"/>
    </row>
    <row r="634" spans="14:14" ht="13.5" x14ac:dyDescent="0.25">
      <c r="N634" s="24"/>
    </row>
    <row r="635" spans="14:14" ht="13.5" x14ac:dyDescent="0.25">
      <c r="N635" s="24"/>
    </row>
    <row r="636" spans="14:14" ht="13.5" x14ac:dyDescent="0.25">
      <c r="N636" s="24"/>
    </row>
    <row r="637" spans="14:14" ht="13.5" x14ac:dyDescent="0.25">
      <c r="N637" s="24"/>
    </row>
    <row r="638" spans="14:14" ht="13.5" x14ac:dyDescent="0.25">
      <c r="N638" s="24"/>
    </row>
    <row r="639" spans="14:14" ht="13.5" x14ac:dyDescent="0.25">
      <c r="N639" s="24"/>
    </row>
    <row r="640" spans="14:14" ht="13.5" x14ac:dyDescent="0.25">
      <c r="N640" s="24"/>
    </row>
    <row r="641" spans="14:14" ht="13.5" x14ac:dyDescent="0.25">
      <c r="N641" s="24"/>
    </row>
    <row r="642" spans="14:14" ht="13.5" x14ac:dyDescent="0.25">
      <c r="N642" s="24"/>
    </row>
    <row r="643" spans="14:14" ht="13.5" x14ac:dyDescent="0.25">
      <c r="N643" s="24"/>
    </row>
    <row r="644" spans="14:14" ht="13.5" x14ac:dyDescent="0.25">
      <c r="N644" s="24"/>
    </row>
    <row r="645" spans="14:14" ht="13.5" x14ac:dyDescent="0.25">
      <c r="N645" s="24"/>
    </row>
    <row r="646" spans="14:14" ht="13.5" x14ac:dyDescent="0.25">
      <c r="N646" s="24"/>
    </row>
    <row r="647" spans="14:14" ht="13.5" x14ac:dyDescent="0.25">
      <c r="N647" s="24"/>
    </row>
    <row r="648" spans="14:14" ht="13.5" x14ac:dyDescent="0.25">
      <c r="N648" s="24"/>
    </row>
    <row r="649" spans="14:14" ht="13.5" x14ac:dyDescent="0.25">
      <c r="N649" s="24"/>
    </row>
    <row r="650" spans="14:14" ht="13.5" x14ac:dyDescent="0.25">
      <c r="N650" s="24"/>
    </row>
    <row r="651" spans="14:14" ht="13.5" x14ac:dyDescent="0.25">
      <c r="N651" s="24"/>
    </row>
    <row r="652" spans="14:14" ht="13.5" x14ac:dyDescent="0.25">
      <c r="N652" s="24"/>
    </row>
    <row r="653" spans="14:14" ht="13.5" x14ac:dyDescent="0.25">
      <c r="N653" s="24"/>
    </row>
    <row r="654" spans="14:14" ht="13.5" x14ac:dyDescent="0.25">
      <c r="N654" s="24"/>
    </row>
    <row r="655" spans="14:14" ht="13.5" x14ac:dyDescent="0.25">
      <c r="N655" s="24"/>
    </row>
    <row r="656" spans="14:14" ht="13.5" x14ac:dyDescent="0.25">
      <c r="N656" s="24"/>
    </row>
    <row r="657" spans="14:14" ht="13.5" x14ac:dyDescent="0.25">
      <c r="N657" s="24"/>
    </row>
    <row r="658" spans="14:14" ht="13.5" x14ac:dyDescent="0.25">
      <c r="N658" s="24"/>
    </row>
    <row r="659" spans="14:14" ht="13.5" x14ac:dyDescent="0.25">
      <c r="N659" s="24"/>
    </row>
    <row r="660" spans="14:14" ht="13.5" x14ac:dyDescent="0.25">
      <c r="N660" s="24"/>
    </row>
    <row r="661" spans="14:14" ht="13.5" x14ac:dyDescent="0.25">
      <c r="N661" s="24"/>
    </row>
    <row r="662" spans="14:14" ht="13.5" x14ac:dyDescent="0.25">
      <c r="N662" s="24"/>
    </row>
    <row r="663" spans="14:14" ht="13.5" x14ac:dyDescent="0.25">
      <c r="N663" s="24"/>
    </row>
    <row r="664" spans="14:14" ht="13.5" x14ac:dyDescent="0.25">
      <c r="N664" s="24"/>
    </row>
    <row r="665" spans="14:14" ht="13.5" x14ac:dyDescent="0.25">
      <c r="N665" s="24"/>
    </row>
    <row r="666" spans="14:14" ht="13.5" x14ac:dyDescent="0.25">
      <c r="N666" s="24"/>
    </row>
    <row r="667" spans="14:14" ht="13.5" x14ac:dyDescent="0.25">
      <c r="N667" s="24"/>
    </row>
    <row r="668" spans="14:14" ht="13.5" x14ac:dyDescent="0.25">
      <c r="N668" s="24"/>
    </row>
    <row r="669" spans="14:14" ht="13.5" x14ac:dyDescent="0.25">
      <c r="N669" s="24"/>
    </row>
    <row r="670" spans="14:14" ht="13.5" x14ac:dyDescent="0.25">
      <c r="N670" s="24"/>
    </row>
    <row r="671" spans="14:14" ht="13.5" x14ac:dyDescent="0.25">
      <c r="N671" s="24"/>
    </row>
    <row r="672" spans="14:14" ht="13.5" x14ac:dyDescent="0.25">
      <c r="N672" s="24"/>
    </row>
    <row r="673" spans="14:14" ht="13.5" x14ac:dyDescent="0.25">
      <c r="N673" s="24"/>
    </row>
    <row r="674" spans="14:14" ht="13.5" x14ac:dyDescent="0.25">
      <c r="N674" s="24"/>
    </row>
    <row r="675" spans="14:14" ht="13.5" x14ac:dyDescent="0.25">
      <c r="N675" s="24"/>
    </row>
    <row r="676" spans="14:14" ht="13.5" x14ac:dyDescent="0.25">
      <c r="N676" s="24"/>
    </row>
    <row r="677" spans="14:14" ht="13.5" x14ac:dyDescent="0.25">
      <c r="N677" s="24"/>
    </row>
    <row r="678" spans="14:14" ht="13.5" x14ac:dyDescent="0.25">
      <c r="N678" s="24"/>
    </row>
    <row r="679" spans="14:14" ht="13.5" x14ac:dyDescent="0.25">
      <c r="N679" s="24"/>
    </row>
    <row r="680" spans="14:14" ht="13.5" x14ac:dyDescent="0.25">
      <c r="N680" s="24"/>
    </row>
    <row r="681" spans="14:14" ht="13.5" x14ac:dyDescent="0.25">
      <c r="N681" s="24"/>
    </row>
    <row r="682" spans="14:14" ht="13.5" x14ac:dyDescent="0.25">
      <c r="N682" s="24"/>
    </row>
    <row r="683" spans="14:14" ht="13.5" x14ac:dyDescent="0.25">
      <c r="N683" s="24"/>
    </row>
    <row r="684" spans="14:14" ht="13.5" x14ac:dyDescent="0.25">
      <c r="N684" s="24"/>
    </row>
    <row r="685" spans="14:14" ht="13.5" x14ac:dyDescent="0.25">
      <c r="N685" s="24"/>
    </row>
    <row r="686" spans="14:14" ht="13.5" x14ac:dyDescent="0.25">
      <c r="N686" s="24"/>
    </row>
    <row r="687" spans="14:14" ht="13.5" x14ac:dyDescent="0.25">
      <c r="N687" s="24"/>
    </row>
    <row r="688" spans="14:14" ht="13.5" x14ac:dyDescent="0.25">
      <c r="N688" s="24"/>
    </row>
    <row r="689" spans="14:14" ht="13.5" x14ac:dyDescent="0.25">
      <c r="N689" s="24"/>
    </row>
    <row r="690" spans="14:14" ht="13.5" x14ac:dyDescent="0.25">
      <c r="N690" s="24"/>
    </row>
    <row r="691" spans="14:14" ht="13.5" x14ac:dyDescent="0.25">
      <c r="N691" s="24"/>
    </row>
    <row r="692" spans="14:14" ht="13.5" x14ac:dyDescent="0.25">
      <c r="N692" s="24"/>
    </row>
    <row r="693" spans="14:14" ht="13.5" x14ac:dyDescent="0.25">
      <c r="N693" s="24"/>
    </row>
    <row r="694" spans="14:14" ht="13.5" x14ac:dyDescent="0.25">
      <c r="N694" s="24"/>
    </row>
    <row r="695" spans="14:14" ht="13.5" x14ac:dyDescent="0.25">
      <c r="N695" s="24"/>
    </row>
    <row r="696" spans="14:14" ht="13.5" x14ac:dyDescent="0.25">
      <c r="N696" s="24"/>
    </row>
    <row r="697" spans="14:14" ht="13.5" x14ac:dyDescent="0.25">
      <c r="N697" s="24"/>
    </row>
    <row r="698" spans="14:14" ht="13.5" x14ac:dyDescent="0.25">
      <c r="N698" s="24"/>
    </row>
    <row r="699" spans="14:14" ht="13.5" x14ac:dyDescent="0.25">
      <c r="N699" s="24"/>
    </row>
    <row r="700" spans="14:14" ht="13.5" x14ac:dyDescent="0.25">
      <c r="N700" s="24"/>
    </row>
    <row r="701" spans="14:14" ht="13.5" x14ac:dyDescent="0.25">
      <c r="N701" s="24"/>
    </row>
    <row r="702" spans="14:14" ht="13.5" x14ac:dyDescent="0.25">
      <c r="N702" s="24"/>
    </row>
    <row r="703" spans="14:14" ht="13.5" x14ac:dyDescent="0.25">
      <c r="N703" s="24"/>
    </row>
    <row r="704" spans="14:14" ht="13.5" x14ac:dyDescent="0.25">
      <c r="N704" s="24"/>
    </row>
    <row r="705" spans="14:14" ht="13.5" x14ac:dyDescent="0.25">
      <c r="N705" s="24"/>
    </row>
    <row r="706" spans="14:14" ht="13.5" x14ac:dyDescent="0.25">
      <c r="N706" s="24"/>
    </row>
    <row r="707" spans="14:14" ht="13.5" x14ac:dyDescent="0.25">
      <c r="N707" s="24"/>
    </row>
    <row r="708" spans="14:14" ht="13.5" x14ac:dyDescent="0.25">
      <c r="N708" s="24"/>
    </row>
    <row r="709" spans="14:14" ht="13.5" x14ac:dyDescent="0.25">
      <c r="N709" s="24"/>
    </row>
    <row r="710" spans="14:14" ht="13.5" x14ac:dyDescent="0.25">
      <c r="N710" s="24"/>
    </row>
    <row r="711" spans="14:14" ht="13.5" x14ac:dyDescent="0.25">
      <c r="N711" s="24"/>
    </row>
    <row r="712" spans="14:14" ht="13.5" x14ac:dyDescent="0.25">
      <c r="N712" s="24"/>
    </row>
    <row r="713" spans="14:14" ht="13.5" x14ac:dyDescent="0.25">
      <c r="N713" s="24"/>
    </row>
    <row r="714" spans="14:14" ht="13.5" x14ac:dyDescent="0.25">
      <c r="N714" s="24"/>
    </row>
    <row r="715" spans="14:14" ht="13.5" x14ac:dyDescent="0.25">
      <c r="N715" s="24"/>
    </row>
    <row r="716" spans="14:14" ht="13.5" x14ac:dyDescent="0.25">
      <c r="N716" s="24"/>
    </row>
    <row r="717" spans="14:14" ht="13.5" x14ac:dyDescent="0.25">
      <c r="N717" s="24"/>
    </row>
    <row r="718" spans="14:14" ht="13.5" x14ac:dyDescent="0.25">
      <c r="N718" s="24"/>
    </row>
    <row r="719" spans="14:14" ht="13.5" x14ac:dyDescent="0.25">
      <c r="N719" s="24"/>
    </row>
    <row r="720" spans="14:14" ht="13.5" x14ac:dyDescent="0.25">
      <c r="N720" s="24"/>
    </row>
    <row r="721" spans="14:14" ht="13.5" x14ac:dyDescent="0.25">
      <c r="N721" s="24"/>
    </row>
    <row r="722" spans="14:14" ht="13.5" x14ac:dyDescent="0.25">
      <c r="N722" s="24"/>
    </row>
    <row r="723" spans="14:14" ht="13.5" x14ac:dyDescent="0.25">
      <c r="N723" s="24"/>
    </row>
    <row r="724" spans="14:14" ht="13.5" x14ac:dyDescent="0.25">
      <c r="N724" s="24"/>
    </row>
    <row r="725" spans="14:14" ht="13.5" x14ac:dyDescent="0.25">
      <c r="N725" s="24"/>
    </row>
    <row r="726" spans="14:14" ht="13.5" x14ac:dyDescent="0.25">
      <c r="N726" s="24"/>
    </row>
    <row r="727" spans="14:14" ht="13.5" x14ac:dyDescent="0.25">
      <c r="N727" s="24"/>
    </row>
    <row r="728" spans="14:14" ht="13.5" x14ac:dyDescent="0.25">
      <c r="N728" s="24"/>
    </row>
    <row r="729" spans="14:14" ht="13.5" x14ac:dyDescent="0.25">
      <c r="N729" s="24"/>
    </row>
    <row r="730" spans="14:14" ht="13.5" x14ac:dyDescent="0.25">
      <c r="N730" s="24"/>
    </row>
    <row r="731" spans="14:14" ht="13.5" x14ac:dyDescent="0.25">
      <c r="N731" s="24"/>
    </row>
    <row r="732" spans="14:14" ht="13.5" x14ac:dyDescent="0.25">
      <c r="N732" s="24"/>
    </row>
    <row r="733" spans="14:14" ht="13.5" x14ac:dyDescent="0.25">
      <c r="N733" s="24"/>
    </row>
    <row r="734" spans="14:14" ht="13.5" x14ac:dyDescent="0.25">
      <c r="N734" s="24"/>
    </row>
    <row r="735" spans="14:14" ht="13.5" x14ac:dyDescent="0.25">
      <c r="N735" s="24"/>
    </row>
    <row r="736" spans="14:14" ht="13.5" x14ac:dyDescent="0.25">
      <c r="N736" s="24"/>
    </row>
    <row r="737" spans="14:14" ht="13.5" x14ac:dyDescent="0.25">
      <c r="N737" s="24"/>
    </row>
    <row r="738" spans="14:14" ht="13.5" x14ac:dyDescent="0.25">
      <c r="N738" s="24"/>
    </row>
    <row r="739" spans="14:14" ht="13.5" x14ac:dyDescent="0.25">
      <c r="N739" s="24"/>
    </row>
    <row r="740" spans="14:14" ht="13.5" x14ac:dyDescent="0.25">
      <c r="N740" s="24"/>
    </row>
    <row r="741" spans="14:14" ht="13.5" x14ac:dyDescent="0.25">
      <c r="N741" s="24"/>
    </row>
    <row r="742" spans="14:14" ht="13.5" x14ac:dyDescent="0.25">
      <c r="N742" s="24"/>
    </row>
    <row r="743" spans="14:14" ht="13.5" x14ac:dyDescent="0.25">
      <c r="N743" s="24"/>
    </row>
    <row r="744" spans="14:14" ht="13.5" x14ac:dyDescent="0.25">
      <c r="N744" s="24"/>
    </row>
    <row r="745" spans="14:14" ht="13.5" x14ac:dyDescent="0.25">
      <c r="N745" s="24"/>
    </row>
    <row r="746" spans="14:14" ht="13.5" x14ac:dyDescent="0.25">
      <c r="N746" s="24"/>
    </row>
    <row r="747" spans="14:14" ht="13.5" x14ac:dyDescent="0.25">
      <c r="N747" s="24"/>
    </row>
    <row r="748" spans="14:14" ht="13.5" x14ac:dyDescent="0.25">
      <c r="N748" s="24"/>
    </row>
    <row r="749" spans="14:14" ht="13.5" x14ac:dyDescent="0.25">
      <c r="N749" s="24"/>
    </row>
    <row r="750" spans="14:14" ht="13.5" x14ac:dyDescent="0.25">
      <c r="N750" s="24"/>
    </row>
    <row r="751" spans="14:14" ht="13.5" x14ac:dyDescent="0.25">
      <c r="N751" s="24"/>
    </row>
    <row r="752" spans="14:14" ht="13.5" x14ac:dyDescent="0.25">
      <c r="N752" s="24"/>
    </row>
    <row r="753" spans="14:14" ht="13.5" x14ac:dyDescent="0.25">
      <c r="N753" s="24"/>
    </row>
    <row r="754" spans="14:14" ht="13.5" x14ac:dyDescent="0.25">
      <c r="N754" s="24"/>
    </row>
    <row r="755" spans="14:14" ht="13.5" x14ac:dyDescent="0.25">
      <c r="N755" s="24"/>
    </row>
    <row r="756" spans="14:14" ht="13.5" x14ac:dyDescent="0.25">
      <c r="N756" s="24"/>
    </row>
    <row r="757" spans="14:14" ht="13.5" x14ac:dyDescent="0.25">
      <c r="N757" s="24"/>
    </row>
    <row r="758" spans="14:14" ht="13.5" x14ac:dyDescent="0.25">
      <c r="N758" s="24"/>
    </row>
    <row r="759" spans="14:14" ht="13.5" x14ac:dyDescent="0.25">
      <c r="N759" s="24"/>
    </row>
    <row r="760" spans="14:14" ht="13.5" x14ac:dyDescent="0.25">
      <c r="N760" s="24"/>
    </row>
    <row r="761" spans="14:14" ht="13.5" x14ac:dyDescent="0.25">
      <c r="N761" s="24"/>
    </row>
    <row r="762" spans="14:14" ht="13.5" x14ac:dyDescent="0.25">
      <c r="N762" s="24"/>
    </row>
    <row r="763" spans="14:14" ht="13.5" x14ac:dyDescent="0.25">
      <c r="N763" s="24"/>
    </row>
    <row r="764" spans="14:14" ht="13.5" x14ac:dyDescent="0.25">
      <c r="N764" s="24"/>
    </row>
    <row r="765" spans="14:14" ht="13.5" x14ac:dyDescent="0.25">
      <c r="N765" s="24"/>
    </row>
    <row r="766" spans="14:14" ht="13.5" x14ac:dyDescent="0.25">
      <c r="N766" s="24"/>
    </row>
    <row r="767" spans="14:14" ht="13.5" x14ac:dyDescent="0.25">
      <c r="N767" s="24"/>
    </row>
    <row r="768" spans="14:14" ht="13.5" x14ac:dyDescent="0.25">
      <c r="N768" s="24"/>
    </row>
    <row r="769" spans="14:14" ht="13.5" x14ac:dyDescent="0.25">
      <c r="N769" s="24"/>
    </row>
    <row r="770" spans="14:14" ht="13.5" x14ac:dyDescent="0.25">
      <c r="N770" s="24"/>
    </row>
    <row r="771" spans="14:14" ht="13.5" x14ac:dyDescent="0.25">
      <c r="N771" s="24"/>
    </row>
    <row r="772" spans="14:14" ht="13.5" x14ac:dyDescent="0.25">
      <c r="N772" s="24"/>
    </row>
    <row r="773" spans="14:14" ht="13.5" x14ac:dyDescent="0.25">
      <c r="N773" s="24"/>
    </row>
    <row r="774" spans="14:14" ht="13.5" x14ac:dyDescent="0.25">
      <c r="N774" s="24"/>
    </row>
    <row r="775" spans="14:14" ht="13.5" x14ac:dyDescent="0.25">
      <c r="N775" s="24"/>
    </row>
    <row r="776" spans="14:14" ht="13.5" x14ac:dyDescent="0.25">
      <c r="N776" s="24"/>
    </row>
    <row r="777" spans="14:14" ht="13.5" x14ac:dyDescent="0.25">
      <c r="N777" s="24"/>
    </row>
    <row r="778" spans="14:14" ht="13.5" x14ac:dyDescent="0.25">
      <c r="N778" s="24"/>
    </row>
    <row r="779" spans="14:14" ht="13.5" x14ac:dyDescent="0.25">
      <c r="N779" s="24"/>
    </row>
    <row r="780" spans="14:14" ht="13.5" x14ac:dyDescent="0.25">
      <c r="N780" s="24"/>
    </row>
    <row r="781" spans="14:14" ht="13.5" x14ac:dyDescent="0.25">
      <c r="N781" s="24"/>
    </row>
    <row r="782" spans="14:14" ht="13.5" x14ac:dyDescent="0.25">
      <c r="N782" s="24"/>
    </row>
    <row r="783" spans="14:14" ht="13.5" x14ac:dyDescent="0.25">
      <c r="N783" s="24"/>
    </row>
    <row r="784" spans="14:14" ht="13.5" x14ac:dyDescent="0.25">
      <c r="N784" s="24"/>
    </row>
    <row r="785" spans="14:14" ht="13.5" x14ac:dyDescent="0.25">
      <c r="N785" s="24"/>
    </row>
    <row r="786" spans="14:14" ht="13.5" x14ac:dyDescent="0.25">
      <c r="N786" s="24"/>
    </row>
    <row r="787" spans="14:14" ht="13.5" x14ac:dyDescent="0.25">
      <c r="N787" s="24"/>
    </row>
    <row r="788" spans="14:14" ht="13.5" x14ac:dyDescent="0.25">
      <c r="N788" s="24"/>
    </row>
    <row r="789" spans="14:14" ht="13.5" x14ac:dyDescent="0.25">
      <c r="N789" s="24"/>
    </row>
    <row r="790" spans="14:14" ht="13.5" x14ac:dyDescent="0.25">
      <c r="N790" s="24"/>
    </row>
    <row r="791" spans="14:14" ht="13.5" x14ac:dyDescent="0.25">
      <c r="N791" s="24"/>
    </row>
    <row r="792" spans="14:14" ht="13.5" x14ac:dyDescent="0.25">
      <c r="N792" s="24"/>
    </row>
    <row r="793" spans="14:14" ht="13.5" x14ac:dyDescent="0.25">
      <c r="N793" s="24"/>
    </row>
    <row r="794" spans="14:14" ht="13.5" x14ac:dyDescent="0.25">
      <c r="N794" s="24"/>
    </row>
    <row r="795" spans="14:14" ht="13.5" x14ac:dyDescent="0.25">
      <c r="N795" s="24"/>
    </row>
    <row r="796" spans="14:14" ht="13.5" x14ac:dyDescent="0.25">
      <c r="N796" s="24"/>
    </row>
    <row r="797" spans="14:14" ht="13.5" x14ac:dyDescent="0.25">
      <c r="N797" s="24"/>
    </row>
    <row r="798" spans="14:14" ht="13.5" x14ac:dyDescent="0.25">
      <c r="N798" s="24"/>
    </row>
    <row r="799" spans="14:14" ht="13.5" x14ac:dyDescent="0.25">
      <c r="N799" s="24"/>
    </row>
    <row r="800" spans="14:14" ht="13.5" x14ac:dyDescent="0.25">
      <c r="N800" s="24"/>
    </row>
    <row r="801" spans="14:14" ht="13.5" x14ac:dyDescent="0.25">
      <c r="N801" s="24"/>
    </row>
    <row r="802" spans="14:14" ht="13.5" x14ac:dyDescent="0.25">
      <c r="N802" s="24"/>
    </row>
    <row r="803" spans="14:14" ht="13.5" x14ac:dyDescent="0.25">
      <c r="N803" s="24"/>
    </row>
    <row r="804" spans="14:14" ht="13.5" x14ac:dyDescent="0.25">
      <c r="N804" s="24"/>
    </row>
    <row r="805" spans="14:14" ht="13.5" x14ac:dyDescent="0.25">
      <c r="N805" s="24"/>
    </row>
    <row r="806" spans="14:14" ht="13.5" x14ac:dyDescent="0.25">
      <c r="N806" s="24"/>
    </row>
    <row r="807" spans="14:14" ht="13.5" x14ac:dyDescent="0.25">
      <c r="N807" s="24"/>
    </row>
    <row r="808" spans="14:14" ht="13.5" x14ac:dyDescent="0.25">
      <c r="N808" s="24"/>
    </row>
    <row r="809" spans="14:14" ht="13.5" x14ac:dyDescent="0.25">
      <c r="N809" s="24"/>
    </row>
    <row r="810" spans="14:14" ht="13.5" x14ac:dyDescent="0.25">
      <c r="N810" s="24"/>
    </row>
    <row r="811" spans="14:14" ht="13.5" x14ac:dyDescent="0.25">
      <c r="N811" s="24"/>
    </row>
    <row r="812" spans="14:14" ht="13.5" x14ac:dyDescent="0.25">
      <c r="N812" s="24"/>
    </row>
    <row r="813" spans="14:14" ht="13.5" x14ac:dyDescent="0.25">
      <c r="N813" s="24"/>
    </row>
    <row r="814" spans="14:14" ht="13.5" x14ac:dyDescent="0.25">
      <c r="N814" s="24"/>
    </row>
    <row r="815" spans="14:14" ht="13.5" x14ac:dyDescent="0.25">
      <c r="N815" s="24"/>
    </row>
    <row r="816" spans="14:14" ht="13.5" x14ac:dyDescent="0.25">
      <c r="N816" s="24"/>
    </row>
    <row r="817" spans="14:14" ht="13.5" x14ac:dyDescent="0.25">
      <c r="N817" s="24"/>
    </row>
    <row r="818" spans="14:14" ht="13.5" x14ac:dyDescent="0.25">
      <c r="N818" s="24"/>
    </row>
    <row r="819" spans="14:14" ht="13.5" x14ac:dyDescent="0.25">
      <c r="N819" s="24"/>
    </row>
    <row r="820" spans="14:14" ht="13.5" x14ac:dyDescent="0.25">
      <c r="N820" s="24"/>
    </row>
    <row r="821" spans="14:14" ht="13.5" x14ac:dyDescent="0.25">
      <c r="N821" s="24"/>
    </row>
    <row r="822" spans="14:14" ht="13.5" x14ac:dyDescent="0.25">
      <c r="N822" s="24"/>
    </row>
    <row r="823" spans="14:14" ht="13.5" x14ac:dyDescent="0.25">
      <c r="N823" s="24"/>
    </row>
    <row r="824" spans="14:14" ht="13.5" x14ac:dyDescent="0.25">
      <c r="N824" s="24"/>
    </row>
    <row r="825" spans="14:14" ht="13.5" x14ac:dyDescent="0.25">
      <c r="N825" s="24"/>
    </row>
    <row r="826" spans="14:14" ht="13.5" x14ac:dyDescent="0.25">
      <c r="N826" s="24"/>
    </row>
    <row r="827" spans="14:14" ht="13.5" x14ac:dyDescent="0.25">
      <c r="N827" s="24"/>
    </row>
    <row r="828" spans="14:14" ht="13.5" x14ac:dyDescent="0.25">
      <c r="N828" s="24"/>
    </row>
    <row r="829" spans="14:14" ht="13.5" x14ac:dyDescent="0.25">
      <c r="N829" s="24"/>
    </row>
    <row r="830" spans="14:14" ht="13.5" x14ac:dyDescent="0.25">
      <c r="N830" s="24"/>
    </row>
    <row r="831" spans="14:14" ht="13.5" x14ac:dyDescent="0.25">
      <c r="N831" s="24"/>
    </row>
    <row r="832" spans="14:14" ht="13.5" x14ac:dyDescent="0.25">
      <c r="N832" s="24"/>
    </row>
    <row r="833" spans="14:14" ht="13.5" x14ac:dyDescent="0.25">
      <c r="N833" s="24"/>
    </row>
    <row r="834" spans="14:14" ht="13.5" x14ac:dyDescent="0.25">
      <c r="N834" s="24"/>
    </row>
    <row r="835" spans="14:14" ht="13.5" x14ac:dyDescent="0.25">
      <c r="N835" s="24"/>
    </row>
    <row r="836" spans="14:14" ht="13.5" x14ac:dyDescent="0.25">
      <c r="N836" s="24"/>
    </row>
    <row r="837" spans="14:14" ht="13.5" x14ac:dyDescent="0.25">
      <c r="N837" s="24"/>
    </row>
    <row r="838" spans="14:14" ht="13.5" x14ac:dyDescent="0.25">
      <c r="N838" s="24"/>
    </row>
    <row r="839" spans="14:14" ht="13.5" x14ac:dyDescent="0.25">
      <c r="N839" s="24"/>
    </row>
    <row r="840" spans="14:14" ht="13.5" x14ac:dyDescent="0.25">
      <c r="N840" s="24"/>
    </row>
    <row r="841" spans="14:14" ht="13.5" x14ac:dyDescent="0.25">
      <c r="N841" s="24"/>
    </row>
    <row r="842" spans="14:14" ht="13.5" x14ac:dyDescent="0.25">
      <c r="N842" s="24"/>
    </row>
    <row r="843" spans="14:14" ht="13.5" x14ac:dyDescent="0.25">
      <c r="N843" s="24"/>
    </row>
    <row r="844" spans="14:14" ht="13.5" x14ac:dyDescent="0.25">
      <c r="N844" s="24"/>
    </row>
    <row r="845" spans="14:14" ht="13.5" x14ac:dyDescent="0.25">
      <c r="N845" s="24"/>
    </row>
    <row r="846" spans="14:14" ht="13.5" x14ac:dyDescent="0.25">
      <c r="N846" s="24"/>
    </row>
    <row r="847" spans="14:14" ht="13.5" x14ac:dyDescent="0.25">
      <c r="N847" s="24"/>
    </row>
    <row r="848" spans="14:14" ht="13.5" x14ac:dyDescent="0.25">
      <c r="N848" s="24"/>
    </row>
    <row r="849" spans="14:14" ht="13.5" x14ac:dyDescent="0.25">
      <c r="N849" s="24"/>
    </row>
    <row r="850" spans="14:14" ht="13.5" x14ac:dyDescent="0.25">
      <c r="N850" s="24"/>
    </row>
    <row r="851" spans="14:14" ht="13.5" x14ac:dyDescent="0.25">
      <c r="N851" s="24"/>
    </row>
    <row r="852" spans="14:14" ht="13.5" x14ac:dyDescent="0.25">
      <c r="N852" s="24"/>
    </row>
    <row r="853" spans="14:14" ht="13.5" x14ac:dyDescent="0.25">
      <c r="N853" s="24"/>
    </row>
    <row r="854" spans="14:14" ht="13.5" x14ac:dyDescent="0.25">
      <c r="N854" s="24"/>
    </row>
    <row r="855" spans="14:14" ht="13.5" x14ac:dyDescent="0.25">
      <c r="N855" s="24"/>
    </row>
    <row r="856" spans="14:14" ht="13.5" x14ac:dyDescent="0.25">
      <c r="N856" s="24"/>
    </row>
    <row r="857" spans="14:14" ht="13.5" x14ac:dyDescent="0.25">
      <c r="N857" s="24"/>
    </row>
    <row r="858" spans="14:14" ht="13.5" x14ac:dyDescent="0.25">
      <c r="N858" s="24"/>
    </row>
    <row r="859" spans="14:14" ht="13.5" x14ac:dyDescent="0.25">
      <c r="N859" s="24"/>
    </row>
    <row r="860" spans="14:14" ht="13.5" x14ac:dyDescent="0.25">
      <c r="N860" s="24"/>
    </row>
    <row r="861" spans="14:14" ht="13.5" x14ac:dyDescent="0.25">
      <c r="N861" s="24"/>
    </row>
    <row r="862" spans="14:14" ht="13.5" x14ac:dyDescent="0.25">
      <c r="N862" s="24"/>
    </row>
    <row r="863" spans="14:14" ht="13.5" x14ac:dyDescent="0.25">
      <c r="N863" s="24"/>
    </row>
    <row r="864" spans="14:14" ht="13.5" x14ac:dyDescent="0.25">
      <c r="N864" s="24"/>
    </row>
    <row r="865" spans="14:14" ht="13.5" x14ac:dyDescent="0.25">
      <c r="N865" s="24"/>
    </row>
    <row r="866" spans="14:14" ht="13.5" x14ac:dyDescent="0.25">
      <c r="N866" s="24"/>
    </row>
    <row r="867" spans="14:14" ht="13.5" x14ac:dyDescent="0.25">
      <c r="N867" s="24"/>
    </row>
    <row r="868" spans="14:14" ht="13.5" x14ac:dyDescent="0.25">
      <c r="N868" s="24"/>
    </row>
    <row r="869" spans="14:14" ht="13.5" x14ac:dyDescent="0.25">
      <c r="N869" s="24"/>
    </row>
    <row r="870" spans="14:14" ht="13.5" x14ac:dyDescent="0.25">
      <c r="N870" s="24"/>
    </row>
    <row r="871" spans="14:14" ht="13.5" x14ac:dyDescent="0.25">
      <c r="N871" s="24"/>
    </row>
    <row r="872" spans="14:14" ht="13.5" x14ac:dyDescent="0.25">
      <c r="N872" s="24"/>
    </row>
    <row r="873" spans="14:14" ht="13.5" x14ac:dyDescent="0.25">
      <c r="N873" s="24"/>
    </row>
    <row r="874" spans="14:14" ht="13.5" x14ac:dyDescent="0.25">
      <c r="N874" s="24"/>
    </row>
    <row r="875" spans="14:14" ht="13.5" x14ac:dyDescent="0.25">
      <c r="N875" s="24"/>
    </row>
    <row r="876" spans="14:14" ht="13.5" x14ac:dyDescent="0.25">
      <c r="N876" s="24"/>
    </row>
    <row r="877" spans="14:14" ht="13.5" x14ac:dyDescent="0.25">
      <c r="N877" s="24"/>
    </row>
    <row r="878" spans="14:14" ht="13.5" x14ac:dyDescent="0.25">
      <c r="N878" s="24"/>
    </row>
    <row r="879" spans="14:14" ht="13.5" x14ac:dyDescent="0.25">
      <c r="N879" s="24"/>
    </row>
    <row r="880" spans="14:14" ht="13.5" x14ac:dyDescent="0.25">
      <c r="N880" s="24"/>
    </row>
    <row r="881" spans="14:14" ht="13.5" x14ac:dyDescent="0.25">
      <c r="N881" s="24"/>
    </row>
    <row r="882" spans="14:14" ht="13.5" x14ac:dyDescent="0.25">
      <c r="N882" s="24"/>
    </row>
    <row r="883" spans="14:14" ht="13.5" x14ac:dyDescent="0.25">
      <c r="N883" s="24"/>
    </row>
    <row r="884" spans="14:14" ht="13.5" x14ac:dyDescent="0.25">
      <c r="N884" s="24"/>
    </row>
    <row r="885" spans="14:14" ht="13.5" x14ac:dyDescent="0.25">
      <c r="N885" s="24"/>
    </row>
    <row r="886" spans="14:14" ht="13.5" x14ac:dyDescent="0.25">
      <c r="N886" s="24"/>
    </row>
    <row r="887" spans="14:14" ht="13.5" x14ac:dyDescent="0.25">
      <c r="N887" s="24"/>
    </row>
    <row r="888" spans="14:14" ht="13.5" x14ac:dyDescent="0.25">
      <c r="N888" s="24"/>
    </row>
    <row r="889" spans="14:14" ht="13.5" x14ac:dyDescent="0.25">
      <c r="N889" s="24"/>
    </row>
    <row r="890" spans="14:14" ht="13.5" x14ac:dyDescent="0.25">
      <c r="N890" s="24"/>
    </row>
    <row r="891" spans="14:14" ht="13.5" x14ac:dyDescent="0.25">
      <c r="N891" s="24"/>
    </row>
    <row r="892" spans="14:14" ht="13.5" x14ac:dyDescent="0.25">
      <c r="N892" s="24"/>
    </row>
    <row r="893" spans="14:14" ht="13.5" x14ac:dyDescent="0.25">
      <c r="N893" s="24"/>
    </row>
    <row r="894" spans="14:14" ht="13.5" x14ac:dyDescent="0.25">
      <c r="N894" s="24"/>
    </row>
    <row r="895" spans="14:14" ht="13.5" x14ac:dyDescent="0.25">
      <c r="N895" s="24"/>
    </row>
    <row r="896" spans="14:14" ht="13.5" x14ac:dyDescent="0.25">
      <c r="N896" s="24"/>
    </row>
    <row r="897" spans="14:14" ht="13.5" x14ac:dyDescent="0.25">
      <c r="N897" s="24"/>
    </row>
    <row r="898" spans="14:14" ht="13.5" x14ac:dyDescent="0.25">
      <c r="N898" s="24"/>
    </row>
    <row r="899" spans="14:14" ht="13.5" x14ac:dyDescent="0.25">
      <c r="N899" s="24"/>
    </row>
    <row r="900" spans="14:14" ht="13.5" x14ac:dyDescent="0.25">
      <c r="N900" s="24"/>
    </row>
    <row r="901" spans="14:14" ht="13.5" x14ac:dyDescent="0.25">
      <c r="N901" s="24"/>
    </row>
    <row r="902" spans="14:14" ht="13.5" x14ac:dyDescent="0.25">
      <c r="N902" s="24"/>
    </row>
    <row r="903" spans="14:14" ht="13.5" x14ac:dyDescent="0.25">
      <c r="N903" s="24"/>
    </row>
    <row r="904" spans="14:14" ht="13.5" x14ac:dyDescent="0.25">
      <c r="N904" s="24"/>
    </row>
    <row r="905" spans="14:14" ht="13.5" x14ac:dyDescent="0.25">
      <c r="N905" s="24"/>
    </row>
    <row r="906" spans="14:14" ht="13.5" x14ac:dyDescent="0.25">
      <c r="N906" s="24"/>
    </row>
    <row r="907" spans="14:14" ht="13.5" x14ac:dyDescent="0.25">
      <c r="N907" s="24"/>
    </row>
    <row r="908" spans="14:14" ht="13.5" x14ac:dyDescent="0.25">
      <c r="N908" s="24"/>
    </row>
    <row r="909" spans="14:14" ht="13.5" x14ac:dyDescent="0.25">
      <c r="N909" s="24"/>
    </row>
    <row r="910" spans="14:14" ht="13.5" x14ac:dyDescent="0.25">
      <c r="N910" s="24"/>
    </row>
    <row r="911" spans="14:14" ht="13.5" x14ac:dyDescent="0.25">
      <c r="N911" s="24"/>
    </row>
    <row r="912" spans="14:14" ht="13.5" x14ac:dyDescent="0.25">
      <c r="N912" s="24"/>
    </row>
    <row r="913" spans="14:14" ht="13.5" x14ac:dyDescent="0.25">
      <c r="N913" s="24"/>
    </row>
    <row r="914" spans="14:14" ht="13.5" x14ac:dyDescent="0.25">
      <c r="N914" s="24"/>
    </row>
    <row r="915" spans="14:14" ht="13.5" x14ac:dyDescent="0.25">
      <c r="N915" s="24"/>
    </row>
    <row r="916" spans="14:14" ht="13.5" x14ac:dyDescent="0.25">
      <c r="N916" s="24"/>
    </row>
    <row r="917" spans="14:14" ht="13.5" x14ac:dyDescent="0.25">
      <c r="N917" s="24"/>
    </row>
    <row r="918" spans="14:14" ht="13.5" x14ac:dyDescent="0.25">
      <c r="N918" s="24"/>
    </row>
    <row r="919" spans="14:14" ht="13.5" x14ac:dyDescent="0.25">
      <c r="N919" s="24"/>
    </row>
    <row r="920" spans="14:14" ht="13.5" x14ac:dyDescent="0.25">
      <c r="N920" s="24"/>
    </row>
    <row r="921" spans="14:14" ht="13.5" x14ac:dyDescent="0.25">
      <c r="N921" s="24"/>
    </row>
    <row r="922" spans="14:14" ht="13.5" x14ac:dyDescent="0.25">
      <c r="N922" s="24"/>
    </row>
    <row r="923" spans="14:14" ht="13.5" x14ac:dyDescent="0.25">
      <c r="N923" s="24"/>
    </row>
    <row r="924" spans="14:14" ht="13.5" x14ac:dyDescent="0.25">
      <c r="N924" s="24"/>
    </row>
    <row r="925" spans="14:14" ht="13.5" x14ac:dyDescent="0.25">
      <c r="N925" s="24"/>
    </row>
    <row r="926" spans="14:14" ht="13.5" x14ac:dyDescent="0.25">
      <c r="N926" s="24"/>
    </row>
    <row r="927" spans="14:14" ht="13.5" x14ac:dyDescent="0.25">
      <c r="N927" s="24"/>
    </row>
    <row r="928" spans="14:14" ht="13.5" x14ac:dyDescent="0.25">
      <c r="N928" s="24"/>
    </row>
    <row r="929" spans="14:14" ht="13.5" x14ac:dyDescent="0.25">
      <c r="N929" s="24"/>
    </row>
    <row r="930" spans="14:14" ht="13.5" x14ac:dyDescent="0.25">
      <c r="N930" s="24"/>
    </row>
    <row r="931" spans="14:14" ht="13.5" x14ac:dyDescent="0.25">
      <c r="N931" s="24"/>
    </row>
    <row r="932" spans="14:14" ht="13.5" x14ac:dyDescent="0.25">
      <c r="N932" s="24"/>
    </row>
    <row r="933" spans="14:14" ht="13.5" x14ac:dyDescent="0.25">
      <c r="N933" s="24"/>
    </row>
    <row r="934" spans="14:14" ht="13.5" x14ac:dyDescent="0.25">
      <c r="N934" s="24"/>
    </row>
    <row r="935" spans="14:14" ht="13.5" x14ac:dyDescent="0.25">
      <c r="N935" s="24"/>
    </row>
    <row r="936" spans="14:14" ht="13.5" x14ac:dyDescent="0.25">
      <c r="N936" s="24"/>
    </row>
    <row r="937" spans="14:14" ht="13.5" x14ac:dyDescent="0.25">
      <c r="N937" s="24"/>
    </row>
    <row r="938" spans="14:14" ht="13.5" x14ac:dyDescent="0.25">
      <c r="N938" s="24"/>
    </row>
    <row r="939" spans="14:14" ht="13.5" x14ac:dyDescent="0.25">
      <c r="N939" s="24"/>
    </row>
    <row r="940" spans="14:14" ht="13.5" x14ac:dyDescent="0.25">
      <c r="N940" s="24"/>
    </row>
    <row r="941" spans="14:14" ht="13.5" x14ac:dyDescent="0.25">
      <c r="N941" s="24"/>
    </row>
    <row r="942" spans="14:14" ht="13.5" x14ac:dyDescent="0.25">
      <c r="N942" s="24"/>
    </row>
    <row r="943" spans="14:14" ht="13.5" x14ac:dyDescent="0.25">
      <c r="N943" s="24"/>
    </row>
    <row r="944" spans="14:14" ht="13.5" x14ac:dyDescent="0.25">
      <c r="N944" s="24"/>
    </row>
    <row r="945" spans="14:14" ht="13.5" x14ac:dyDescent="0.25">
      <c r="N945" s="24"/>
    </row>
    <row r="946" spans="14:14" ht="13.5" x14ac:dyDescent="0.25">
      <c r="N946" s="24"/>
    </row>
    <row r="947" spans="14:14" ht="13.5" x14ac:dyDescent="0.25">
      <c r="N947" s="24"/>
    </row>
    <row r="948" spans="14:14" ht="13.5" x14ac:dyDescent="0.25">
      <c r="N948" s="24"/>
    </row>
    <row r="949" spans="14:14" ht="13.5" x14ac:dyDescent="0.25">
      <c r="N949" s="24"/>
    </row>
    <row r="950" spans="14:14" ht="13.5" x14ac:dyDescent="0.25">
      <c r="N950" s="24"/>
    </row>
    <row r="951" spans="14:14" ht="13.5" x14ac:dyDescent="0.25">
      <c r="N951" s="24"/>
    </row>
    <row r="952" spans="14:14" ht="13.5" x14ac:dyDescent="0.25">
      <c r="N952" s="24"/>
    </row>
    <row r="953" spans="14:14" ht="13.5" x14ac:dyDescent="0.25">
      <c r="N953" s="24"/>
    </row>
    <row r="954" spans="14:14" ht="13.5" x14ac:dyDescent="0.25">
      <c r="N954" s="24"/>
    </row>
    <row r="955" spans="14:14" ht="13.5" x14ac:dyDescent="0.25">
      <c r="N955" s="24"/>
    </row>
    <row r="956" spans="14:14" ht="13.5" x14ac:dyDescent="0.25">
      <c r="N956" s="24"/>
    </row>
    <row r="957" spans="14:14" ht="13.5" x14ac:dyDescent="0.25">
      <c r="N957" s="24"/>
    </row>
    <row r="958" spans="14:14" ht="13.5" x14ac:dyDescent="0.25">
      <c r="N958" s="24"/>
    </row>
    <row r="959" spans="14:14" ht="13.5" x14ac:dyDescent="0.25">
      <c r="N959" s="24"/>
    </row>
    <row r="960" spans="14:14" ht="13.5" x14ac:dyDescent="0.25">
      <c r="N960" s="24"/>
    </row>
    <row r="961" spans="14:14" ht="13.5" x14ac:dyDescent="0.25">
      <c r="N961" s="24"/>
    </row>
    <row r="962" spans="14:14" ht="13.5" x14ac:dyDescent="0.25">
      <c r="N962" s="24"/>
    </row>
    <row r="963" spans="14:14" ht="13.5" x14ac:dyDescent="0.25">
      <c r="N963" s="24"/>
    </row>
    <row r="964" spans="14:14" ht="13.5" x14ac:dyDescent="0.25">
      <c r="N964" s="24"/>
    </row>
    <row r="965" spans="14:14" ht="13.5" x14ac:dyDescent="0.25">
      <c r="N965" s="24"/>
    </row>
    <row r="966" spans="14:14" ht="13.5" x14ac:dyDescent="0.25">
      <c r="N966" s="24"/>
    </row>
    <row r="967" spans="14:14" ht="13.5" x14ac:dyDescent="0.25">
      <c r="N967" s="24"/>
    </row>
    <row r="968" spans="14:14" ht="13.5" x14ac:dyDescent="0.25">
      <c r="N968" s="24"/>
    </row>
    <row r="969" spans="14:14" ht="13.5" x14ac:dyDescent="0.25">
      <c r="N969" s="24"/>
    </row>
    <row r="970" spans="14:14" ht="13.5" x14ac:dyDescent="0.25">
      <c r="N970" s="24"/>
    </row>
    <row r="971" spans="14:14" ht="13.5" x14ac:dyDescent="0.25">
      <c r="N971" s="24"/>
    </row>
    <row r="972" spans="14:14" ht="13.5" x14ac:dyDescent="0.25">
      <c r="N972" s="24"/>
    </row>
    <row r="973" spans="14:14" ht="13.5" x14ac:dyDescent="0.25">
      <c r="N973" s="24"/>
    </row>
    <row r="974" spans="14:14" ht="13.5" x14ac:dyDescent="0.25">
      <c r="N974" s="24"/>
    </row>
    <row r="975" spans="14:14" ht="13.5" x14ac:dyDescent="0.25">
      <c r="N975" s="24"/>
    </row>
    <row r="976" spans="14:14" ht="13.5" x14ac:dyDescent="0.25">
      <c r="N976" s="24"/>
    </row>
    <row r="977" spans="14:14" ht="13.5" x14ac:dyDescent="0.25">
      <c r="N977" s="24"/>
    </row>
    <row r="978" spans="14:14" ht="13.5" x14ac:dyDescent="0.25">
      <c r="N978" s="24"/>
    </row>
    <row r="979" spans="14:14" ht="13.5" x14ac:dyDescent="0.25">
      <c r="N979" s="24"/>
    </row>
    <row r="980" spans="14:14" ht="13.5" x14ac:dyDescent="0.25">
      <c r="N980" s="24"/>
    </row>
    <row r="981" spans="14:14" ht="13.5" x14ac:dyDescent="0.25">
      <c r="N981" s="24"/>
    </row>
    <row r="982" spans="14:14" ht="13.5" x14ac:dyDescent="0.25">
      <c r="N982" s="24"/>
    </row>
    <row r="983" spans="14:14" ht="13.5" x14ac:dyDescent="0.25">
      <c r="N983" s="24"/>
    </row>
    <row r="984" spans="14:14" ht="13.5" x14ac:dyDescent="0.25">
      <c r="N984" s="24"/>
    </row>
    <row r="985" spans="14:14" ht="13.5" x14ac:dyDescent="0.25">
      <c r="N985" s="24"/>
    </row>
    <row r="986" spans="14:14" ht="13.5" x14ac:dyDescent="0.25">
      <c r="N986" s="24"/>
    </row>
    <row r="987" spans="14:14" ht="13.5" x14ac:dyDescent="0.25">
      <c r="N987" s="24"/>
    </row>
    <row r="988" spans="14:14" ht="13.5" x14ac:dyDescent="0.25">
      <c r="N988" s="24"/>
    </row>
    <row r="989" spans="14:14" ht="13.5" x14ac:dyDescent="0.25">
      <c r="N989" s="24"/>
    </row>
    <row r="990" spans="14:14" ht="13.5" x14ac:dyDescent="0.25">
      <c r="N990" s="24"/>
    </row>
    <row r="991" spans="14:14" ht="13.5" x14ac:dyDescent="0.25">
      <c r="N991" s="24"/>
    </row>
    <row r="992" spans="14:14" ht="13.5" x14ac:dyDescent="0.25">
      <c r="N992" s="24"/>
    </row>
    <row r="993" spans="14:14" ht="13.5" x14ac:dyDescent="0.25">
      <c r="N993" s="24"/>
    </row>
    <row r="994" spans="14:14" ht="13.5" x14ac:dyDescent="0.25">
      <c r="N994" s="24"/>
    </row>
    <row r="995" spans="14:14" ht="13.5" x14ac:dyDescent="0.25">
      <c r="N995" s="24"/>
    </row>
    <row r="996" spans="14:14" ht="13.5" x14ac:dyDescent="0.25">
      <c r="N996" s="24"/>
    </row>
    <row r="997" spans="14:14" ht="13.5" x14ac:dyDescent="0.25">
      <c r="N997" s="24"/>
    </row>
    <row r="998" spans="14:14" ht="13.5" x14ac:dyDescent="0.25">
      <c r="N998" s="24"/>
    </row>
    <row r="999" spans="14:14" ht="13.5" x14ac:dyDescent="0.25">
      <c r="N999" s="24"/>
    </row>
    <row r="1000" spans="14:14" ht="13.5" x14ac:dyDescent="0.25">
      <c r="N1000" s="24"/>
    </row>
    <row r="1001" spans="14:14" ht="13.5" x14ac:dyDescent="0.25">
      <c r="N1001" s="24"/>
    </row>
    <row r="1002" spans="14:14" ht="13.5" x14ac:dyDescent="0.25">
      <c r="N1002" s="24"/>
    </row>
    <row r="1003" spans="14:14" ht="13.5" x14ac:dyDescent="0.25">
      <c r="N1003" s="24"/>
    </row>
    <row r="1004" spans="14:14" ht="13.5" x14ac:dyDescent="0.25">
      <c r="N1004" s="24"/>
    </row>
    <row r="1005" spans="14:14" ht="13.5" x14ac:dyDescent="0.25">
      <c r="N1005" s="24"/>
    </row>
    <row r="1006" spans="14:14" ht="13.5" x14ac:dyDescent="0.25">
      <c r="N1006" s="24"/>
    </row>
    <row r="1007" spans="14:14" ht="13.5" x14ac:dyDescent="0.25">
      <c r="N1007" s="24"/>
    </row>
    <row r="1008" spans="14:14" ht="13.5" x14ac:dyDescent="0.25">
      <c r="N1008" s="24"/>
    </row>
    <row r="1009" spans="14:14" ht="13.5" x14ac:dyDescent="0.25">
      <c r="N1009" s="24"/>
    </row>
    <row r="1010" spans="14:14" ht="13.5" x14ac:dyDescent="0.25">
      <c r="N1010" s="24"/>
    </row>
    <row r="1011" spans="14:14" ht="13.5" x14ac:dyDescent="0.25">
      <c r="N1011" s="24"/>
    </row>
    <row r="1012" spans="14:14" ht="13.5" x14ac:dyDescent="0.25">
      <c r="N1012" s="24"/>
    </row>
    <row r="1013" spans="14:14" ht="13.5" x14ac:dyDescent="0.25">
      <c r="N1013" s="24"/>
    </row>
    <row r="1014" spans="14:14" ht="13.5" x14ac:dyDescent="0.25">
      <c r="N1014" s="24"/>
    </row>
    <row r="1015" spans="14:14" ht="13.5" x14ac:dyDescent="0.25">
      <c r="N1015" s="24"/>
    </row>
    <row r="1016" spans="14:14" ht="13.5" x14ac:dyDescent="0.25">
      <c r="N1016" s="24"/>
    </row>
    <row r="1017" spans="14:14" ht="13.5" x14ac:dyDescent="0.25">
      <c r="N1017" s="24"/>
    </row>
    <row r="1018" spans="14:14" ht="13.5" x14ac:dyDescent="0.25">
      <c r="N1018" s="24"/>
    </row>
    <row r="1019" spans="14:14" ht="13.5" x14ac:dyDescent="0.25">
      <c r="N1019" s="24"/>
    </row>
    <row r="1020" spans="14:14" ht="13.5" x14ac:dyDescent="0.25">
      <c r="N1020" s="24"/>
    </row>
    <row r="1021" spans="14:14" ht="13.5" x14ac:dyDescent="0.25">
      <c r="N1021" s="24"/>
    </row>
    <row r="1022" spans="14:14" ht="13.5" x14ac:dyDescent="0.25">
      <c r="N1022" s="24"/>
    </row>
    <row r="1023" spans="14:14" ht="13.5" x14ac:dyDescent="0.25">
      <c r="N1023" s="24"/>
    </row>
    <row r="1024" spans="14:14" ht="13.5" x14ac:dyDescent="0.25">
      <c r="N1024" s="24"/>
    </row>
    <row r="1025" spans="14:14" ht="13.5" x14ac:dyDescent="0.25">
      <c r="N1025" s="24"/>
    </row>
    <row r="1026" spans="14:14" ht="13.5" x14ac:dyDescent="0.25">
      <c r="N1026" s="24"/>
    </row>
    <row r="1027" spans="14:14" ht="13.5" x14ac:dyDescent="0.25">
      <c r="N1027" s="24"/>
    </row>
    <row r="1028" spans="14:14" ht="13.5" x14ac:dyDescent="0.25">
      <c r="N1028" s="24"/>
    </row>
    <row r="1029" spans="14:14" ht="13.5" x14ac:dyDescent="0.25">
      <c r="N1029" s="24"/>
    </row>
    <row r="1030" spans="14:14" ht="13.5" x14ac:dyDescent="0.25">
      <c r="N1030" s="24"/>
    </row>
    <row r="1031" spans="14:14" ht="13.5" x14ac:dyDescent="0.25">
      <c r="N1031" s="24"/>
    </row>
    <row r="1032" spans="14:14" ht="13.5" x14ac:dyDescent="0.25">
      <c r="N1032" s="24"/>
    </row>
    <row r="1033" spans="14:14" ht="13.5" x14ac:dyDescent="0.25">
      <c r="N1033" s="24"/>
    </row>
    <row r="1034" spans="14:14" ht="13.5" x14ac:dyDescent="0.25">
      <c r="N1034" s="24"/>
    </row>
    <row r="1035" spans="14:14" ht="13.5" x14ac:dyDescent="0.25">
      <c r="N1035" s="24"/>
    </row>
    <row r="1036" spans="14:14" ht="13.5" x14ac:dyDescent="0.25">
      <c r="N1036" s="24"/>
    </row>
    <row r="1037" spans="14:14" ht="13.5" x14ac:dyDescent="0.25">
      <c r="N1037" s="24"/>
    </row>
    <row r="1038" spans="14:14" ht="13.5" x14ac:dyDescent="0.25">
      <c r="N1038" s="24"/>
    </row>
    <row r="1039" spans="14:14" ht="13.5" x14ac:dyDescent="0.25">
      <c r="N1039" s="24"/>
    </row>
    <row r="1040" spans="14:14" ht="13.5" x14ac:dyDescent="0.25">
      <c r="N1040" s="24"/>
    </row>
    <row r="1041" spans="14:14" ht="13.5" x14ac:dyDescent="0.25">
      <c r="N1041" s="24"/>
    </row>
    <row r="1042" spans="14:14" ht="13.5" x14ac:dyDescent="0.25">
      <c r="N1042" s="24"/>
    </row>
    <row r="1043" spans="14:14" ht="13.5" x14ac:dyDescent="0.25">
      <c r="N1043" s="24"/>
    </row>
    <row r="1044" spans="14:14" ht="13.5" x14ac:dyDescent="0.25">
      <c r="N1044" s="24"/>
    </row>
    <row r="1045" spans="14:14" ht="13.5" x14ac:dyDescent="0.25">
      <c r="N1045" s="24"/>
    </row>
    <row r="1046" spans="14:14" ht="13.5" x14ac:dyDescent="0.25">
      <c r="N1046" s="24"/>
    </row>
    <row r="1047" spans="14:14" ht="13.5" x14ac:dyDescent="0.25">
      <c r="N1047" s="24"/>
    </row>
    <row r="1048" spans="14:14" ht="13.5" x14ac:dyDescent="0.25">
      <c r="N1048" s="24"/>
    </row>
    <row r="1049" spans="14:14" ht="13.5" x14ac:dyDescent="0.25">
      <c r="N1049" s="24"/>
    </row>
    <row r="1050" spans="14:14" ht="13.5" x14ac:dyDescent="0.25">
      <c r="N1050" s="24"/>
    </row>
    <row r="1051" spans="14:14" ht="13.5" x14ac:dyDescent="0.25">
      <c r="N1051" s="24"/>
    </row>
    <row r="1052" spans="14:14" ht="13.5" x14ac:dyDescent="0.25">
      <c r="N1052" s="24"/>
    </row>
    <row r="1053" spans="14:14" ht="13.5" x14ac:dyDescent="0.25">
      <c r="N1053" s="24"/>
    </row>
    <row r="1054" spans="14:14" ht="13.5" x14ac:dyDescent="0.25">
      <c r="N1054" s="24"/>
    </row>
    <row r="1055" spans="14:14" ht="13.5" x14ac:dyDescent="0.25">
      <c r="N1055" s="24"/>
    </row>
    <row r="1056" spans="14:14" ht="13.5" x14ac:dyDescent="0.25">
      <c r="N1056" s="24"/>
    </row>
    <row r="1057" spans="14:14" ht="13.5" x14ac:dyDescent="0.25">
      <c r="N1057" s="24"/>
    </row>
    <row r="1058" spans="14:14" ht="13.5" x14ac:dyDescent="0.25">
      <c r="N1058" s="24"/>
    </row>
    <row r="1059" spans="14:14" ht="13.5" x14ac:dyDescent="0.25">
      <c r="N1059" s="24"/>
    </row>
    <row r="1060" spans="14:14" ht="13.5" x14ac:dyDescent="0.25">
      <c r="N1060" s="24"/>
    </row>
    <row r="1061" spans="14:14" ht="13.5" x14ac:dyDescent="0.25">
      <c r="N1061" s="24"/>
    </row>
    <row r="1062" spans="14:14" ht="13.5" x14ac:dyDescent="0.25">
      <c r="N1062" s="24"/>
    </row>
    <row r="1063" spans="14:14" ht="13.5" x14ac:dyDescent="0.25">
      <c r="N1063" s="24"/>
    </row>
    <row r="1064" spans="14:14" ht="13.5" x14ac:dyDescent="0.25">
      <c r="N1064" s="24"/>
    </row>
    <row r="1065" spans="14:14" ht="13.5" x14ac:dyDescent="0.25">
      <c r="N1065" s="24"/>
    </row>
    <row r="1066" spans="14:14" ht="13.5" x14ac:dyDescent="0.25">
      <c r="N1066" s="24"/>
    </row>
    <row r="1067" spans="14:14" ht="13.5" x14ac:dyDescent="0.25">
      <c r="N1067" s="24"/>
    </row>
    <row r="1068" spans="14:14" ht="13.5" x14ac:dyDescent="0.25">
      <c r="N1068" s="24"/>
    </row>
    <row r="1069" spans="14:14" ht="13.5" x14ac:dyDescent="0.25">
      <c r="N1069" s="24"/>
    </row>
    <row r="1070" spans="14:14" ht="13.5" x14ac:dyDescent="0.25">
      <c r="N1070" s="24"/>
    </row>
    <row r="1071" spans="14:14" ht="13.5" x14ac:dyDescent="0.25">
      <c r="N1071" s="24"/>
    </row>
    <row r="1072" spans="14:14" ht="13.5" x14ac:dyDescent="0.25">
      <c r="N1072" s="24"/>
    </row>
    <row r="1073" spans="14:14" ht="13.5" x14ac:dyDescent="0.25">
      <c r="N1073" s="24"/>
    </row>
    <row r="1074" spans="14:14" ht="13.5" x14ac:dyDescent="0.25">
      <c r="N1074" s="24"/>
    </row>
    <row r="1075" spans="14:14" ht="13.5" x14ac:dyDescent="0.25">
      <c r="N1075" s="24"/>
    </row>
    <row r="1076" spans="14:14" ht="13.5" x14ac:dyDescent="0.25">
      <c r="N1076" s="24"/>
    </row>
    <row r="1077" spans="14:14" ht="13.5" x14ac:dyDescent="0.25">
      <c r="N1077" s="24"/>
    </row>
    <row r="1078" spans="14:14" ht="13.5" x14ac:dyDescent="0.25">
      <c r="N1078" s="24"/>
    </row>
    <row r="1079" spans="14:14" ht="13.5" x14ac:dyDescent="0.25">
      <c r="N1079" s="24"/>
    </row>
    <row r="1080" spans="14:14" ht="13.5" x14ac:dyDescent="0.25">
      <c r="N1080" s="24"/>
    </row>
    <row r="1081" spans="14:14" ht="13.5" x14ac:dyDescent="0.25">
      <c r="N1081" s="24"/>
    </row>
    <row r="1082" spans="14:14" ht="13.5" x14ac:dyDescent="0.25">
      <c r="N1082" s="24"/>
    </row>
    <row r="1083" spans="14:14" ht="13.5" x14ac:dyDescent="0.25">
      <c r="N1083" s="24"/>
    </row>
    <row r="1084" spans="14:14" ht="13.5" x14ac:dyDescent="0.25">
      <c r="N1084" s="24"/>
    </row>
    <row r="1085" spans="14:14" ht="13.5" x14ac:dyDescent="0.25">
      <c r="N1085" s="24"/>
    </row>
    <row r="1086" spans="14:14" ht="13.5" x14ac:dyDescent="0.25">
      <c r="N1086" s="24"/>
    </row>
    <row r="1087" spans="14:14" ht="13.5" x14ac:dyDescent="0.25">
      <c r="N1087" s="24"/>
    </row>
    <row r="1088" spans="14:14" ht="13.5" x14ac:dyDescent="0.25">
      <c r="N1088" s="24"/>
    </row>
    <row r="1089" spans="14:14" ht="13.5" x14ac:dyDescent="0.25">
      <c r="N1089" s="24"/>
    </row>
    <row r="1090" spans="14:14" ht="13.5" x14ac:dyDescent="0.25">
      <c r="N1090" s="24"/>
    </row>
    <row r="1091" spans="14:14" ht="13.5" x14ac:dyDescent="0.25">
      <c r="N1091" s="24"/>
    </row>
    <row r="1092" spans="14:14" ht="13.5" x14ac:dyDescent="0.25">
      <c r="N1092" s="24"/>
    </row>
    <row r="1093" spans="14:14" ht="13.5" x14ac:dyDescent="0.25">
      <c r="N1093" s="24"/>
    </row>
    <row r="1094" spans="14:14" ht="13.5" x14ac:dyDescent="0.25">
      <c r="N1094" s="24"/>
    </row>
    <row r="1095" spans="14:14" ht="13.5" x14ac:dyDescent="0.25">
      <c r="N1095" s="24"/>
    </row>
    <row r="1096" spans="14:14" ht="13.5" x14ac:dyDescent="0.25">
      <c r="N1096" s="24"/>
    </row>
    <row r="1097" spans="14:14" ht="13.5" x14ac:dyDescent="0.25">
      <c r="N1097" s="24"/>
    </row>
    <row r="1098" spans="14:14" ht="13.5" x14ac:dyDescent="0.25">
      <c r="N1098" s="24"/>
    </row>
    <row r="1099" spans="14:14" ht="13.5" x14ac:dyDescent="0.25">
      <c r="N1099" s="24"/>
    </row>
    <row r="1100" spans="14:14" ht="13.5" x14ac:dyDescent="0.25">
      <c r="N1100" s="24"/>
    </row>
    <row r="1101" spans="14:14" ht="13.5" x14ac:dyDescent="0.25">
      <c r="N1101" s="24"/>
    </row>
    <row r="1102" spans="14:14" ht="13.5" x14ac:dyDescent="0.25">
      <c r="N1102" s="24"/>
    </row>
    <row r="1103" spans="14:14" ht="13.5" x14ac:dyDescent="0.25">
      <c r="N1103" s="24"/>
    </row>
    <row r="1104" spans="14:14" ht="13.5" x14ac:dyDescent="0.25">
      <c r="N1104" s="24"/>
    </row>
    <row r="1105" spans="14:14" ht="13.5" x14ac:dyDescent="0.25">
      <c r="N1105" s="24"/>
    </row>
    <row r="1106" spans="14:14" ht="13.5" x14ac:dyDescent="0.25">
      <c r="N1106" s="24"/>
    </row>
    <row r="1107" spans="14:14" ht="13.5" x14ac:dyDescent="0.25">
      <c r="N1107" s="24"/>
    </row>
    <row r="1108" spans="14:14" ht="13.5" x14ac:dyDescent="0.25">
      <c r="N1108" s="24"/>
    </row>
    <row r="1109" spans="14:14" ht="13.5" x14ac:dyDescent="0.25">
      <c r="N1109" s="24"/>
    </row>
    <row r="1110" spans="14:14" ht="13.5" x14ac:dyDescent="0.25">
      <c r="N1110" s="24"/>
    </row>
    <row r="1111" spans="14:14" ht="13.5" x14ac:dyDescent="0.25">
      <c r="N1111" s="24"/>
    </row>
    <row r="1112" spans="14:14" ht="13.5" x14ac:dyDescent="0.25">
      <c r="N1112" s="24"/>
    </row>
    <row r="1113" spans="14:14" ht="13.5" x14ac:dyDescent="0.25">
      <c r="N1113" s="24"/>
    </row>
    <row r="1114" spans="14:14" ht="13.5" x14ac:dyDescent="0.25">
      <c r="N1114" s="24"/>
    </row>
    <row r="1115" spans="14:14" ht="13.5" x14ac:dyDescent="0.25">
      <c r="N1115" s="24"/>
    </row>
    <row r="1116" spans="14:14" ht="13.5" x14ac:dyDescent="0.25">
      <c r="N1116" s="24"/>
    </row>
    <row r="1117" spans="14:14" ht="13.5" x14ac:dyDescent="0.25">
      <c r="N1117" s="24"/>
    </row>
    <row r="1118" spans="14:14" ht="13.5" x14ac:dyDescent="0.25">
      <c r="N1118" s="24"/>
    </row>
    <row r="1119" spans="14:14" ht="13.5" x14ac:dyDescent="0.25">
      <c r="N1119" s="24"/>
    </row>
    <row r="1120" spans="14:14" ht="13.5" x14ac:dyDescent="0.25">
      <c r="N1120" s="24"/>
    </row>
    <row r="1121" spans="14:14" ht="13.5" x14ac:dyDescent="0.25">
      <c r="N1121" s="24"/>
    </row>
    <row r="1122" spans="14:14" ht="13.5" x14ac:dyDescent="0.25">
      <c r="N1122" s="24"/>
    </row>
    <row r="1123" spans="14:14" ht="13.5" x14ac:dyDescent="0.25">
      <c r="N1123" s="24"/>
    </row>
    <row r="1124" spans="14:14" ht="13.5" x14ac:dyDescent="0.25">
      <c r="N1124" s="24"/>
    </row>
    <row r="1125" spans="14:14" ht="13.5" x14ac:dyDescent="0.25">
      <c r="N1125" s="24"/>
    </row>
    <row r="1126" spans="14:14" ht="13.5" x14ac:dyDescent="0.25">
      <c r="N1126" s="24"/>
    </row>
    <row r="1127" spans="14:14" ht="13.5" x14ac:dyDescent="0.25">
      <c r="N1127" s="24"/>
    </row>
    <row r="1128" spans="14:14" ht="13.5" x14ac:dyDescent="0.25">
      <c r="N1128" s="24"/>
    </row>
    <row r="1129" spans="14:14" ht="13.5" x14ac:dyDescent="0.25">
      <c r="N1129" s="24"/>
    </row>
    <row r="1130" spans="14:14" ht="13.5" x14ac:dyDescent="0.25">
      <c r="N1130" s="24"/>
    </row>
    <row r="1131" spans="14:14" ht="13.5" x14ac:dyDescent="0.25">
      <c r="N1131" s="24"/>
    </row>
    <row r="1132" spans="14:14" ht="13.5" x14ac:dyDescent="0.25">
      <c r="N1132" s="24"/>
    </row>
    <row r="1133" spans="14:14" ht="13.5" x14ac:dyDescent="0.25">
      <c r="N1133" s="24"/>
    </row>
    <row r="1134" spans="14:14" ht="13.5" x14ac:dyDescent="0.25">
      <c r="N1134" s="24"/>
    </row>
    <row r="1135" spans="14:14" ht="13.5" x14ac:dyDescent="0.25">
      <c r="N1135" s="24"/>
    </row>
    <row r="1136" spans="14:14" ht="13.5" x14ac:dyDescent="0.25">
      <c r="N1136" s="24"/>
    </row>
    <row r="1137" spans="14:14" ht="13.5" x14ac:dyDescent="0.25">
      <c r="N1137" s="24"/>
    </row>
    <row r="1138" spans="14:14" ht="13.5" x14ac:dyDescent="0.25">
      <c r="N1138" s="24"/>
    </row>
    <row r="1139" spans="14:14" ht="13.5" x14ac:dyDescent="0.25">
      <c r="N1139" s="24"/>
    </row>
    <row r="1140" spans="14:14" ht="13.5" x14ac:dyDescent="0.25">
      <c r="N1140" s="24"/>
    </row>
    <row r="1141" spans="14:14" ht="13.5" x14ac:dyDescent="0.25">
      <c r="N1141" s="24"/>
    </row>
    <row r="1142" spans="14:14" ht="13.5" x14ac:dyDescent="0.25">
      <c r="N1142" s="24"/>
    </row>
    <row r="1143" spans="14:14" ht="13.5" x14ac:dyDescent="0.25">
      <c r="N1143" s="24"/>
    </row>
    <row r="1144" spans="14:14" ht="13.5" x14ac:dyDescent="0.25">
      <c r="N1144" s="24"/>
    </row>
    <row r="1145" spans="14:14" ht="13.5" x14ac:dyDescent="0.25">
      <c r="N1145" s="24"/>
    </row>
    <row r="1146" spans="14:14" ht="13.5" x14ac:dyDescent="0.25">
      <c r="N1146" s="24"/>
    </row>
    <row r="1147" spans="14:14" ht="13.5" x14ac:dyDescent="0.25">
      <c r="N1147" s="24"/>
    </row>
    <row r="1148" spans="14:14" ht="13.5" x14ac:dyDescent="0.25">
      <c r="N1148" s="24"/>
    </row>
    <row r="1149" spans="14:14" ht="13.5" x14ac:dyDescent="0.25">
      <c r="N1149" s="24"/>
    </row>
    <row r="1150" spans="14:14" ht="13.5" x14ac:dyDescent="0.25">
      <c r="N1150" s="24"/>
    </row>
    <row r="1151" spans="14:14" ht="13.5" x14ac:dyDescent="0.25">
      <c r="N1151" s="24"/>
    </row>
    <row r="1152" spans="14:14" ht="13.5" x14ac:dyDescent="0.25">
      <c r="N1152" s="24"/>
    </row>
    <row r="1153" spans="14:14" ht="13.5" x14ac:dyDescent="0.25">
      <c r="N1153" s="24"/>
    </row>
    <row r="1154" spans="14:14" ht="13.5" x14ac:dyDescent="0.25">
      <c r="N1154" s="24"/>
    </row>
    <row r="1155" spans="14:14" ht="13.5" x14ac:dyDescent="0.25">
      <c r="N1155" s="24"/>
    </row>
    <row r="1156" spans="14:14" ht="13.5" x14ac:dyDescent="0.25">
      <c r="N1156" s="24"/>
    </row>
    <row r="1157" spans="14:14" ht="13.5" x14ac:dyDescent="0.25">
      <c r="N1157" s="24"/>
    </row>
    <row r="1158" spans="14:14" ht="13.5" x14ac:dyDescent="0.25">
      <c r="N1158" s="24"/>
    </row>
    <row r="1159" spans="14:14" ht="13.5" x14ac:dyDescent="0.25">
      <c r="N1159" s="24"/>
    </row>
    <row r="1160" spans="14:14" ht="13.5" x14ac:dyDescent="0.25">
      <c r="N1160" s="24"/>
    </row>
    <row r="1161" spans="14:14" ht="13.5" x14ac:dyDescent="0.25">
      <c r="N1161" s="24"/>
    </row>
    <row r="1162" spans="14:14" ht="13.5" x14ac:dyDescent="0.25">
      <c r="N1162" s="24"/>
    </row>
    <row r="1163" spans="14:14" ht="13.5" x14ac:dyDescent="0.25">
      <c r="N1163" s="24"/>
    </row>
    <row r="1164" spans="14:14" ht="13.5" x14ac:dyDescent="0.25">
      <c r="N1164" s="24"/>
    </row>
    <row r="1165" spans="14:14" ht="13.5" x14ac:dyDescent="0.25">
      <c r="N1165" s="24"/>
    </row>
    <row r="1166" spans="14:14" ht="13.5" x14ac:dyDescent="0.25">
      <c r="N1166" s="24"/>
    </row>
    <row r="1167" spans="14:14" ht="13.5" x14ac:dyDescent="0.25">
      <c r="N1167" s="24"/>
    </row>
    <row r="1168" spans="14:14" ht="13.5" x14ac:dyDescent="0.25">
      <c r="N1168" s="24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85725</xdr:colOff>
                    <xdr:row>1</xdr:row>
                    <xdr:rowOff>19050</xdr:rowOff>
                  </from>
                  <to>
                    <xdr:col>8</xdr:col>
                    <xdr:colOff>257175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751"/>
  <sheetViews>
    <sheetView workbookViewId="0">
      <selection activeCell="C19" sqref="C19"/>
    </sheetView>
  </sheetViews>
  <sheetFormatPr defaultRowHeight="12.75" x14ac:dyDescent="0.2"/>
  <cols>
    <col min="1" max="1" width="3.140625" style="12" customWidth="1"/>
    <col min="2" max="2" width="10.5703125" style="213" customWidth="1"/>
    <col min="3" max="3" width="10.140625" style="41" customWidth="1"/>
    <col min="4" max="5" width="10.140625" style="12" customWidth="1"/>
    <col min="6" max="6" width="10.5703125" style="125" bestFit="1" customWidth="1"/>
    <col min="7" max="12" width="10.140625" style="12" customWidth="1"/>
    <col min="13" max="13" width="9.140625" style="226"/>
    <col min="14" max="14" width="9.7109375" style="226" customWidth="1"/>
    <col min="15" max="15" width="9.140625" style="226"/>
    <col min="16" max="16" width="9.140625" style="227"/>
    <col min="17" max="17" width="9.140625" style="217"/>
    <col min="18" max="18" width="9.140625" style="228"/>
    <col min="19" max="19" width="9.140625" style="226"/>
    <col min="20" max="20" width="9.140625" style="217"/>
    <col min="21" max="22" width="9.140625" style="226"/>
    <col min="23" max="26" width="9.140625" style="229"/>
    <col min="27" max="27" width="9.140625" style="226"/>
    <col min="28" max="28" width="11.7109375" style="229" customWidth="1"/>
    <col min="29" max="29" width="9.140625" style="226"/>
    <col min="30" max="16384" width="9.140625" style="12"/>
  </cols>
  <sheetData>
    <row r="1" spans="2:33" s="4" customFormat="1" ht="39.75" customHeight="1" x14ac:dyDescent="0.2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242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242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">
      <c r="B2" s="213">
        <f>DATE(YEAR(Inputs!$K$7),MONTH(Inputs!$K$7)+1,1)</f>
        <v>36708</v>
      </c>
      <c r="C2" s="212" t="str">
        <f>[1]!'MAL/CLS1 4 12 7 23'</f>
        <v>1550.75</v>
      </c>
      <c r="D2" s="212" t="str">
        <f>[1]!'MCU/CLS1 4 12 7 23'</f>
        <v>1854.00</v>
      </c>
      <c r="E2" s="212" t="str">
        <f>[1]!'MPB/CLS1 4 12 6 23'</f>
        <v>472.50</v>
      </c>
      <c r="F2" s="123" t="str">
        <f>[1]!'MNI/CLS1 4 12 4 23'</f>
        <v>7856</v>
      </c>
      <c r="G2" s="212">
        <f>[1]!'MAG/CLS1 4 12 6 23'/100</f>
        <v>4.9000000000000004</v>
      </c>
      <c r="H2" s="212" t="str">
        <f>[1]!'MSN/CLS1 4 12 7 23'</f>
        <v>5260.00</v>
      </c>
      <c r="I2" s="212" t="str">
        <f>[1]!'MZN/CLS1 4 12 7 23'</f>
        <v>1152.50</v>
      </c>
      <c r="J2" s="248">
        <v>279.7</v>
      </c>
      <c r="K2" s="249">
        <v>847</v>
      </c>
      <c r="L2" s="212">
        <v>87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223">
        <v>0.12803917870848708</v>
      </c>
      <c r="R2" s="41">
        <v>8.8667485398350912E-2</v>
      </c>
      <c r="S2" s="41">
        <v>0.15262752640177774</v>
      </c>
      <c r="T2" s="223">
        <v>0.15986626198009268</v>
      </c>
      <c r="U2" s="41">
        <v>0.4477617495209516</v>
      </c>
      <c r="V2" s="41">
        <v>0.18751200041190122</v>
      </c>
      <c r="W2" s="41"/>
      <c r="X2" s="41"/>
      <c r="Y2" s="41"/>
      <c r="Z2" s="41"/>
      <c r="AA2" s="41"/>
      <c r="AB2" s="41"/>
      <c r="AC2" s="41"/>
      <c r="AD2" s="214"/>
      <c r="AE2" s="17"/>
      <c r="AF2" s="17"/>
      <c r="AG2" s="17"/>
    </row>
    <row r="3" spans="2:33" x14ac:dyDescent="0.2">
      <c r="B3" s="213">
        <f>DATE(YEAR(B2),MONTH(B2)+1,1)</f>
        <v>36739</v>
      </c>
      <c r="C3" s="212" t="str">
        <f>[1]!'MAL/CLS1 5 7 7 23'</f>
        <v>1556.75</v>
      </c>
      <c r="D3" s="212" t="str">
        <f>[1]!'MCU/CLS1 5 7 7 23'</f>
        <v>1860.50</v>
      </c>
      <c r="E3" s="212" t="str">
        <f>[1]!'MPB/CLS1 5 8 6 23'</f>
        <v>476.00</v>
      </c>
      <c r="F3" s="123" t="str">
        <f>[1]!'MNI/CLS1 5 10 4 23'</f>
        <v>7870</v>
      </c>
      <c r="G3" s="212">
        <f>[1]!'MAG/CLS1 5 7 7 23'/100</f>
        <v>4.91</v>
      </c>
      <c r="H3" s="212" t="str">
        <f>[1]!'MSN/CLS1 5 7 7 23'</f>
        <v>5276.00</v>
      </c>
      <c r="I3" s="212" t="str">
        <f>[1]!'MZN/CLS1 5 7 7 23'</f>
        <v>1156.00</v>
      </c>
      <c r="J3" s="248">
        <v>279.7</v>
      </c>
      <c r="K3" s="249">
        <v>847</v>
      </c>
      <c r="L3" s="212">
        <v>87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223">
        <v>0.12803917870848708</v>
      </c>
      <c r="R3" s="41">
        <v>7.7948949059375924E-2</v>
      </c>
      <c r="S3" s="41">
        <v>0.14845783587299705</v>
      </c>
      <c r="T3" s="223">
        <v>0.15986626198009268</v>
      </c>
      <c r="U3" s="41">
        <v>0.4477617495209516</v>
      </c>
      <c r="V3" s="41">
        <v>0.18448491954760868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">
      <c r="B4" s="213">
        <f t="shared" ref="B4:B19" si="0">DATE(YEAR(B3),MONTH(B3)+1,1)</f>
        <v>36770</v>
      </c>
      <c r="C4" s="212" t="str">
        <f>[1]!'MAL/CLS1 6 7 7 23'</f>
        <v>1566.25</v>
      </c>
      <c r="D4" s="212" t="str">
        <f>[1]!'MCU/CLS1 6 7 7 23'</f>
        <v>1871.75</v>
      </c>
      <c r="E4" s="212" t="str">
        <f>[1]!'MPB/CLS1 6 8 6 23'</f>
        <v>479.75</v>
      </c>
      <c r="F4" s="123" t="str">
        <f>[1]!'MNI/CLS1 6 10 4 23'</f>
        <v>7850</v>
      </c>
      <c r="G4" s="212">
        <f>[1]!'MAG/CLS1 6 7 7 23'/100</f>
        <v>4.93</v>
      </c>
      <c r="H4" s="212" t="str">
        <f>[1]!'MSN/CLS1 6 7 7 23'</f>
        <v>5290.00</v>
      </c>
      <c r="I4" s="212" t="str">
        <f>[1]!'MZN/CLS1 6 7 7 23'</f>
        <v>1164.75</v>
      </c>
      <c r="J4" s="248">
        <v>282.89999999999998</v>
      </c>
      <c r="K4" s="249">
        <v>885</v>
      </c>
      <c r="L4" s="212">
        <v>87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223">
        <v>0.13633056083665973</v>
      </c>
      <c r="R4" s="41">
        <v>7.543659696173384E-2</v>
      </c>
      <c r="S4" s="41">
        <v>0.14581952274047347</v>
      </c>
      <c r="T4" s="223">
        <v>0.15628394588850597</v>
      </c>
      <c r="U4" s="41">
        <v>0.44984278502506675</v>
      </c>
      <c r="V4" s="41">
        <v>0.18169266792017938</v>
      </c>
      <c r="W4" s="41"/>
      <c r="X4" s="41"/>
      <c r="Y4" s="41"/>
      <c r="Z4" s="41"/>
      <c r="AA4" s="41"/>
      <c r="AB4" s="41"/>
      <c r="AC4" s="41"/>
      <c r="AD4" s="214"/>
      <c r="AE4" s="17"/>
      <c r="AF4" s="17"/>
      <c r="AG4" s="17"/>
    </row>
    <row r="5" spans="2:33" x14ac:dyDescent="0.2">
      <c r="B5" s="213">
        <f t="shared" si="0"/>
        <v>36800</v>
      </c>
      <c r="C5" s="212" t="str">
        <f>[1]!'MAL/CLS1 7 7 7 23'</f>
        <v>1569.00</v>
      </c>
      <c r="D5" s="212" t="str">
        <f>[1]!'MCU/CLS1 7 7 7 23'</f>
        <v>1879.25</v>
      </c>
      <c r="E5" s="212" t="str">
        <f>[1]!'MPB/CLS1 6 8 6 23'</f>
        <v>479.75</v>
      </c>
      <c r="F5" s="123" t="str">
        <f>[1]!'MNI/CLS1 7 10 4 23'</f>
        <v>7795</v>
      </c>
      <c r="G5" s="212">
        <f>[1]!'MAG/CLS1 7 7 7 23'/100</f>
        <v>4.9450000000000003</v>
      </c>
      <c r="H5" s="212" t="str">
        <f>[1]!'MSN/CLS1 7 7 7 23'</f>
        <v>5302.00</v>
      </c>
      <c r="I5" s="212" t="str">
        <f>[1]!'MZN/CLS1 7 7 7 23'</f>
        <v>1166.75</v>
      </c>
      <c r="J5" s="248">
        <v>282.89999999999998</v>
      </c>
      <c r="K5" s="249">
        <v>885</v>
      </c>
      <c r="L5" s="212">
        <v>87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223">
        <v>0.13633056083665973</v>
      </c>
      <c r="R5" s="41">
        <v>7.3617925396293166E-2</v>
      </c>
      <c r="S5" s="41">
        <v>0.14009623875536742</v>
      </c>
      <c r="T5" s="223">
        <v>0.15628394588850597</v>
      </c>
      <c r="U5" s="41">
        <v>0.44984278502506675</v>
      </c>
      <c r="V5" s="41">
        <v>0.17861717366587657</v>
      </c>
      <c r="W5" s="41"/>
      <c r="X5" s="41"/>
      <c r="Y5" s="41"/>
      <c r="Z5" s="41"/>
      <c r="AA5" s="41"/>
      <c r="AB5" s="41"/>
      <c r="AC5" s="41"/>
      <c r="AD5" s="214"/>
      <c r="AE5" s="17"/>
      <c r="AF5" s="17"/>
      <c r="AG5" s="17"/>
    </row>
    <row r="6" spans="2:33" x14ac:dyDescent="0.2">
      <c r="B6" s="213">
        <f t="shared" si="0"/>
        <v>36831</v>
      </c>
      <c r="C6" s="212" t="str">
        <f>[1]!'MAL/CLS1 8 7 7 23'</f>
        <v>1570.00</v>
      </c>
      <c r="D6" s="212" t="str">
        <f>[1]!'MCU/CLS1 8 7 7 23'</f>
        <v>1884.75</v>
      </c>
      <c r="E6" s="212" t="str">
        <f>[1]!'MPB/CLS1 8 8 6 23'</f>
        <v>484.25</v>
      </c>
      <c r="F6" s="123" t="str">
        <f>[1]!'MNI/CLS1 8 10 4 23'</f>
        <v>7730</v>
      </c>
      <c r="G6" s="212">
        <f>[1]!'MAG/CLS1 8 7 7 23'/100</f>
        <v>4.95</v>
      </c>
      <c r="H6" s="212" t="str">
        <f>[1]!'MSN/CLS1 8 7 7 23'</f>
        <v>5313.00</v>
      </c>
      <c r="I6" s="212" t="str">
        <f>[1]!'MZN/CLS1 8 7 7 23'</f>
        <v>1168.00</v>
      </c>
      <c r="J6" s="248">
        <v>285.89999999999998</v>
      </c>
      <c r="K6" s="249">
        <v>920</v>
      </c>
      <c r="L6" s="212">
        <v>87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223">
        <v>0.13721546040934882</v>
      </c>
      <c r="R6" s="41">
        <v>7.2151661614489063E-2</v>
      </c>
      <c r="S6" s="41">
        <v>0.13799367624364509</v>
      </c>
      <c r="T6" s="223">
        <v>0.15537310309862948</v>
      </c>
      <c r="U6" s="41">
        <v>0.42440933775790513</v>
      </c>
      <c r="V6" s="41">
        <v>0.17667788430408912</v>
      </c>
      <c r="W6" s="41"/>
      <c r="X6" s="41"/>
      <c r="Y6" s="41"/>
      <c r="Z6" s="41"/>
      <c r="AA6" s="41"/>
      <c r="AB6" s="41"/>
      <c r="AC6" s="41"/>
      <c r="AD6" s="214"/>
      <c r="AE6" s="17"/>
      <c r="AF6" s="17"/>
      <c r="AG6" s="17"/>
    </row>
    <row r="7" spans="2:33" x14ac:dyDescent="0.2">
      <c r="B7" s="213">
        <f t="shared" si="0"/>
        <v>36861</v>
      </c>
      <c r="C7" s="212" t="str">
        <f>[1]!'MAL/CLS1 9 7 7 23'</f>
        <v>1567.00</v>
      </c>
      <c r="D7" s="212" t="str">
        <f>[1]!'MCU/CLS1 9 7 7 23'</f>
        <v>1887.25</v>
      </c>
      <c r="E7" s="212" t="str">
        <f>[1]!'MPB/CLS1 9 8 6 23'</f>
        <v>486.00</v>
      </c>
      <c r="F7" s="123" t="str">
        <f>[1]!'MNI/CLS1 9 10 4 23'</f>
        <v>7665</v>
      </c>
      <c r="G7" s="212">
        <f>[1]!'MAG/CLS1 9 7 7 23'/100</f>
        <v>4.95</v>
      </c>
      <c r="H7" s="212" t="str">
        <f>[1]!'MSN/CLS1 9 7 7 23'</f>
        <v>5323.00</v>
      </c>
      <c r="I7" s="212" t="str">
        <f>[1]!'MZN/CLS1 9 7 7 23'</f>
        <v>1169.00</v>
      </c>
      <c r="J7" s="248">
        <v>285.89999999999998</v>
      </c>
      <c r="K7" s="249">
        <v>920</v>
      </c>
      <c r="L7" s="212">
        <v>87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223">
        <v>0.13721546040934882</v>
      </c>
      <c r="R7" s="41">
        <v>7.0995124968545056E-2</v>
      </c>
      <c r="S7" s="41">
        <v>0.1354859055782594</v>
      </c>
      <c r="T7" s="223">
        <v>0.15537310309862948</v>
      </c>
      <c r="U7" s="41">
        <v>0.42440933775790513</v>
      </c>
      <c r="V7" s="41">
        <v>0.17470084459759788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">
      <c r="B8" s="213">
        <f t="shared" si="0"/>
        <v>36892</v>
      </c>
      <c r="C8" s="212" t="str">
        <f>[1]!'MAL/CLS1 10 7 7 23'</f>
        <v>1562.25</v>
      </c>
      <c r="D8" s="212" t="str">
        <f>[1]!'MCU/CLS1 10 7 7 23'</f>
        <v>1885.00</v>
      </c>
      <c r="E8" s="212" t="str">
        <f>[1]!'MPB/CLS1 10 8 6 23'</f>
        <v>487.25</v>
      </c>
      <c r="F8" s="123" t="str">
        <f>[1]!'MNI/CLS1 10 10 4 23'</f>
        <v>7580</v>
      </c>
      <c r="G8" s="212">
        <f>[1]!'MAG/CLS1 10 7 7 23'/100</f>
        <v>4.95</v>
      </c>
      <c r="H8" s="212" t="str">
        <f>[1]!'MSN/CLS1 10 7 7 23'</f>
        <v>5330.00</v>
      </c>
      <c r="I8" s="212" t="str">
        <f>[1]!'MZN/CLS1 10 7 7 23'</f>
        <v>1167.50</v>
      </c>
      <c r="J8" s="248">
        <v>288.5</v>
      </c>
      <c r="K8" s="249">
        <v>943</v>
      </c>
      <c r="L8" s="212">
        <v>87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223">
        <v>0.12207188421164467</v>
      </c>
      <c r="R8" s="41">
        <v>7.0147211478152768E-2</v>
      </c>
      <c r="S8" s="41">
        <v>0.13293081494325792</v>
      </c>
      <c r="T8" s="223">
        <v>0.1561433880896704</v>
      </c>
      <c r="U8" s="41">
        <v>0.39756992606358715</v>
      </c>
      <c r="V8" s="41">
        <v>0.17158828648111807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">
      <c r="B9" s="213">
        <f t="shared" si="0"/>
        <v>36923</v>
      </c>
      <c r="C9" s="212" t="str">
        <f>[1]!'MAL/CLS1 11 7 7 23'</f>
        <v>1557.50</v>
      </c>
      <c r="D9" s="212" t="str">
        <f>[1]!'MCU/CLS1 11 7 7 23'</f>
        <v>1882.75</v>
      </c>
      <c r="E9" s="212" t="str">
        <f>[1]!'MPB/CLS1 11 8 6 23'</f>
        <v>488.50</v>
      </c>
      <c r="F9" s="123" t="str">
        <f>[1]!'MNI/CLS1 11 10 4 23'</f>
        <v>7495</v>
      </c>
      <c r="G9" s="212">
        <f>[1]!'MAG/CLS1 11 7 7 23'/100</f>
        <v>4.95</v>
      </c>
      <c r="H9" s="212" t="str">
        <f>[1]!'MSN/CLS1 11 7 7 23'</f>
        <v>5336.00</v>
      </c>
      <c r="I9" s="212" t="str">
        <f>[1]!'MZN/CLS1 11 7 7 23'</f>
        <v>1166.00</v>
      </c>
      <c r="J9" s="248">
        <v>288.5</v>
      </c>
      <c r="K9" s="249">
        <v>943</v>
      </c>
      <c r="L9" s="212">
        <v>87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223">
        <v>0.12207188421164467</v>
      </c>
      <c r="R9" s="41">
        <v>6.949245298981177E-2</v>
      </c>
      <c r="S9" s="41">
        <v>0.13039381861512392</v>
      </c>
      <c r="T9" s="223">
        <v>0.1561433880896704</v>
      </c>
      <c r="U9" s="41">
        <v>0.39756992606358715</v>
      </c>
      <c r="V9" s="41">
        <v>0.16810438813246856</v>
      </c>
      <c r="W9" s="41"/>
      <c r="X9" s="41"/>
      <c r="Y9" s="41"/>
      <c r="Z9" s="41"/>
      <c r="AA9" s="41"/>
      <c r="AB9" s="41"/>
      <c r="AC9" s="41"/>
    </row>
    <row r="10" spans="2:33" x14ac:dyDescent="0.2">
      <c r="B10" s="213">
        <f t="shared" si="0"/>
        <v>36951</v>
      </c>
      <c r="C10" s="212" t="str">
        <f>[1]!'MAL/CLS1 5 23 7 23'</f>
        <v>1553.00</v>
      </c>
      <c r="D10" s="212" t="str">
        <f>[1]!'MCU/CLS1 5 23 7 23'</f>
        <v>1880.50</v>
      </c>
      <c r="E10" s="212" t="str">
        <f>[1]!'MPB/CLS1 5 24 6 23'</f>
        <v>489.75</v>
      </c>
      <c r="F10" s="123" t="str">
        <f>[1]!'MNI/CLS1 5 26 4 23'</f>
        <v>7420</v>
      </c>
      <c r="G10" s="212">
        <f>[1]!'MAG/CLS1 5 23 7 23'/100</f>
        <v>4.95</v>
      </c>
      <c r="H10" s="212" t="str">
        <f>[1]!'MSN/CLS1 5 23 7 23'</f>
        <v>5342.00</v>
      </c>
      <c r="I10" s="212" t="str">
        <f>[1]!'MZN/CLS1 5 23 7 23'</f>
        <v>1164.50</v>
      </c>
      <c r="J10" s="248">
        <v>291.10000000000002</v>
      </c>
      <c r="K10" s="249">
        <v>967</v>
      </c>
      <c r="L10" s="212">
        <v>87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223">
        <v>0.11952550180327462</v>
      </c>
      <c r="R10" s="41">
        <v>6.8952842229290434E-2</v>
      </c>
      <c r="S10" s="41">
        <v>0.12768914852892421</v>
      </c>
      <c r="T10" s="223">
        <v>0.15493712702863296</v>
      </c>
      <c r="U10" s="41">
        <v>0.38679640980792163</v>
      </c>
      <c r="V10" s="41">
        <v>0.16511981384382549</v>
      </c>
      <c r="W10" s="41"/>
      <c r="X10" s="41"/>
      <c r="Y10" s="41"/>
      <c r="Z10" s="41"/>
      <c r="AA10" s="41"/>
      <c r="AB10" s="41"/>
      <c r="AC10" s="41"/>
    </row>
    <row r="11" spans="2:33" x14ac:dyDescent="0.2">
      <c r="B11" s="213">
        <f t="shared" si="0"/>
        <v>36982</v>
      </c>
      <c r="C11" s="212" t="str">
        <f>[1]!'MAL/CLS1 6 23 7 23'</f>
        <v>1548.50</v>
      </c>
      <c r="D11" s="212" t="str">
        <f>[1]!'MCU/CLS1 6 23 7 23'</f>
        <v>1878.75</v>
      </c>
      <c r="E11" s="212" t="str">
        <f>[1]!'MPB/CLS1 6 24 6 23'</f>
        <v>490.75</v>
      </c>
      <c r="F11" s="123" t="str">
        <f>[1]!'MNI/CLS1 6 26 4 23'</f>
        <v>7360</v>
      </c>
      <c r="G11" s="212">
        <f>[1]!'MAG/CLS1 6 23 7 23'/100</f>
        <v>4.95</v>
      </c>
      <c r="H11" s="212" t="str">
        <f>[1]!'MSN/CLS1 6 23 7 23'</f>
        <v>5348.00</v>
      </c>
      <c r="I11" s="212" t="str">
        <f>[1]!'MZN/CLS1 6 23 7 23'</f>
        <v>1163.00</v>
      </c>
      <c r="J11" s="248">
        <v>291.10000000000002</v>
      </c>
      <c r="K11" s="249">
        <v>967</v>
      </c>
      <c r="L11" s="212">
        <v>87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223">
        <v>0.11952550180327462</v>
      </c>
      <c r="R11" s="41">
        <v>6.8332025923955292E-2</v>
      </c>
      <c r="S11" s="41">
        <v>0.12455580874806294</v>
      </c>
      <c r="T11" s="223">
        <v>0.15493712702863296</v>
      </c>
      <c r="U11" s="41">
        <v>0.38679640980792163</v>
      </c>
      <c r="V11" s="41">
        <v>0.16241794916088903</v>
      </c>
      <c r="W11" s="41"/>
      <c r="X11" s="41"/>
      <c r="Y11" s="41"/>
      <c r="Z11" s="41"/>
      <c r="AA11" s="41"/>
      <c r="AB11" s="41"/>
      <c r="AC11" s="41"/>
    </row>
    <row r="12" spans="2:33" x14ac:dyDescent="0.2">
      <c r="B12" s="213">
        <f t="shared" si="0"/>
        <v>37012</v>
      </c>
      <c r="C12" s="212" t="str">
        <f>[1]!'MAL/CLS1 7 23 7 23'</f>
        <v>1545.00</v>
      </c>
      <c r="D12" s="212" t="str">
        <f>[1]!'MCU/CLS1 7 23 7 23'</f>
        <v>1877.00</v>
      </c>
      <c r="E12" s="212" t="str">
        <f>[1]!'MPB/CLS1 6 24 6 23'</f>
        <v>490.75</v>
      </c>
      <c r="F12" s="123" t="str">
        <f>[1]!'MNI/CLS1 7 26 4 23'</f>
        <v>7305</v>
      </c>
      <c r="G12" s="212">
        <f>[1]!'MAG/CLS1 7 23 7 23'/100</f>
        <v>4.95</v>
      </c>
      <c r="H12" s="212" t="str">
        <f>[1]!'MSN/CLS1 7 23 7 23'</f>
        <v>5354.00</v>
      </c>
      <c r="I12" s="212" t="str">
        <f>[1]!'MZN/CLS1 7 23 7 23'</f>
        <v>1161.25</v>
      </c>
      <c r="J12" s="248">
        <v>293.60000000000002</v>
      </c>
      <c r="K12" s="249">
        <v>993</v>
      </c>
      <c r="L12" s="212">
        <v>87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223">
        <v>0.11851228191054274</v>
      </c>
      <c r="R12" s="41">
        <v>6.7732460475046372E-2</v>
      </c>
      <c r="S12" s="41">
        <v>0.12151975196190107</v>
      </c>
      <c r="T12" s="223">
        <v>0.15418734998816722</v>
      </c>
      <c r="U12" s="41">
        <v>0.37741169785624445</v>
      </c>
      <c r="V12" s="41">
        <v>0.16012945708088988</v>
      </c>
      <c r="W12" s="41"/>
      <c r="X12" s="41"/>
      <c r="Y12" s="41"/>
      <c r="Z12" s="41"/>
      <c r="AA12" s="41"/>
      <c r="AB12" s="41"/>
      <c r="AC12" s="41"/>
    </row>
    <row r="13" spans="2:33" x14ac:dyDescent="0.2">
      <c r="B13" s="213">
        <f t="shared" si="0"/>
        <v>37043</v>
      </c>
      <c r="C13" s="212" t="str">
        <f>[1]!'MAL/CLS1 8 23 7 23'</f>
        <v>1541.50</v>
      </c>
      <c r="D13" s="212" t="str">
        <f>[1]!'MCU/CLS1 8 23 7 23'</f>
        <v>1875.25</v>
      </c>
      <c r="E13" s="212" t="str">
        <f>[1]!'MPB/CLS1 8 24 6 23'</f>
        <v>492.75</v>
      </c>
      <c r="F13" s="123" t="str">
        <f>[1]!'MNI/CLS1 8 26 4 23'</f>
        <v>7255</v>
      </c>
      <c r="G13" s="212">
        <f>[1]!'MAG/CLS1 8 23 7 23'/100</f>
        <v>4.95</v>
      </c>
      <c r="H13" s="212" t="str">
        <f>[1]!'MSN/CLS1 8 23 7 23'</f>
        <v>5360.00</v>
      </c>
      <c r="I13" s="212" t="str">
        <f>[1]!'MZN/CLS1 8 23 7 23'</f>
        <v>1159.50</v>
      </c>
      <c r="J13" s="248">
        <v>293.60000000000002</v>
      </c>
      <c r="K13" s="249">
        <v>993</v>
      </c>
      <c r="L13" s="212">
        <v>87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223">
        <v>0.11851228191054274</v>
      </c>
      <c r="R13" s="41">
        <v>6.7154605034871084E-2</v>
      </c>
      <c r="S13" s="41">
        <v>0.11848993613713735</v>
      </c>
      <c r="T13" s="223">
        <v>0.15418734998816722</v>
      </c>
      <c r="U13" s="41">
        <v>0.37741169785624445</v>
      </c>
      <c r="V13" s="41">
        <v>0.15826371672247866</v>
      </c>
      <c r="W13" s="41"/>
      <c r="X13" s="41"/>
      <c r="Y13" s="41"/>
      <c r="Z13" s="41"/>
      <c r="AA13" s="41"/>
      <c r="AB13" s="41"/>
      <c r="AC13" s="41"/>
    </row>
    <row r="14" spans="2:33" x14ac:dyDescent="0.2">
      <c r="B14" s="213">
        <f t="shared" si="0"/>
        <v>37073</v>
      </c>
      <c r="C14" s="212" t="str">
        <f>[1]!'MAL/CLS1 9 23 7 23'</f>
        <v>1538.50</v>
      </c>
      <c r="D14" s="212" t="str">
        <f>[1]!'MCU/CLS1 9 23 7 23'</f>
        <v>1873.75</v>
      </c>
      <c r="E14" s="212" t="str">
        <f>[1]!'MPB/CLS1 9 24 6 23'</f>
        <v>493.75</v>
      </c>
      <c r="F14" s="123" t="str">
        <f>[1]!'MNI/CLS1 9 26 4 23'</f>
        <v>7205</v>
      </c>
      <c r="G14" s="212">
        <f>[1]!'MAG/CLS1 9 23 7 23'/100</f>
        <v>4.95</v>
      </c>
      <c r="H14" s="212" t="str">
        <f>[1]!'MSN/CLS1 9 23 7 23'</f>
        <v>5365.00</v>
      </c>
      <c r="I14" s="212" t="str">
        <f>[1]!'MZN/CLS1 9 23 7 23'</f>
        <v>1157.75</v>
      </c>
      <c r="J14" s="248">
        <v>296.2</v>
      </c>
      <c r="K14" s="249">
        <v>1028</v>
      </c>
      <c r="L14" s="212">
        <v>87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223">
        <v>0.11851228191054274</v>
      </c>
      <c r="R14" s="41">
        <v>6.6598914230553419E-2</v>
      </c>
      <c r="S14" s="41">
        <v>0.1179755357024314</v>
      </c>
      <c r="T14" s="223">
        <v>0.15279258676609483</v>
      </c>
      <c r="U14" s="41">
        <v>0.36683517019548378</v>
      </c>
      <c r="V14" s="41">
        <v>0.15698782789477855</v>
      </c>
      <c r="W14" s="41"/>
      <c r="X14" s="41"/>
      <c r="Y14" s="41"/>
      <c r="Z14" s="41"/>
      <c r="AA14" s="41"/>
      <c r="AB14" s="41"/>
      <c r="AC14" s="41"/>
    </row>
    <row r="15" spans="2:33" x14ac:dyDescent="0.2">
      <c r="B15" s="213">
        <f t="shared" si="0"/>
        <v>37104</v>
      </c>
      <c r="C15" s="212" t="str">
        <f>[1]!'MAL/CLS1 10 23 7 23'</f>
        <v>1535.50</v>
      </c>
      <c r="D15" s="212" t="str">
        <f>[1]!'MCU/CLS1 10 23 7 23'</f>
        <v>1872.25</v>
      </c>
      <c r="E15" s="212" t="str">
        <f>[1]!'MPB/CLS1 10 24 6 23'</f>
        <v>494.75</v>
      </c>
      <c r="F15" s="123" t="str">
        <f>[1]!'MNI/CLS1 10 26 4 23'</f>
        <v>7155</v>
      </c>
      <c r="G15" s="212">
        <f>[1]!'MAG/CLS1 10 23 7 23'/100</f>
        <v>4.95</v>
      </c>
      <c r="H15" s="212" t="str">
        <f>[1]!'MSN/CLS1 10 23 7 23'</f>
        <v>5370.00</v>
      </c>
      <c r="I15" s="212" t="str">
        <f>[1]!'MZN/CLS1 10 23 7 23'</f>
        <v>1156.00</v>
      </c>
      <c r="J15" s="248">
        <v>296.2</v>
      </c>
      <c r="K15" s="249">
        <v>1028</v>
      </c>
      <c r="L15" s="212">
        <v>87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223">
        <v>0.11851228191054274</v>
      </c>
      <c r="R15" s="41">
        <v>6.6065836454332685E-2</v>
      </c>
      <c r="S15" s="41">
        <v>0.1152371740358724</v>
      </c>
      <c r="T15" s="223">
        <v>0.15279258676609483</v>
      </c>
      <c r="U15" s="41">
        <v>0.36683517019548378</v>
      </c>
      <c r="V15" s="41">
        <v>0.15537866304213213</v>
      </c>
      <c r="W15" s="41"/>
      <c r="X15" s="41"/>
      <c r="Y15" s="41"/>
      <c r="Z15" s="41"/>
      <c r="AA15" s="41"/>
      <c r="AB15" s="41"/>
      <c r="AC15" s="41"/>
    </row>
    <row r="16" spans="2:33" s="236" customFormat="1" x14ac:dyDescent="0.2">
      <c r="B16" s="237">
        <f t="shared" si="0"/>
        <v>37135</v>
      </c>
      <c r="C16" s="257" t="str">
        <f>[1]!'MAL/CLS1 11 23 7 23'</f>
        <v>1532.50</v>
      </c>
      <c r="D16" s="257" t="str">
        <f>[1]!'MCU/CLS1 11 23 7 23'</f>
        <v>1870.75</v>
      </c>
      <c r="E16" s="257" t="str">
        <f>[1]!'MPB/CLS1 11 24 6 23'</f>
        <v>495.50</v>
      </c>
      <c r="F16" s="123" t="str">
        <f>[1]!'MNI/CLS1 11 26 4 23'</f>
        <v>7120</v>
      </c>
      <c r="G16" s="257">
        <f>[1]!'MAG/CLS1 11 23 7 23'/100</f>
        <v>4.95</v>
      </c>
      <c r="H16" s="257" t="str">
        <f>[1]!'MSN/CLS1 11 23 7 23'</f>
        <v>5375.00</v>
      </c>
      <c r="I16" s="257" t="str">
        <f>[1]!'MZN/CLS1 11 23 7 23'</f>
        <v>1154.25</v>
      </c>
      <c r="J16" s="248">
        <v>298.7</v>
      </c>
      <c r="K16" s="249">
        <v>1028</v>
      </c>
      <c r="L16" s="212">
        <v>87</v>
      </c>
      <c r="M16" s="258">
        <v>0.16414402363847264</v>
      </c>
      <c r="N16" s="258">
        <v>0.15379141700985116</v>
      </c>
      <c r="O16" s="258">
        <v>0.11224098893320893</v>
      </c>
      <c r="P16" s="258">
        <v>0.38858294116466396</v>
      </c>
      <c r="Q16" s="259">
        <v>0.11851228191054274</v>
      </c>
      <c r="R16" s="258">
        <v>6.5555812065799635E-2</v>
      </c>
      <c r="S16" s="258">
        <v>0.11273686184438793</v>
      </c>
      <c r="T16" s="259">
        <v>0.15140356641191741</v>
      </c>
      <c r="U16" s="258">
        <v>0.36683517019548378</v>
      </c>
      <c r="V16" s="258">
        <v>0.15379141700985116</v>
      </c>
      <c r="W16" s="258"/>
      <c r="X16" s="258"/>
      <c r="Y16" s="258"/>
      <c r="Z16" s="258"/>
      <c r="AA16" s="258"/>
      <c r="AB16" s="258"/>
      <c r="AC16" s="258"/>
    </row>
    <row r="17" spans="1:29" s="216" customFormat="1" x14ac:dyDescent="0.2">
      <c r="B17" s="215">
        <f t="shared" si="0"/>
        <v>37165</v>
      </c>
      <c r="C17" s="233" t="str">
        <f>[1]!'MAL/CLS1 5 39 7 23'</f>
        <v>1529.50</v>
      </c>
      <c r="D17" s="233" t="str">
        <f>[1]!'MCU/CLS1 5 39 7 23'</f>
        <v>1869.25</v>
      </c>
      <c r="E17" s="233" t="str">
        <f>E16</f>
        <v>495.50</v>
      </c>
      <c r="F17" s="238" t="str">
        <f>[1]!'MNI/CLS1 5 42 4 23'</f>
        <v>7085</v>
      </c>
      <c r="G17" s="233">
        <f>G16</f>
        <v>4.95</v>
      </c>
      <c r="H17" s="233" t="str">
        <f>[1]!'MSN/CLS1 5 39 7 23'</f>
        <v>5380.00</v>
      </c>
      <c r="I17" s="233" t="str">
        <f>[1]!'MZN/CLS1 5 39 7 23'</f>
        <v>1152.50</v>
      </c>
      <c r="J17" s="248">
        <v>298.7</v>
      </c>
      <c r="K17" s="249">
        <v>1028</v>
      </c>
      <c r="L17" s="212">
        <v>87</v>
      </c>
      <c r="M17" s="235">
        <v>0.15879672901585598</v>
      </c>
      <c r="N17" s="235">
        <v>0.15194227713960623</v>
      </c>
      <c r="O17" s="235">
        <v>0.11224098893320893</v>
      </c>
      <c r="P17" s="235">
        <v>0.38587386742952545</v>
      </c>
      <c r="Q17" s="241">
        <v>0.11851228191054274</v>
      </c>
      <c r="R17" s="235">
        <v>6.5555812065799635E-2</v>
      </c>
      <c r="S17" s="235">
        <v>0.11043061361630832</v>
      </c>
      <c r="T17" s="241">
        <v>0.15140356641191741</v>
      </c>
      <c r="U17" s="235">
        <v>0.36683517019548378</v>
      </c>
      <c r="V17" s="235">
        <v>0.15194227713960623</v>
      </c>
      <c r="W17" s="235"/>
      <c r="X17" s="235"/>
      <c r="Y17" s="235"/>
      <c r="Z17" s="235"/>
      <c r="AA17" s="235"/>
      <c r="AB17" s="235"/>
      <c r="AC17" s="235"/>
    </row>
    <row r="18" spans="1:29" x14ac:dyDescent="0.2">
      <c r="B18" s="213">
        <f t="shared" si="0"/>
        <v>37196</v>
      </c>
      <c r="C18" s="212" t="str">
        <f>[1]!'MAL/CLS1 7 39 7 23'</f>
        <v>1523.50</v>
      </c>
      <c r="D18" s="212" t="str">
        <f>[1]!'MCU/CLS1 7 39 7 23'</f>
        <v>1866.25</v>
      </c>
      <c r="E18" s="212" t="str">
        <f>E17</f>
        <v>495.50</v>
      </c>
      <c r="F18" s="123" t="str">
        <f>[1]!'MNI/CLS1 7 42 4 23'</f>
        <v>7015</v>
      </c>
      <c r="G18" s="212">
        <f t="shared" ref="G18:G80" si="1">G17</f>
        <v>4.95</v>
      </c>
      <c r="H18" s="212" t="str">
        <f>H17</f>
        <v>5380.00</v>
      </c>
      <c r="I18" s="212" t="str">
        <f>[1]!'MZN/CLS1 7 39 7 23'</f>
        <v>1149.00</v>
      </c>
      <c r="J18" s="248">
        <v>301.3</v>
      </c>
      <c r="K18" s="249">
        <v>1028</v>
      </c>
      <c r="L18" s="212">
        <v>87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223">
        <v>0.11851228191054274</v>
      </c>
      <c r="R18" s="41">
        <v>6.5555812065799635E-2</v>
      </c>
      <c r="S18" s="41">
        <v>0.10811788284103697</v>
      </c>
      <c r="T18" s="223">
        <v>0.15110229930240787</v>
      </c>
      <c r="U18" s="41">
        <v>0.36683517019548378</v>
      </c>
      <c r="V18" s="41">
        <v>0.15034032019187726</v>
      </c>
      <c r="W18" s="41"/>
      <c r="X18" s="41"/>
      <c r="Y18" s="41"/>
      <c r="Z18" s="41"/>
      <c r="AA18" s="41"/>
      <c r="AB18" s="41"/>
      <c r="AC18" s="41"/>
    </row>
    <row r="19" spans="1:29" x14ac:dyDescent="0.2">
      <c r="B19" s="213">
        <f t="shared" si="0"/>
        <v>37226</v>
      </c>
      <c r="C19" s="212" t="str">
        <f>[1]!'MAL/CLS1 7 39 7 23'</f>
        <v>1523.50</v>
      </c>
      <c r="D19" s="212" t="str">
        <f>[1]!'MCU/CLS1 7 39 7 23'</f>
        <v>1866.25</v>
      </c>
      <c r="E19" s="212" t="str">
        <f t="shared" ref="E19:E80" si="2">E18</f>
        <v>495.50</v>
      </c>
      <c r="F19" s="123" t="str">
        <f>[1]!'MNI/CLS1 7 42 4 23'</f>
        <v>7015</v>
      </c>
      <c r="G19" s="212">
        <f t="shared" si="1"/>
        <v>4.95</v>
      </c>
      <c r="H19" s="212" t="str">
        <f t="shared" ref="H19:H80" si="3">H18</f>
        <v>5380.00</v>
      </c>
      <c r="I19" s="212" t="str">
        <f>[1]!'MZN/CLS1 7 39 7 23'</f>
        <v>1149.00</v>
      </c>
      <c r="J19" s="248">
        <v>301.3</v>
      </c>
      <c r="K19" s="249">
        <v>1028</v>
      </c>
      <c r="L19" s="212">
        <v>87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223">
        <v>0.11851228191054274</v>
      </c>
      <c r="R19" s="41">
        <v>6.5555812065799635E-2</v>
      </c>
      <c r="S19" s="41">
        <v>0.1060837265382728</v>
      </c>
      <c r="T19" s="223">
        <v>0.15110229930240787</v>
      </c>
      <c r="U19" s="41">
        <v>0.36683517019548378</v>
      </c>
      <c r="V19" s="41">
        <v>0.14874798679703755</v>
      </c>
      <c r="W19" s="41"/>
      <c r="X19" s="41"/>
      <c r="Y19" s="41"/>
      <c r="Z19" s="41"/>
      <c r="AA19" s="41"/>
      <c r="AB19" s="41"/>
      <c r="AC19" s="41"/>
    </row>
    <row r="20" spans="1:29" x14ac:dyDescent="0.2">
      <c r="B20" s="213">
        <f t="shared" ref="B20:B35" si="4">DATE(YEAR(B19),MONTH(B19)+1,1)</f>
        <v>37257</v>
      </c>
      <c r="C20" s="212" t="str">
        <f>[1]!'MAL/CLS1 8 39 7 23'</f>
        <v>1522.50</v>
      </c>
      <c r="D20" s="212" t="str">
        <f>[1]!'MCU/CLS1 8 39 7 23'</f>
        <v>1865.25</v>
      </c>
      <c r="E20" s="212" t="str">
        <f t="shared" si="2"/>
        <v>495.50</v>
      </c>
      <c r="F20" s="123" t="str">
        <f>[1]!'MNI/CLS1 8 42 4 23'</f>
        <v>6975</v>
      </c>
      <c r="G20" s="212">
        <f t="shared" si="1"/>
        <v>4.95</v>
      </c>
      <c r="H20" s="212" t="str">
        <f t="shared" si="3"/>
        <v>5380.00</v>
      </c>
      <c r="I20" s="212" t="str">
        <f>[1]!'MZN/CLS1 8 39 7 23'</f>
        <v>1147.00</v>
      </c>
      <c r="J20" s="248">
        <v>303.8</v>
      </c>
      <c r="K20" s="249">
        <v>1028</v>
      </c>
      <c r="L20" s="212">
        <v>87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223">
        <v>0.11851228191054274</v>
      </c>
      <c r="R20" s="41">
        <v>6.5555812065799635E-2</v>
      </c>
      <c r="S20" s="41">
        <v>0.10465112356670604</v>
      </c>
      <c r="T20" s="223">
        <v>0.15065374224788133</v>
      </c>
      <c r="U20" s="41">
        <v>0.36683517019548378</v>
      </c>
      <c r="V20" s="41">
        <v>0.14782439986008594</v>
      </c>
      <c r="W20" s="41"/>
      <c r="X20" s="41"/>
      <c r="Y20" s="41"/>
      <c r="Z20" s="41"/>
      <c r="AA20" s="41"/>
      <c r="AB20" s="41"/>
      <c r="AC20" s="41"/>
    </row>
    <row r="21" spans="1:29" x14ac:dyDescent="0.2">
      <c r="B21" s="213">
        <f t="shared" si="4"/>
        <v>37288</v>
      </c>
      <c r="C21" s="212" t="str">
        <f>[1]!'MAL/CLS1 9 39 7 23'</f>
        <v>1521.50</v>
      </c>
      <c r="D21" s="212" t="str">
        <f>[1]!'MCU/CLS1 9 39 7 23'</f>
        <v>1864.25</v>
      </c>
      <c r="E21" s="212" t="str">
        <f t="shared" si="2"/>
        <v>495.50</v>
      </c>
      <c r="F21" s="123" t="str">
        <f>[1]!'MNI/CLS1 9 42 4 23'</f>
        <v>6945</v>
      </c>
      <c r="G21" s="212">
        <f t="shared" si="1"/>
        <v>4.95</v>
      </c>
      <c r="H21" s="212" t="str">
        <f t="shared" si="3"/>
        <v>5380.00</v>
      </c>
      <c r="I21" s="212" t="str">
        <f>[1]!'MZN/CLS1 9 39 7 23'</f>
        <v>1145.00</v>
      </c>
      <c r="J21" s="248">
        <v>303.8</v>
      </c>
      <c r="K21" s="249">
        <v>1028</v>
      </c>
      <c r="L21" s="212">
        <v>87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223">
        <v>0.11851228191054274</v>
      </c>
      <c r="R21" s="41">
        <v>6.5555812065799635E-2</v>
      </c>
      <c r="S21" s="41">
        <v>0.10359452561983599</v>
      </c>
      <c r="T21" s="223">
        <v>0.15065374224788133</v>
      </c>
      <c r="U21" s="41">
        <v>0.36683517019548378</v>
      </c>
      <c r="V21" s="41">
        <v>0.14621807286995572</v>
      </c>
      <c r="W21" s="41"/>
      <c r="X21" s="41"/>
      <c r="Y21" s="41"/>
      <c r="Z21" s="41"/>
      <c r="AA21" s="41"/>
      <c r="AB21" s="41"/>
      <c r="AC21" s="41"/>
    </row>
    <row r="22" spans="1:29" x14ac:dyDescent="0.2">
      <c r="B22" s="213">
        <f t="shared" si="4"/>
        <v>37316</v>
      </c>
      <c r="C22" s="212" t="str">
        <f>[1]!'MAL/CLS1 10 39 7 23'</f>
        <v>1520.50</v>
      </c>
      <c r="D22" s="212" t="str">
        <f>[1]!'MCU/CLS1 10 39 7 23'</f>
        <v>1863.25</v>
      </c>
      <c r="E22" s="212" t="str">
        <f t="shared" si="2"/>
        <v>495.50</v>
      </c>
      <c r="F22" s="123" t="str">
        <f>[1]!'MNI/CLS1 10 42 4 23'</f>
        <v>6915</v>
      </c>
      <c r="G22" s="212">
        <f t="shared" si="1"/>
        <v>4.95</v>
      </c>
      <c r="H22" s="212" t="str">
        <f t="shared" si="3"/>
        <v>5380.00</v>
      </c>
      <c r="I22" s="212" t="str">
        <f>[1]!'MZN/CLS1 10 39 7 23'</f>
        <v>1143.25</v>
      </c>
      <c r="J22" s="248">
        <v>306.3</v>
      </c>
      <c r="K22" s="249">
        <v>1028</v>
      </c>
      <c r="L22" s="212">
        <v>87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223">
        <v>0.11851228191054274</v>
      </c>
      <c r="R22" s="41">
        <v>6.5555812065799635E-2</v>
      </c>
      <c r="S22" s="41">
        <v>0.10267327175645956</v>
      </c>
      <c r="T22" s="223">
        <v>0.15035407872830908</v>
      </c>
      <c r="U22" s="41">
        <v>0.36683517019548378</v>
      </c>
      <c r="V22" s="41">
        <v>0.14485527886723429</v>
      </c>
      <c r="W22" s="41"/>
      <c r="X22" s="41"/>
      <c r="Y22" s="41"/>
      <c r="Z22" s="41"/>
      <c r="AA22" s="41"/>
      <c r="AB22" s="41"/>
      <c r="AC22" s="41"/>
    </row>
    <row r="23" spans="1:29" x14ac:dyDescent="0.2">
      <c r="B23" s="213">
        <f t="shared" si="4"/>
        <v>37347</v>
      </c>
      <c r="C23" s="212" t="str">
        <f>[1]!'MAL/CLS1 11 39 7 23'</f>
        <v>1519.50</v>
      </c>
      <c r="D23" s="212" t="str">
        <f>[1]!'MCU/CLS1 11 39 7 23'</f>
        <v>1862.25</v>
      </c>
      <c r="E23" s="212" t="str">
        <f t="shared" si="2"/>
        <v>495.50</v>
      </c>
      <c r="F23" s="123" t="str">
        <f>[1]!'MNI/CLS1 11 42 4 23'</f>
        <v>6890</v>
      </c>
      <c r="G23" s="212">
        <f t="shared" si="1"/>
        <v>4.95</v>
      </c>
      <c r="H23" s="212" t="str">
        <f t="shared" si="3"/>
        <v>5380.00</v>
      </c>
      <c r="I23" s="212" t="str">
        <f>[1]!'MZN/CLS1 11 39 7 23'</f>
        <v>1141.50</v>
      </c>
      <c r="J23" s="248">
        <v>306.3</v>
      </c>
      <c r="K23" s="249">
        <v>1028</v>
      </c>
      <c r="L23" s="212">
        <v>87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223">
        <v>0.11851228191054274</v>
      </c>
      <c r="R23" s="41">
        <v>6.5555812065799635E-2</v>
      </c>
      <c r="S23" s="41">
        <v>0.10177147445774104</v>
      </c>
      <c r="T23" s="223">
        <v>0.15035407872830908</v>
      </c>
      <c r="U23" s="41">
        <v>0.36683517019548378</v>
      </c>
      <c r="V23" s="41">
        <v>0.14350075680209184</v>
      </c>
      <c r="W23" s="41"/>
      <c r="X23" s="41"/>
      <c r="Y23" s="41"/>
      <c r="Z23" s="41"/>
      <c r="AA23" s="41"/>
      <c r="AB23" s="41"/>
      <c r="AC23" s="41"/>
    </row>
    <row r="24" spans="1:29" x14ac:dyDescent="0.2">
      <c r="B24" s="213">
        <f t="shared" si="4"/>
        <v>37377</v>
      </c>
      <c r="C24" s="212" t="str">
        <f>[1]!'MAL/CLS1 5 55 7 23'</f>
        <v>1518.50</v>
      </c>
      <c r="D24" s="212" t="str">
        <f>[1]!'MCU/CLS1 5 55 7 23'</f>
        <v>1861.25</v>
      </c>
      <c r="E24" s="212" t="str">
        <f t="shared" si="2"/>
        <v>495.50</v>
      </c>
      <c r="F24" s="123" t="str">
        <f>[1]!'MNI/CLS1 5 58 4 23'</f>
        <v>6865</v>
      </c>
      <c r="G24" s="212">
        <f t="shared" si="1"/>
        <v>4.95</v>
      </c>
      <c r="H24" s="212" t="str">
        <f t="shared" si="3"/>
        <v>5380.00</v>
      </c>
      <c r="I24" s="212" t="str">
        <f>[1]!'MZN/CLS1 5 55 7 23'</f>
        <v>1139.75</v>
      </c>
      <c r="J24" s="248">
        <v>306.3</v>
      </c>
      <c r="K24" s="249">
        <v>1028</v>
      </c>
      <c r="L24" s="212">
        <v>87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223">
        <v>0.11851228191054274</v>
      </c>
      <c r="R24" s="41">
        <v>6.5555812065799635E-2</v>
      </c>
      <c r="S24" s="41">
        <v>0.10096050570221553</v>
      </c>
      <c r="T24" s="223">
        <v>0.15035407872830908</v>
      </c>
      <c r="U24" s="41">
        <v>0.36683517019548378</v>
      </c>
      <c r="V24" s="41">
        <v>0.14214740174731624</v>
      </c>
      <c r="W24" s="41"/>
      <c r="X24" s="41"/>
      <c r="Y24" s="41"/>
      <c r="Z24" s="41"/>
      <c r="AA24" s="41"/>
      <c r="AB24" s="41"/>
      <c r="AC24" s="41"/>
    </row>
    <row r="25" spans="1:29" x14ac:dyDescent="0.2">
      <c r="B25" s="213">
        <f t="shared" si="4"/>
        <v>37408</v>
      </c>
      <c r="C25" s="212" t="str">
        <f>[1]!'MAL/CLS1 6 55 7 23'</f>
        <v>1517.50</v>
      </c>
      <c r="D25" s="212" t="str">
        <f>[1]!'MCU/CLS1 6 55 7 23'</f>
        <v>1860.50</v>
      </c>
      <c r="E25" s="212" t="str">
        <f t="shared" si="2"/>
        <v>495.50</v>
      </c>
      <c r="F25" s="123" t="str">
        <f>[1]!'MNI/CLS1 6 58 4 23'</f>
        <v>6840</v>
      </c>
      <c r="G25" s="212">
        <f t="shared" si="1"/>
        <v>4.95</v>
      </c>
      <c r="H25" s="212" t="str">
        <f t="shared" si="3"/>
        <v>5380.00</v>
      </c>
      <c r="I25" s="212" t="str">
        <f>[1]!'MZN/CLS1 6 55 7 23'</f>
        <v>1138.00</v>
      </c>
      <c r="J25" s="248">
        <v>306.3</v>
      </c>
      <c r="K25" s="249">
        <v>1028</v>
      </c>
      <c r="L25" s="212">
        <v>87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223">
        <v>0.11851228191054274</v>
      </c>
      <c r="R25" s="41">
        <v>6.5555812065799635E-2</v>
      </c>
      <c r="S25" s="41">
        <v>0.10024380093936239</v>
      </c>
      <c r="T25" s="223">
        <v>0.15035407872830908</v>
      </c>
      <c r="U25" s="41">
        <v>0.36683517019548378</v>
      </c>
      <c r="V25" s="41">
        <v>0.14109126551871501</v>
      </c>
      <c r="W25" s="41"/>
      <c r="X25" s="41"/>
      <c r="Y25" s="41"/>
      <c r="Z25" s="41"/>
      <c r="AA25" s="41"/>
      <c r="AB25" s="41"/>
      <c r="AC25" s="41"/>
    </row>
    <row r="26" spans="1:29" x14ac:dyDescent="0.2">
      <c r="B26" s="213">
        <f t="shared" si="4"/>
        <v>37438</v>
      </c>
      <c r="C26" s="212" t="str">
        <f>[1]!'MAL/CLS1 7 55 7 23'</f>
        <v>1516.50</v>
      </c>
      <c r="D26" s="212" t="str">
        <f>[1]!'MCU/CLS1 7 55 7 23'</f>
        <v>1859.75</v>
      </c>
      <c r="E26" s="212" t="str">
        <f t="shared" si="2"/>
        <v>495.50</v>
      </c>
      <c r="F26" s="123" t="str">
        <f>[1]!'MNI/CLS1 7 58 4 23'</f>
        <v>6815</v>
      </c>
      <c r="G26" s="212">
        <f t="shared" si="1"/>
        <v>4.95</v>
      </c>
      <c r="H26" s="212" t="str">
        <f t="shared" si="3"/>
        <v>5380.00</v>
      </c>
      <c r="I26" s="212" t="str">
        <f>[1]!'MZN/CLS1 7 55 7 23'</f>
        <v>1136.25</v>
      </c>
      <c r="J26" s="248">
        <v>306.3</v>
      </c>
      <c r="K26" s="249">
        <v>1028</v>
      </c>
      <c r="L26" s="212">
        <v>87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223">
        <v>0.11851228191054274</v>
      </c>
      <c r="R26" s="41">
        <v>6.5555812065799635E-2</v>
      </c>
      <c r="S26" s="41">
        <v>9.9624649427759879E-2</v>
      </c>
      <c r="T26" s="223">
        <v>0.15035407872830908</v>
      </c>
      <c r="U26" s="41">
        <v>0.36683517019548378</v>
      </c>
      <c r="V26" s="41">
        <v>0.14000357697323901</v>
      </c>
      <c r="W26" s="41"/>
      <c r="X26" s="41"/>
      <c r="Y26" s="41"/>
      <c r="Z26" s="41"/>
      <c r="AA26" s="41"/>
      <c r="AB26" s="41"/>
      <c r="AC26" s="41"/>
    </row>
    <row r="27" spans="1:29" s="216" customFormat="1" x14ac:dyDescent="0.2">
      <c r="A27" s="236"/>
      <c r="B27" s="237">
        <f t="shared" si="4"/>
        <v>37469</v>
      </c>
      <c r="C27" s="212" t="str">
        <f>[1]!'MAL/CLS1 8 55 7 23'</f>
        <v>1515.50</v>
      </c>
      <c r="D27" s="212" t="str">
        <f>[1]!'MCU/CLS1 8 55 7 23'</f>
        <v>1859.00</v>
      </c>
      <c r="E27" s="212" t="str">
        <f t="shared" si="2"/>
        <v>495.50</v>
      </c>
      <c r="F27" s="123" t="str">
        <f>[1]!'MNI/CLS1 8 58 4 23'</f>
        <v>6790</v>
      </c>
      <c r="G27" s="212">
        <f t="shared" si="1"/>
        <v>4.95</v>
      </c>
      <c r="H27" s="212" t="str">
        <f t="shared" si="3"/>
        <v>5380.00</v>
      </c>
      <c r="I27" s="212" t="str">
        <f>[1]!'MZN/CLS1 8 55 7 23'</f>
        <v>1134.50</v>
      </c>
      <c r="J27" s="248">
        <v>306.3</v>
      </c>
      <c r="K27" s="249">
        <v>1028</v>
      </c>
      <c r="L27" s="212">
        <v>87</v>
      </c>
      <c r="M27" s="235">
        <v>0.13781093109483755</v>
      </c>
      <c r="N27" s="235">
        <v>0.13902809734457253</v>
      </c>
      <c r="O27" s="235">
        <v>0.11224098893320893</v>
      </c>
      <c r="P27" s="235">
        <v>0.41371857733535328</v>
      </c>
      <c r="Q27" s="241">
        <v>0.11851228191054274</v>
      </c>
      <c r="R27" s="235">
        <v>6.5555812065799635E-2</v>
      </c>
      <c r="S27" s="235">
        <v>9.9104330812487484E-2</v>
      </c>
      <c r="T27" s="241">
        <v>0.15035407872830908</v>
      </c>
      <c r="U27" s="235">
        <v>0.36683517019548378</v>
      </c>
      <c r="V27" s="235">
        <v>0.13902809734457253</v>
      </c>
      <c r="W27" s="235"/>
      <c r="X27" s="235"/>
      <c r="Y27" s="235"/>
      <c r="Z27" s="235"/>
      <c r="AA27" s="235"/>
      <c r="AB27" s="235"/>
      <c r="AC27" s="235"/>
    </row>
    <row r="28" spans="1:29" x14ac:dyDescent="0.2">
      <c r="A28" s="216"/>
      <c r="B28" s="215">
        <f t="shared" si="4"/>
        <v>37500</v>
      </c>
      <c r="C28" s="233" t="str">
        <f>[1]!'MAL/CLS1 9 55 7 23'</f>
        <v>1514.50</v>
      </c>
      <c r="D28" s="233" t="str">
        <f>[1]!'MCU/CLS1 9 55 7 23'</f>
        <v>1858.25</v>
      </c>
      <c r="E28" s="233" t="str">
        <f t="shared" si="2"/>
        <v>495.50</v>
      </c>
      <c r="F28" s="234" t="str">
        <f>[1]!'MNI/CLS1 9 58 4 23'</f>
        <v>6765</v>
      </c>
      <c r="G28" s="233">
        <f t="shared" si="1"/>
        <v>4.95</v>
      </c>
      <c r="H28" s="233" t="str">
        <f t="shared" si="3"/>
        <v>5380.00</v>
      </c>
      <c r="I28" s="233" t="str">
        <f>[1]!'MZN/CLS1 9 55 7 23'</f>
        <v>1132.75</v>
      </c>
      <c r="J28" s="248">
        <v>306.3</v>
      </c>
      <c r="K28" s="249">
        <v>1028</v>
      </c>
      <c r="L28" s="212">
        <v>87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223">
        <v>0.11851228191054274</v>
      </c>
      <c r="R28" s="41">
        <v>6.5555812065799635E-2</v>
      </c>
      <c r="S28" s="41">
        <v>9.8693922528988509E-2</v>
      </c>
      <c r="T28" s="223">
        <v>0.15035407872830908</v>
      </c>
      <c r="U28" s="41">
        <v>0.36683517019548378</v>
      </c>
      <c r="V28" s="41">
        <v>0.13807688716276326</v>
      </c>
      <c r="W28" s="41"/>
      <c r="X28" s="41"/>
      <c r="Y28" s="41"/>
      <c r="Z28" s="41"/>
      <c r="AA28" s="41"/>
      <c r="AB28" s="41"/>
      <c r="AC28" s="41"/>
    </row>
    <row r="29" spans="1:29" s="216" customFormat="1" x14ac:dyDescent="0.2">
      <c r="A29" s="236"/>
      <c r="B29" s="237">
        <f t="shared" si="4"/>
        <v>37530</v>
      </c>
      <c r="C29" s="212" t="str">
        <f>C28</f>
        <v>1514.50</v>
      </c>
      <c r="D29" s="212" t="str">
        <f>D28</f>
        <v>1858.25</v>
      </c>
      <c r="E29" s="212" t="str">
        <f t="shared" si="2"/>
        <v>495.50</v>
      </c>
      <c r="F29" s="123" t="str">
        <f>F28</f>
        <v>6765</v>
      </c>
      <c r="G29" s="212">
        <f t="shared" si="1"/>
        <v>4.95</v>
      </c>
      <c r="H29" s="212" t="str">
        <f t="shared" si="3"/>
        <v>5380.00</v>
      </c>
      <c r="I29" s="212" t="str">
        <f>I28</f>
        <v>1132.75</v>
      </c>
      <c r="J29" s="248">
        <v>306.3</v>
      </c>
      <c r="K29" s="249">
        <v>1028</v>
      </c>
      <c r="L29" s="212">
        <v>87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223">
        <v>0.11851228191054274</v>
      </c>
      <c r="R29" s="41">
        <v>6.5555812065799635E-2</v>
      </c>
      <c r="S29" s="41">
        <v>9.8693922528988509E-2</v>
      </c>
      <c r="T29" s="223">
        <v>0.15035407872830908</v>
      </c>
      <c r="U29" s="41">
        <v>0.36683517019548378</v>
      </c>
      <c r="V29" s="41">
        <v>0.13807688716276326</v>
      </c>
      <c r="W29" s="41"/>
      <c r="X29" s="41"/>
      <c r="Y29" s="41"/>
      <c r="Z29" s="41"/>
      <c r="AA29" s="41"/>
      <c r="AB29" s="41"/>
      <c r="AC29" s="41"/>
    </row>
    <row r="30" spans="1:29" x14ac:dyDescent="0.2">
      <c r="B30" s="213">
        <f t="shared" si="4"/>
        <v>37561</v>
      </c>
      <c r="C30" s="212" t="str">
        <f t="shared" ref="C30:C80" si="5">C29</f>
        <v>1514.50</v>
      </c>
      <c r="D30" s="212" t="str">
        <f t="shared" ref="D30:D80" si="6">D29</f>
        <v>1858.25</v>
      </c>
      <c r="E30" s="212" t="str">
        <f t="shared" si="2"/>
        <v>495.50</v>
      </c>
      <c r="F30" s="123" t="str">
        <f t="shared" ref="F30:F80" si="7">F29</f>
        <v>6765</v>
      </c>
      <c r="G30" s="212">
        <f t="shared" si="1"/>
        <v>4.95</v>
      </c>
      <c r="H30" s="212" t="str">
        <f t="shared" si="3"/>
        <v>5380.00</v>
      </c>
      <c r="I30" s="212" t="str">
        <f t="shared" ref="I30:I80" si="8">I29</f>
        <v>1132.75</v>
      </c>
      <c r="J30" s="248">
        <v>306.3</v>
      </c>
      <c r="K30" s="249">
        <v>1028</v>
      </c>
      <c r="L30" s="212">
        <v>87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223">
        <v>0.11851228191054274</v>
      </c>
      <c r="R30" s="41">
        <v>6.5555812065799635E-2</v>
      </c>
      <c r="S30" s="41">
        <v>9.8693922528988509E-2</v>
      </c>
      <c r="T30" s="223">
        <v>0.15035407872830908</v>
      </c>
      <c r="U30" s="41">
        <v>0.36683517019548378</v>
      </c>
      <c r="V30" s="41">
        <v>0.13807688716276326</v>
      </c>
      <c r="W30" s="41"/>
      <c r="X30" s="41"/>
      <c r="Y30" s="41"/>
      <c r="Z30" s="41"/>
      <c r="AA30" s="41"/>
      <c r="AB30" s="41"/>
      <c r="AC30" s="41"/>
    </row>
    <row r="31" spans="1:29" x14ac:dyDescent="0.2">
      <c r="B31" s="213">
        <f t="shared" si="4"/>
        <v>37591</v>
      </c>
      <c r="C31" s="212" t="str">
        <f t="shared" si="5"/>
        <v>1514.50</v>
      </c>
      <c r="D31" s="212" t="str">
        <f t="shared" si="6"/>
        <v>1858.25</v>
      </c>
      <c r="E31" s="212" t="str">
        <f t="shared" si="2"/>
        <v>495.50</v>
      </c>
      <c r="F31" s="123" t="str">
        <f t="shared" si="7"/>
        <v>6765</v>
      </c>
      <c r="G31" s="212">
        <f t="shared" si="1"/>
        <v>4.95</v>
      </c>
      <c r="H31" s="212" t="str">
        <f t="shared" si="3"/>
        <v>5380.00</v>
      </c>
      <c r="I31" s="212" t="str">
        <f t="shared" si="8"/>
        <v>1132.75</v>
      </c>
      <c r="J31" s="248">
        <v>306.3</v>
      </c>
      <c r="K31" s="249">
        <v>1028</v>
      </c>
      <c r="L31" s="212">
        <v>87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223">
        <v>0.11851228191054274</v>
      </c>
      <c r="R31" s="41">
        <v>6.5555812065799635E-2</v>
      </c>
      <c r="S31" s="41">
        <v>9.8693922528988509E-2</v>
      </c>
      <c r="T31" s="223">
        <v>0.15035407872830908</v>
      </c>
      <c r="U31" s="41">
        <v>0.36683517019548378</v>
      </c>
      <c r="V31" s="41">
        <v>0.13807688716276326</v>
      </c>
      <c r="W31" s="41"/>
      <c r="X31" s="41"/>
      <c r="Y31" s="41"/>
      <c r="Z31" s="41"/>
      <c r="AA31" s="41"/>
      <c r="AB31" s="41"/>
      <c r="AC31" s="41"/>
    </row>
    <row r="32" spans="1:29" x14ac:dyDescent="0.2">
      <c r="B32" s="213">
        <f t="shared" si="4"/>
        <v>37622</v>
      </c>
      <c r="C32" s="212" t="str">
        <f t="shared" si="5"/>
        <v>1514.50</v>
      </c>
      <c r="D32" s="212" t="str">
        <f t="shared" si="6"/>
        <v>1858.25</v>
      </c>
      <c r="E32" s="212" t="str">
        <f t="shared" si="2"/>
        <v>495.50</v>
      </c>
      <c r="F32" s="123" t="str">
        <f t="shared" si="7"/>
        <v>6765</v>
      </c>
      <c r="G32" s="212">
        <f t="shared" si="1"/>
        <v>4.95</v>
      </c>
      <c r="H32" s="212" t="str">
        <f t="shared" si="3"/>
        <v>5380.00</v>
      </c>
      <c r="I32" s="212" t="str">
        <f t="shared" si="8"/>
        <v>1132.75</v>
      </c>
      <c r="J32" s="248">
        <v>306.3</v>
      </c>
      <c r="K32" s="249">
        <v>1028</v>
      </c>
      <c r="L32" s="212">
        <v>87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223">
        <v>0.11851228191054274</v>
      </c>
      <c r="R32" s="41">
        <v>6.5555812065799635E-2</v>
      </c>
      <c r="S32" s="41">
        <v>9.8693922528988509E-2</v>
      </c>
      <c r="T32" s="223">
        <v>0.15035407872830908</v>
      </c>
      <c r="U32" s="41">
        <v>0.36683517019548378</v>
      </c>
      <c r="V32" s="41">
        <v>0.13807688716276326</v>
      </c>
      <c r="W32" s="41"/>
      <c r="X32" s="41"/>
      <c r="Y32" s="41"/>
      <c r="Z32" s="41"/>
      <c r="AA32" s="41"/>
      <c r="AB32" s="41"/>
      <c r="AC32" s="41"/>
    </row>
    <row r="33" spans="1:29" x14ac:dyDescent="0.2">
      <c r="B33" s="213">
        <f t="shared" si="4"/>
        <v>37653</v>
      </c>
      <c r="C33" s="212" t="str">
        <f t="shared" si="5"/>
        <v>1514.50</v>
      </c>
      <c r="D33" s="212" t="str">
        <f t="shared" si="6"/>
        <v>1858.25</v>
      </c>
      <c r="E33" s="212" t="str">
        <f t="shared" si="2"/>
        <v>495.50</v>
      </c>
      <c r="F33" s="123" t="str">
        <f t="shared" si="7"/>
        <v>6765</v>
      </c>
      <c r="G33" s="212">
        <f t="shared" si="1"/>
        <v>4.95</v>
      </c>
      <c r="H33" s="212" t="str">
        <f t="shared" si="3"/>
        <v>5380.00</v>
      </c>
      <c r="I33" s="212" t="str">
        <f t="shared" si="8"/>
        <v>1132.75</v>
      </c>
      <c r="J33" s="248">
        <v>306.3</v>
      </c>
      <c r="K33" s="249">
        <v>1028</v>
      </c>
      <c r="L33" s="212">
        <v>87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223">
        <v>0.11851228191054274</v>
      </c>
      <c r="R33" s="41">
        <v>6.5555812065799635E-2</v>
      </c>
      <c r="S33" s="41">
        <v>9.8693922528988509E-2</v>
      </c>
      <c r="T33" s="223">
        <v>0.15035407872830908</v>
      </c>
      <c r="U33" s="41">
        <v>0.36683517019548378</v>
      </c>
      <c r="V33" s="41">
        <v>0.13807688716276326</v>
      </c>
      <c r="W33" s="41"/>
      <c r="X33" s="41"/>
      <c r="Y33" s="41"/>
      <c r="Z33" s="41"/>
      <c r="AA33" s="41"/>
      <c r="AB33" s="41"/>
      <c r="AC33" s="41"/>
    </row>
    <row r="34" spans="1:29" s="216" customFormat="1" x14ac:dyDescent="0.2">
      <c r="A34" s="236"/>
      <c r="B34" s="237">
        <f t="shared" si="4"/>
        <v>37681</v>
      </c>
      <c r="C34" s="212" t="str">
        <f t="shared" si="5"/>
        <v>1514.50</v>
      </c>
      <c r="D34" s="212" t="str">
        <f t="shared" si="6"/>
        <v>1858.25</v>
      </c>
      <c r="E34" s="212" t="str">
        <f t="shared" si="2"/>
        <v>495.50</v>
      </c>
      <c r="F34" s="123" t="str">
        <f t="shared" si="7"/>
        <v>6765</v>
      </c>
      <c r="G34" s="212">
        <f t="shared" si="1"/>
        <v>4.95</v>
      </c>
      <c r="H34" s="212" t="str">
        <f t="shared" si="3"/>
        <v>5380.00</v>
      </c>
      <c r="I34" s="212" t="str">
        <f t="shared" si="8"/>
        <v>1132.75</v>
      </c>
      <c r="J34" s="248">
        <v>306.3</v>
      </c>
      <c r="K34" s="249">
        <v>1028</v>
      </c>
      <c r="L34" s="212">
        <v>87</v>
      </c>
      <c r="M34" s="235">
        <v>0.13576809766503367</v>
      </c>
      <c r="N34" s="235">
        <v>0.13807688716276326</v>
      </c>
      <c r="O34" s="235">
        <v>0.11224098893320893</v>
      </c>
      <c r="P34" s="235">
        <v>0.41988050205287181</v>
      </c>
      <c r="Q34" s="241">
        <v>0.11851228191054274</v>
      </c>
      <c r="R34" s="235">
        <v>6.5555812065799635E-2</v>
      </c>
      <c r="S34" s="235">
        <v>9.8693922528988509E-2</v>
      </c>
      <c r="T34" s="241">
        <v>0.15035407872830908</v>
      </c>
      <c r="U34" s="235">
        <v>0.36683517019548378</v>
      </c>
      <c r="V34" s="235">
        <v>0.13807688716276326</v>
      </c>
      <c r="W34" s="235"/>
      <c r="X34" s="235"/>
      <c r="Y34" s="235"/>
      <c r="Z34" s="235"/>
      <c r="AA34" s="235"/>
      <c r="AB34" s="235"/>
      <c r="AC34" s="235"/>
    </row>
    <row r="35" spans="1:29" x14ac:dyDescent="0.2">
      <c r="A35" s="216"/>
      <c r="B35" s="215">
        <f t="shared" si="4"/>
        <v>37712</v>
      </c>
      <c r="C35" s="233" t="str">
        <f t="shared" si="5"/>
        <v>1514.50</v>
      </c>
      <c r="D35" s="233" t="str">
        <f t="shared" si="6"/>
        <v>1858.25</v>
      </c>
      <c r="E35" s="233" t="str">
        <f t="shared" si="2"/>
        <v>495.50</v>
      </c>
      <c r="F35" s="234" t="str">
        <f t="shared" si="7"/>
        <v>6765</v>
      </c>
      <c r="G35" s="233">
        <f t="shared" si="1"/>
        <v>4.95</v>
      </c>
      <c r="H35" s="233" t="str">
        <f t="shared" si="3"/>
        <v>5380.00</v>
      </c>
      <c r="I35" s="233" t="str">
        <f t="shared" si="8"/>
        <v>1132.75</v>
      </c>
      <c r="J35" s="248">
        <v>306.3</v>
      </c>
      <c r="K35" s="249">
        <v>1028</v>
      </c>
      <c r="L35" s="212">
        <v>87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223">
        <v>0.11851228191054274</v>
      </c>
      <c r="R35" s="41">
        <v>6.5555812065799635E-2</v>
      </c>
      <c r="S35" s="41">
        <v>9.8693922528988509E-2</v>
      </c>
      <c r="T35" s="223">
        <v>0.15035407872830908</v>
      </c>
      <c r="U35" s="41">
        <v>0.36683517019548378</v>
      </c>
      <c r="V35" s="41">
        <v>0.13807688716276326</v>
      </c>
      <c r="W35" s="41"/>
      <c r="X35" s="41"/>
      <c r="Y35" s="41"/>
      <c r="Z35" s="41"/>
      <c r="AA35" s="41"/>
      <c r="AB35" s="41"/>
      <c r="AC35" s="41"/>
    </row>
    <row r="36" spans="1:29" x14ac:dyDescent="0.2">
      <c r="B36" s="213">
        <f t="shared" ref="B36:B51" si="9">DATE(YEAR(B35),MONTH(B35)+1,1)</f>
        <v>37742</v>
      </c>
      <c r="C36" s="212" t="str">
        <f t="shared" si="5"/>
        <v>1514.50</v>
      </c>
      <c r="D36" s="212" t="str">
        <f t="shared" si="6"/>
        <v>1858.25</v>
      </c>
      <c r="E36" s="212" t="str">
        <f t="shared" si="2"/>
        <v>495.50</v>
      </c>
      <c r="F36" s="123" t="str">
        <f t="shared" si="7"/>
        <v>6765</v>
      </c>
      <c r="G36" s="212">
        <f t="shared" si="1"/>
        <v>4.95</v>
      </c>
      <c r="H36" s="212" t="str">
        <f t="shared" si="3"/>
        <v>5380.00</v>
      </c>
      <c r="I36" s="212" t="str">
        <f t="shared" si="8"/>
        <v>1132.75</v>
      </c>
      <c r="J36" s="248">
        <v>306.3</v>
      </c>
      <c r="K36" s="249">
        <v>1028</v>
      </c>
      <c r="L36" s="212">
        <v>87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223">
        <v>0.11851228191054274</v>
      </c>
      <c r="R36" s="41">
        <v>6.5555812065799635E-2</v>
      </c>
      <c r="S36" s="41">
        <v>9.8693922528988509E-2</v>
      </c>
      <c r="T36" s="223">
        <v>0.15035407872830908</v>
      </c>
      <c r="U36" s="41">
        <v>0.36683517019548378</v>
      </c>
      <c r="V36" s="41">
        <v>0.13807688716276326</v>
      </c>
      <c r="W36" s="41"/>
      <c r="X36" s="41"/>
      <c r="Y36" s="41"/>
      <c r="Z36" s="41"/>
      <c r="AA36" s="41"/>
      <c r="AB36" s="41"/>
      <c r="AC36" s="41"/>
    </row>
    <row r="37" spans="1:29" x14ac:dyDescent="0.2">
      <c r="B37" s="213">
        <f t="shared" si="9"/>
        <v>37773</v>
      </c>
      <c r="C37" s="212" t="str">
        <f t="shared" si="5"/>
        <v>1514.50</v>
      </c>
      <c r="D37" s="212" t="str">
        <f t="shared" si="6"/>
        <v>1858.25</v>
      </c>
      <c r="E37" s="212" t="str">
        <f t="shared" si="2"/>
        <v>495.50</v>
      </c>
      <c r="F37" s="123" t="str">
        <f t="shared" si="7"/>
        <v>6765</v>
      </c>
      <c r="G37" s="212">
        <f t="shared" si="1"/>
        <v>4.95</v>
      </c>
      <c r="H37" s="212" t="str">
        <f t="shared" si="3"/>
        <v>5380.00</v>
      </c>
      <c r="I37" s="212" t="str">
        <f t="shared" si="8"/>
        <v>1132.75</v>
      </c>
      <c r="J37" s="248">
        <v>306.3</v>
      </c>
      <c r="K37" s="249">
        <v>1028</v>
      </c>
      <c r="L37" s="212">
        <v>87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223">
        <v>0.11851228191054274</v>
      </c>
      <c r="R37" s="41">
        <v>6.5555812065799635E-2</v>
      </c>
      <c r="S37" s="41">
        <v>9.8693922528988509E-2</v>
      </c>
      <c r="T37" s="223">
        <v>0.15035407872830908</v>
      </c>
      <c r="U37" s="41">
        <v>0.36683517019548378</v>
      </c>
      <c r="V37" s="41">
        <v>0.13807688716276326</v>
      </c>
      <c r="W37" s="41"/>
      <c r="X37" s="41"/>
      <c r="Y37" s="41"/>
      <c r="Z37" s="41"/>
      <c r="AA37" s="41"/>
      <c r="AB37" s="41"/>
      <c r="AC37" s="41"/>
    </row>
    <row r="38" spans="1:29" x14ac:dyDescent="0.2">
      <c r="B38" s="213">
        <f t="shared" si="9"/>
        <v>37803</v>
      </c>
      <c r="C38" s="212" t="str">
        <f t="shared" si="5"/>
        <v>1514.50</v>
      </c>
      <c r="D38" s="212" t="str">
        <f t="shared" si="6"/>
        <v>1858.25</v>
      </c>
      <c r="E38" s="212" t="str">
        <f t="shared" si="2"/>
        <v>495.50</v>
      </c>
      <c r="F38" s="123" t="str">
        <f t="shared" si="7"/>
        <v>6765</v>
      </c>
      <c r="G38" s="212">
        <f t="shared" si="1"/>
        <v>4.95</v>
      </c>
      <c r="H38" s="212" t="str">
        <f t="shared" si="3"/>
        <v>5380.00</v>
      </c>
      <c r="I38" s="212" t="str">
        <f t="shared" si="8"/>
        <v>1132.75</v>
      </c>
      <c r="J38" s="248">
        <v>306.3</v>
      </c>
      <c r="K38" s="249">
        <v>1028</v>
      </c>
      <c r="L38" s="212">
        <v>87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223">
        <v>0.11851228191054274</v>
      </c>
      <c r="R38" s="41">
        <v>6.5555812065799635E-2</v>
      </c>
      <c r="S38" s="41">
        <v>9.8693922528988509E-2</v>
      </c>
      <c r="T38" s="223">
        <v>0.15035407872830908</v>
      </c>
      <c r="U38" s="41">
        <v>0.36683517019548378</v>
      </c>
      <c r="V38" s="41">
        <v>0.13807688716276326</v>
      </c>
      <c r="W38" s="41"/>
      <c r="X38" s="41"/>
      <c r="Y38" s="41"/>
      <c r="Z38" s="41"/>
      <c r="AA38" s="41"/>
      <c r="AB38" s="41"/>
      <c r="AC38" s="41"/>
    </row>
    <row r="39" spans="1:29" x14ac:dyDescent="0.2">
      <c r="B39" s="213">
        <f t="shared" si="9"/>
        <v>37834</v>
      </c>
      <c r="C39" s="212" t="str">
        <f t="shared" si="5"/>
        <v>1514.50</v>
      </c>
      <c r="D39" s="212" t="str">
        <f t="shared" si="6"/>
        <v>1858.25</v>
      </c>
      <c r="E39" s="212" t="str">
        <f t="shared" si="2"/>
        <v>495.50</v>
      </c>
      <c r="F39" s="123" t="str">
        <f t="shared" si="7"/>
        <v>6765</v>
      </c>
      <c r="G39" s="212">
        <f t="shared" si="1"/>
        <v>4.95</v>
      </c>
      <c r="H39" s="212" t="str">
        <f t="shared" si="3"/>
        <v>5380.00</v>
      </c>
      <c r="I39" s="212" t="str">
        <f t="shared" si="8"/>
        <v>1132.75</v>
      </c>
      <c r="J39" s="248">
        <v>306.3</v>
      </c>
      <c r="K39" s="249">
        <v>1028</v>
      </c>
      <c r="L39" s="212">
        <v>87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223">
        <v>0.11851228191054274</v>
      </c>
      <c r="R39" s="41">
        <v>6.5555812065799635E-2</v>
      </c>
      <c r="S39" s="41">
        <v>9.8693922528988509E-2</v>
      </c>
      <c r="T39" s="223">
        <v>0.15035407872830908</v>
      </c>
      <c r="U39" s="41">
        <v>0.36683517019548378</v>
      </c>
      <c r="V39" s="41">
        <v>0.13807688716276326</v>
      </c>
      <c r="W39" s="41"/>
      <c r="X39" s="41"/>
      <c r="Y39" s="41"/>
      <c r="Z39" s="41"/>
      <c r="AA39" s="41"/>
      <c r="AB39" s="41"/>
      <c r="AC39" s="41"/>
    </row>
    <row r="40" spans="1:29" x14ac:dyDescent="0.2">
      <c r="B40" s="213">
        <f t="shared" si="9"/>
        <v>37865</v>
      </c>
      <c r="C40" s="212" t="str">
        <f t="shared" si="5"/>
        <v>1514.50</v>
      </c>
      <c r="D40" s="212" t="str">
        <f t="shared" si="6"/>
        <v>1858.25</v>
      </c>
      <c r="E40" s="212" t="str">
        <f t="shared" si="2"/>
        <v>495.50</v>
      </c>
      <c r="F40" s="123" t="str">
        <f t="shared" si="7"/>
        <v>6765</v>
      </c>
      <c r="G40" s="212">
        <f t="shared" si="1"/>
        <v>4.95</v>
      </c>
      <c r="H40" s="212" t="str">
        <f t="shared" si="3"/>
        <v>5380.00</v>
      </c>
      <c r="I40" s="212" t="str">
        <f t="shared" si="8"/>
        <v>1132.75</v>
      </c>
      <c r="J40" s="248">
        <v>306.3</v>
      </c>
      <c r="K40" s="249">
        <v>1028</v>
      </c>
      <c r="L40" s="212">
        <v>87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223">
        <v>0.11851228191054274</v>
      </c>
      <c r="R40" s="41">
        <v>6.5555812065799635E-2</v>
      </c>
      <c r="S40" s="41">
        <v>9.8693922528988509E-2</v>
      </c>
      <c r="T40" s="223">
        <v>0.15035407872830908</v>
      </c>
      <c r="U40" s="41">
        <v>0.36683517019548378</v>
      </c>
      <c r="V40" s="41">
        <v>0.13807688716276326</v>
      </c>
      <c r="W40" s="41"/>
      <c r="X40" s="41"/>
      <c r="Y40" s="41"/>
      <c r="Z40" s="41"/>
      <c r="AA40" s="41"/>
      <c r="AB40" s="41"/>
      <c r="AC40" s="41"/>
    </row>
    <row r="41" spans="1:29" x14ac:dyDescent="0.2">
      <c r="B41" s="213">
        <f t="shared" si="9"/>
        <v>37895</v>
      </c>
      <c r="C41" s="212" t="str">
        <f t="shared" si="5"/>
        <v>1514.50</v>
      </c>
      <c r="D41" s="212" t="str">
        <f t="shared" si="6"/>
        <v>1858.25</v>
      </c>
      <c r="E41" s="212" t="str">
        <f t="shared" si="2"/>
        <v>495.50</v>
      </c>
      <c r="F41" s="123" t="str">
        <f t="shared" si="7"/>
        <v>6765</v>
      </c>
      <c r="G41" s="212">
        <f t="shared" si="1"/>
        <v>4.95</v>
      </c>
      <c r="H41" s="212" t="str">
        <f t="shared" si="3"/>
        <v>5380.00</v>
      </c>
      <c r="I41" s="212" t="str">
        <f t="shared" si="8"/>
        <v>1132.75</v>
      </c>
      <c r="J41" s="248">
        <v>306.3</v>
      </c>
      <c r="K41" s="249">
        <v>1028</v>
      </c>
      <c r="L41" s="212">
        <v>87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223">
        <v>0.11851228191054274</v>
      </c>
      <c r="R41" s="41">
        <v>6.5555812065799635E-2</v>
      </c>
      <c r="S41" s="41">
        <v>9.8693922528988509E-2</v>
      </c>
      <c r="T41" s="223">
        <v>0.15035407872830908</v>
      </c>
      <c r="U41" s="41">
        <v>0.36683517019548378</v>
      </c>
      <c r="V41" s="41">
        <v>0.13807688716276326</v>
      </c>
      <c r="W41" s="41"/>
      <c r="X41" s="41"/>
      <c r="Y41" s="41"/>
      <c r="Z41" s="41"/>
      <c r="AA41" s="41"/>
      <c r="AB41" s="41"/>
      <c r="AC41" s="41"/>
    </row>
    <row r="42" spans="1:29" x14ac:dyDescent="0.2">
      <c r="B42" s="213">
        <f t="shared" si="9"/>
        <v>37926</v>
      </c>
      <c r="C42" s="212" t="str">
        <f t="shared" si="5"/>
        <v>1514.50</v>
      </c>
      <c r="D42" s="212" t="str">
        <f t="shared" si="6"/>
        <v>1858.25</v>
      </c>
      <c r="E42" s="212" t="str">
        <f t="shared" si="2"/>
        <v>495.50</v>
      </c>
      <c r="F42" s="123" t="str">
        <f t="shared" si="7"/>
        <v>6765</v>
      </c>
      <c r="G42" s="212">
        <f t="shared" si="1"/>
        <v>4.95</v>
      </c>
      <c r="H42" s="212" t="str">
        <f t="shared" si="3"/>
        <v>5380.00</v>
      </c>
      <c r="I42" s="212" t="str">
        <f t="shared" si="8"/>
        <v>1132.75</v>
      </c>
      <c r="J42" s="248">
        <v>306.3</v>
      </c>
      <c r="K42" s="249">
        <v>1028</v>
      </c>
      <c r="L42" s="212">
        <v>87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223">
        <v>0.11851228191054274</v>
      </c>
      <c r="R42" s="41">
        <v>6.5555812065799635E-2</v>
      </c>
      <c r="S42" s="41">
        <v>9.8693922528988509E-2</v>
      </c>
      <c r="T42" s="223">
        <v>0.15035407872830908</v>
      </c>
      <c r="U42" s="41">
        <v>0.36683517019548378</v>
      </c>
      <c r="V42" s="41">
        <v>0.13807688716276326</v>
      </c>
      <c r="W42" s="41"/>
      <c r="X42" s="41"/>
      <c r="Y42" s="41"/>
      <c r="Z42" s="41"/>
      <c r="AA42" s="41"/>
      <c r="AB42" s="41"/>
      <c r="AC42" s="41"/>
    </row>
    <row r="43" spans="1:29" x14ac:dyDescent="0.2">
      <c r="B43" s="213">
        <f t="shared" si="9"/>
        <v>37956</v>
      </c>
      <c r="C43" s="212" t="str">
        <f t="shared" si="5"/>
        <v>1514.50</v>
      </c>
      <c r="D43" s="212" t="str">
        <f t="shared" si="6"/>
        <v>1858.25</v>
      </c>
      <c r="E43" s="212" t="str">
        <f t="shared" si="2"/>
        <v>495.50</v>
      </c>
      <c r="F43" s="123" t="str">
        <f t="shared" si="7"/>
        <v>6765</v>
      </c>
      <c r="G43" s="212">
        <f t="shared" si="1"/>
        <v>4.95</v>
      </c>
      <c r="H43" s="212" t="str">
        <f t="shared" si="3"/>
        <v>5380.00</v>
      </c>
      <c r="I43" s="212" t="str">
        <f t="shared" si="8"/>
        <v>1132.75</v>
      </c>
      <c r="J43" s="248">
        <v>306.3</v>
      </c>
      <c r="K43" s="249">
        <v>1028</v>
      </c>
      <c r="L43" s="212">
        <v>87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223">
        <v>0.11851228191054274</v>
      </c>
      <c r="R43" s="41">
        <v>6.5555812065799635E-2</v>
      </c>
      <c r="S43" s="41">
        <v>9.8693922528988509E-2</v>
      </c>
      <c r="T43" s="223">
        <v>0.15035407872830908</v>
      </c>
      <c r="U43" s="41">
        <v>0.36683517019548378</v>
      </c>
      <c r="V43" s="41">
        <v>0.13807688716276326</v>
      </c>
      <c r="W43" s="41"/>
      <c r="X43" s="41"/>
      <c r="Y43" s="41"/>
      <c r="Z43" s="41"/>
      <c r="AA43" s="41"/>
      <c r="AB43" s="41"/>
      <c r="AC43" s="41"/>
    </row>
    <row r="44" spans="1:29" x14ac:dyDescent="0.2">
      <c r="B44" s="213">
        <f t="shared" si="9"/>
        <v>37987</v>
      </c>
      <c r="C44" s="212" t="str">
        <f t="shared" si="5"/>
        <v>1514.50</v>
      </c>
      <c r="D44" s="212" t="str">
        <f t="shared" si="6"/>
        <v>1858.25</v>
      </c>
      <c r="E44" s="212" t="str">
        <f t="shared" si="2"/>
        <v>495.50</v>
      </c>
      <c r="F44" s="123" t="str">
        <f t="shared" si="7"/>
        <v>6765</v>
      </c>
      <c r="G44" s="212">
        <f t="shared" si="1"/>
        <v>4.95</v>
      </c>
      <c r="H44" s="212" t="str">
        <f t="shared" si="3"/>
        <v>5380.00</v>
      </c>
      <c r="I44" s="212" t="str">
        <f t="shared" si="8"/>
        <v>1132.75</v>
      </c>
      <c r="J44" s="248">
        <v>306.3</v>
      </c>
      <c r="K44" s="249">
        <v>1028</v>
      </c>
      <c r="L44" s="212">
        <v>87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223">
        <v>0.11851228191054274</v>
      </c>
      <c r="R44" s="41">
        <v>6.5555812065799635E-2</v>
      </c>
      <c r="S44" s="41">
        <v>9.8693922528988509E-2</v>
      </c>
      <c r="T44" s="223">
        <v>0.15035407872830908</v>
      </c>
      <c r="U44" s="41">
        <v>0.36683517019548378</v>
      </c>
      <c r="V44" s="41">
        <v>0.13807688716276326</v>
      </c>
      <c r="W44" s="41"/>
      <c r="X44" s="41"/>
      <c r="Y44" s="41"/>
      <c r="Z44" s="41"/>
      <c r="AA44" s="41"/>
      <c r="AB44" s="41"/>
      <c r="AC44" s="41"/>
    </row>
    <row r="45" spans="1:29" x14ac:dyDescent="0.2">
      <c r="B45" s="213">
        <f t="shared" si="9"/>
        <v>38018</v>
      </c>
      <c r="C45" s="212" t="str">
        <f t="shared" si="5"/>
        <v>1514.50</v>
      </c>
      <c r="D45" s="212" t="str">
        <f t="shared" si="6"/>
        <v>1858.25</v>
      </c>
      <c r="E45" s="212" t="str">
        <f t="shared" si="2"/>
        <v>495.50</v>
      </c>
      <c r="F45" s="123" t="str">
        <f t="shared" si="7"/>
        <v>6765</v>
      </c>
      <c r="G45" s="212">
        <f t="shared" si="1"/>
        <v>4.95</v>
      </c>
      <c r="H45" s="212" t="str">
        <f t="shared" si="3"/>
        <v>5380.00</v>
      </c>
      <c r="I45" s="212" t="str">
        <f t="shared" si="8"/>
        <v>1132.75</v>
      </c>
      <c r="J45" s="248">
        <v>306.3</v>
      </c>
      <c r="K45" s="249">
        <v>1028</v>
      </c>
      <c r="L45" s="212">
        <v>87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223">
        <v>0.11851228191054274</v>
      </c>
      <c r="R45" s="41">
        <v>6.5555812065799635E-2</v>
      </c>
      <c r="S45" s="41">
        <v>9.8693922528988509E-2</v>
      </c>
      <c r="T45" s="223">
        <v>0.15035407872830908</v>
      </c>
      <c r="U45" s="41">
        <v>0.36683517019548378</v>
      </c>
      <c r="V45" s="41">
        <v>0.13807688716276326</v>
      </c>
      <c r="W45" s="41"/>
      <c r="X45" s="41"/>
      <c r="Y45" s="41"/>
      <c r="Z45" s="41"/>
      <c r="AA45" s="41"/>
      <c r="AB45" s="41"/>
      <c r="AC45" s="41"/>
    </row>
    <row r="46" spans="1:29" x14ac:dyDescent="0.2">
      <c r="B46" s="213">
        <f t="shared" si="9"/>
        <v>38047</v>
      </c>
      <c r="C46" s="212" t="str">
        <f t="shared" si="5"/>
        <v>1514.50</v>
      </c>
      <c r="D46" s="212" t="str">
        <f t="shared" si="6"/>
        <v>1858.25</v>
      </c>
      <c r="E46" s="212" t="str">
        <f t="shared" si="2"/>
        <v>495.50</v>
      </c>
      <c r="F46" s="123" t="str">
        <f t="shared" si="7"/>
        <v>6765</v>
      </c>
      <c r="G46" s="212">
        <f t="shared" si="1"/>
        <v>4.95</v>
      </c>
      <c r="H46" s="212" t="str">
        <f t="shared" si="3"/>
        <v>5380.00</v>
      </c>
      <c r="I46" s="212" t="str">
        <f t="shared" si="8"/>
        <v>1132.75</v>
      </c>
      <c r="J46" s="248">
        <v>306.3</v>
      </c>
      <c r="K46" s="249">
        <v>1028</v>
      </c>
      <c r="L46" s="212">
        <v>87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223">
        <v>0.11851228191054274</v>
      </c>
      <c r="R46" s="41">
        <v>6.5555812065799635E-2</v>
      </c>
      <c r="S46" s="41">
        <v>9.8693922528988509E-2</v>
      </c>
      <c r="T46" s="223">
        <v>0.15035407872830908</v>
      </c>
      <c r="U46" s="41">
        <v>0.36683517019548378</v>
      </c>
      <c r="V46" s="41">
        <v>0.13807688716276326</v>
      </c>
      <c r="W46" s="41"/>
      <c r="X46" s="41"/>
      <c r="Y46" s="41"/>
      <c r="Z46" s="41"/>
      <c r="AA46" s="41"/>
      <c r="AB46" s="41"/>
      <c r="AC46" s="41"/>
    </row>
    <row r="47" spans="1:29" x14ac:dyDescent="0.2">
      <c r="B47" s="213">
        <f t="shared" si="9"/>
        <v>38078</v>
      </c>
      <c r="C47" s="212" t="str">
        <f t="shared" si="5"/>
        <v>1514.50</v>
      </c>
      <c r="D47" s="212" t="str">
        <f t="shared" si="6"/>
        <v>1858.25</v>
      </c>
      <c r="E47" s="212" t="str">
        <f t="shared" si="2"/>
        <v>495.50</v>
      </c>
      <c r="F47" s="123" t="str">
        <f t="shared" si="7"/>
        <v>6765</v>
      </c>
      <c r="G47" s="212">
        <f t="shared" si="1"/>
        <v>4.95</v>
      </c>
      <c r="H47" s="212" t="str">
        <f t="shared" si="3"/>
        <v>5380.00</v>
      </c>
      <c r="I47" s="212" t="str">
        <f t="shared" si="8"/>
        <v>1132.75</v>
      </c>
      <c r="J47" s="248">
        <v>306.3</v>
      </c>
      <c r="K47" s="249">
        <v>1028</v>
      </c>
      <c r="L47" s="212">
        <v>87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223">
        <v>0.11851228191054274</v>
      </c>
      <c r="R47" s="41">
        <v>6.5555812065799635E-2</v>
      </c>
      <c r="S47" s="41">
        <v>9.8693922528988509E-2</v>
      </c>
      <c r="T47" s="223">
        <v>0.15035407872830908</v>
      </c>
      <c r="U47" s="41">
        <v>0.36683517019548378</v>
      </c>
      <c r="V47" s="41">
        <v>0.13807688716276326</v>
      </c>
      <c r="W47" s="41"/>
      <c r="X47" s="41"/>
      <c r="Y47" s="41"/>
      <c r="Z47" s="41"/>
      <c r="AA47" s="41"/>
      <c r="AB47" s="41"/>
      <c r="AC47" s="41"/>
    </row>
    <row r="48" spans="1:29" x14ac:dyDescent="0.2">
      <c r="B48" s="213">
        <f t="shared" si="9"/>
        <v>38108</v>
      </c>
      <c r="C48" s="212" t="str">
        <f t="shared" si="5"/>
        <v>1514.50</v>
      </c>
      <c r="D48" s="212" t="str">
        <f t="shared" si="6"/>
        <v>1858.25</v>
      </c>
      <c r="E48" s="212" t="str">
        <f t="shared" si="2"/>
        <v>495.50</v>
      </c>
      <c r="F48" s="123" t="str">
        <f t="shared" si="7"/>
        <v>6765</v>
      </c>
      <c r="G48" s="212">
        <f t="shared" si="1"/>
        <v>4.95</v>
      </c>
      <c r="H48" s="212" t="str">
        <f t="shared" si="3"/>
        <v>5380.00</v>
      </c>
      <c r="I48" s="212" t="str">
        <f t="shared" si="8"/>
        <v>1132.75</v>
      </c>
      <c r="J48" s="248">
        <v>306.3</v>
      </c>
      <c r="K48" s="249">
        <v>1028</v>
      </c>
      <c r="L48" s="212">
        <v>87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223">
        <v>0.11851228191054274</v>
      </c>
      <c r="R48" s="41">
        <v>6.5555812065799635E-2</v>
      </c>
      <c r="S48" s="41">
        <v>9.8693922528988509E-2</v>
      </c>
      <c r="T48" s="223">
        <v>0.15035407872830908</v>
      </c>
      <c r="U48" s="41">
        <v>0.36683517019548378</v>
      </c>
      <c r="V48" s="41">
        <v>0.13807688716276326</v>
      </c>
      <c r="W48" s="41"/>
      <c r="X48" s="41"/>
      <c r="Y48" s="41"/>
      <c r="Z48" s="41"/>
      <c r="AA48" s="41"/>
      <c r="AB48" s="41"/>
      <c r="AC48" s="41"/>
    </row>
    <row r="49" spans="2:29" x14ac:dyDescent="0.2">
      <c r="B49" s="213">
        <f t="shared" si="9"/>
        <v>38139</v>
      </c>
      <c r="C49" s="212" t="str">
        <f t="shared" si="5"/>
        <v>1514.50</v>
      </c>
      <c r="D49" s="212" t="str">
        <f t="shared" si="6"/>
        <v>1858.25</v>
      </c>
      <c r="E49" s="212" t="str">
        <f t="shared" si="2"/>
        <v>495.50</v>
      </c>
      <c r="F49" s="123" t="str">
        <f t="shared" si="7"/>
        <v>6765</v>
      </c>
      <c r="G49" s="212">
        <f t="shared" si="1"/>
        <v>4.95</v>
      </c>
      <c r="H49" s="212" t="str">
        <f t="shared" si="3"/>
        <v>5380.00</v>
      </c>
      <c r="I49" s="212" t="str">
        <f t="shared" si="8"/>
        <v>1132.75</v>
      </c>
      <c r="J49" s="248">
        <v>306.3</v>
      </c>
      <c r="K49" s="249">
        <v>1028</v>
      </c>
      <c r="L49" s="212">
        <v>87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223">
        <v>0.11851228191054274</v>
      </c>
      <c r="R49" s="41">
        <v>6.5555812065799635E-2</v>
      </c>
      <c r="S49" s="41">
        <v>9.8693922528988509E-2</v>
      </c>
      <c r="T49" s="223">
        <v>0.15035407872830908</v>
      </c>
      <c r="U49" s="41">
        <v>0.36683517019548378</v>
      </c>
      <c r="V49" s="41">
        <v>0.13807688716276326</v>
      </c>
      <c r="W49" s="41"/>
      <c r="X49" s="41"/>
      <c r="Y49" s="41"/>
      <c r="Z49" s="41"/>
      <c r="AA49" s="41"/>
      <c r="AB49" s="41"/>
      <c r="AC49" s="41"/>
    </row>
    <row r="50" spans="2:29" x14ac:dyDescent="0.2">
      <c r="B50" s="213">
        <f t="shared" si="9"/>
        <v>38169</v>
      </c>
      <c r="C50" s="212" t="str">
        <f t="shared" si="5"/>
        <v>1514.50</v>
      </c>
      <c r="D50" s="212" t="str">
        <f t="shared" si="6"/>
        <v>1858.25</v>
      </c>
      <c r="E50" s="212" t="str">
        <f t="shared" si="2"/>
        <v>495.50</v>
      </c>
      <c r="F50" s="123" t="str">
        <f t="shared" si="7"/>
        <v>6765</v>
      </c>
      <c r="G50" s="212">
        <f t="shared" si="1"/>
        <v>4.95</v>
      </c>
      <c r="H50" s="212" t="str">
        <f t="shared" si="3"/>
        <v>5380.00</v>
      </c>
      <c r="I50" s="212" t="str">
        <f t="shared" si="8"/>
        <v>1132.75</v>
      </c>
      <c r="J50" s="248">
        <v>306.3</v>
      </c>
      <c r="K50" s="249">
        <v>1028</v>
      </c>
      <c r="L50" s="212">
        <v>87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223">
        <v>0.11851228191054274</v>
      </c>
      <c r="R50" s="41">
        <v>6.5555812065799635E-2</v>
      </c>
      <c r="S50" s="41">
        <v>9.8693922528988509E-2</v>
      </c>
      <c r="T50" s="223">
        <v>0.15035407872830908</v>
      </c>
      <c r="U50" s="41">
        <v>0.36683517019548378</v>
      </c>
      <c r="V50" s="41">
        <v>0.13807688716276326</v>
      </c>
      <c r="W50" s="41"/>
      <c r="X50" s="41"/>
      <c r="Y50" s="41"/>
      <c r="Z50" s="41"/>
      <c r="AA50" s="41"/>
      <c r="AB50" s="41"/>
      <c r="AC50" s="41"/>
    </row>
    <row r="51" spans="2:29" x14ac:dyDescent="0.2">
      <c r="B51" s="213">
        <f t="shared" si="9"/>
        <v>38200</v>
      </c>
      <c r="C51" s="212" t="str">
        <f t="shared" si="5"/>
        <v>1514.50</v>
      </c>
      <c r="D51" s="212" t="str">
        <f t="shared" si="6"/>
        <v>1858.25</v>
      </c>
      <c r="E51" s="212" t="str">
        <f t="shared" si="2"/>
        <v>495.50</v>
      </c>
      <c r="F51" s="123" t="str">
        <f t="shared" si="7"/>
        <v>6765</v>
      </c>
      <c r="G51" s="212">
        <f t="shared" si="1"/>
        <v>4.95</v>
      </c>
      <c r="H51" s="212" t="str">
        <f t="shared" si="3"/>
        <v>5380.00</v>
      </c>
      <c r="I51" s="212" t="str">
        <f t="shared" si="8"/>
        <v>1132.75</v>
      </c>
      <c r="J51" s="248">
        <v>306.3</v>
      </c>
      <c r="K51" s="249">
        <v>1028</v>
      </c>
      <c r="L51" s="212">
        <v>87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223">
        <v>0.11851228191054274</v>
      </c>
      <c r="R51" s="41">
        <v>6.5555812065799635E-2</v>
      </c>
      <c r="S51" s="41">
        <v>9.8693922528988509E-2</v>
      </c>
      <c r="T51" s="223">
        <v>0.15035407872830908</v>
      </c>
      <c r="U51" s="41">
        <v>0.36683517019548378</v>
      </c>
      <c r="V51" s="41">
        <v>0.13807688716276326</v>
      </c>
      <c r="W51" s="41"/>
      <c r="X51" s="41"/>
      <c r="Y51" s="41"/>
      <c r="Z51" s="41"/>
      <c r="AA51" s="41"/>
      <c r="AB51" s="41"/>
      <c r="AC51" s="41"/>
    </row>
    <row r="52" spans="2:29" x14ac:dyDescent="0.2">
      <c r="B52" s="213">
        <f t="shared" ref="B52:B80" si="10">DATE(YEAR(B51),MONTH(B51)+1,1)</f>
        <v>38231</v>
      </c>
      <c r="C52" s="212" t="str">
        <f t="shared" si="5"/>
        <v>1514.50</v>
      </c>
      <c r="D52" s="212" t="str">
        <f t="shared" si="6"/>
        <v>1858.25</v>
      </c>
      <c r="E52" s="212" t="str">
        <f t="shared" si="2"/>
        <v>495.50</v>
      </c>
      <c r="F52" s="123" t="str">
        <f t="shared" si="7"/>
        <v>6765</v>
      </c>
      <c r="G52" s="212">
        <f t="shared" si="1"/>
        <v>4.95</v>
      </c>
      <c r="H52" s="212" t="str">
        <f t="shared" si="3"/>
        <v>5380.00</v>
      </c>
      <c r="I52" s="212" t="str">
        <f t="shared" si="8"/>
        <v>1132.75</v>
      </c>
      <c r="J52" s="248">
        <v>306.3</v>
      </c>
      <c r="K52" s="249">
        <v>1028</v>
      </c>
      <c r="L52" s="212">
        <v>87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223">
        <v>0.11851228191054274</v>
      </c>
      <c r="R52" s="41">
        <v>6.5555812065799635E-2</v>
      </c>
      <c r="S52" s="41">
        <v>9.8693922528988509E-2</v>
      </c>
      <c r="T52" s="223">
        <v>0.15035407872830908</v>
      </c>
      <c r="U52" s="41">
        <v>0.36683517019548378</v>
      </c>
      <c r="V52" s="41">
        <v>0.13807688716276326</v>
      </c>
      <c r="W52" s="41"/>
      <c r="X52" s="41"/>
      <c r="Y52" s="41"/>
      <c r="Z52" s="41"/>
      <c r="AA52" s="41"/>
      <c r="AB52" s="41"/>
      <c r="AC52" s="41"/>
    </row>
    <row r="53" spans="2:29" x14ac:dyDescent="0.2">
      <c r="B53" s="213">
        <f t="shared" si="10"/>
        <v>38261</v>
      </c>
      <c r="C53" s="212" t="str">
        <f t="shared" si="5"/>
        <v>1514.50</v>
      </c>
      <c r="D53" s="212" t="str">
        <f t="shared" si="6"/>
        <v>1858.25</v>
      </c>
      <c r="E53" s="212" t="str">
        <f t="shared" si="2"/>
        <v>495.50</v>
      </c>
      <c r="F53" s="123" t="str">
        <f t="shared" si="7"/>
        <v>6765</v>
      </c>
      <c r="G53" s="212">
        <f t="shared" si="1"/>
        <v>4.95</v>
      </c>
      <c r="H53" s="212" t="str">
        <f t="shared" si="3"/>
        <v>5380.00</v>
      </c>
      <c r="I53" s="212" t="str">
        <f t="shared" si="8"/>
        <v>1132.75</v>
      </c>
      <c r="J53" s="248">
        <v>306.3</v>
      </c>
      <c r="K53" s="249">
        <v>1028</v>
      </c>
      <c r="L53" s="212">
        <v>87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223">
        <v>0.11851228191054274</v>
      </c>
      <c r="R53" s="41">
        <v>6.5555812065799635E-2</v>
      </c>
      <c r="S53" s="41">
        <v>9.8693922528988509E-2</v>
      </c>
      <c r="T53" s="223">
        <v>0.15035407872830908</v>
      </c>
      <c r="U53" s="41">
        <v>0.36683517019548378</v>
      </c>
      <c r="V53" s="41">
        <v>0.13807688716276326</v>
      </c>
      <c r="W53" s="41"/>
      <c r="X53" s="41"/>
      <c r="Y53" s="41"/>
      <c r="Z53" s="41"/>
      <c r="AA53" s="41"/>
      <c r="AB53" s="41"/>
      <c r="AC53" s="41"/>
    </row>
    <row r="54" spans="2:29" x14ac:dyDescent="0.2">
      <c r="B54" s="213">
        <f t="shared" si="10"/>
        <v>38292</v>
      </c>
      <c r="C54" s="212" t="str">
        <f t="shared" si="5"/>
        <v>1514.50</v>
      </c>
      <c r="D54" s="212" t="str">
        <f t="shared" si="6"/>
        <v>1858.25</v>
      </c>
      <c r="E54" s="212" t="str">
        <f t="shared" si="2"/>
        <v>495.50</v>
      </c>
      <c r="F54" s="123" t="str">
        <f t="shared" si="7"/>
        <v>6765</v>
      </c>
      <c r="G54" s="212">
        <f t="shared" si="1"/>
        <v>4.95</v>
      </c>
      <c r="H54" s="212" t="str">
        <f t="shared" si="3"/>
        <v>5380.00</v>
      </c>
      <c r="I54" s="212" t="str">
        <f t="shared" si="8"/>
        <v>1132.75</v>
      </c>
      <c r="J54" s="248">
        <v>306.3</v>
      </c>
      <c r="K54" s="249">
        <v>1028</v>
      </c>
      <c r="L54" s="212">
        <v>87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223">
        <v>0.11851228191054274</v>
      </c>
      <c r="R54" s="41">
        <v>6.5555812065799635E-2</v>
      </c>
      <c r="S54" s="41">
        <v>9.8693922528988509E-2</v>
      </c>
      <c r="T54" s="223">
        <v>0.15035407872830908</v>
      </c>
      <c r="U54" s="41">
        <v>0.36683517019548378</v>
      </c>
      <c r="V54" s="41">
        <v>0.13807688716276326</v>
      </c>
      <c r="W54" s="41"/>
      <c r="X54" s="41"/>
      <c r="Y54" s="41"/>
      <c r="Z54" s="41"/>
      <c r="AA54" s="41"/>
      <c r="AB54" s="41"/>
      <c r="AC54" s="41"/>
    </row>
    <row r="55" spans="2:29" x14ac:dyDescent="0.2">
      <c r="B55" s="213">
        <f t="shared" si="10"/>
        <v>38322</v>
      </c>
      <c r="C55" s="212" t="str">
        <f t="shared" si="5"/>
        <v>1514.50</v>
      </c>
      <c r="D55" s="212" t="str">
        <f t="shared" si="6"/>
        <v>1858.25</v>
      </c>
      <c r="E55" s="212" t="str">
        <f t="shared" si="2"/>
        <v>495.50</v>
      </c>
      <c r="F55" s="123" t="str">
        <f t="shared" si="7"/>
        <v>6765</v>
      </c>
      <c r="G55" s="212">
        <f t="shared" si="1"/>
        <v>4.95</v>
      </c>
      <c r="H55" s="212" t="str">
        <f t="shared" si="3"/>
        <v>5380.00</v>
      </c>
      <c r="I55" s="212" t="str">
        <f t="shared" si="8"/>
        <v>1132.75</v>
      </c>
      <c r="J55" s="248">
        <v>306.3</v>
      </c>
      <c r="K55" s="249">
        <v>1028</v>
      </c>
      <c r="L55" s="212">
        <v>87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223">
        <v>0.11851228191054274</v>
      </c>
      <c r="R55" s="41">
        <v>6.5555812065799635E-2</v>
      </c>
      <c r="S55" s="41">
        <v>9.8693922528988509E-2</v>
      </c>
      <c r="T55" s="223">
        <v>0.15035407872830908</v>
      </c>
      <c r="U55" s="41">
        <v>0.36683517019548378</v>
      </c>
      <c r="V55" s="41">
        <v>0.13807688716276326</v>
      </c>
      <c r="W55" s="41"/>
      <c r="X55" s="41"/>
      <c r="Y55" s="41"/>
      <c r="Z55" s="41"/>
      <c r="AA55" s="41"/>
      <c r="AB55" s="41"/>
      <c r="AC55" s="41"/>
    </row>
    <row r="56" spans="2:29" x14ac:dyDescent="0.2">
      <c r="B56" s="213">
        <f t="shared" si="10"/>
        <v>38353</v>
      </c>
      <c r="C56" s="212" t="str">
        <f t="shared" si="5"/>
        <v>1514.50</v>
      </c>
      <c r="D56" s="212" t="str">
        <f t="shared" si="6"/>
        <v>1858.25</v>
      </c>
      <c r="E56" s="212" t="str">
        <f t="shared" si="2"/>
        <v>495.50</v>
      </c>
      <c r="F56" s="123" t="str">
        <f t="shared" si="7"/>
        <v>6765</v>
      </c>
      <c r="G56" s="212">
        <f t="shared" si="1"/>
        <v>4.95</v>
      </c>
      <c r="H56" s="212" t="str">
        <f t="shared" si="3"/>
        <v>5380.00</v>
      </c>
      <c r="I56" s="212" t="str">
        <f t="shared" si="8"/>
        <v>1132.75</v>
      </c>
      <c r="J56" s="248">
        <v>306.3</v>
      </c>
      <c r="K56" s="249">
        <v>1028</v>
      </c>
      <c r="L56" s="212">
        <v>87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223">
        <v>0.11851228191054274</v>
      </c>
      <c r="R56" s="41">
        <v>6.5555812065799635E-2</v>
      </c>
      <c r="S56" s="41">
        <v>9.8693922528988509E-2</v>
      </c>
      <c r="T56" s="223">
        <v>0.15035407872830908</v>
      </c>
      <c r="U56" s="41">
        <v>0.36683517019548378</v>
      </c>
      <c r="V56" s="41">
        <v>0.13807688716276326</v>
      </c>
      <c r="W56" s="41"/>
      <c r="X56" s="41"/>
      <c r="Y56" s="41"/>
      <c r="Z56" s="41"/>
      <c r="AA56" s="41"/>
      <c r="AB56" s="41"/>
      <c r="AC56" s="41"/>
    </row>
    <row r="57" spans="2:29" x14ac:dyDescent="0.2">
      <c r="B57" s="213">
        <f t="shared" si="10"/>
        <v>38384</v>
      </c>
      <c r="C57" s="212" t="str">
        <f t="shared" si="5"/>
        <v>1514.50</v>
      </c>
      <c r="D57" s="212" t="str">
        <f t="shared" si="6"/>
        <v>1858.25</v>
      </c>
      <c r="E57" s="212" t="str">
        <f t="shared" si="2"/>
        <v>495.50</v>
      </c>
      <c r="F57" s="123" t="str">
        <f t="shared" si="7"/>
        <v>6765</v>
      </c>
      <c r="G57" s="212">
        <f t="shared" si="1"/>
        <v>4.95</v>
      </c>
      <c r="H57" s="212" t="str">
        <f t="shared" si="3"/>
        <v>5380.00</v>
      </c>
      <c r="I57" s="212" t="str">
        <f t="shared" si="8"/>
        <v>1132.75</v>
      </c>
      <c r="J57" s="248">
        <v>306.3</v>
      </c>
      <c r="K57" s="249">
        <v>1028</v>
      </c>
      <c r="L57" s="212">
        <v>87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223">
        <v>0.11851228191054274</v>
      </c>
      <c r="R57" s="41">
        <v>6.5555812065799635E-2</v>
      </c>
      <c r="S57" s="41">
        <v>9.8693922528988509E-2</v>
      </c>
      <c r="T57" s="223">
        <v>0.15035407872830908</v>
      </c>
      <c r="U57" s="41">
        <v>0.36683517019548378</v>
      </c>
      <c r="V57" s="41">
        <v>0.13807688716276326</v>
      </c>
      <c r="W57" s="41"/>
      <c r="X57" s="41"/>
      <c r="Y57" s="41"/>
      <c r="Z57" s="41"/>
      <c r="AA57" s="41"/>
      <c r="AB57" s="41"/>
      <c r="AC57" s="41"/>
    </row>
    <row r="58" spans="2:29" x14ac:dyDescent="0.2">
      <c r="B58" s="213">
        <f t="shared" si="10"/>
        <v>38412</v>
      </c>
      <c r="C58" s="212" t="str">
        <f t="shared" si="5"/>
        <v>1514.50</v>
      </c>
      <c r="D58" s="212" t="str">
        <f t="shared" si="6"/>
        <v>1858.25</v>
      </c>
      <c r="E58" s="212" t="str">
        <f t="shared" si="2"/>
        <v>495.50</v>
      </c>
      <c r="F58" s="123" t="str">
        <f t="shared" si="7"/>
        <v>6765</v>
      </c>
      <c r="G58" s="212">
        <f t="shared" si="1"/>
        <v>4.95</v>
      </c>
      <c r="H58" s="212" t="str">
        <f t="shared" si="3"/>
        <v>5380.00</v>
      </c>
      <c r="I58" s="212" t="str">
        <f t="shared" si="8"/>
        <v>1132.75</v>
      </c>
      <c r="J58" s="248">
        <v>306.3</v>
      </c>
      <c r="K58" s="249">
        <v>1028</v>
      </c>
      <c r="L58" s="212">
        <v>87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223">
        <v>0.11851228191054274</v>
      </c>
      <c r="R58" s="41">
        <v>6.5555812065799635E-2</v>
      </c>
      <c r="S58" s="41">
        <v>9.8693922528988509E-2</v>
      </c>
      <c r="T58" s="223">
        <v>0.15035407872830908</v>
      </c>
      <c r="U58" s="41">
        <v>0.36683517019548378</v>
      </c>
      <c r="V58" s="41">
        <v>0.13807688716276326</v>
      </c>
      <c r="W58" s="41"/>
      <c r="X58" s="41"/>
      <c r="Y58" s="41"/>
      <c r="Z58" s="41"/>
      <c r="AA58" s="41"/>
      <c r="AB58" s="41"/>
      <c r="AC58" s="41"/>
    </row>
    <row r="59" spans="2:29" x14ac:dyDescent="0.2">
      <c r="B59" s="213">
        <f t="shared" si="10"/>
        <v>38443</v>
      </c>
      <c r="C59" s="212" t="str">
        <f t="shared" si="5"/>
        <v>1514.50</v>
      </c>
      <c r="D59" s="212" t="str">
        <f t="shared" si="6"/>
        <v>1858.25</v>
      </c>
      <c r="E59" s="212" t="str">
        <f t="shared" si="2"/>
        <v>495.50</v>
      </c>
      <c r="F59" s="123" t="str">
        <f t="shared" si="7"/>
        <v>6765</v>
      </c>
      <c r="G59" s="212">
        <f t="shared" si="1"/>
        <v>4.95</v>
      </c>
      <c r="H59" s="212" t="str">
        <f t="shared" si="3"/>
        <v>5380.00</v>
      </c>
      <c r="I59" s="212" t="str">
        <f t="shared" si="8"/>
        <v>1132.75</v>
      </c>
      <c r="J59" s="248">
        <v>306.3</v>
      </c>
      <c r="K59" s="249">
        <v>1028</v>
      </c>
      <c r="L59" s="212">
        <v>87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223">
        <v>0.11851228191054274</v>
      </c>
      <c r="R59" s="41">
        <v>6.5555812065799635E-2</v>
      </c>
      <c r="S59" s="41">
        <v>9.8693922528988509E-2</v>
      </c>
      <c r="T59" s="223">
        <v>0.15035407872830908</v>
      </c>
      <c r="U59" s="41">
        <v>0.36683517019548378</v>
      </c>
      <c r="V59" s="41">
        <v>0.13807688716276326</v>
      </c>
      <c r="W59" s="41"/>
      <c r="X59" s="41"/>
      <c r="Y59" s="41"/>
      <c r="Z59" s="41"/>
      <c r="AA59" s="41"/>
      <c r="AB59" s="41"/>
      <c r="AC59" s="41"/>
    </row>
    <row r="60" spans="2:29" x14ac:dyDescent="0.2">
      <c r="B60" s="213">
        <f t="shared" si="10"/>
        <v>38473</v>
      </c>
      <c r="C60" s="212" t="str">
        <f t="shared" si="5"/>
        <v>1514.50</v>
      </c>
      <c r="D60" s="212" t="str">
        <f t="shared" si="6"/>
        <v>1858.25</v>
      </c>
      <c r="E60" s="212" t="str">
        <f t="shared" si="2"/>
        <v>495.50</v>
      </c>
      <c r="F60" s="123" t="str">
        <f t="shared" si="7"/>
        <v>6765</v>
      </c>
      <c r="G60" s="212">
        <f t="shared" si="1"/>
        <v>4.95</v>
      </c>
      <c r="H60" s="212" t="str">
        <f t="shared" si="3"/>
        <v>5380.00</v>
      </c>
      <c r="I60" s="212" t="str">
        <f t="shared" si="8"/>
        <v>1132.75</v>
      </c>
      <c r="J60" s="248">
        <v>306.3</v>
      </c>
      <c r="K60" s="249">
        <v>1028</v>
      </c>
      <c r="L60" s="212">
        <v>87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223">
        <v>0.11851228191054274</v>
      </c>
      <c r="R60" s="41">
        <v>6.5555812065799635E-2</v>
      </c>
      <c r="S60" s="41">
        <v>9.8693922528988509E-2</v>
      </c>
      <c r="T60" s="223">
        <v>0.15035407872830908</v>
      </c>
      <c r="U60" s="41">
        <v>0.36683517019548378</v>
      </c>
      <c r="V60" s="41">
        <v>0.13807688716276326</v>
      </c>
      <c r="W60" s="41"/>
      <c r="X60" s="41"/>
      <c r="Y60" s="41"/>
      <c r="Z60" s="41"/>
      <c r="AA60" s="41"/>
      <c r="AB60" s="41"/>
      <c r="AC60" s="41"/>
    </row>
    <row r="61" spans="2:29" x14ac:dyDescent="0.2">
      <c r="B61" s="213">
        <f t="shared" si="10"/>
        <v>38504</v>
      </c>
      <c r="C61" s="212" t="str">
        <f t="shared" si="5"/>
        <v>1514.50</v>
      </c>
      <c r="D61" s="212" t="str">
        <f t="shared" si="6"/>
        <v>1858.25</v>
      </c>
      <c r="E61" s="212" t="str">
        <f t="shared" si="2"/>
        <v>495.50</v>
      </c>
      <c r="F61" s="123" t="str">
        <f t="shared" si="7"/>
        <v>6765</v>
      </c>
      <c r="G61" s="212">
        <f t="shared" si="1"/>
        <v>4.95</v>
      </c>
      <c r="H61" s="212" t="str">
        <f t="shared" si="3"/>
        <v>5380.00</v>
      </c>
      <c r="I61" s="212" t="str">
        <f t="shared" si="8"/>
        <v>1132.75</v>
      </c>
      <c r="J61" s="248">
        <v>306.3</v>
      </c>
      <c r="K61" s="249">
        <v>1028</v>
      </c>
      <c r="L61" s="212">
        <v>87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223">
        <v>0.11851228191054274</v>
      </c>
      <c r="R61" s="41">
        <v>6.5555812065799635E-2</v>
      </c>
      <c r="S61" s="41">
        <v>9.8693922528988509E-2</v>
      </c>
      <c r="T61" s="223">
        <v>0.15035407872830908</v>
      </c>
      <c r="U61" s="41">
        <v>0.36683517019548378</v>
      </c>
      <c r="V61" s="41">
        <v>0.13807688716276326</v>
      </c>
      <c r="W61" s="41"/>
      <c r="X61" s="41"/>
      <c r="Y61" s="41"/>
      <c r="Z61" s="41"/>
      <c r="AA61" s="41"/>
      <c r="AB61" s="41"/>
      <c r="AC61" s="41"/>
    </row>
    <row r="62" spans="2:29" x14ac:dyDescent="0.2">
      <c r="B62" s="213">
        <f t="shared" si="10"/>
        <v>38534</v>
      </c>
      <c r="C62" s="212" t="str">
        <f t="shared" si="5"/>
        <v>1514.50</v>
      </c>
      <c r="D62" s="212" t="str">
        <f t="shared" si="6"/>
        <v>1858.25</v>
      </c>
      <c r="E62" s="212" t="str">
        <f t="shared" si="2"/>
        <v>495.50</v>
      </c>
      <c r="F62" s="123" t="str">
        <f t="shared" si="7"/>
        <v>6765</v>
      </c>
      <c r="G62" s="212">
        <f t="shared" si="1"/>
        <v>4.95</v>
      </c>
      <c r="H62" s="212" t="str">
        <f t="shared" si="3"/>
        <v>5380.00</v>
      </c>
      <c r="I62" s="212" t="str">
        <f t="shared" si="8"/>
        <v>1132.75</v>
      </c>
      <c r="J62" s="248">
        <v>306.3</v>
      </c>
      <c r="K62" s="249">
        <v>1028</v>
      </c>
      <c r="L62" s="212">
        <v>87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223">
        <v>0.11851228191054274</v>
      </c>
      <c r="R62" s="41">
        <v>6.5555812065799635E-2</v>
      </c>
      <c r="S62" s="41">
        <v>9.8693922528988509E-2</v>
      </c>
      <c r="T62" s="223">
        <v>0.15035407872830908</v>
      </c>
      <c r="U62" s="41">
        <v>0.36683517019548378</v>
      </c>
      <c r="V62" s="41">
        <v>0.13807688716276326</v>
      </c>
      <c r="W62" s="41"/>
      <c r="X62" s="41"/>
      <c r="Y62" s="41"/>
      <c r="Z62" s="41"/>
      <c r="AA62" s="41"/>
      <c r="AB62" s="41"/>
      <c r="AC62" s="41"/>
    </row>
    <row r="63" spans="2:29" x14ac:dyDescent="0.2">
      <c r="B63" s="213">
        <f t="shared" si="10"/>
        <v>38565</v>
      </c>
      <c r="C63" s="212" t="str">
        <f t="shared" si="5"/>
        <v>1514.50</v>
      </c>
      <c r="D63" s="212" t="str">
        <f t="shared" si="6"/>
        <v>1858.25</v>
      </c>
      <c r="E63" s="212" t="str">
        <f t="shared" si="2"/>
        <v>495.50</v>
      </c>
      <c r="F63" s="123" t="str">
        <f t="shared" si="7"/>
        <v>6765</v>
      </c>
      <c r="G63" s="212">
        <f t="shared" si="1"/>
        <v>4.95</v>
      </c>
      <c r="H63" s="212" t="str">
        <f t="shared" si="3"/>
        <v>5380.00</v>
      </c>
      <c r="I63" s="212" t="str">
        <f t="shared" si="8"/>
        <v>1132.75</v>
      </c>
      <c r="J63" s="248">
        <v>306.3</v>
      </c>
      <c r="K63" s="249">
        <v>1028</v>
      </c>
      <c r="L63" s="212">
        <v>87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223">
        <v>0.11851228191054274</v>
      </c>
      <c r="R63" s="41">
        <v>6.5555812065799635E-2</v>
      </c>
      <c r="S63" s="41">
        <v>9.8693922528988509E-2</v>
      </c>
      <c r="T63" s="223">
        <v>0.15035407872830908</v>
      </c>
      <c r="U63" s="41">
        <v>0.36683517019548378</v>
      </c>
      <c r="V63" s="41">
        <v>0.13807688716276326</v>
      </c>
      <c r="W63" s="41"/>
      <c r="X63" s="41"/>
      <c r="Y63" s="41"/>
      <c r="Z63" s="41"/>
      <c r="AA63" s="41"/>
      <c r="AB63" s="41"/>
      <c r="AC63" s="41"/>
    </row>
    <row r="64" spans="2:29" x14ac:dyDescent="0.2">
      <c r="B64" s="213">
        <f t="shared" si="10"/>
        <v>38596</v>
      </c>
      <c r="C64" s="212" t="str">
        <f t="shared" si="5"/>
        <v>1514.50</v>
      </c>
      <c r="D64" s="212" t="str">
        <f t="shared" si="6"/>
        <v>1858.25</v>
      </c>
      <c r="E64" s="212" t="str">
        <f t="shared" si="2"/>
        <v>495.50</v>
      </c>
      <c r="F64" s="123" t="str">
        <f t="shared" si="7"/>
        <v>6765</v>
      </c>
      <c r="G64" s="212">
        <f t="shared" si="1"/>
        <v>4.95</v>
      </c>
      <c r="H64" s="212" t="str">
        <f t="shared" si="3"/>
        <v>5380.00</v>
      </c>
      <c r="I64" s="212" t="str">
        <f t="shared" si="8"/>
        <v>1132.75</v>
      </c>
      <c r="J64" s="248">
        <v>306.3</v>
      </c>
      <c r="K64" s="249">
        <v>1028</v>
      </c>
      <c r="L64" s="212">
        <v>87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223">
        <v>0.11851228191054274</v>
      </c>
      <c r="R64" s="41">
        <v>6.5555812065799635E-2</v>
      </c>
      <c r="S64" s="41">
        <v>9.8693922528988509E-2</v>
      </c>
      <c r="T64" s="223">
        <v>0.15035407872830908</v>
      </c>
      <c r="U64" s="41">
        <v>0.36683517019548378</v>
      </c>
      <c r="V64" s="41">
        <v>0.13807688716276326</v>
      </c>
      <c r="W64" s="41"/>
      <c r="X64" s="41"/>
      <c r="Y64" s="41"/>
      <c r="Z64" s="41"/>
      <c r="AA64" s="41"/>
      <c r="AB64" s="41"/>
      <c r="AC64" s="41"/>
    </row>
    <row r="65" spans="2:29" x14ac:dyDescent="0.2">
      <c r="B65" s="213">
        <f t="shared" si="10"/>
        <v>38626</v>
      </c>
      <c r="C65" s="212" t="str">
        <f t="shared" si="5"/>
        <v>1514.50</v>
      </c>
      <c r="D65" s="212" t="str">
        <f t="shared" si="6"/>
        <v>1858.25</v>
      </c>
      <c r="E65" s="212" t="str">
        <f t="shared" si="2"/>
        <v>495.50</v>
      </c>
      <c r="F65" s="123" t="str">
        <f t="shared" si="7"/>
        <v>6765</v>
      </c>
      <c r="G65" s="212">
        <f t="shared" si="1"/>
        <v>4.95</v>
      </c>
      <c r="H65" s="212" t="str">
        <f t="shared" si="3"/>
        <v>5380.00</v>
      </c>
      <c r="I65" s="212" t="str">
        <f t="shared" si="8"/>
        <v>1132.75</v>
      </c>
      <c r="J65" s="248">
        <v>306.3</v>
      </c>
      <c r="K65" s="249">
        <v>1028</v>
      </c>
      <c r="L65" s="212">
        <v>87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223">
        <v>0.11851228191054274</v>
      </c>
      <c r="R65" s="41">
        <v>6.5555812065799635E-2</v>
      </c>
      <c r="S65" s="41">
        <v>9.8693922528988509E-2</v>
      </c>
      <c r="T65" s="223">
        <v>0.15035407872830908</v>
      </c>
      <c r="U65" s="41">
        <v>0.36683517019548378</v>
      </c>
      <c r="V65" s="41">
        <v>0.13807688716276326</v>
      </c>
      <c r="W65" s="41"/>
      <c r="X65" s="41"/>
      <c r="Y65" s="41"/>
      <c r="Z65" s="41"/>
      <c r="AA65" s="41"/>
      <c r="AB65" s="41"/>
      <c r="AC65" s="41"/>
    </row>
    <row r="66" spans="2:29" x14ac:dyDescent="0.2">
      <c r="B66" s="213">
        <f t="shared" si="10"/>
        <v>38657</v>
      </c>
      <c r="C66" s="212" t="str">
        <f t="shared" si="5"/>
        <v>1514.50</v>
      </c>
      <c r="D66" s="212" t="str">
        <f t="shared" si="6"/>
        <v>1858.25</v>
      </c>
      <c r="E66" s="212" t="str">
        <f t="shared" si="2"/>
        <v>495.50</v>
      </c>
      <c r="F66" s="123" t="str">
        <f t="shared" si="7"/>
        <v>6765</v>
      </c>
      <c r="G66" s="212">
        <f t="shared" si="1"/>
        <v>4.95</v>
      </c>
      <c r="H66" s="212" t="str">
        <f t="shared" si="3"/>
        <v>5380.00</v>
      </c>
      <c r="I66" s="212" t="str">
        <f t="shared" si="8"/>
        <v>1132.75</v>
      </c>
      <c r="J66" s="248">
        <v>306.3</v>
      </c>
      <c r="K66" s="249">
        <v>1028</v>
      </c>
      <c r="L66" s="212">
        <v>87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223">
        <v>0.11851228191054274</v>
      </c>
      <c r="R66" s="41">
        <v>6.5555812065799635E-2</v>
      </c>
      <c r="S66" s="41">
        <v>9.8693922528988509E-2</v>
      </c>
      <c r="T66" s="223">
        <v>0.15035407872830908</v>
      </c>
      <c r="U66" s="41">
        <v>0.36683517019548378</v>
      </c>
      <c r="V66" s="41">
        <v>0.13807688716276326</v>
      </c>
      <c r="W66" s="41"/>
      <c r="X66" s="41"/>
      <c r="Y66" s="41"/>
      <c r="Z66" s="41"/>
      <c r="AA66" s="41"/>
      <c r="AB66" s="41"/>
      <c r="AC66" s="41"/>
    </row>
    <row r="67" spans="2:29" x14ac:dyDescent="0.2">
      <c r="B67" s="213">
        <f t="shared" si="10"/>
        <v>38687</v>
      </c>
      <c r="C67" s="212" t="str">
        <f t="shared" si="5"/>
        <v>1514.50</v>
      </c>
      <c r="D67" s="212" t="str">
        <f t="shared" si="6"/>
        <v>1858.25</v>
      </c>
      <c r="E67" s="212" t="str">
        <f t="shared" si="2"/>
        <v>495.50</v>
      </c>
      <c r="F67" s="123" t="str">
        <f t="shared" si="7"/>
        <v>6765</v>
      </c>
      <c r="G67" s="212">
        <f t="shared" si="1"/>
        <v>4.95</v>
      </c>
      <c r="H67" s="212" t="str">
        <f t="shared" si="3"/>
        <v>5380.00</v>
      </c>
      <c r="I67" s="212" t="str">
        <f t="shared" si="8"/>
        <v>1132.75</v>
      </c>
      <c r="J67" s="248">
        <v>306.3</v>
      </c>
      <c r="K67" s="249">
        <v>1028</v>
      </c>
      <c r="L67" s="212">
        <v>87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223">
        <v>0.11851228191054274</v>
      </c>
      <c r="R67" s="41">
        <v>6.5555812065799635E-2</v>
      </c>
      <c r="S67" s="41">
        <v>9.8693922528988509E-2</v>
      </c>
      <c r="T67" s="223">
        <v>0.15035407872830908</v>
      </c>
      <c r="U67" s="41">
        <v>0.36683517019548378</v>
      </c>
      <c r="V67" s="41">
        <v>0.13807688716276326</v>
      </c>
      <c r="W67" s="41"/>
      <c r="X67" s="41"/>
      <c r="Y67" s="41"/>
      <c r="Z67" s="41"/>
      <c r="AA67" s="41"/>
      <c r="AB67" s="41"/>
      <c r="AC67" s="41"/>
    </row>
    <row r="68" spans="2:29" x14ac:dyDescent="0.2">
      <c r="B68" s="213">
        <f t="shared" si="10"/>
        <v>38718</v>
      </c>
      <c r="C68" s="212" t="str">
        <f t="shared" si="5"/>
        <v>1514.50</v>
      </c>
      <c r="D68" s="212" t="str">
        <f t="shared" si="6"/>
        <v>1858.25</v>
      </c>
      <c r="E68" s="212" t="str">
        <f t="shared" si="2"/>
        <v>495.50</v>
      </c>
      <c r="F68" s="123" t="str">
        <f t="shared" si="7"/>
        <v>6765</v>
      </c>
      <c r="G68" s="212">
        <f t="shared" si="1"/>
        <v>4.95</v>
      </c>
      <c r="H68" s="212" t="str">
        <f t="shared" si="3"/>
        <v>5380.00</v>
      </c>
      <c r="I68" s="212" t="str">
        <f t="shared" si="8"/>
        <v>1132.75</v>
      </c>
      <c r="J68" s="248">
        <v>306.3</v>
      </c>
      <c r="K68" s="249">
        <v>1028</v>
      </c>
      <c r="L68" s="212">
        <v>87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223">
        <v>0.11851228191054274</v>
      </c>
      <c r="R68" s="41">
        <v>6.5555812065799635E-2</v>
      </c>
      <c r="S68" s="41">
        <v>9.8693922528988509E-2</v>
      </c>
      <c r="T68" s="223">
        <v>0.15035407872830908</v>
      </c>
      <c r="U68" s="41">
        <v>0.36683517019548378</v>
      </c>
      <c r="V68" s="41">
        <v>0.13807688716276326</v>
      </c>
      <c r="W68" s="41"/>
      <c r="X68" s="41"/>
      <c r="Y68" s="41"/>
      <c r="Z68" s="41"/>
      <c r="AA68" s="41"/>
      <c r="AB68" s="41"/>
      <c r="AC68" s="41"/>
    </row>
    <row r="69" spans="2:29" x14ac:dyDescent="0.2">
      <c r="B69" s="213">
        <f t="shared" si="10"/>
        <v>38749</v>
      </c>
      <c r="C69" s="212" t="str">
        <f t="shared" si="5"/>
        <v>1514.50</v>
      </c>
      <c r="D69" s="212" t="str">
        <f t="shared" si="6"/>
        <v>1858.25</v>
      </c>
      <c r="E69" s="212" t="str">
        <f t="shared" si="2"/>
        <v>495.50</v>
      </c>
      <c r="F69" s="123" t="str">
        <f t="shared" si="7"/>
        <v>6765</v>
      </c>
      <c r="G69" s="212">
        <f t="shared" si="1"/>
        <v>4.95</v>
      </c>
      <c r="H69" s="212" t="str">
        <f t="shared" si="3"/>
        <v>5380.00</v>
      </c>
      <c r="I69" s="212" t="str">
        <f t="shared" si="8"/>
        <v>1132.75</v>
      </c>
      <c r="J69" s="248">
        <v>306.3</v>
      </c>
      <c r="K69" s="249">
        <v>1028</v>
      </c>
      <c r="L69" s="212">
        <v>87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223">
        <v>0.11851228191054274</v>
      </c>
      <c r="R69" s="41">
        <v>6.5555812065799635E-2</v>
      </c>
      <c r="S69" s="41">
        <v>9.8693922528988509E-2</v>
      </c>
      <c r="T69" s="223">
        <v>0.15035407872830908</v>
      </c>
      <c r="U69" s="41">
        <v>0.36683517019548378</v>
      </c>
      <c r="V69" s="41">
        <v>0.13807688716276326</v>
      </c>
      <c r="W69" s="41"/>
      <c r="X69" s="41"/>
      <c r="Y69" s="41"/>
      <c r="Z69" s="41"/>
      <c r="AA69" s="41"/>
      <c r="AB69" s="41"/>
      <c r="AC69" s="41"/>
    </row>
    <row r="70" spans="2:29" x14ac:dyDescent="0.2">
      <c r="B70" s="213">
        <f t="shared" si="10"/>
        <v>38777</v>
      </c>
      <c r="C70" s="212" t="str">
        <f t="shared" si="5"/>
        <v>1514.50</v>
      </c>
      <c r="D70" s="212" t="str">
        <f t="shared" si="6"/>
        <v>1858.25</v>
      </c>
      <c r="E70" s="212" t="str">
        <f t="shared" si="2"/>
        <v>495.50</v>
      </c>
      <c r="F70" s="123" t="str">
        <f t="shared" si="7"/>
        <v>6765</v>
      </c>
      <c r="G70" s="212">
        <f t="shared" si="1"/>
        <v>4.95</v>
      </c>
      <c r="H70" s="212" t="str">
        <f t="shared" si="3"/>
        <v>5380.00</v>
      </c>
      <c r="I70" s="212" t="str">
        <f t="shared" si="8"/>
        <v>1132.75</v>
      </c>
      <c r="J70" s="248">
        <v>306.3</v>
      </c>
      <c r="K70" s="249">
        <v>1028</v>
      </c>
      <c r="L70" s="212">
        <v>87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223">
        <v>0.11851228191054274</v>
      </c>
      <c r="R70" s="41">
        <v>6.5555812065799635E-2</v>
      </c>
      <c r="S70" s="41">
        <v>9.8693922528988509E-2</v>
      </c>
      <c r="T70" s="223">
        <v>0.15035407872830908</v>
      </c>
      <c r="U70" s="41">
        <v>0.36683517019548378</v>
      </c>
      <c r="V70" s="41">
        <v>0.13807688716276326</v>
      </c>
      <c r="W70" s="41"/>
      <c r="X70" s="41"/>
      <c r="Y70" s="41"/>
      <c r="Z70" s="41"/>
      <c r="AA70" s="41"/>
      <c r="AB70" s="41"/>
      <c r="AC70" s="41"/>
    </row>
    <row r="71" spans="2:29" x14ac:dyDescent="0.2">
      <c r="B71" s="213">
        <f t="shared" si="10"/>
        <v>38808</v>
      </c>
      <c r="C71" s="212" t="str">
        <f t="shared" si="5"/>
        <v>1514.50</v>
      </c>
      <c r="D71" s="212" t="str">
        <f t="shared" si="6"/>
        <v>1858.25</v>
      </c>
      <c r="E71" s="212" t="str">
        <f t="shared" si="2"/>
        <v>495.50</v>
      </c>
      <c r="F71" s="123" t="str">
        <f t="shared" si="7"/>
        <v>6765</v>
      </c>
      <c r="G71" s="212">
        <f t="shared" si="1"/>
        <v>4.95</v>
      </c>
      <c r="H71" s="212" t="str">
        <f t="shared" si="3"/>
        <v>5380.00</v>
      </c>
      <c r="I71" s="212" t="str">
        <f t="shared" si="8"/>
        <v>1132.75</v>
      </c>
      <c r="J71" s="248">
        <v>306.3</v>
      </c>
      <c r="K71" s="249">
        <v>1028</v>
      </c>
      <c r="L71" s="212">
        <v>87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223">
        <v>0.11851228191054274</v>
      </c>
      <c r="R71" s="41">
        <v>6.5555812065799635E-2</v>
      </c>
      <c r="S71" s="41">
        <v>9.8693922528988509E-2</v>
      </c>
      <c r="T71" s="223">
        <v>0.15035407872830908</v>
      </c>
      <c r="U71" s="41">
        <v>0.36683517019548378</v>
      </c>
      <c r="V71" s="41">
        <v>0.13807688716276326</v>
      </c>
      <c r="W71" s="41"/>
      <c r="X71" s="41"/>
      <c r="Y71" s="41"/>
      <c r="Z71" s="41"/>
      <c r="AA71" s="41"/>
      <c r="AB71" s="41"/>
      <c r="AC71" s="41"/>
    </row>
    <row r="72" spans="2:29" x14ac:dyDescent="0.2">
      <c r="B72" s="213">
        <f t="shared" si="10"/>
        <v>38838</v>
      </c>
      <c r="C72" s="212" t="str">
        <f t="shared" si="5"/>
        <v>1514.50</v>
      </c>
      <c r="D72" s="212" t="str">
        <f t="shared" si="6"/>
        <v>1858.25</v>
      </c>
      <c r="E72" s="212" t="str">
        <f t="shared" si="2"/>
        <v>495.50</v>
      </c>
      <c r="F72" s="123" t="str">
        <f t="shared" si="7"/>
        <v>6765</v>
      </c>
      <c r="G72" s="212">
        <f t="shared" si="1"/>
        <v>4.95</v>
      </c>
      <c r="H72" s="212" t="str">
        <f t="shared" si="3"/>
        <v>5380.00</v>
      </c>
      <c r="I72" s="212" t="str">
        <f t="shared" si="8"/>
        <v>1132.75</v>
      </c>
      <c r="J72" s="248">
        <v>306.3</v>
      </c>
      <c r="K72" s="249">
        <v>1028</v>
      </c>
      <c r="L72" s="212">
        <v>87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223">
        <v>0.11851228191054274</v>
      </c>
      <c r="R72" s="41">
        <v>6.5555812065799635E-2</v>
      </c>
      <c r="S72" s="41">
        <v>9.8693922528988509E-2</v>
      </c>
      <c r="T72" s="223">
        <v>0.15035407872830908</v>
      </c>
      <c r="U72" s="41">
        <v>0.36683517019548378</v>
      </c>
      <c r="V72" s="41">
        <v>0.13807688716276326</v>
      </c>
      <c r="W72" s="41"/>
      <c r="X72" s="41"/>
      <c r="Y72" s="41"/>
      <c r="Z72" s="41"/>
      <c r="AA72" s="41"/>
      <c r="AB72" s="41"/>
      <c r="AC72" s="41"/>
    </row>
    <row r="73" spans="2:29" x14ac:dyDescent="0.2">
      <c r="B73" s="213">
        <f t="shared" si="10"/>
        <v>38869</v>
      </c>
      <c r="C73" s="212" t="str">
        <f t="shared" si="5"/>
        <v>1514.50</v>
      </c>
      <c r="D73" s="212" t="str">
        <f t="shared" si="6"/>
        <v>1858.25</v>
      </c>
      <c r="E73" s="212" t="str">
        <f t="shared" si="2"/>
        <v>495.50</v>
      </c>
      <c r="F73" s="123" t="str">
        <f t="shared" si="7"/>
        <v>6765</v>
      </c>
      <c r="G73" s="212">
        <f t="shared" si="1"/>
        <v>4.95</v>
      </c>
      <c r="H73" s="212" t="str">
        <f t="shared" si="3"/>
        <v>5380.00</v>
      </c>
      <c r="I73" s="212" t="str">
        <f t="shared" si="8"/>
        <v>1132.75</v>
      </c>
      <c r="J73" s="248">
        <v>306.3</v>
      </c>
      <c r="K73" s="249">
        <v>1028</v>
      </c>
      <c r="L73" s="212">
        <v>87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223">
        <v>0.11851228191054274</v>
      </c>
      <c r="R73" s="41">
        <v>6.5555812065799635E-2</v>
      </c>
      <c r="S73" s="41">
        <v>9.8693922528988509E-2</v>
      </c>
      <c r="T73" s="223">
        <v>0.15035407872830908</v>
      </c>
      <c r="U73" s="41">
        <v>0.36683517019548378</v>
      </c>
      <c r="V73" s="41">
        <v>0.13807688716276326</v>
      </c>
      <c r="W73" s="41"/>
      <c r="X73" s="41"/>
      <c r="Y73" s="41"/>
      <c r="Z73" s="41"/>
      <c r="AA73" s="41"/>
      <c r="AB73" s="41"/>
      <c r="AC73" s="41"/>
    </row>
    <row r="74" spans="2:29" x14ac:dyDescent="0.2">
      <c r="B74" s="213">
        <f t="shared" si="10"/>
        <v>38899</v>
      </c>
      <c r="C74" s="212" t="str">
        <f t="shared" si="5"/>
        <v>1514.50</v>
      </c>
      <c r="D74" s="212" t="str">
        <f t="shared" si="6"/>
        <v>1858.25</v>
      </c>
      <c r="E74" s="212" t="str">
        <f t="shared" si="2"/>
        <v>495.50</v>
      </c>
      <c r="F74" s="123" t="str">
        <f t="shared" si="7"/>
        <v>6765</v>
      </c>
      <c r="G74" s="212">
        <f t="shared" si="1"/>
        <v>4.95</v>
      </c>
      <c r="H74" s="212" t="str">
        <f t="shared" si="3"/>
        <v>5380.00</v>
      </c>
      <c r="I74" s="212" t="str">
        <f t="shared" si="8"/>
        <v>1132.75</v>
      </c>
      <c r="J74" s="248">
        <v>306.3</v>
      </c>
      <c r="K74" s="249">
        <v>1028</v>
      </c>
      <c r="L74" s="212">
        <v>87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223">
        <v>0.11851228191054274</v>
      </c>
      <c r="R74" s="41">
        <v>6.5555812065799635E-2</v>
      </c>
      <c r="S74" s="41">
        <v>9.8693922528988509E-2</v>
      </c>
      <c r="T74" s="223">
        <v>0.15035407872830908</v>
      </c>
      <c r="U74" s="41">
        <v>0.36683517019548378</v>
      </c>
      <c r="V74" s="41">
        <v>0.13807688716276326</v>
      </c>
      <c r="W74" s="41"/>
      <c r="X74" s="41"/>
      <c r="Y74" s="41"/>
      <c r="Z74" s="41"/>
      <c r="AA74" s="41"/>
      <c r="AB74" s="41"/>
      <c r="AC74" s="41"/>
    </row>
    <row r="75" spans="2:29" x14ac:dyDescent="0.2">
      <c r="B75" s="213">
        <f t="shared" si="10"/>
        <v>38930</v>
      </c>
      <c r="C75" s="212" t="str">
        <f t="shared" si="5"/>
        <v>1514.50</v>
      </c>
      <c r="D75" s="212" t="str">
        <f t="shared" si="6"/>
        <v>1858.25</v>
      </c>
      <c r="E75" s="212" t="str">
        <f t="shared" si="2"/>
        <v>495.50</v>
      </c>
      <c r="F75" s="123" t="str">
        <f t="shared" si="7"/>
        <v>6765</v>
      </c>
      <c r="G75" s="212">
        <f t="shared" si="1"/>
        <v>4.95</v>
      </c>
      <c r="H75" s="212" t="str">
        <f t="shared" si="3"/>
        <v>5380.00</v>
      </c>
      <c r="I75" s="212" t="str">
        <f t="shared" si="8"/>
        <v>1132.75</v>
      </c>
      <c r="J75" s="248">
        <v>306.3</v>
      </c>
      <c r="K75" s="249">
        <v>1028</v>
      </c>
      <c r="L75" s="212">
        <v>87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223">
        <v>0.11851228191054274</v>
      </c>
      <c r="R75" s="41">
        <v>6.5555812065799635E-2</v>
      </c>
      <c r="S75" s="41">
        <v>9.8693922528988509E-2</v>
      </c>
      <c r="T75" s="223">
        <v>0.15035407872830908</v>
      </c>
      <c r="U75" s="41">
        <v>0.36683517019548378</v>
      </c>
      <c r="V75" s="41">
        <v>0.13807688716276326</v>
      </c>
      <c r="W75" s="41"/>
      <c r="X75" s="41"/>
      <c r="Y75" s="41"/>
      <c r="Z75" s="41"/>
      <c r="AA75" s="41"/>
      <c r="AB75" s="41"/>
      <c r="AC75" s="41"/>
    </row>
    <row r="76" spans="2:29" x14ac:dyDescent="0.2">
      <c r="B76" s="213">
        <f t="shared" si="10"/>
        <v>38961</v>
      </c>
      <c r="C76" s="212" t="str">
        <f t="shared" si="5"/>
        <v>1514.50</v>
      </c>
      <c r="D76" s="212" t="str">
        <f t="shared" si="6"/>
        <v>1858.25</v>
      </c>
      <c r="E76" s="212" t="str">
        <f t="shared" si="2"/>
        <v>495.50</v>
      </c>
      <c r="F76" s="123" t="str">
        <f t="shared" si="7"/>
        <v>6765</v>
      </c>
      <c r="G76" s="212">
        <f t="shared" si="1"/>
        <v>4.95</v>
      </c>
      <c r="H76" s="212" t="str">
        <f t="shared" si="3"/>
        <v>5380.00</v>
      </c>
      <c r="I76" s="212" t="str">
        <f t="shared" si="8"/>
        <v>1132.75</v>
      </c>
      <c r="J76" s="248">
        <v>306.3</v>
      </c>
      <c r="K76" s="249">
        <v>1028</v>
      </c>
      <c r="L76" s="212">
        <v>87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223">
        <v>0.11851228191054274</v>
      </c>
      <c r="R76" s="41">
        <v>6.5555812065799635E-2</v>
      </c>
      <c r="S76" s="41">
        <v>9.8693922528988509E-2</v>
      </c>
      <c r="T76" s="223">
        <v>0.15035407872830908</v>
      </c>
      <c r="U76" s="41">
        <v>0.36683517019548378</v>
      </c>
      <c r="V76" s="41">
        <v>0.13807688716276326</v>
      </c>
      <c r="W76" s="41"/>
      <c r="X76" s="41"/>
      <c r="Y76" s="41"/>
      <c r="Z76" s="41"/>
      <c r="AA76" s="41"/>
      <c r="AB76" s="41"/>
      <c r="AC76" s="41"/>
    </row>
    <row r="77" spans="2:29" x14ac:dyDescent="0.2">
      <c r="B77" s="213">
        <f t="shared" si="10"/>
        <v>38991</v>
      </c>
      <c r="C77" s="212" t="str">
        <f t="shared" si="5"/>
        <v>1514.50</v>
      </c>
      <c r="D77" s="212" t="str">
        <f t="shared" si="6"/>
        <v>1858.25</v>
      </c>
      <c r="E77" s="212" t="str">
        <f t="shared" si="2"/>
        <v>495.50</v>
      </c>
      <c r="F77" s="123" t="str">
        <f t="shared" si="7"/>
        <v>6765</v>
      </c>
      <c r="G77" s="212">
        <f t="shared" si="1"/>
        <v>4.95</v>
      </c>
      <c r="H77" s="212" t="str">
        <f t="shared" si="3"/>
        <v>5380.00</v>
      </c>
      <c r="I77" s="212" t="str">
        <f t="shared" si="8"/>
        <v>1132.75</v>
      </c>
      <c r="J77" s="248">
        <v>306.3</v>
      </c>
      <c r="K77" s="249">
        <v>1028</v>
      </c>
      <c r="L77" s="212">
        <v>87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223">
        <v>0.11851228191054274</v>
      </c>
      <c r="R77" s="41">
        <v>6.5555812065799635E-2</v>
      </c>
      <c r="S77" s="41">
        <v>9.8693922528988509E-2</v>
      </c>
      <c r="T77" s="223">
        <v>0.15035407872830908</v>
      </c>
      <c r="U77" s="41">
        <v>0.36683517019548378</v>
      </c>
      <c r="V77" s="41">
        <v>0.13807688716276326</v>
      </c>
      <c r="W77" s="41"/>
      <c r="X77" s="41"/>
      <c r="Y77" s="41"/>
      <c r="Z77" s="41"/>
      <c r="AA77" s="41"/>
      <c r="AB77" s="41"/>
      <c r="AC77" s="41"/>
    </row>
    <row r="78" spans="2:29" x14ac:dyDescent="0.2">
      <c r="B78" s="213">
        <f t="shared" si="10"/>
        <v>39022</v>
      </c>
      <c r="C78" s="212" t="str">
        <f t="shared" si="5"/>
        <v>1514.50</v>
      </c>
      <c r="D78" s="212" t="str">
        <f t="shared" si="6"/>
        <v>1858.25</v>
      </c>
      <c r="E78" s="212" t="str">
        <f t="shared" si="2"/>
        <v>495.50</v>
      </c>
      <c r="F78" s="123" t="str">
        <f t="shared" si="7"/>
        <v>6765</v>
      </c>
      <c r="G78" s="212">
        <f t="shared" si="1"/>
        <v>4.95</v>
      </c>
      <c r="H78" s="212" t="str">
        <f t="shared" si="3"/>
        <v>5380.00</v>
      </c>
      <c r="I78" s="212" t="str">
        <f t="shared" si="8"/>
        <v>1132.75</v>
      </c>
      <c r="J78" s="248">
        <v>306.3</v>
      </c>
      <c r="K78" s="249">
        <v>1028</v>
      </c>
      <c r="L78" s="212">
        <v>87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223">
        <v>0.11851228191054274</v>
      </c>
      <c r="R78" s="41">
        <v>6.5555812065799635E-2</v>
      </c>
      <c r="S78" s="41">
        <v>9.8693922528988509E-2</v>
      </c>
      <c r="T78" s="223">
        <v>0.15035407872830908</v>
      </c>
      <c r="U78" s="41">
        <v>0.36683517019548378</v>
      </c>
      <c r="V78" s="41">
        <v>0.13807688716276326</v>
      </c>
      <c r="W78" s="41"/>
      <c r="X78" s="41"/>
      <c r="Y78" s="41"/>
      <c r="Z78" s="41"/>
      <c r="AA78" s="41"/>
      <c r="AB78" s="41"/>
      <c r="AC78" s="41"/>
    </row>
    <row r="79" spans="2:29" x14ac:dyDescent="0.2">
      <c r="B79" s="213">
        <f t="shared" si="10"/>
        <v>39052</v>
      </c>
      <c r="C79" s="212" t="str">
        <f t="shared" si="5"/>
        <v>1514.50</v>
      </c>
      <c r="D79" s="212" t="str">
        <f t="shared" si="6"/>
        <v>1858.25</v>
      </c>
      <c r="E79" s="212" t="str">
        <f t="shared" si="2"/>
        <v>495.50</v>
      </c>
      <c r="F79" s="123" t="str">
        <f t="shared" si="7"/>
        <v>6765</v>
      </c>
      <c r="G79" s="212">
        <f t="shared" si="1"/>
        <v>4.95</v>
      </c>
      <c r="H79" s="212" t="str">
        <f t="shared" si="3"/>
        <v>5380.00</v>
      </c>
      <c r="I79" s="212" t="str">
        <f t="shared" si="8"/>
        <v>1132.75</v>
      </c>
      <c r="J79" s="248">
        <v>306.3</v>
      </c>
      <c r="K79" s="249">
        <v>1028</v>
      </c>
      <c r="L79" s="212">
        <v>87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223">
        <v>0.11851228191054274</v>
      </c>
      <c r="R79" s="41">
        <v>6.5555812065799635E-2</v>
      </c>
      <c r="S79" s="41">
        <v>9.8693922528988509E-2</v>
      </c>
      <c r="T79" s="223">
        <v>0.15035407872830908</v>
      </c>
      <c r="U79" s="41">
        <v>0.36683517019548378</v>
      </c>
      <c r="V79" s="41">
        <v>0.13807688716276326</v>
      </c>
      <c r="W79" s="41"/>
      <c r="X79" s="41"/>
      <c r="Y79" s="41"/>
      <c r="Z79" s="41"/>
      <c r="AA79" s="41"/>
      <c r="AB79" s="41"/>
      <c r="AC79" s="41"/>
    </row>
    <row r="80" spans="2:29" x14ac:dyDescent="0.2">
      <c r="B80" s="213">
        <f t="shared" si="10"/>
        <v>39083</v>
      </c>
      <c r="C80" s="212" t="str">
        <f t="shared" si="5"/>
        <v>1514.50</v>
      </c>
      <c r="D80" s="212" t="str">
        <f t="shared" si="6"/>
        <v>1858.25</v>
      </c>
      <c r="E80" s="212" t="str">
        <f t="shared" si="2"/>
        <v>495.50</v>
      </c>
      <c r="F80" s="123" t="str">
        <f t="shared" si="7"/>
        <v>6765</v>
      </c>
      <c r="G80" s="212">
        <f t="shared" si="1"/>
        <v>4.95</v>
      </c>
      <c r="H80" s="212" t="str">
        <f t="shared" si="3"/>
        <v>5380.00</v>
      </c>
      <c r="I80" s="212" t="str">
        <f t="shared" si="8"/>
        <v>1132.75</v>
      </c>
      <c r="J80" s="248">
        <v>306.3</v>
      </c>
      <c r="K80" s="249">
        <v>1028</v>
      </c>
      <c r="L80" s="212">
        <v>87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223">
        <v>0.11851228191054274</v>
      </c>
      <c r="R80" s="41">
        <v>6.5555812065799635E-2</v>
      </c>
      <c r="S80" s="41">
        <v>9.8693922528988509E-2</v>
      </c>
      <c r="T80" s="223">
        <v>0.15035407872830908</v>
      </c>
      <c r="U80" s="41">
        <v>0.36683517019548378</v>
      </c>
      <c r="V80" s="41">
        <v>0.13807688716276326</v>
      </c>
      <c r="W80" s="41"/>
      <c r="X80" s="41"/>
      <c r="Y80" s="41"/>
      <c r="Z80" s="41"/>
      <c r="AA80" s="41"/>
      <c r="AB80" s="41"/>
      <c r="AC80" s="41"/>
    </row>
    <row r="81" spans="3:29" x14ac:dyDescent="0.2">
      <c r="C81" s="212"/>
      <c r="D81" s="212"/>
      <c r="E81" s="212"/>
      <c r="F81" s="123"/>
      <c r="G81" s="212"/>
      <c r="H81" s="212"/>
      <c r="I81" s="212"/>
      <c r="J81" s="217"/>
      <c r="K81" s="217"/>
      <c r="L81" s="217"/>
      <c r="M81" s="218"/>
      <c r="N81" s="219"/>
      <c r="O81" s="220"/>
      <c r="P81" s="221"/>
      <c r="Q81" s="243"/>
      <c r="R81" s="222"/>
      <c r="S81" s="219"/>
      <c r="T81" s="243"/>
      <c r="U81" s="219"/>
      <c r="V81" s="219"/>
      <c r="W81" s="214"/>
      <c r="X81" s="214"/>
      <c r="Y81" s="214"/>
      <c r="Z81" s="214"/>
      <c r="AA81" s="219"/>
      <c r="AB81" s="214"/>
      <c r="AC81" s="219"/>
    </row>
    <row r="82" spans="3:29" x14ac:dyDescent="0.2">
      <c r="C82" s="212"/>
      <c r="D82" s="217"/>
      <c r="E82" s="217"/>
      <c r="F82" s="124"/>
      <c r="G82" s="217"/>
      <c r="H82" s="217"/>
      <c r="I82" s="217"/>
      <c r="J82" s="217"/>
      <c r="K82" s="217"/>
      <c r="L82" s="217"/>
      <c r="M82" s="218"/>
      <c r="N82" s="219"/>
      <c r="O82" s="220"/>
      <c r="P82" s="221"/>
      <c r="Q82" s="243"/>
      <c r="R82" s="222"/>
      <c r="S82" s="219"/>
      <c r="T82" s="243"/>
      <c r="U82" s="219"/>
      <c r="V82" s="219"/>
      <c r="W82" s="214"/>
      <c r="X82" s="214"/>
      <c r="Y82" s="214"/>
      <c r="Z82" s="214"/>
      <c r="AA82" s="219"/>
      <c r="AB82" s="214"/>
      <c r="AC82" s="219"/>
    </row>
    <row r="83" spans="3:29" x14ac:dyDescent="0.2">
      <c r="C83" s="212"/>
      <c r="D83" s="217"/>
      <c r="E83" s="217"/>
      <c r="F83" s="124"/>
      <c r="G83" s="217"/>
      <c r="H83" s="217"/>
      <c r="I83" s="217"/>
      <c r="J83" s="217"/>
      <c r="K83" s="217"/>
      <c r="L83" s="217"/>
      <c r="M83" s="218"/>
      <c r="N83" s="219"/>
      <c r="O83" s="220"/>
      <c r="P83" s="221"/>
      <c r="Q83" s="243"/>
      <c r="R83" s="222"/>
      <c r="S83" s="219"/>
      <c r="T83" s="243"/>
      <c r="U83" s="219"/>
      <c r="V83" s="219"/>
      <c r="W83" s="214"/>
      <c r="X83" s="214"/>
      <c r="Y83" s="214"/>
      <c r="Z83" s="214"/>
      <c r="AA83" s="219"/>
      <c r="AB83" s="214"/>
      <c r="AC83" s="219"/>
    </row>
    <row r="84" spans="3:29" x14ac:dyDescent="0.2">
      <c r="C84" s="212"/>
      <c r="D84" s="217"/>
      <c r="E84" s="217"/>
      <c r="F84" s="124"/>
      <c r="G84" s="217"/>
      <c r="H84" s="217"/>
      <c r="I84" s="217"/>
      <c r="J84" s="217"/>
      <c r="K84" s="217"/>
      <c r="L84" s="217"/>
      <c r="M84" s="218"/>
      <c r="N84" s="219"/>
      <c r="O84" s="220"/>
      <c r="P84" s="221"/>
      <c r="Q84" s="243"/>
      <c r="R84" s="222"/>
      <c r="S84" s="219"/>
      <c r="T84" s="243"/>
      <c r="U84" s="219"/>
      <c r="V84" s="219"/>
      <c r="W84" s="214"/>
      <c r="X84" s="214"/>
      <c r="Y84" s="214"/>
      <c r="Z84" s="214"/>
      <c r="AA84" s="219"/>
      <c r="AB84" s="214"/>
      <c r="AC84" s="219"/>
    </row>
    <row r="85" spans="3:29" x14ac:dyDescent="0.2">
      <c r="C85" s="212"/>
      <c r="D85" s="217"/>
      <c r="E85" s="217"/>
      <c r="F85" s="124"/>
      <c r="G85" s="217"/>
      <c r="H85" s="217"/>
      <c r="I85" s="217"/>
      <c r="J85" s="217"/>
      <c r="K85" s="217"/>
      <c r="L85" s="217"/>
      <c r="M85" s="218"/>
      <c r="N85" s="219"/>
      <c r="O85" s="220"/>
      <c r="P85" s="221"/>
      <c r="Q85" s="243"/>
      <c r="R85" s="222"/>
      <c r="S85" s="219"/>
      <c r="T85" s="243"/>
      <c r="U85" s="219"/>
      <c r="V85" s="219"/>
      <c r="W85" s="214"/>
      <c r="X85" s="214"/>
      <c r="Y85" s="214"/>
      <c r="Z85" s="214"/>
      <c r="AA85" s="219"/>
      <c r="AB85" s="214"/>
      <c r="AC85" s="219"/>
    </row>
    <row r="86" spans="3:29" x14ac:dyDescent="0.2">
      <c r="C86" s="212"/>
      <c r="D86" s="217"/>
      <c r="E86" s="217"/>
      <c r="F86" s="124"/>
      <c r="G86" s="217"/>
      <c r="H86" s="217"/>
      <c r="I86" s="217"/>
      <c r="J86" s="217"/>
      <c r="K86" s="217"/>
      <c r="L86" s="217"/>
      <c r="M86" s="218"/>
      <c r="N86" s="219"/>
      <c r="O86" s="220"/>
      <c r="P86" s="221"/>
      <c r="Q86" s="243"/>
      <c r="R86" s="222"/>
      <c r="S86" s="219"/>
      <c r="T86" s="243"/>
      <c r="U86" s="219"/>
      <c r="V86" s="219"/>
      <c r="W86" s="214"/>
      <c r="X86" s="214"/>
      <c r="Y86" s="214"/>
      <c r="Z86" s="214"/>
      <c r="AA86" s="219"/>
      <c r="AB86" s="214"/>
      <c r="AC86" s="219"/>
    </row>
    <row r="87" spans="3:29" x14ac:dyDescent="0.2">
      <c r="C87" s="212"/>
      <c r="D87" s="217"/>
      <c r="E87" s="217"/>
      <c r="F87" s="124"/>
      <c r="G87" s="217"/>
      <c r="H87" s="217"/>
      <c r="I87" s="217"/>
      <c r="J87" s="217"/>
      <c r="K87" s="217"/>
      <c r="L87" s="217"/>
      <c r="M87" s="218"/>
      <c r="N87" s="219"/>
      <c r="O87" s="220"/>
      <c r="P87" s="221"/>
      <c r="Q87" s="243"/>
      <c r="R87" s="222"/>
      <c r="S87" s="219"/>
      <c r="T87" s="243"/>
      <c r="U87" s="219"/>
      <c r="V87" s="219"/>
      <c r="W87" s="214"/>
      <c r="X87" s="214"/>
      <c r="Y87" s="214"/>
      <c r="Z87" s="214"/>
      <c r="AA87" s="219"/>
      <c r="AB87" s="214"/>
      <c r="AC87" s="219"/>
    </row>
    <row r="88" spans="3:29" x14ac:dyDescent="0.2">
      <c r="C88" s="212"/>
      <c r="D88" s="217"/>
      <c r="E88" s="217"/>
      <c r="F88" s="124"/>
      <c r="G88" s="217"/>
      <c r="H88" s="217"/>
      <c r="I88" s="217"/>
      <c r="J88" s="217"/>
      <c r="K88" s="217"/>
      <c r="L88" s="217"/>
      <c r="M88" s="218"/>
      <c r="N88" s="219"/>
      <c r="O88" s="220"/>
      <c r="P88" s="221"/>
      <c r="Q88" s="243"/>
      <c r="R88" s="222"/>
      <c r="S88" s="219"/>
      <c r="T88" s="243"/>
      <c r="U88" s="219"/>
      <c r="V88" s="219"/>
      <c r="W88" s="214"/>
      <c r="X88" s="214"/>
      <c r="Y88" s="214"/>
      <c r="Z88" s="214"/>
      <c r="AA88" s="219"/>
      <c r="AB88" s="214"/>
      <c r="AC88" s="219"/>
    </row>
    <row r="89" spans="3:29" x14ac:dyDescent="0.2">
      <c r="C89" s="212"/>
      <c r="D89" s="217"/>
      <c r="E89" s="217"/>
      <c r="F89" s="124"/>
      <c r="G89" s="217"/>
      <c r="H89" s="217"/>
      <c r="I89" s="217"/>
      <c r="J89" s="217"/>
      <c r="K89" s="217"/>
      <c r="L89" s="217"/>
      <c r="M89" s="218"/>
      <c r="N89" s="219"/>
      <c r="O89" s="220"/>
      <c r="P89" s="221"/>
      <c r="Q89" s="243"/>
      <c r="R89" s="222"/>
      <c r="S89" s="219"/>
      <c r="T89" s="243"/>
      <c r="U89" s="219"/>
      <c r="V89" s="219"/>
      <c r="W89" s="214"/>
      <c r="X89" s="214"/>
      <c r="Y89" s="214"/>
      <c r="Z89" s="214"/>
      <c r="AA89" s="219"/>
      <c r="AB89" s="214"/>
      <c r="AC89" s="219"/>
    </row>
    <row r="90" spans="3:29" x14ac:dyDescent="0.2">
      <c r="C90" s="212"/>
      <c r="D90" s="217"/>
      <c r="E90" s="217"/>
      <c r="F90" s="124"/>
      <c r="G90" s="217"/>
      <c r="H90" s="217"/>
      <c r="I90" s="217"/>
      <c r="J90" s="217"/>
      <c r="K90" s="217"/>
      <c r="L90" s="217"/>
      <c r="M90" s="218"/>
      <c r="N90" s="219"/>
      <c r="O90" s="220"/>
      <c r="P90" s="221"/>
      <c r="Q90" s="243"/>
      <c r="R90" s="222"/>
      <c r="S90" s="219"/>
      <c r="T90" s="243"/>
      <c r="U90" s="219"/>
      <c r="V90" s="219"/>
      <c r="W90" s="214"/>
      <c r="X90" s="214"/>
      <c r="Y90" s="214"/>
      <c r="Z90" s="214"/>
      <c r="AA90" s="219"/>
      <c r="AB90" s="214"/>
      <c r="AC90" s="219"/>
    </row>
    <row r="91" spans="3:29" x14ac:dyDescent="0.2">
      <c r="C91" s="212"/>
      <c r="D91" s="217"/>
      <c r="E91" s="217"/>
      <c r="F91" s="124"/>
      <c r="G91" s="217"/>
      <c r="H91" s="217"/>
      <c r="I91" s="217"/>
      <c r="J91" s="217"/>
      <c r="K91" s="217"/>
      <c r="L91" s="217"/>
      <c r="M91" s="218"/>
      <c r="N91" s="219"/>
      <c r="O91" s="220"/>
      <c r="P91" s="221"/>
      <c r="Q91" s="243"/>
      <c r="R91" s="222"/>
      <c r="S91" s="219"/>
      <c r="T91" s="243"/>
      <c r="U91" s="219"/>
      <c r="V91" s="219"/>
      <c r="W91" s="214"/>
      <c r="X91" s="214"/>
      <c r="Y91" s="214"/>
      <c r="Z91" s="214"/>
      <c r="AA91" s="219"/>
      <c r="AB91" s="214"/>
      <c r="AC91" s="219"/>
    </row>
    <row r="92" spans="3:29" x14ac:dyDescent="0.2">
      <c r="C92" s="212"/>
      <c r="D92" s="217"/>
      <c r="E92" s="217"/>
      <c r="F92" s="124"/>
      <c r="G92" s="217"/>
      <c r="H92" s="217"/>
      <c r="I92" s="217"/>
      <c r="J92" s="217"/>
      <c r="K92" s="217"/>
      <c r="L92" s="217"/>
      <c r="M92" s="218"/>
      <c r="N92" s="219"/>
      <c r="O92" s="220"/>
      <c r="P92" s="221"/>
      <c r="Q92" s="243"/>
      <c r="R92" s="222"/>
      <c r="S92" s="219"/>
      <c r="T92" s="243"/>
      <c r="U92" s="219"/>
      <c r="V92" s="219"/>
      <c r="W92" s="214"/>
      <c r="X92" s="214"/>
      <c r="Y92" s="214"/>
      <c r="Z92" s="214"/>
      <c r="AA92" s="219"/>
      <c r="AB92" s="214"/>
      <c r="AC92" s="219"/>
    </row>
    <row r="93" spans="3:29" x14ac:dyDescent="0.2">
      <c r="C93" s="212"/>
      <c r="D93" s="217"/>
      <c r="E93" s="217"/>
      <c r="F93" s="124"/>
      <c r="G93" s="217"/>
      <c r="H93" s="217"/>
      <c r="I93" s="217"/>
      <c r="J93" s="217"/>
      <c r="K93" s="217"/>
      <c r="L93" s="217"/>
      <c r="M93" s="218"/>
      <c r="N93" s="219"/>
      <c r="O93" s="220"/>
      <c r="P93" s="221"/>
      <c r="Q93" s="243"/>
      <c r="R93" s="222"/>
      <c r="S93" s="219"/>
      <c r="T93" s="243"/>
      <c r="U93" s="219"/>
      <c r="V93" s="219"/>
      <c r="W93" s="214"/>
      <c r="X93" s="214"/>
      <c r="Y93" s="214"/>
      <c r="Z93" s="214"/>
      <c r="AA93" s="219"/>
      <c r="AB93" s="214"/>
      <c r="AC93" s="219"/>
    </row>
    <row r="94" spans="3:29" x14ac:dyDescent="0.2">
      <c r="C94" s="212"/>
      <c r="D94" s="217"/>
      <c r="E94" s="217"/>
      <c r="F94" s="124"/>
      <c r="G94" s="217"/>
      <c r="H94" s="217"/>
      <c r="I94" s="217"/>
      <c r="J94" s="217"/>
      <c r="K94" s="217"/>
      <c r="L94" s="217"/>
      <c r="M94" s="218"/>
      <c r="N94" s="219"/>
      <c r="O94" s="220"/>
      <c r="P94" s="221"/>
      <c r="Q94" s="243"/>
      <c r="R94" s="222"/>
      <c r="S94" s="219"/>
      <c r="T94" s="243"/>
      <c r="U94" s="219"/>
      <c r="V94" s="219"/>
      <c r="W94" s="214"/>
      <c r="X94" s="214"/>
      <c r="Y94" s="214"/>
      <c r="Z94" s="214"/>
      <c r="AA94" s="219"/>
      <c r="AB94" s="214"/>
      <c r="AC94" s="219"/>
    </row>
    <row r="95" spans="3:29" x14ac:dyDescent="0.2">
      <c r="C95" s="212"/>
      <c r="D95" s="217"/>
      <c r="E95" s="217"/>
      <c r="F95" s="124"/>
      <c r="G95" s="217"/>
      <c r="H95" s="217"/>
      <c r="I95" s="217"/>
      <c r="J95" s="217"/>
      <c r="K95" s="217"/>
      <c r="L95" s="217"/>
      <c r="M95" s="218"/>
      <c r="N95" s="219"/>
      <c r="O95" s="220"/>
      <c r="P95" s="221"/>
      <c r="Q95" s="243"/>
      <c r="R95" s="222"/>
      <c r="S95" s="219"/>
      <c r="T95" s="243"/>
      <c r="U95" s="219"/>
      <c r="V95" s="219"/>
      <c r="W95" s="214"/>
      <c r="X95" s="214"/>
      <c r="Y95" s="214"/>
      <c r="Z95" s="214"/>
      <c r="AA95" s="219"/>
      <c r="AB95" s="214"/>
      <c r="AC95" s="219"/>
    </row>
    <row r="96" spans="3:29" x14ac:dyDescent="0.2">
      <c r="C96" s="212"/>
      <c r="D96" s="217"/>
      <c r="E96" s="217"/>
      <c r="F96" s="124"/>
      <c r="G96" s="217"/>
      <c r="H96" s="217"/>
      <c r="I96" s="217"/>
      <c r="J96" s="217"/>
      <c r="K96" s="217"/>
      <c r="L96" s="217"/>
      <c r="M96" s="218"/>
      <c r="N96" s="219"/>
      <c r="O96" s="220"/>
      <c r="P96" s="221"/>
      <c r="Q96" s="243"/>
      <c r="R96" s="222"/>
      <c r="S96" s="219"/>
      <c r="T96" s="243"/>
      <c r="U96" s="219"/>
      <c r="V96" s="219"/>
      <c r="W96" s="214"/>
      <c r="X96" s="214"/>
      <c r="Y96" s="214"/>
      <c r="Z96" s="214"/>
      <c r="AA96" s="219"/>
      <c r="AB96" s="214"/>
      <c r="AC96" s="219"/>
    </row>
    <row r="97" spans="3:29" x14ac:dyDescent="0.2">
      <c r="C97" s="212"/>
      <c r="D97" s="217"/>
      <c r="E97" s="217"/>
      <c r="F97" s="124"/>
      <c r="G97" s="217"/>
      <c r="H97" s="217"/>
      <c r="I97" s="217"/>
      <c r="J97" s="217"/>
      <c r="K97" s="217"/>
      <c r="L97" s="217"/>
      <c r="M97" s="218"/>
      <c r="N97" s="219"/>
      <c r="O97" s="220"/>
      <c r="P97" s="221"/>
      <c r="Q97" s="243"/>
      <c r="R97" s="222"/>
      <c r="S97" s="219"/>
      <c r="T97" s="243"/>
      <c r="U97" s="219"/>
      <c r="V97" s="219"/>
      <c r="W97" s="214"/>
      <c r="X97" s="214"/>
      <c r="Y97" s="214"/>
      <c r="Z97" s="214"/>
      <c r="AA97" s="219"/>
      <c r="AB97" s="214"/>
      <c r="AC97" s="219"/>
    </row>
    <row r="98" spans="3:29" x14ac:dyDescent="0.2">
      <c r="C98" s="212"/>
      <c r="D98" s="217"/>
      <c r="E98" s="217"/>
      <c r="F98" s="124"/>
      <c r="G98" s="217"/>
      <c r="H98" s="217"/>
      <c r="I98" s="217"/>
      <c r="J98" s="217"/>
      <c r="K98" s="217"/>
      <c r="L98" s="217"/>
      <c r="M98" s="218"/>
      <c r="N98" s="219"/>
      <c r="O98" s="220"/>
      <c r="P98" s="221"/>
      <c r="Q98" s="243"/>
      <c r="R98" s="222"/>
      <c r="S98" s="219"/>
      <c r="T98" s="243"/>
      <c r="U98" s="219"/>
      <c r="V98" s="219"/>
      <c r="W98" s="214"/>
      <c r="X98" s="214"/>
      <c r="Y98" s="214"/>
      <c r="Z98" s="214"/>
      <c r="AA98" s="219"/>
      <c r="AB98" s="214"/>
      <c r="AC98" s="219"/>
    </row>
    <row r="99" spans="3:29" x14ac:dyDescent="0.2">
      <c r="C99" s="212"/>
      <c r="D99" s="217"/>
      <c r="E99" s="217"/>
      <c r="F99" s="124"/>
      <c r="G99" s="217"/>
      <c r="H99" s="217"/>
      <c r="I99" s="217"/>
      <c r="J99" s="217"/>
      <c r="K99" s="217"/>
      <c r="L99" s="217"/>
      <c r="M99" s="218"/>
      <c r="N99" s="219"/>
      <c r="O99" s="220"/>
      <c r="P99" s="221"/>
      <c r="Q99" s="243"/>
      <c r="R99" s="222"/>
      <c r="S99" s="219"/>
      <c r="T99" s="243"/>
      <c r="U99" s="219"/>
      <c r="V99" s="219"/>
      <c r="W99" s="214"/>
      <c r="X99" s="214"/>
      <c r="Y99" s="214"/>
      <c r="Z99" s="214"/>
      <c r="AA99" s="219"/>
      <c r="AB99" s="214"/>
      <c r="AC99" s="219"/>
    </row>
    <row r="100" spans="3:29" x14ac:dyDescent="0.2">
      <c r="C100" s="212"/>
      <c r="D100" s="217"/>
      <c r="E100" s="217"/>
      <c r="F100" s="124"/>
      <c r="G100" s="217"/>
      <c r="H100" s="217"/>
      <c r="I100" s="217"/>
      <c r="J100" s="217"/>
      <c r="K100" s="217"/>
      <c r="L100" s="217"/>
      <c r="M100" s="218"/>
      <c r="N100" s="219"/>
      <c r="O100" s="220"/>
      <c r="P100" s="221"/>
      <c r="Q100" s="243"/>
      <c r="R100" s="222"/>
      <c r="S100" s="219"/>
      <c r="T100" s="243"/>
      <c r="U100" s="219"/>
      <c r="V100" s="219"/>
      <c r="W100" s="214"/>
      <c r="X100" s="214"/>
      <c r="Y100" s="214"/>
      <c r="Z100" s="214"/>
      <c r="AA100" s="219"/>
      <c r="AB100" s="214"/>
      <c r="AC100" s="219"/>
    </row>
    <row r="101" spans="3:29" x14ac:dyDescent="0.2">
      <c r="C101" s="212"/>
      <c r="D101" s="217"/>
      <c r="E101" s="217"/>
      <c r="F101" s="124"/>
      <c r="G101" s="217"/>
      <c r="H101" s="217"/>
      <c r="I101" s="217"/>
      <c r="J101" s="217"/>
      <c r="K101" s="217"/>
      <c r="L101" s="217"/>
      <c r="M101" s="218"/>
      <c r="N101" s="219"/>
      <c r="O101" s="220"/>
      <c r="P101" s="221"/>
      <c r="Q101" s="243"/>
      <c r="R101" s="222"/>
      <c r="S101" s="219"/>
      <c r="T101" s="243"/>
      <c r="U101" s="219"/>
      <c r="V101" s="219"/>
      <c r="W101" s="214"/>
      <c r="X101" s="214"/>
      <c r="Y101" s="214"/>
      <c r="Z101" s="214"/>
      <c r="AA101" s="219"/>
      <c r="AB101" s="214"/>
      <c r="AC101" s="219"/>
    </row>
    <row r="102" spans="3:29" x14ac:dyDescent="0.2">
      <c r="C102" s="212"/>
      <c r="D102" s="217"/>
      <c r="E102" s="217"/>
      <c r="F102" s="124"/>
      <c r="G102" s="217"/>
      <c r="H102" s="217"/>
      <c r="I102" s="217"/>
      <c r="J102" s="217"/>
      <c r="K102" s="217"/>
      <c r="L102" s="217"/>
      <c r="M102" s="218"/>
      <c r="N102" s="219"/>
      <c r="O102" s="220"/>
      <c r="P102" s="221"/>
      <c r="Q102" s="243"/>
      <c r="R102" s="222"/>
      <c r="S102" s="219"/>
      <c r="T102" s="243"/>
      <c r="U102" s="219"/>
      <c r="V102" s="219"/>
      <c r="W102" s="214"/>
      <c r="X102" s="214"/>
      <c r="Y102" s="214"/>
      <c r="Z102" s="214"/>
      <c r="AA102" s="219"/>
      <c r="AB102" s="214"/>
      <c r="AC102" s="219"/>
    </row>
    <row r="103" spans="3:29" x14ac:dyDescent="0.2">
      <c r="C103" s="212"/>
      <c r="D103" s="217"/>
      <c r="E103" s="217"/>
      <c r="F103" s="124"/>
      <c r="G103" s="217"/>
      <c r="H103" s="217"/>
      <c r="I103" s="217"/>
      <c r="J103" s="217"/>
      <c r="K103" s="217"/>
      <c r="L103" s="217"/>
      <c r="M103" s="218"/>
      <c r="N103" s="219"/>
      <c r="O103" s="220"/>
      <c r="P103" s="221"/>
      <c r="Q103" s="243"/>
      <c r="R103" s="222"/>
      <c r="S103" s="219"/>
      <c r="T103" s="243"/>
      <c r="U103" s="219"/>
      <c r="V103" s="219"/>
      <c r="W103" s="214"/>
      <c r="X103" s="214"/>
      <c r="Y103" s="214"/>
      <c r="Z103" s="214"/>
      <c r="AA103" s="219"/>
      <c r="AB103" s="214"/>
      <c r="AC103" s="219"/>
    </row>
    <row r="104" spans="3:29" x14ac:dyDescent="0.2">
      <c r="C104" s="212"/>
      <c r="D104" s="217"/>
      <c r="E104" s="217"/>
      <c r="F104" s="124"/>
      <c r="G104" s="217"/>
      <c r="H104" s="217"/>
      <c r="I104" s="217"/>
      <c r="J104" s="217"/>
      <c r="K104" s="217"/>
      <c r="L104" s="217"/>
      <c r="M104" s="218"/>
      <c r="N104" s="219"/>
      <c r="O104" s="220"/>
      <c r="P104" s="221"/>
      <c r="Q104" s="243"/>
      <c r="R104" s="222"/>
      <c r="S104" s="219"/>
      <c r="T104" s="243"/>
      <c r="U104" s="219"/>
      <c r="V104" s="219"/>
      <c r="W104" s="214"/>
      <c r="X104" s="214"/>
      <c r="Y104" s="214"/>
      <c r="Z104" s="214"/>
      <c r="AA104" s="219"/>
      <c r="AB104" s="214"/>
      <c r="AC104" s="219"/>
    </row>
    <row r="105" spans="3:29" x14ac:dyDescent="0.2">
      <c r="C105" s="212"/>
      <c r="D105" s="217"/>
      <c r="E105" s="217"/>
      <c r="F105" s="124"/>
      <c r="G105" s="217"/>
      <c r="H105" s="217"/>
      <c r="I105" s="217"/>
      <c r="J105" s="217"/>
      <c r="K105" s="217"/>
      <c r="L105" s="217"/>
      <c r="M105" s="218"/>
      <c r="N105" s="219"/>
      <c r="O105" s="220"/>
      <c r="P105" s="221"/>
      <c r="Q105" s="243"/>
      <c r="R105" s="222"/>
      <c r="S105" s="219"/>
      <c r="T105" s="243"/>
      <c r="U105" s="219"/>
      <c r="V105" s="219"/>
      <c r="W105" s="214"/>
      <c r="X105" s="214"/>
      <c r="Y105" s="214"/>
      <c r="Z105" s="214"/>
      <c r="AA105" s="219"/>
      <c r="AB105" s="214"/>
      <c r="AC105" s="219"/>
    </row>
    <row r="106" spans="3:29" x14ac:dyDescent="0.2">
      <c r="C106" s="212"/>
      <c r="D106" s="217"/>
      <c r="E106" s="217"/>
      <c r="F106" s="124"/>
      <c r="G106" s="217"/>
      <c r="H106" s="217"/>
      <c r="I106" s="217"/>
      <c r="J106" s="217"/>
      <c r="K106" s="217"/>
      <c r="L106" s="217"/>
      <c r="M106" s="218"/>
      <c r="N106" s="219"/>
      <c r="O106" s="220"/>
      <c r="P106" s="221"/>
      <c r="Q106" s="243"/>
      <c r="R106" s="222"/>
      <c r="S106" s="219"/>
      <c r="T106" s="243"/>
      <c r="U106" s="219"/>
      <c r="V106" s="219"/>
      <c r="W106" s="214"/>
      <c r="X106" s="214"/>
      <c r="Y106" s="214"/>
      <c r="Z106" s="214"/>
      <c r="AA106" s="219"/>
      <c r="AB106" s="214"/>
      <c r="AC106" s="219"/>
    </row>
    <row r="107" spans="3:29" x14ac:dyDescent="0.2">
      <c r="C107" s="212"/>
      <c r="D107" s="217"/>
      <c r="E107" s="217"/>
      <c r="F107" s="124"/>
      <c r="G107" s="217"/>
      <c r="H107" s="217"/>
      <c r="I107" s="217"/>
      <c r="J107" s="217"/>
      <c r="K107" s="217"/>
      <c r="L107" s="217"/>
      <c r="M107" s="218"/>
      <c r="N107" s="219"/>
      <c r="O107" s="220"/>
      <c r="P107" s="221"/>
      <c r="Q107" s="243"/>
      <c r="R107" s="222"/>
      <c r="S107" s="219"/>
      <c r="T107" s="243"/>
      <c r="U107" s="219"/>
      <c r="V107" s="219"/>
      <c r="W107" s="214"/>
      <c r="X107" s="214"/>
      <c r="Y107" s="214"/>
      <c r="Z107" s="214"/>
      <c r="AA107" s="219"/>
      <c r="AB107" s="214"/>
      <c r="AC107" s="219"/>
    </row>
    <row r="108" spans="3:29" x14ac:dyDescent="0.2">
      <c r="C108" s="212"/>
      <c r="D108" s="217"/>
      <c r="E108" s="217"/>
      <c r="F108" s="124"/>
      <c r="G108" s="217"/>
      <c r="H108" s="217"/>
      <c r="I108" s="217"/>
      <c r="J108" s="217"/>
      <c r="K108" s="217"/>
      <c r="L108" s="217"/>
      <c r="M108" s="218"/>
      <c r="N108" s="219"/>
      <c r="O108" s="220"/>
      <c r="P108" s="221"/>
      <c r="Q108" s="243"/>
      <c r="R108" s="222"/>
      <c r="S108" s="219"/>
      <c r="T108" s="243"/>
      <c r="U108" s="219"/>
      <c r="V108" s="219"/>
      <c r="W108" s="214"/>
      <c r="X108" s="214"/>
      <c r="Y108" s="214"/>
      <c r="Z108" s="214"/>
      <c r="AA108" s="219"/>
      <c r="AB108" s="214"/>
      <c r="AC108" s="219"/>
    </row>
    <row r="109" spans="3:29" x14ac:dyDescent="0.2">
      <c r="C109" s="212"/>
      <c r="D109" s="217"/>
      <c r="E109" s="217"/>
      <c r="F109" s="124"/>
      <c r="G109" s="217"/>
      <c r="H109" s="217"/>
      <c r="I109" s="217"/>
      <c r="J109" s="217"/>
      <c r="K109" s="217"/>
      <c r="L109" s="217"/>
      <c r="M109" s="218"/>
      <c r="N109" s="219"/>
      <c r="O109" s="220"/>
      <c r="P109" s="221"/>
      <c r="Q109" s="243"/>
      <c r="R109" s="222"/>
      <c r="S109" s="219"/>
      <c r="T109" s="243"/>
      <c r="U109" s="219"/>
      <c r="V109" s="219"/>
      <c r="W109" s="214"/>
      <c r="X109" s="214"/>
      <c r="Y109" s="214"/>
      <c r="Z109" s="214"/>
      <c r="AA109" s="219"/>
      <c r="AB109" s="214"/>
      <c r="AC109" s="219"/>
    </row>
    <row r="110" spans="3:29" x14ac:dyDescent="0.2">
      <c r="C110" s="212"/>
      <c r="D110" s="217"/>
      <c r="E110" s="217"/>
      <c r="F110" s="124"/>
      <c r="G110" s="217"/>
      <c r="H110" s="217"/>
      <c r="I110" s="217"/>
      <c r="J110" s="217"/>
      <c r="K110" s="217"/>
      <c r="L110" s="217"/>
      <c r="M110" s="218"/>
      <c r="N110" s="219"/>
      <c r="O110" s="220"/>
      <c r="P110" s="221"/>
      <c r="Q110" s="243"/>
      <c r="R110" s="222"/>
      <c r="S110" s="219"/>
      <c r="T110" s="243"/>
      <c r="U110" s="219"/>
      <c r="V110" s="219"/>
      <c r="W110" s="214"/>
      <c r="X110" s="214"/>
      <c r="Y110" s="214"/>
      <c r="Z110" s="214"/>
      <c r="AA110" s="219"/>
      <c r="AB110" s="214"/>
      <c r="AC110" s="219"/>
    </row>
    <row r="111" spans="3:29" x14ac:dyDescent="0.2">
      <c r="C111" s="212"/>
      <c r="D111" s="217"/>
      <c r="E111" s="217"/>
      <c r="F111" s="124"/>
      <c r="G111" s="217"/>
      <c r="H111" s="217"/>
      <c r="I111" s="217"/>
      <c r="J111" s="217"/>
      <c r="K111" s="217"/>
      <c r="L111" s="217"/>
      <c r="M111" s="218"/>
      <c r="N111" s="219"/>
      <c r="O111" s="220"/>
      <c r="P111" s="221"/>
      <c r="Q111" s="243"/>
      <c r="R111" s="222"/>
      <c r="S111" s="219"/>
      <c r="T111" s="243"/>
      <c r="U111" s="219"/>
      <c r="V111" s="219"/>
      <c r="W111" s="214"/>
      <c r="X111" s="214"/>
      <c r="Y111" s="214"/>
      <c r="Z111" s="214"/>
      <c r="AA111" s="219"/>
      <c r="AB111" s="214"/>
      <c r="AC111" s="219"/>
    </row>
    <row r="112" spans="3:29" x14ac:dyDescent="0.2">
      <c r="C112" s="212"/>
      <c r="D112" s="217"/>
      <c r="E112" s="217"/>
      <c r="F112" s="124"/>
      <c r="G112" s="217"/>
      <c r="H112" s="217"/>
      <c r="I112" s="217"/>
      <c r="J112" s="217"/>
      <c r="K112" s="217"/>
      <c r="L112" s="217"/>
      <c r="M112" s="218"/>
      <c r="N112" s="219"/>
      <c r="O112" s="220"/>
      <c r="P112" s="221"/>
      <c r="Q112" s="243"/>
      <c r="R112" s="222"/>
      <c r="S112" s="219"/>
      <c r="T112" s="243"/>
      <c r="U112" s="219"/>
      <c r="V112" s="219"/>
      <c r="W112" s="214"/>
      <c r="X112" s="214"/>
      <c r="Y112" s="214"/>
      <c r="Z112" s="214"/>
      <c r="AA112" s="219"/>
      <c r="AB112" s="214"/>
      <c r="AC112" s="219"/>
    </row>
    <row r="113" spans="3:29" x14ac:dyDescent="0.2">
      <c r="C113" s="212"/>
      <c r="D113" s="217"/>
      <c r="E113" s="217"/>
      <c r="F113" s="124"/>
      <c r="G113" s="217"/>
      <c r="H113" s="217"/>
      <c r="I113" s="217"/>
      <c r="J113" s="217"/>
      <c r="K113" s="217"/>
      <c r="L113" s="217"/>
      <c r="M113" s="218"/>
      <c r="N113" s="219"/>
      <c r="O113" s="220"/>
      <c r="P113" s="221"/>
      <c r="Q113" s="243"/>
      <c r="R113" s="222"/>
      <c r="S113" s="219"/>
      <c r="T113" s="243"/>
      <c r="U113" s="219"/>
      <c r="V113" s="219"/>
      <c r="W113" s="214"/>
      <c r="X113" s="214"/>
      <c r="Y113" s="214"/>
      <c r="Z113" s="214"/>
      <c r="AA113" s="219"/>
      <c r="AB113" s="214"/>
      <c r="AC113" s="219"/>
    </row>
    <row r="114" spans="3:29" x14ac:dyDescent="0.2">
      <c r="C114" s="212"/>
      <c r="D114" s="223"/>
      <c r="E114" s="223"/>
      <c r="G114" s="223"/>
      <c r="H114" s="223"/>
      <c r="I114" s="223"/>
      <c r="J114" s="223"/>
      <c r="K114" s="223"/>
      <c r="L114" s="223"/>
      <c r="M114" s="218"/>
      <c r="N114" s="223"/>
      <c r="O114" s="220"/>
      <c r="P114" s="221"/>
      <c r="Q114" s="243"/>
      <c r="R114" s="222"/>
      <c r="S114" s="219"/>
      <c r="T114" s="243"/>
      <c r="U114" s="219"/>
      <c r="V114" s="219"/>
      <c r="W114" s="214"/>
      <c r="X114" s="214"/>
      <c r="Y114" s="214"/>
      <c r="Z114" s="214"/>
      <c r="AA114" s="219"/>
      <c r="AB114" s="214"/>
      <c r="AC114" s="219"/>
    </row>
    <row r="115" spans="3:29" x14ac:dyDescent="0.2">
      <c r="C115" s="212"/>
      <c r="D115" s="223"/>
      <c r="E115" s="223"/>
      <c r="G115" s="223"/>
      <c r="H115" s="223"/>
      <c r="I115" s="223"/>
      <c r="J115" s="223"/>
      <c r="K115" s="223"/>
      <c r="L115" s="223"/>
      <c r="M115" s="218"/>
      <c r="N115" s="223"/>
      <c r="O115" s="220"/>
      <c r="P115" s="221"/>
      <c r="Q115" s="243"/>
      <c r="R115" s="222"/>
      <c r="S115" s="219"/>
      <c r="T115" s="243"/>
      <c r="U115" s="219"/>
      <c r="V115" s="219"/>
      <c r="W115" s="214"/>
      <c r="X115" s="214"/>
      <c r="Y115" s="214"/>
      <c r="Z115" s="214"/>
      <c r="AA115" s="219"/>
      <c r="AB115" s="214"/>
      <c r="AC115" s="219"/>
    </row>
    <row r="116" spans="3:29" x14ac:dyDescent="0.2">
      <c r="C116" s="212"/>
      <c r="D116" s="223"/>
      <c r="E116" s="223"/>
      <c r="G116" s="223"/>
      <c r="H116" s="223"/>
      <c r="I116" s="223"/>
      <c r="J116" s="223"/>
      <c r="K116" s="223"/>
      <c r="L116" s="223"/>
      <c r="M116" s="218"/>
      <c r="N116" s="223"/>
      <c r="O116" s="220"/>
      <c r="P116" s="221"/>
      <c r="Q116" s="243"/>
      <c r="R116" s="222"/>
      <c r="S116" s="219"/>
      <c r="T116" s="243"/>
      <c r="U116" s="219"/>
      <c r="V116" s="219"/>
      <c r="W116" s="214"/>
      <c r="X116" s="214"/>
      <c r="Y116" s="214"/>
      <c r="Z116" s="214"/>
      <c r="AA116" s="219"/>
      <c r="AB116" s="214"/>
      <c r="AC116" s="219"/>
    </row>
    <row r="117" spans="3:29" x14ac:dyDescent="0.2">
      <c r="C117" s="212"/>
      <c r="D117" s="223"/>
      <c r="E117" s="223"/>
      <c r="G117" s="223"/>
      <c r="H117" s="223"/>
      <c r="I117" s="223"/>
      <c r="J117" s="223"/>
      <c r="K117" s="223"/>
      <c r="L117" s="223"/>
      <c r="M117" s="218"/>
      <c r="N117" s="223"/>
      <c r="O117" s="220"/>
      <c r="P117" s="221"/>
      <c r="Q117" s="243"/>
      <c r="R117" s="222"/>
      <c r="S117" s="219"/>
      <c r="T117" s="243"/>
      <c r="U117" s="219"/>
      <c r="V117" s="219"/>
      <c r="W117" s="214"/>
      <c r="X117" s="214"/>
      <c r="Y117" s="214"/>
      <c r="Z117" s="214"/>
      <c r="AA117" s="219"/>
      <c r="AB117" s="214"/>
      <c r="AC117" s="219"/>
    </row>
    <row r="118" spans="3:29" x14ac:dyDescent="0.2">
      <c r="C118" s="212"/>
      <c r="D118" s="223"/>
      <c r="E118" s="223"/>
      <c r="G118" s="223"/>
      <c r="H118" s="223"/>
      <c r="I118" s="223"/>
      <c r="J118" s="223"/>
      <c r="K118" s="223"/>
      <c r="L118" s="223"/>
      <c r="M118" s="218"/>
      <c r="N118" s="223"/>
      <c r="O118" s="220"/>
      <c r="P118" s="221"/>
      <c r="Q118" s="243"/>
      <c r="R118" s="222"/>
      <c r="S118" s="219"/>
      <c r="T118" s="243"/>
      <c r="U118" s="219"/>
      <c r="V118" s="219"/>
      <c r="W118" s="214"/>
      <c r="X118" s="214"/>
      <c r="Y118" s="214"/>
      <c r="Z118" s="214"/>
      <c r="AA118" s="219"/>
      <c r="AB118" s="214"/>
      <c r="AC118" s="219"/>
    </row>
    <row r="119" spans="3:29" x14ac:dyDescent="0.2">
      <c r="C119" s="212"/>
      <c r="D119" s="223"/>
      <c r="E119" s="223"/>
      <c r="G119" s="223"/>
      <c r="H119" s="223"/>
      <c r="I119" s="223"/>
      <c r="J119" s="223"/>
      <c r="K119" s="223"/>
      <c r="L119" s="223"/>
      <c r="M119" s="218"/>
      <c r="N119" s="223"/>
      <c r="O119" s="220"/>
      <c r="P119" s="221"/>
      <c r="Q119" s="243"/>
      <c r="R119" s="222"/>
      <c r="S119" s="219"/>
      <c r="T119" s="243"/>
      <c r="U119" s="219"/>
      <c r="V119" s="219"/>
      <c r="W119" s="214"/>
      <c r="X119" s="214"/>
      <c r="Y119" s="214"/>
      <c r="Z119" s="214"/>
      <c r="AA119" s="219"/>
      <c r="AB119" s="214"/>
      <c r="AC119" s="219"/>
    </row>
    <row r="120" spans="3:29" x14ac:dyDescent="0.2">
      <c r="C120" s="212"/>
      <c r="D120" s="223"/>
      <c r="E120" s="223"/>
      <c r="G120" s="223"/>
      <c r="H120" s="223"/>
      <c r="I120" s="223"/>
      <c r="J120" s="223"/>
      <c r="K120" s="223"/>
      <c r="L120" s="223"/>
      <c r="M120" s="218"/>
      <c r="N120" s="223"/>
      <c r="O120" s="220"/>
      <c r="P120" s="221"/>
      <c r="Q120" s="243"/>
      <c r="R120" s="222"/>
      <c r="S120" s="219"/>
      <c r="T120" s="243"/>
      <c r="U120" s="219"/>
      <c r="V120" s="219"/>
      <c r="W120" s="214"/>
      <c r="X120" s="214"/>
      <c r="Y120" s="214"/>
      <c r="Z120" s="214"/>
      <c r="AA120" s="219"/>
      <c r="AB120" s="214"/>
      <c r="AC120" s="219"/>
    </row>
    <row r="121" spans="3:29" x14ac:dyDescent="0.2">
      <c r="C121" s="212"/>
      <c r="D121" s="223"/>
      <c r="E121" s="223"/>
      <c r="G121" s="223"/>
      <c r="H121" s="223"/>
      <c r="I121" s="223"/>
      <c r="J121" s="223"/>
      <c r="K121" s="223"/>
      <c r="L121" s="223"/>
      <c r="M121" s="218"/>
      <c r="N121" s="223"/>
      <c r="O121" s="220"/>
      <c r="P121" s="221"/>
      <c r="Q121" s="243"/>
      <c r="R121" s="222"/>
      <c r="S121" s="219"/>
      <c r="T121" s="243"/>
      <c r="U121" s="219"/>
      <c r="V121" s="219"/>
      <c r="W121" s="214"/>
      <c r="X121" s="214"/>
      <c r="Y121" s="214"/>
      <c r="Z121" s="214"/>
      <c r="AA121" s="219"/>
      <c r="AB121" s="214"/>
      <c r="AC121" s="219"/>
    </row>
    <row r="122" spans="3:29" x14ac:dyDescent="0.2">
      <c r="C122" s="212"/>
      <c r="D122" s="223"/>
      <c r="E122" s="223"/>
      <c r="G122" s="223"/>
      <c r="H122" s="223"/>
      <c r="I122" s="223"/>
      <c r="J122" s="223"/>
      <c r="K122" s="223"/>
      <c r="L122" s="223"/>
      <c r="M122" s="218"/>
      <c r="N122" s="223"/>
      <c r="O122" s="220"/>
      <c r="P122" s="221"/>
      <c r="Q122" s="243"/>
      <c r="R122" s="222"/>
      <c r="S122" s="219"/>
      <c r="T122" s="243"/>
      <c r="U122" s="219"/>
      <c r="V122" s="219"/>
      <c r="W122" s="214"/>
      <c r="X122" s="214"/>
      <c r="Y122" s="214"/>
      <c r="Z122" s="214"/>
      <c r="AA122" s="219"/>
      <c r="AB122" s="214"/>
      <c r="AC122" s="219"/>
    </row>
    <row r="123" spans="3:29" x14ac:dyDescent="0.2">
      <c r="C123" s="212"/>
      <c r="D123" s="223"/>
      <c r="E123" s="223"/>
      <c r="G123" s="223"/>
      <c r="H123" s="223"/>
      <c r="I123" s="223"/>
      <c r="J123" s="223"/>
      <c r="K123" s="223"/>
      <c r="L123" s="223"/>
      <c r="M123" s="218"/>
      <c r="N123" s="223"/>
      <c r="O123" s="220"/>
      <c r="P123" s="221"/>
      <c r="Q123" s="243"/>
      <c r="R123" s="222"/>
      <c r="S123" s="219"/>
      <c r="T123" s="243"/>
      <c r="U123" s="219"/>
      <c r="V123" s="219"/>
      <c r="W123" s="214"/>
      <c r="X123" s="214"/>
      <c r="Y123" s="214"/>
      <c r="Z123" s="214"/>
      <c r="AA123" s="219"/>
      <c r="AB123" s="214"/>
      <c r="AC123" s="219"/>
    </row>
    <row r="124" spans="3:29" x14ac:dyDescent="0.2">
      <c r="C124" s="212"/>
      <c r="D124" s="223"/>
      <c r="E124" s="223"/>
      <c r="G124" s="223"/>
      <c r="H124" s="223"/>
      <c r="I124" s="223"/>
      <c r="J124" s="223"/>
      <c r="K124" s="223"/>
      <c r="L124" s="223"/>
      <c r="M124" s="218"/>
      <c r="N124" s="223"/>
      <c r="O124" s="220"/>
      <c r="P124" s="221"/>
      <c r="Q124" s="243"/>
      <c r="R124" s="222"/>
      <c r="S124" s="219"/>
      <c r="T124" s="243"/>
      <c r="U124" s="219"/>
      <c r="V124" s="219"/>
      <c r="W124" s="214"/>
      <c r="X124" s="214"/>
      <c r="Y124" s="214"/>
      <c r="Z124" s="214"/>
      <c r="AA124" s="219"/>
      <c r="AB124" s="214"/>
      <c r="AC124" s="219"/>
    </row>
    <row r="125" spans="3:29" x14ac:dyDescent="0.2">
      <c r="C125" s="212"/>
      <c r="D125" s="223"/>
      <c r="E125" s="223"/>
      <c r="G125" s="223"/>
      <c r="H125" s="223"/>
      <c r="I125" s="223"/>
      <c r="J125" s="223"/>
      <c r="K125" s="223"/>
      <c r="L125" s="223"/>
      <c r="M125" s="218"/>
      <c r="N125" s="223"/>
      <c r="O125" s="220"/>
      <c r="P125" s="221"/>
      <c r="Q125" s="243"/>
      <c r="R125" s="222"/>
      <c r="S125" s="219"/>
      <c r="T125" s="243"/>
      <c r="U125" s="219"/>
      <c r="V125" s="219"/>
      <c r="W125" s="214"/>
      <c r="X125" s="214"/>
      <c r="Y125" s="214"/>
      <c r="Z125" s="214"/>
      <c r="AA125" s="219"/>
      <c r="AB125" s="214"/>
      <c r="AC125" s="219"/>
    </row>
    <row r="126" spans="3:29" x14ac:dyDescent="0.2">
      <c r="C126" s="212"/>
      <c r="D126" s="223"/>
      <c r="E126" s="223"/>
      <c r="G126" s="223"/>
      <c r="H126" s="223"/>
      <c r="I126" s="223"/>
      <c r="J126" s="223"/>
      <c r="K126" s="223"/>
      <c r="L126" s="223"/>
      <c r="M126" s="218"/>
      <c r="N126" s="223"/>
      <c r="O126" s="220"/>
      <c r="P126" s="221"/>
      <c r="Q126" s="243"/>
      <c r="R126" s="222"/>
      <c r="S126" s="219"/>
      <c r="T126" s="243"/>
      <c r="U126" s="219"/>
      <c r="V126" s="219"/>
      <c r="W126" s="214"/>
      <c r="X126" s="214"/>
      <c r="Y126" s="214"/>
      <c r="Z126" s="214"/>
      <c r="AA126" s="219"/>
      <c r="AB126" s="214"/>
      <c r="AC126" s="219"/>
    </row>
    <row r="127" spans="3:29" x14ac:dyDescent="0.2">
      <c r="C127" s="212"/>
      <c r="D127" s="223"/>
      <c r="E127" s="223"/>
      <c r="G127" s="223"/>
      <c r="H127" s="223"/>
      <c r="I127" s="223"/>
      <c r="J127" s="223"/>
      <c r="K127" s="223"/>
      <c r="L127" s="223"/>
      <c r="M127" s="218"/>
      <c r="N127" s="223"/>
      <c r="O127" s="220"/>
      <c r="P127" s="221"/>
      <c r="Q127" s="243"/>
      <c r="R127" s="222"/>
      <c r="S127" s="219"/>
      <c r="T127" s="243"/>
      <c r="U127" s="219"/>
      <c r="V127" s="219"/>
      <c r="W127" s="214"/>
      <c r="X127" s="214"/>
      <c r="Y127" s="214"/>
      <c r="Z127" s="214"/>
      <c r="AA127" s="219"/>
      <c r="AB127" s="214"/>
      <c r="AC127" s="219"/>
    </row>
    <row r="128" spans="3:29" x14ac:dyDescent="0.2">
      <c r="C128" s="212"/>
      <c r="D128" s="223"/>
      <c r="E128" s="223"/>
      <c r="G128" s="223"/>
      <c r="H128" s="223"/>
      <c r="I128" s="223"/>
      <c r="J128" s="223"/>
      <c r="K128" s="223"/>
      <c r="L128" s="223"/>
      <c r="M128" s="218"/>
      <c r="N128" s="223"/>
      <c r="O128" s="220"/>
      <c r="P128" s="221"/>
      <c r="Q128" s="243"/>
      <c r="R128" s="222"/>
      <c r="S128" s="219"/>
      <c r="T128" s="243"/>
      <c r="U128" s="219"/>
      <c r="V128" s="219"/>
      <c r="W128" s="214"/>
      <c r="X128" s="214"/>
      <c r="Y128" s="214"/>
      <c r="Z128" s="214"/>
      <c r="AA128" s="219"/>
      <c r="AB128" s="214"/>
      <c r="AC128" s="219"/>
    </row>
    <row r="129" spans="3:29" x14ac:dyDescent="0.2">
      <c r="C129" s="212"/>
      <c r="D129" s="223"/>
      <c r="E129" s="223"/>
      <c r="G129" s="223"/>
      <c r="H129" s="223"/>
      <c r="I129" s="223"/>
      <c r="J129" s="223"/>
      <c r="K129" s="223"/>
      <c r="L129" s="223"/>
      <c r="M129" s="218"/>
      <c r="N129" s="223"/>
      <c r="O129" s="220"/>
      <c r="P129" s="221"/>
      <c r="Q129" s="243"/>
      <c r="R129" s="222"/>
      <c r="S129" s="219"/>
      <c r="T129" s="243"/>
      <c r="U129" s="219"/>
      <c r="V129" s="219"/>
      <c r="W129" s="214"/>
      <c r="X129" s="214"/>
      <c r="Y129" s="214"/>
      <c r="Z129" s="214"/>
      <c r="AA129" s="219"/>
      <c r="AB129" s="214"/>
      <c r="AC129" s="219"/>
    </row>
    <row r="130" spans="3:29" x14ac:dyDescent="0.2">
      <c r="C130" s="212"/>
      <c r="D130" s="223"/>
      <c r="E130" s="223"/>
      <c r="G130" s="223"/>
      <c r="H130" s="223"/>
      <c r="I130" s="223"/>
      <c r="J130" s="223"/>
      <c r="K130" s="223"/>
      <c r="L130" s="223"/>
      <c r="M130" s="218"/>
      <c r="N130" s="223"/>
      <c r="O130" s="220"/>
      <c r="P130" s="221"/>
      <c r="Q130" s="243"/>
      <c r="R130" s="222"/>
      <c r="S130" s="219"/>
      <c r="T130" s="243"/>
      <c r="U130" s="219"/>
      <c r="V130" s="219"/>
      <c r="W130" s="214"/>
      <c r="X130" s="214"/>
      <c r="Y130" s="214"/>
      <c r="Z130" s="214"/>
      <c r="AA130" s="219"/>
      <c r="AB130" s="214"/>
      <c r="AC130" s="219"/>
    </row>
    <row r="131" spans="3:29" x14ac:dyDescent="0.2">
      <c r="C131" s="212"/>
      <c r="D131" s="223"/>
      <c r="E131" s="223"/>
      <c r="G131" s="223"/>
      <c r="H131" s="223"/>
      <c r="I131" s="223"/>
      <c r="J131" s="223"/>
      <c r="K131" s="223"/>
      <c r="L131" s="223"/>
      <c r="M131" s="218"/>
      <c r="N131" s="223"/>
      <c r="O131" s="220"/>
      <c r="P131" s="221"/>
      <c r="Q131" s="243"/>
      <c r="R131" s="222"/>
      <c r="S131" s="219"/>
      <c r="T131" s="243"/>
      <c r="U131" s="219"/>
      <c r="V131" s="219"/>
      <c r="W131" s="214"/>
      <c r="X131" s="214"/>
      <c r="Y131" s="214"/>
      <c r="Z131" s="214"/>
      <c r="AA131" s="219"/>
      <c r="AB131" s="214"/>
      <c r="AC131" s="219"/>
    </row>
    <row r="132" spans="3:29" x14ac:dyDescent="0.2">
      <c r="C132" s="212"/>
      <c r="D132" s="223"/>
      <c r="E132" s="223"/>
      <c r="G132" s="223"/>
      <c r="H132" s="223"/>
      <c r="I132" s="223"/>
      <c r="J132" s="223"/>
      <c r="K132" s="223"/>
      <c r="L132" s="223"/>
      <c r="M132" s="218"/>
      <c r="N132" s="223"/>
      <c r="O132" s="220"/>
      <c r="P132" s="221"/>
      <c r="Q132" s="243"/>
      <c r="R132" s="222"/>
      <c r="S132" s="219"/>
      <c r="T132" s="243"/>
      <c r="U132" s="219"/>
      <c r="V132" s="219"/>
      <c r="W132" s="214"/>
      <c r="X132" s="214"/>
      <c r="Y132" s="214"/>
      <c r="Z132" s="214"/>
      <c r="AA132" s="219"/>
      <c r="AB132" s="214"/>
      <c r="AC132" s="219"/>
    </row>
    <row r="133" spans="3:29" x14ac:dyDescent="0.2">
      <c r="C133" s="212"/>
      <c r="D133" s="223"/>
      <c r="E133" s="223"/>
      <c r="G133" s="223"/>
      <c r="H133" s="223"/>
      <c r="I133" s="223"/>
      <c r="J133" s="223"/>
      <c r="K133" s="223"/>
      <c r="L133" s="223"/>
      <c r="M133" s="218"/>
      <c r="N133" s="223"/>
      <c r="O133" s="220"/>
      <c r="P133" s="221"/>
      <c r="Q133" s="243"/>
      <c r="R133" s="222"/>
      <c r="S133" s="219"/>
      <c r="T133" s="243"/>
      <c r="U133" s="219"/>
      <c r="V133" s="219"/>
      <c r="W133" s="214"/>
      <c r="X133" s="214"/>
      <c r="Y133" s="214"/>
      <c r="Z133" s="214"/>
      <c r="AA133" s="219"/>
      <c r="AB133" s="214"/>
      <c r="AC133" s="219"/>
    </row>
    <row r="134" spans="3:29" x14ac:dyDescent="0.2">
      <c r="C134" s="212"/>
      <c r="D134" s="223"/>
      <c r="E134" s="223"/>
      <c r="G134" s="223"/>
      <c r="H134" s="223"/>
      <c r="I134" s="223"/>
      <c r="J134" s="223"/>
      <c r="K134" s="223"/>
      <c r="L134" s="223"/>
      <c r="M134" s="218"/>
      <c r="N134" s="223"/>
      <c r="O134" s="220"/>
      <c r="P134" s="221"/>
      <c r="Q134" s="243"/>
      <c r="R134" s="222"/>
      <c r="S134" s="219"/>
      <c r="T134" s="243"/>
      <c r="U134" s="219"/>
      <c r="V134" s="219"/>
      <c r="W134" s="214"/>
      <c r="X134" s="214"/>
      <c r="Y134" s="214"/>
      <c r="Z134" s="214"/>
      <c r="AA134" s="219"/>
      <c r="AB134" s="214"/>
      <c r="AC134" s="219"/>
    </row>
    <row r="135" spans="3:29" x14ac:dyDescent="0.2">
      <c r="C135" s="212"/>
      <c r="D135" s="223"/>
      <c r="E135" s="223"/>
      <c r="G135" s="223"/>
      <c r="H135" s="223"/>
      <c r="I135" s="223"/>
      <c r="J135" s="223"/>
      <c r="K135" s="223"/>
      <c r="L135" s="223"/>
      <c r="M135" s="218"/>
      <c r="N135" s="223"/>
      <c r="O135" s="220"/>
      <c r="P135" s="221"/>
      <c r="Q135" s="243"/>
      <c r="R135" s="222"/>
      <c r="S135" s="219"/>
      <c r="T135" s="243"/>
      <c r="U135" s="219"/>
      <c r="V135" s="219"/>
      <c r="W135" s="214"/>
      <c r="X135" s="214"/>
      <c r="Y135" s="214"/>
      <c r="Z135" s="214"/>
      <c r="AA135" s="219"/>
      <c r="AB135" s="214"/>
      <c r="AC135" s="219"/>
    </row>
    <row r="136" spans="3:29" x14ac:dyDescent="0.2">
      <c r="C136" s="212"/>
      <c r="D136" s="223"/>
      <c r="E136" s="223"/>
      <c r="G136" s="223"/>
      <c r="H136" s="223"/>
      <c r="I136" s="223"/>
      <c r="J136" s="223"/>
      <c r="K136" s="223"/>
      <c r="L136" s="223"/>
      <c r="M136" s="218"/>
      <c r="N136" s="223"/>
      <c r="O136" s="220"/>
      <c r="P136" s="221"/>
      <c r="Q136" s="243"/>
      <c r="R136" s="222"/>
      <c r="S136" s="219"/>
      <c r="T136" s="243"/>
      <c r="U136" s="219"/>
      <c r="V136" s="219"/>
      <c r="W136" s="214"/>
      <c r="X136" s="214"/>
      <c r="Y136" s="214"/>
      <c r="Z136" s="214"/>
      <c r="AA136" s="219"/>
      <c r="AB136" s="214"/>
      <c r="AC136" s="219"/>
    </row>
    <row r="137" spans="3:29" x14ac:dyDescent="0.2">
      <c r="C137" s="212"/>
      <c r="D137" s="223"/>
      <c r="E137" s="223"/>
      <c r="G137" s="223"/>
      <c r="H137" s="223"/>
      <c r="I137" s="223"/>
      <c r="J137" s="223"/>
      <c r="K137" s="223"/>
      <c r="L137" s="223"/>
      <c r="M137" s="218"/>
      <c r="N137" s="223"/>
      <c r="O137" s="220"/>
      <c r="P137" s="221"/>
      <c r="Q137" s="243"/>
      <c r="R137" s="222"/>
      <c r="S137" s="219"/>
      <c r="T137" s="243"/>
      <c r="U137" s="219"/>
      <c r="V137" s="219"/>
      <c r="W137" s="214"/>
      <c r="X137" s="214"/>
      <c r="Y137" s="214"/>
      <c r="Z137" s="214"/>
      <c r="AA137" s="219"/>
      <c r="AB137" s="214"/>
      <c r="AC137" s="219"/>
    </row>
    <row r="138" spans="3:29" x14ac:dyDescent="0.2">
      <c r="C138" s="212"/>
      <c r="D138" s="223"/>
      <c r="E138" s="223"/>
      <c r="G138" s="223"/>
      <c r="H138" s="223"/>
      <c r="I138" s="223"/>
      <c r="J138" s="223"/>
      <c r="K138" s="223"/>
      <c r="L138" s="223"/>
      <c r="M138" s="218"/>
      <c r="N138" s="223"/>
      <c r="O138" s="220"/>
      <c r="P138" s="221"/>
      <c r="Q138" s="243"/>
      <c r="R138" s="222"/>
      <c r="S138" s="219"/>
      <c r="T138" s="243"/>
      <c r="U138" s="219"/>
      <c r="V138" s="219"/>
      <c r="W138" s="214"/>
      <c r="X138" s="214"/>
      <c r="Y138" s="214"/>
      <c r="Z138" s="214"/>
      <c r="AA138" s="219"/>
      <c r="AB138" s="214"/>
      <c r="AC138" s="219"/>
    </row>
    <row r="139" spans="3:29" x14ac:dyDescent="0.2">
      <c r="C139" s="212"/>
      <c r="D139" s="223"/>
      <c r="E139" s="223"/>
      <c r="G139" s="223"/>
      <c r="H139" s="223"/>
      <c r="I139" s="223"/>
      <c r="J139" s="223"/>
      <c r="K139" s="223"/>
      <c r="L139" s="223"/>
      <c r="M139" s="218"/>
      <c r="N139" s="223"/>
      <c r="O139" s="220"/>
      <c r="P139" s="221"/>
      <c r="Q139" s="243"/>
      <c r="R139" s="222"/>
      <c r="S139" s="219"/>
      <c r="T139" s="243"/>
      <c r="U139" s="219"/>
      <c r="V139" s="219"/>
      <c r="W139" s="214"/>
      <c r="X139" s="214"/>
      <c r="Y139" s="214"/>
      <c r="Z139" s="214"/>
      <c r="AA139" s="219"/>
      <c r="AB139" s="214"/>
      <c r="AC139" s="219"/>
    </row>
    <row r="140" spans="3:29" x14ac:dyDescent="0.2">
      <c r="C140" s="212"/>
      <c r="D140" s="223"/>
      <c r="E140" s="223"/>
      <c r="G140" s="223"/>
      <c r="H140" s="223"/>
      <c r="I140" s="223"/>
      <c r="J140" s="223"/>
      <c r="K140" s="223"/>
      <c r="L140" s="223"/>
      <c r="M140" s="218"/>
      <c r="N140" s="223"/>
      <c r="O140" s="220"/>
      <c r="P140" s="221"/>
      <c r="Q140" s="243"/>
      <c r="R140" s="222"/>
      <c r="S140" s="219"/>
      <c r="T140" s="243"/>
      <c r="U140" s="219"/>
      <c r="V140" s="219"/>
      <c r="W140" s="214"/>
      <c r="X140" s="214"/>
      <c r="Y140" s="214"/>
      <c r="Z140" s="214"/>
      <c r="AA140" s="219"/>
      <c r="AB140" s="214"/>
      <c r="AC140" s="219"/>
    </row>
    <row r="141" spans="3:29" x14ac:dyDescent="0.2">
      <c r="C141" s="212"/>
      <c r="D141" s="223"/>
      <c r="E141" s="223"/>
      <c r="G141" s="223"/>
      <c r="H141" s="223"/>
      <c r="I141" s="223"/>
      <c r="J141" s="223"/>
      <c r="K141" s="223"/>
      <c r="L141" s="223"/>
      <c r="M141" s="218"/>
      <c r="N141" s="223"/>
      <c r="O141" s="220"/>
      <c r="P141" s="221"/>
      <c r="Q141" s="243"/>
      <c r="R141" s="222"/>
      <c r="S141" s="219"/>
      <c r="T141" s="243"/>
      <c r="U141" s="219"/>
      <c r="V141" s="219"/>
      <c r="W141" s="214"/>
      <c r="X141" s="214"/>
      <c r="Y141" s="214"/>
      <c r="Z141" s="214"/>
      <c r="AA141" s="219"/>
      <c r="AB141" s="214"/>
      <c r="AC141" s="219"/>
    </row>
    <row r="142" spans="3:29" x14ac:dyDescent="0.2">
      <c r="C142" s="212"/>
      <c r="D142" s="223"/>
      <c r="E142" s="223"/>
      <c r="G142" s="223"/>
      <c r="H142" s="223"/>
      <c r="I142" s="223"/>
      <c r="J142" s="223"/>
      <c r="K142" s="223"/>
      <c r="L142" s="223"/>
      <c r="M142" s="218"/>
      <c r="N142" s="223"/>
      <c r="O142" s="220"/>
      <c r="P142" s="221"/>
      <c r="Q142" s="243"/>
      <c r="R142" s="222"/>
      <c r="S142" s="219"/>
      <c r="T142" s="243"/>
      <c r="U142" s="219"/>
      <c r="V142" s="219"/>
      <c r="W142" s="214"/>
      <c r="X142" s="214"/>
      <c r="Y142" s="214"/>
      <c r="Z142" s="214"/>
      <c r="AA142" s="219"/>
      <c r="AB142" s="214"/>
      <c r="AC142" s="219"/>
    </row>
    <row r="143" spans="3:29" x14ac:dyDescent="0.2">
      <c r="C143" s="212"/>
      <c r="D143" s="223"/>
      <c r="E143" s="223"/>
      <c r="G143" s="223"/>
      <c r="H143" s="223"/>
      <c r="I143" s="223"/>
      <c r="J143" s="223"/>
      <c r="K143" s="223"/>
      <c r="L143" s="223"/>
      <c r="M143" s="218"/>
      <c r="N143" s="223"/>
      <c r="O143" s="220"/>
      <c r="P143" s="221"/>
      <c r="Q143" s="243"/>
      <c r="R143" s="222"/>
      <c r="S143" s="219"/>
      <c r="T143" s="243"/>
      <c r="U143" s="219"/>
      <c r="V143" s="219"/>
      <c r="W143" s="214"/>
      <c r="X143" s="214"/>
      <c r="Y143" s="214"/>
      <c r="Z143" s="214"/>
      <c r="AA143" s="219"/>
      <c r="AB143" s="214"/>
      <c r="AC143" s="219"/>
    </row>
    <row r="144" spans="3:29" x14ac:dyDescent="0.2">
      <c r="C144" s="212"/>
      <c r="D144" s="223"/>
      <c r="E144" s="223"/>
      <c r="G144" s="223"/>
      <c r="H144" s="223"/>
      <c r="I144" s="223"/>
      <c r="J144" s="223"/>
      <c r="K144" s="223"/>
      <c r="L144" s="223"/>
      <c r="M144" s="218"/>
      <c r="N144" s="223"/>
      <c r="O144" s="220"/>
      <c r="P144" s="221"/>
      <c r="Q144" s="243"/>
      <c r="R144" s="222"/>
      <c r="S144" s="219"/>
      <c r="T144" s="243"/>
      <c r="U144" s="219"/>
      <c r="V144" s="219"/>
      <c r="W144" s="214"/>
      <c r="X144" s="214"/>
      <c r="Y144" s="214"/>
      <c r="Z144" s="214"/>
      <c r="AA144" s="219"/>
      <c r="AB144" s="214"/>
      <c r="AC144" s="219"/>
    </row>
    <row r="145" spans="3:29" x14ac:dyDescent="0.2">
      <c r="C145" s="212"/>
      <c r="D145" s="223"/>
      <c r="E145" s="223"/>
      <c r="G145" s="223"/>
      <c r="H145" s="223"/>
      <c r="I145" s="223"/>
      <c r="J145" s="223"/>
      <c r="K145" s="223"/>
      <c r="L145" s="223"/>
      <c r="M145" s="218"/>
      <c r="N145" s="223"/>
      <c r="O145" s="220"/>
      <c r="P145" s="221"/>
      <c r="Q145" s="243"/>
      <c r="R145" s="222"/>
      <c r="S145" s="219"/>
      <c r="T145" s="243"/>
      <c r="U145" s="219"/>
      <c r="V145" s="219"/>
      <c r="W145" s="214"/>
      <c r="X145" s="214"/>
      <c r="Y145" s="214"/>
      <c r="Z145" s="214"/>
      <c r="AA145" s="219"/>
      <c r="AB145" s="214"/>
      <c r="AC145" s="219"/>
    </row>
    <row r="146" spans="3:29" x14ac:dyDescent="0.2">
      <c r="C146" s="212"/>
      <c r="D146" s="223"/>
      <c r="E146" s="223"/>
      <c r="G146" s="223"/>
      <c r="H146" s="223"/>
      <c r="I146" s="223"/>
      <c r="J146" s="223"/>
      <c r="K146" s="223"/>
      <c r="L146" s="223"/>
      <c r="M146" s="218"/>
      <c r="N146" s="223"/>
      <c r="O146" s="220"/>
      <c r="P146" s="221"/>
      <c r="Q146" s="243"/>
      <c r="R146" s="222"/>
      <c r="S146" s="219"/>
      <c r="T146" s="243"/>
      <c r="U146" s="219"/>
      <c r="V146" s="219"/>
      <c r="W146" s="214"/>
      <c r="X146" s="214"/>
      <c r="Y146" s="214"/>
      <c r="Z146" s="214"/>
      <c r="AA146" s="219"/>
      <c r="AB146" s="214"/>
      <c r="AC146" s="219"/>
    </row>
    <row r="147" spans="3:29" x14ac:dyDescent="0.2">
      <c r="C147" s="212"/>
      <c r="D147" s="223"/>
      <c r="E147" s="223"/>
      <c r="G147" s="223"/>
      <c r="H147" s="223"/>
      <c r="I147" s="223"/>
      <c r="J147" s="223"/>
      <c r="K147" s="223"/>
      <c r="L147" s="223"/>
      <c r="M147" s="218"/>
      <c r="N147" s="223"/>
      <c r="O147" s="220"/>
      <c r="P147" s="221"/>
      <c r="Q147" s="243"/>
      <c r="R147" s="222"/>
      <c r="S147" s="219"/>
      <c r="T147" s="243"/>
      <c r="U147" s="219"/>
      <c r="V147" s="219"/>
      <c r="W147" s="214"/>
      <c r="X147" s="214"/>
      <c r="Y147" s="214"/>
      <c r="Z147" s="214"/>
      <c r="AA147" s="219"/>
      <c r="AB147" s="214"/>
      <c r="AC147" s="219"/>
    </row>
    <row r="148" spans="3:29" x14ac:dyDescent="0.2">
      <c r="C148" s="212"/>
      <c r="D148" s="223"/>
      <c r="E148" s="223"/>
      <c r="G148" s="223"/>
      <c r="H148" s="223"/>
      <c r="I148" s="223"/>
      <c r="J148" s="223"/>
      <c r="K148" s="223"/>
      <c r="L148" s="223"/>
      <c r="M148" s="218"/>
      <c r="N148" s="223"/>
      <c r="O148" s="220"/>
      <c r="P148" s="221"/>
      <c r="Q148" s="243"/>
      <c r="R148" s="222"/>
      <c r="S148" s="219"/>
      <c r="T148" s="243"/>
      <c r="U148" s="219"/>
      <c r="V148" s="219"/>
      <c r="W148" s="214"/>
      <c r="X148" s="214"/>
      <c r="Y148" s="214"/>
      <c r="Z148" s="214"/>
      <c r="AA148" s="219"/>
      <c r="AB148" s="214"/>
      <c r="AC148" s="219"/>
    </row>
    <row r="149" spans="3:29" x14ac:dyDescent="0.2">
      <c r="C149" s="212"/>
      <c r="D149" s="223"/>
      <c r="E149" s="223"/>
      <c r="G149" s="223"/>
      <c r="H149" s="223"/>
      <c r="I149" s="223"/>
      <c r="J149" s="223"/>
      <c r="K149" s="223"/>
      <c r="L149" s="223"/>
      <c r="M149" s="218"/>
      <c r="N149" s="223"/>
      <c r="O149" s="220"/>
      <c r="P149" s="221"/>
      <c r="Q149" s="243"/>
      <c r="R149" s="222"/>
      <c r="S149" s="219"/>
      <c r="T149" s="243"/>
      <c r="U149" s="219"/>
      <c r="V149" s="219"/>
      <c r="W149" s="214"/>
      <c r="X149" s="214"/>
      <c r="Y149" s="214"/>
      <c r="Z149" s="214"/>
      <c r="AA149" s="219"/>
      <c r="AB149" s="214"/>
      <c r="AC149" s="219"/>
    </row>
    <row r="150" spans="3:29" x14ac:dyDescent="0.2">
      <c r="C150" s="212"/>
      <c r="D150" s="223"/>
      <c r="E150" s="223"/>
      <c r="G150" s="223"/>
      <c r="H150" s="223"/>
      <c r="I150" s="223"/>
      <c r="J150" s="223"/>
      <c r="K150" s="223"/>
      <c r="L150" s="223"/>
      <c r="M150" s="218"/>
      <c r="N150" s="223"/>
      <c r="O150" s="220"/>
      <c r="P150" s="221"/>
      <c r="Q150" s="243"/>
      <c r="R150" s="222"/>
      <c r="S150" s="219"/>
      <c r="T150" s="243"/>
      <c r="U150" s="219"/>
      <c r="V150" s="219"/>
      <c r="W150" s="214"/>
      <c r="X150" s="214"/>
      <c r="Y150" s="214"/>
      <c r="Z150" s="214"/>
      <c r="AA150" s="219"/>
      <c r="AB150" s="214"/>
      <c r="AC150" s="219"/>
    </row>
    <row r="151" spans="3:29" x14ac:dyDescent="0.2">
      <c r="C151" s="212"/>
      <c r="D151" s="223"/>
      <c r="E151" s="223"/>
      <c r="G151" s="223"/>
      <c r="H151" s="223"/>
      <c r="I151" s="223"/>
      <c r="J151" s="223"/>
      <c r="K151" s="223"/>
      <c r="L151" s="223"/>
      <c r="M151" s="218"/>
      <c r="N151" s="223"/>
      <c r="O151" s="220"/>
      <c r="P151" s="221"/>
      <c r="Q151" s="243"/>
      <c r="R151" s="222"/>
      <c r="S151" s="219"/>
      <c r="T151" s="243"/>
      <c r="U151" s="219"/>
      <c r="V151" s="219"/>
      <c r="W151" s="214"/>
      <c r="X151" s="214"/>
      <c r="Y151" s="214"/>
      <c r="Z151" s="214"/>
      <c r="AA151" s="219"/>
      <c r="AB151" s="214"/>
      <c r="AC151" s="219"/>
    </row>
    <row r="152" spans="3:29" x14ac:dyDescent="0.2">
      <c r="C152" s="212"/>
      <c r="D152" s="223"/>
      <c r="E152" s="223"/>
      <c r="G152" s="223"/>
      <c r="H152" s="223"/>
      <c r="I152" s="223"/>
      <c r="J152" s="223"/>
      <c r="K152" s="223"/>
      <c r="L152" s="223"/>
      <c r="M152" s="218"/>
      <c r="N152" s="223"/>
      <c r="O152" s="220"/>
      <c r="P152" s="221"/>
      <c r="Q152" s="243"/>
      <c r="R152" s="222"/>
      <c r="S152" s="219"/>
      <c r="T152" s="243"/>
      <c r="U152" s="219"/>
      <c r="V152" s="219"/>
      <c r="W152" s="214"/>
      <c r="X152" s="214"/>
      <c r="Y152" s="214"/>
      <c r="Z152" s="214"/>
      <c r="AA152" s="219"/>
      <c r="AB152" s="214"/>
      <c r="AC152" s="219"/>
    </row>
    <row r="153" spans="3:29" x14ac:dyDescent="0.2">
      <c r="C153" s="212"/>
      <c r="D153" s="223"/>
      <c r="E153" s="223"/>
      <c r="G153" s="223"/>
      <c r="H153" s="223"/>
      <c r="I153" s="223"/>
      <c r="J153" s="223"/>
      <c r="K153" s="223"/>
      <c r="L153" s="223"/>
      <c r="M153" s="218"/>
      <c r="N153" s="223"/>
      <c r="O153" s="220"/>
      <c r="P153" s="221"/>
      <c r="Q153" s="243"/>
      <c r="R153" s="222"/>
      <c r="S153" s="219"/>
      <c r="T153" s="243"/>
      <c r="U153" s="219"/>
      <c r="V153" s="219"/>
      <c r="W153" s="214"/>
      <c r="X153" s="214"/>
      <c r="Y153" s="214"/>
      <c r="Z153" s="214"/>
      <c r="AA153" s="219"/>
      <c r="AB153" s="214"/>
      <c r="AC153" s="219"/>
    </row>
    <row r="154" spans="3:29" x14ac:dyDescent="0.2">
      <c r="C154" s="212"/>
      <c r="D154" s="223"/>
      <c r="E154" s="223"/>
      <c r="G154" s="223"/>
      <c r="H154" s="223"/>
      <c r="I154" s="223"/>
      <c r="J154" s="223"/>
      <c r="K154" s="223"/>
      <c r="L154" s="223"/>
      <c r="M154" s="218"/>
      <c r="N154" s="223"/>
      <c r="O154" s="220"/>
      <c r="P154" s="221"/>
      <c r="Q154" s="243"/>
      <c r="R154" s="222"/>
      <c r="S154" s="219"/>
      <c r="T154" s="243"/>
      <c r="U154" s="219"/>
      <c r="V154" s="219"/>
      <c r="W154" s="214"/>
      <c r="X154" s="214"/>
      <c r="Y154" s="214"/>
      <c r="Z154" s="214"/>
      <c r="AA154" s="219"/>
      <c r="AB154" s="214"/>
      <c r="AC154" s="219"/>
    </row>
    <row r="155" spans="3:29" x14ac:dyDescent="0.2">
      <c r="C155" s="212"/>
      <c r="D155" s="223"/>
      <c r="E155" s="223"/>
      <c r="G155" s="223"/>
      <c r="H155" s="223"/>
      <c r="I155" s="223"/>
      <c r="J155" s="223"/>
      <c r="K155" s="223"/>
      <c r="L155" s="223"/>
      <c r="M155" s="218"/>
      <c r="N155" s="223"/>
      <c r="O155" s="220"/>
      <c r="P155" s="221"/>
      <c r="Q155" s="243"/>
      <c r="R155" s="222"/>
      <c r="S155" s="219"/>
      <c r="T155" s="243"/>
      <c r="U155" s="219"/>
      <c r="V155" s="219"/>
      <c r="W155" s="214"/>
      <c r="X155" s="214"/>
      <c r="Y155" s="214"/>
      <c r="Z155" s="214"/>
      <c r="AA155" s="219"/>
      <c r="AB155" s="214"/>
      <c r="AC155" s="219"/>
    </row>
    <row r="156" spans="3:29" x14ac:dyDescent="0.2">
      <c r="C156" s="212"/>
      <c r="D156" s="223"/>
      <c r="E156" s="223"/>
      <c r="G156" s="223"/>
      <c r="H156" s="223"/>
      <c r="I156" s="223"/>
      <c r="J156" s="223"/>
      <c r="K156" s="223"/>
      <c r="L156" s="223"/>
      <c r="M156" s="218"/>
      <c r="N156" s="223"/>
      <c r="O156" s="220"/>
      <c r="P156" s="221"/>
      <c r="Q156" s="243"/>
      <c r="R156" s="222"/>
      <c r="S156" s="219"/>
      <c r="T156" s="243"/>
      <c r="U156" s="219"/>
      <c r="V156" s="219"/>
      <c r="W156" s="214"/>
      <c r="X156" s="214"/>
      <c r="Y156" s="214"/>
      <c r="Z156" s="214"/>
      <c r="AA156" s="219"/>
      <c r="AB156" s="214"/>
      <c r="AC156" s="219"/>
    </row>
    <row r="157" spans="3:29" x14ac:dyDescent="0.2">
      <c r="C157" s="212"/>
      <c r="D157" s="223"/>
      <c r="E157" s="223"/>
      <c r="G157" s="223"/>
      <c r="H157" s="223"/>
      <c r="I157" s="223"/>
      <c r="J157" s="223"/>
      <c r="K157" s="223"/>
      <c r="L157" s="223"/>
      <c r="M157" s="218"/>
      <c r="N157" s="223"/>
      <c r="O157" s="220"/>
      <c r="P157" s="221"/>
      <c r="Q157" s="243"/>
      <c r="R157" s="222"/>
      <c r="S157" s="219"/>
      <c r="T157" s="243"/>
      <c r="U157" s="219"/>
      <c r="V157" s="219"/>
      <c r="W157" s="214"/>
      <c r="X157" s="214"/>
      <c r="Y157" s="214"/>
      <c r="Z157" s="214"/>
      <c r="AA157" s="219"/>
      <c r="AB157" s="214"/>
      <c r="AC157" s="219"/>
    </row>
    <row r="158" spans="3:29" x14ac:dyDescent="0.2">
      <c r="C158" s="212"/>
      <c r="D158" s="223"/>
      <c r="E158" s="223"/>
      <c r="G158" s="223"/>
      <c r="H158" s="223"/>
      <c r="I158" s="223"/>
      <c r="J158" s="223"/>
      <c r="K158" s="223"/>
      <c r="L158" s="223"/>
      <c r="M158" s="218"/>
      <c r="N158" s="223"/>
      <c r="O158" s="220"/>
      <c r="P158" s="221"/>
      <c r="Q158" s="243"/>
      <c r="R158" s="222"/>
      <c r="S158" s="219"/>
      <c r="T158" s="243"/>
      <c r="U158" s="219"/>
      <c r="V158" s="219"/>
      <c r="W158" s="214"/>
      <c r="X158" s="214"/>
      <c r="Y158" s="214"/>
      <c r="Z158" s="214"/>
      <c r="AA158" s="219"/>
      <c r="AB158" s="214"/>
      <c r="AC158" s="219"/>
    </row>
    <row r="159" spans="3:29" x14ac:dyDescent="0.2">
      <c r="C159" s="212"/>
      <c r="D159" s="223"/>
      <c r="E159" s="223"/>
      <c r="G159" s="223"/>
      <c r="H159" s="223"/>
      <c r="I159" s="223"/>
      <c r="J159" s="223"/>
      <c r="K159" s="223"/>
      <c r="L159" s="223"/>
      <c r="M159" s="218"/>
      <c r="N159" s="223"/>
      <c r="O159" s="220"/>
      <c r="P159" s="221"/>
      <c r="Q159" s="243"/>
      <c r="R159" s="222"/>
      <c r="S159" s="219"/>
      <c r="T159" s="243"/>
      <c r="U159" s="219"/>
      <c r="V159" s="219"/>
      <c r="W159" s="214"/>
      <c r="X159" s="214"/>
      <c r="Y159" s="214"/>
      <c r="Z159" s="214"/>
      <c r="AA159" s="219"/>
      <c r="AB159" s="214"/>
      <c r="AC159" s="219"/>
    </row>
    <row r="160" spans="3:29" x14ac:dyDescent="0.2">
      <c r="C160" s="212"/>
      <c r="D160" s="223"/>
      <c r="E160" s="223"/>
      <c r="G160" s="223"/>
      <c r="H160" s="223"/>
      <c r="I160" s="223"/>
      <c r="J160" s="223"/>
      <c r="K160" s="223"/>
      <c r="L160" s="223"/>
      <c r="M160" s="218"/>
      <c r="N160" s="223"/>
      <c r="O160" s="220"/>
      <c r="P160" s="221"/>
      <c r="Q160" s="243"/>
      <c r="R160" s="222"/>
      <c r="S160" s="219"/>
      <c r="T160" s="243"/>
      <c r="U160" s="219"/>
      <c r="V160" s="219"/>
      <c r="W160" s="214"/>
      <c r="X160" s="214"/>
      <c r="Y160" s="214"/>
      <c r="Z160" s="214"/>
      <c r="AA160" s="219"/>
      <c r="AB160" s="214"/>
      <c r="AC160" s="219"/>
    </row>
    <row r="161" spans="3:29" x14ac:dyDescent="0.2">
      <c r="C161" s="212"/>
      <c r="D161" s="223"/>
      <c r="E161" s="223"/>
      <c r="G161" s="223"/>
      <c r="H161" s="223"/>
      <c r="I161" s="223"/>
      <c r="J161" s="223"/>
      <c r="K161" s="223"/>
      <c r="L161" s="223"/>
      <c r="M161" s="218"/>
      <c r="N161" s="223"/>
      <c r="O161" s="220"/>
      <c r="P161" s="221"/>
      <c r="Q161" s="243"/>
      <c r="R161" s="222"/>
      <c r="S161" s="219"/>
      <c r="T161" s="243"/>
      <c r="U161" s="219"/>
      <c r="V161" s="219"/>
      <c r="W161" s="214"/>
      <c r="X161" s="214"/>
      <c r="Y161" s="214"/>
      <c r="Z161" s="214"/>
      <c r="AA161" s="219"/>
      <c r="AB161" s="214"/>
      <c r="AC161" s="219"/>
    </row>
    <row r="162" spans="3:29" x14ac:dyDescent="0.2">
      <c r="C162" s="212"/>
      <c r="D162" s="223"/>
      <c r="E162" s="223"/>
      <c r="G162" s="223"/>
      <c r="H162" s="223"/>
      <c r="I162" s="223"/>
      <c r="J162" s="223"/>
      <c r="K162" s="223"/>
      <c r="L162" s="223"/>
      <c r="M162" s="218"/>
      <c r="N162" s="223"/>
      <c r="O162" s="220"/>
      <c r="P162" s="221"/>
      <c r="Q162" s="243"/>
      <c r="R162" s="222"/>
      <c r="S162" s="219"/>
      <c r="T162" s="243"/>
      <c r="U162" s="219"/>
      <c r="V162" s="219"/>
      <c r="W162" s="214"/>
      <c r="X162" s="214"/>
      <c r="Y162" s="214"/>
      <c r="Z162" s="214"/>
      <c r="AA162" s="219"/>
      <c r="AB162" s="214"/>
      <c r="AC162" s="219"/>
    </row>
    <row r="163" spans="3:29" x14ac:dyDescent="0.2">
      <c r="C163" s="212"/>
      <c r="D163" s="223"/>
      <c r="E163" s="223"/>
      <c r="G163" s="223"/>
      <c r="H163" s="223"/>
      <c r="I163" s="223"/>
      <c r="J163" s="223"/>
      <c r="K163" s="223"/>
      <c r="L163" s="223"/>
      <c r="M163" s="218"/>
      <c r="N163" s="223"/>
      <c r="O163" s="220"/>
      <c r="P163" s="221"/>
      <c r="Q163" s="243"/>
      <c r="R163" s="222"/>
      <c r="S163" s="219"/>
      <c r="T163" s="243"/>
      <c r="U163" s="219"/>
      <c r="V163" s="219"/>
      <c r="W163" s="214"/>
      <c r="X163" s="214"/>
      <c r="Y163" s="214"/>
      <c r="Z163" s="214"/>
      <c r="AA163" s="219"/>
      <c r="AB163" s="214"/>
      <c r="AC163" s="219"/>
    </row>
    <row r="164" spans="3:29" x14ac:dyDescent="0.2">
      <c r="C164" s="212"/>
      <c r="D164" s="223"/>
      <c r="E164" s="223"/>
      <c r="G164" s="223"/>
      <c r="H164" s="223"/>
      <c r="I164" s="223"/>
      <c r="J164" s="223"/>
      <c r="K164" s="223"/>
      <c r="L164" s="223"/>
      <c r="M164" s="218"/>
      <c r="N164" s="223"/>
      <c r="O164" s="220"/>
      <c r="P164" s="221"/>
      <c r="Q164" s="243"/>
      <c r="R164" s="222"/>
      <c r="S164" s="219"/>
      <c r="T164" s="243"/>
      <c r="U164" s="219"/>
      <c r="V164" s="219"/>
      <c r="W164" s="214"/>
      <c r="X164" s="214"/>
      <c r="Y164" s="214"/>
      <c r="Z164" s="214"/>
      <c r="AA164" s="219"/>
      <c r="AB164" s="214"/>
      <c r="AC164" s="219"/>
    </row>
    <row r="165" spans="3:29" x14ac:dyDescent="0.2">
      <c r="C165" s="212"/>
      <c r="D165" s="223"/>
      <c r="E165" s="223"/>
      <c r="G165" s="223"/>
      <c r="H165" s="223"/>
      <c r="I165" s="223"/>
      <c r="J165" s="223"/>
      <c r="K165" s="223"/>
      <c r="L165" s="223"/>
      <c r="M165" s="218"/>
      <c r="N165" s="223"/>
      <c r="O165" s="220"/>
      <c r="P165" s="221"/>
      <c r="Q165" s="243"/>
      <c r="R165" s="222"/>
      <c r="S165" s="219"/>
      <c r="T165" s="243"/>
      <c r="U165" s="219"/>
      <c r="V165" s="219"/>
      <c r="W165" s="214"/>
      <c r="X165" s="214"/>
      <c r="Y165" s="214"/>
      <c r="Z165" s="214"/>
      <c r="AA165" s="219"/>
      <c r="AB165" s="214"/>
      <c r="AC165" s="219"/>
    </row>
    <row r="166" spans="3:29" x14ac:dyDescent="0.2">
      <c r="C166" s="212"/>
      <c r="D166" s="223"/>
      <c r="E166" s="223"/>
      <c r="G166" s="223"/>
      <c r="H166" s="223"/>
      <c r="I166" s="223"/>
      <c r="J166" s="223"/>
      <c r="K166" s="223"/>
      <c r="L166" s="223"/>
      <c r="M166" s="218"/>
      <c r="N166" s="223"/>
      <c r="O166" s="220"/>
      <c r="P166" s="221"/>
      <c r="Q166" s="243"/>
      <c r="R166" s="222"/>
      <c r="S166" s="219"/>
      <c r="T166" s="243"/>
      <c r="U166" s="219"/>
      <c r="V166" s="219"/>
      <c r="W166" s="214"/>
      <c r="X166" s="214"/>
      <c r="Y166" s="214"/>
      <c r="Z166" s="214"/>
      <c r="AA166" s="219"/>
      <c r="AB166" s="214"/>
      <c r="AC166" s="219"/>
    </row>
    <row r="167" spans="3:29" x14ac:dyDescent="0.2">
      <c r="C167" s="212"/>
      <c r="D167" s="223"/>
      <c r="E167" s="223"/>
      <c r="G167" s="223"/>
      <c r="H167" s="223"/>
      <c r="I167" s="223"/>
      <c r="J167" s="223"/>
      <c r="K167" s="223"/>
      <c r="L167" s="223"/>
      <c r="M167" s="218"/>
      <c r="N167" s="223"/>
      <c r="O167" s="220"/>
      <c r="P167" s="221"/>
      <c r="Q167" s="243"/>
      <c r="R167" s="222"/>
      <c r="S167" s="219"/>
      <c r="T167" s="243"/>
      <c r="U167" s="219"/>
      <c r="V167" s="219"/>
      <c r="W167" s="214"/>
      <c r="X167" s="214"/>
      <c r="Y167" s="214"/>
      <c r="Z167" s="214"/>
      <c r="AA167" s="219"/>
      <c r="AB167" s="214"/>
      <c r="AC167" s="219"/>
    </row>
    <row r="168" spans="3:29" x14ac:dyDescent="0.2">
      <c r="C168" s="212"/>
      <c r="D168" s="223"/>
      <c r="E168" s="223"/>
      <c r="G168" s="223"/>
      <c r="H168" s="223"/>
      <c r="I168" s="223"/>
      <c r="J168" s="223"/>
      <c r="K168" s="223"/>
      <c r="L168" s="223"/>
      <c r="M168" s="218"/>
      <c r="N168" s="223"/>
      <c r="O168" s="220"/>
      <c r="P168" s="221"/>
      <c r="Q168" s="243"/>
      <c r="R168" s="222"/>
      <c r="S168" s="219"/>
      <c r="T168" s="243"/>
      <c r="U168" s="219"/>
      <c r="V168" s="219"/>
      <c r="W168" s="214"/>
      <c r="X168" s="214"/>
      <c r="Y168" s="214"/>
      <c r="Z168" s="214"/>
      <c r="AA168" s="219"/>
      <c r="AB168" s="214"/>
      <c r="AC168" s="219"/>
    </row>
    <row r="169" spans="3:29" x14ac:dyDescent="0.2">
      <c r="C169" s="212"/>
      <c r="D169" s="223"/>
      <c r="E169" s="223"/>
      <c r="G169" s="223"/>
      <c r="H169" s="223"/>
      <c r="I169" s="223"/>
      <c r="J169" s="223"/>
      <c r="K169" s="223"/>
      <c r="L169" s="223"/>
      <c r="M169" s="218"/>
      <c r="N169" s="223"/>
      <c r="O169" s="220"/>
      <c r="P169" s="221"/>
      <c r="Q169" s="243"/>
      <c r="R169" s="222"/>
      <c r="S169" s="219"/>
      <c r="T169" s="243"/>
      <c r="U169" s="219"/>
      <c r="V169" s="219"/>
      <c r="W169" s="214"/>
      <c r="X169" s="214"/>
      <c r="Y169" s="214"/>
      <c r="Z169" s="214"/>
      <c r="AA169" s="219"/>
      <c r="AB169" s="214"/>
      <c r="AC169" s="219"/>
    </row>
    <row r="170" spans="3:29" x14ac:dyDescent="0.2">
      <c r="C170" s="212"/>
      <c r="D170" s="223"/>
      <c r="E170" s="223"/>
      <c r="G170" s="223"/>
      <c r="H170" s="223"/>
      <c r="I170" s="223"/>
      <c r="J170" s="223"/>
      <c r="K170" s="223"/>
      <c r="L170" s="223"/>
      <c r="M170" s="218"/>
      <c r="N170" s="223"/>
      <c r="O170" s="220"/>
      <c r="P170" s="221"/>
      <c r="Q170" s="243"/>
      <c r="R170" s="222"/>
      <c r="S170" s="219"/>
      <c r="T170" s="243"/>
      <c r="U170" s="219"/>
      <c r="V170" s="219"/>
      <c r="W170" s="214"/>
      <c r="X170" s="214"/>
      <c r="Y170" s="214"/>
      <c r="Z170" s="214"/>
      <c r="AA170" s="219"/>
      <c r="AB170" s="214"/>
      <c r="AC170" s="219"/>
    </row>
    <row r="171" spans="3:29" x14ac:dyDescent="0.2">
      <c r="C171" s="212"/>
      <c r="D171" s="223"/>
      <c r="E171" s="223"/>
      <c r="G171" s="223"/>
      <c r="H171" s="223"/>
      <c r="I171" s="223"/>
      <c r="J171" s="223"/>
      <c r="K171" s="223"/>
      <c r="L171" s="223"/>
      <c r="M171" s="218"/>
      <c r="N171" s="223"/>
      <c r="O171" s="220"/>
      <c r="P171" s="221"/>
      <c r="Q171" s="243"/>
      <c r="R171" s="222"/>
      <c r="S171" s="219"/>
      <c r="T171" s="243"/>
      <c r="U171" s="219"/>
      <c r="V171" s="219"/>
      <c r="W171" s="214"/>
      <c r="X171" s="214"/>
      <c r="Y171" s="214"/>
      <c r="Z171" s="214"/>
      <c r="AA171" s="219"/>
      <c r="AB171" s="214"/>
      <c r="AC171" s="219"/>
    </row>
    <row r="172" spans="3:29" x14ac:dyDescent="0.2">
      <c r="C172" s="212"/>
      <c r="D172" s="223"/>
      <c r="E172" s="223"/>
      <c r="G172" s="223"/>
      <c r="H172" s="223"/>
      <c r="I172" s="223"/>
      <c r="J172" s="223"/>
      <c r="K172" s="223"/>
      <c r="L172" s="223"/>
      <c r="M172" s="218"/>
      <c r="N172" s="223"/>
      <c r="O172" s="220"/>
      <c r="P172" s="221"/>
      <c r="Q172" s="243"/>
      <c r="R172" s="222"/>
      <c r="S172" s="219"/>
      <c r="T172" s="243"/>
      <c r="U172" s="219"/>
      <c r="V172" s="219"/>
      <c r="W172" s="214"/>
      <c r="X172" s="214"/>
      <c r="Y172" s="214"/>
      <c r="Z172" s="214"/>
      <c r="AA172" s="219"/>
      <c r="AB172" s="214"/>
      <c r="AC172" s="219"/>
    </row>
    <row r="173" spans="3:29" x14ac:dyDescent="0.2">
      <c r="C173" s="212"/>
      <c r="D173" s="223"/>
      <c r="E173" s="223"/>
      <c r="G173" s="223"/>
      <c r="H173" s="223"/>
      <c r="I173" s="223"/>
      <c r="J173" s="223"/>
      <c r="K173" s="223"/>
      <c r="L173" s="223"/>
      <c r="M173" s="218"/>
      <c r="N173" s="223"/>
      <c r="O173" s="220"/>
      <c r="P173" s="221"/>
      <c r="Q173" s="243"/>
      <c r="R173" s="222"/>
      <c r="S173" s="219"/>
      <c r="T173" s="243"/>
      <c r="U173" s="219"/>
      <c r="V173" s="219"/>
      <c r="W173" s="214"/>
      <c r="X173" s="214"/>
      <c r="Y173" s="214"/>
      <c r="Z173" s="214"/>
      <c r="AA173" s="219"/>
      <c r="AB173" s="214"/>
      <c r="AC173" s="219"/>
    </row>
    <row r="174" spans="3:29" x14ac:dyDescent="0.2">
      <c r="C174" s="212"/>
      <c r="D174" s="223"/>
      <c r="E174" s="223"/>
      <c r="G174" s="223"/>
      <c r="H174" s="223"/>
      <c r="I174" s="223"/>
      <c r="J174" s="223"/>
      <c r="K174" s="223"/>
      <c r="L174" s="223"/>
      <c r="M174" s="218"/>
      <c r="N174" s="223"/>
      <c r="O174" s="220"/>
      <c r="P174" s="221"/>
      <c r="Q174" s="243"/>
      <c r="R174" s="222"/>
      <c r="S174" s="219"/>
      <c r="T174" s="243"/>
      <c r="U174" s="219"/>
      <c r="V174" s="219"/>
      <c r="W174" s="214"/>
      <c r="X174" s="214"/>
      <c r="Y174" s="214"/>
      <c r="Z174" s="214"/>
      <c r="AA174" s="219"/>
      <c r="AB174" s="214"/>
      <c r="AC174" s="219"/>
    </row>
    <row r="175" spans="3:29" x14ac:dyDescent="0.2">
      <c r="C175" s="212"/>
      <c r="D175" s="223"/>
      <c r="E175" s="223"/>
      <c r="G175" s="223"/>
      <c r="H175" s="223"/>
      <c r="I175" s="223"/>
      <c r="J175" s="223"/>
      <c r="K175" s="223"/>
      <c r="L175" s="223"/>
      <c r="M175" s="218"/>
      <c r="N175" s="223"/>
      <c r="O175" s="220"/>
      <c r="P175" s="221"/>
      <c r="Q175" s="243"/>
      <c r="R175" s="222"/>
      <c r="S175" s="219"/>
      <c r="T175" s="243"/>
      <c r="U175" s="219"/>
      <c r="V175" s="219"/>
      <c r="W175" s="214"/>
      <c r="X175" s="214"/>
      <c r="Y175" s="214"/>
      <c r="Z175" s="214"/>
      <c r="AA175" s="219"/>
      <c r="AB175" s="214"/>
      <c r="AC175" s="219"/>
    </row>
    <row r="176" spans="3:29" x14ac:dyDescent="0.2">
      <c r="C176" s="212"/>
      <c r="D176" s="223"/>
      <c r="E176" s="223"/>
      <c r="G176" s="223"/>
      <c r="H176" s="223"/>
      <c r="I176" s="223"/>
      <c r="J176" s="223"/>
      <c r="K176" s="223"/>
      <c r="L176" s="223"/>
      <c r="M176" s="218"/>
      <c r="N176" s="223"/>
      <c r="O176" s="220"/>
      <c r="P176" s="221"/>
      <c r="Q176" s="243"/>
      <c r="R176" s="222"/>
      <c r="S176" s="219"/>
      <c r="T176" s="243"/>
      <c r="U176" s="219"/>
      <c r="V176" s="219"/>
      <c r="W176" s="214"/>
      <c r="X176" s="214"/>
      <c r="Y176" s="214"/>
      <c r="Z176" s="214"/>
      <c r="AA176" s="219"/>
      <c r="AB176" s="214"/>
      <c r="AC176" s="219"/>
    </row>
    <row r="177" spans="3:29" x14ac:dyDescent="0.2">
      <c r="C177" s="212"/>
      <c r="D177" s="223"/>
      <c r="E177" s="223"/>
      <c r="G177" s="223"/>
      <c r="H177" s="223"/>
      <c r="I177" s="223"/>
      <c r="J177" s="223"/>
      <c r="K177" s="223"/>
      <c r="L177" s="223"/>
      <c r="M177" s="218"/>
      <c r="N177" s="223"/>
      <c r="O177" s="220"/>
      <c r="P177" s="221"/>
      <c r="Q177" s="243"/>
      <c r="R177" s="222"/>
      <c r="S177" s="219"/>
      <c r="T177" s="243"/>
      <c r="U177" s="219"/>
      <c r="V177" s="219"/>
      <c r="W177" s="214"/>
      <c r="X177" s="214"/>
      <c r="Y177" s="214"/>
      <c r="Z177" s="214"/>
      <c r="AA177" s="219"/>
      <c r="AB177" s="214"/>
      <c r="AC177" s="219"/>
    </row>
    <row r="178" spans="3:29" x14ac:dyDescent="0.2">
      <c r="C178" s="212"/>
      <c r="D178" s="223"/>
      <c r="E178" s="223"/>
      <c r="G178" s="223"/>
      <c r="H178" s="223"/>
      <c r="I178" s="223"/>
      <c r="J178" s="223"/>
      <c r="K178" s="223"/>
      <c r="L178" s="223"/>
      <c r="M178" s="218"/>
      <c r="N178" s="223"/>
      <c r="O178" s="220"/>
      <c r="P178" s="221"/>
      <c r="Q178" s="243"/>
      <c r="R178" s="222"/>
      <c r="S178" s="219"/>
      <c r="T178" s="243"/>
      <c r="U178" s="219"/>
      <c r="V178" s="219"/>
      <c r="W178" s="214"/>
      <c r="X178" s="214"/>
      <c r="Y178" s="214"/>
      <c r="Z178" s="214"/>
      <c r="AA178" s="219"/>
      <c r="AB178" s="214"/>
      <c r="AC178" s="219"/>
    </row>
    <row r="179" spans="3:29" x14ac:dyDescent="0.2">
      <c r="C179" s="212"/>
      <c r="D179" s="223"/>
      <c r="E179" s="223"/>
      <c r="G179" s="223"/>
      <c r="H179" s="223"/>
      <c r="I179" s="223"/>
      <c r="J179" s="223"/>
      <c r="K179" s="223"/>
      <c r="L179" s="223"/>
      <c r="M179" s="218"/>
      <c r="N179" s="223"/>
      <c r="O179" s="220"/>
      <c r="P179" s="221"/>
      <c r="Q179" s="243"/>
      <c r="R179" s="222"/>
      <c r="S179" s="219"/>
      <c r="T179" s="243"/>
      <c r="U179" s="219"/>
      <c r="V179" s="219"/>
      <c r="W179" s="214"/>
      <c r="X179" s="214"/>
      <c r="Y179" s="214"/>
      <c r="Z179" s="214"/>
      <c r="AA179" s="219"/>
      <c r="AB179" s="214"/>
      <c r="AC179" s="219"/>
    </row>
    <row r="180" spans="3:29" x14ac:dyDescent="0.2">
      <c r="C180" s="212"/>
      <c r="D180" s="223"/>
      <c r="E180" s="223"/>
      <c r="G180" s="223"/>
      <c r="H180" s="223"/>
      <c r="I180" s="223"/>
      <c r="J180" s="223"/>
      <c r="K180" s="223"/>
      <c r="L180" s="223"/>
      <c r="M180" s="218"/>
      <c r="N180" s="223"/>
      <c r="O180" s="220"/>
      <c r="P180" s="221"/>
      <c r="Q180" s="243"/>
      <c r="R180" s="222"/>
      <c r="S180" s="219"/>
      <c r="T180" s="243"/>
      <c r="U180" s="219"/>
      <c r="V180" s="219"/>
      <c r="W180" s="214"/>
      <c r="X180" s="214"/>
      <c r="Y180" s="214"/>
      <c r="Z180" s="214"/>
      <c r="AA180" s="219"/>
      <c r="AB180" s="214"/>
      <c r="AC180" s="219"/>
    </row>
    <row r="181" spans="3:29" x14ac:dyDescent="0.2">
      <c r="C181" s="212"/>
      <c r="D181" s="223"/>
      <c r="E181" s="223"/>
      <c r="G181" s="223"/>
      <c r="H181" s="223"/>
      <c r="I181" s="223"/>
      <c r="J181" s="223"/>
      <c r="K181" s="223"/>
      <c r="L181" s="223"/>
      <c r="M181" s="218"/>
      <c r="N181" s="223"/>
      <c r="O181" s="220"/>
      <c r="P181" s="221"/>
      <c r="Q181" s="243"/>
      <c r="R181" s="222"/>
      <c r="S181" s="219"/>
      <c r="T181" s="243"/>
      <c r="U181" s="219"/>
      <c r="V181" s="219"/>
      <c r="W181" s="214"/>
      <c r="X181" s="214"/>
      <c r="Y181" s="214"/>
      <c r="Z181" s="214"/>
      <c r="AA181" s="219"/>
      <c r="AB181" s="214"/>
      <c r="AC181" s="219"/>
    </row>
    <row r="182" spans="3:29" x14ac:dyDescent="0.2">
      <c r="C182" s="212"/>
      <c r="D182" s="223"/>
      <c r="E182" s="223"/>
      <c r="G182" s="223"/>
      <c r="H182" s="223"/>
      <c r="I182" s="223"/>
      <c r="J182" s="223"/>
      <c r="K182" s="223"/>
      <c r="L182" s="223"/>
      <c r="M182" s="218"/>
      <c r="N182" s="223"/>
      <c r="O182" s="220"/>
      <c r="P182" s="221"/>
      <c r="Q182" s="243"/>
      <c r="R182" s="222"/>
      <c r="S182" s="219"/>
      <c r="T182" s="243"/>
      <c r="U182" s="219"/>
      <c r="V182" s="219"/>
      <c r="W182" s="214"/>
      <c r="X182" s="214"/>
      <c r="Y182" s="214"/>
      <c r="Z182" s="214"/>
      <c r="AA182" s="219"/>
      <c r="AB182" s="214"/>
      <c r="AC182" s="219"/>
    </row>
    <row r="183" spans="3:29" x14ac:dyDescent="0.2">
      <c r="C183" s="212"/>
      <c r="D183" s="223"/>
      <c r="E183" s="223"/>
      <c r="G183" s="223"/>
      <c r="H183" s="223"/>
      <c r="I183" s="223"/>
      <c r="J183" s="223"/>
      <c r="K183" s="223"/>
      <c r="L183" s="223"/>
      <c r="M183" s="218"/>
      <c r="N183" s="223"/>
      <c r="O183" s="220"/>
      <c r="P183" s="221"/>
      <c r="Q183" s="243"/>
      <c r="R183" s="222"/>
      <c r="S183" s="219"/>
      <c r="T183" s="243"/>
      <c r="U183" s="219"/>
      <c r="V183" s="219"/>
      <c r="W183" s="214"/>
      <c r="X183" s="214"/>
      <c r="Y183" s="214"/>
      <c r="Z183" s="214"/>
      <c r="AA183" s="219"/>
      <c r="AB183" s="214"/>
      <c r="AC183" s="219"/>
    </row>
    <row r="184" spans="3:29" x14ac:dyDescent="0.2">
      <c r="C184" s="212"/>
      <c r="D184" s="223"/>
      <c r="E184" s="223"/>
      <c r="G184" s="223"/>
      <c r="H184" s="223"/>
      <c r="I184" s="223"/>
      <c r="J184" s="223"/>
      <c r="K184" s="223"/>
      <c r="L184" s="223"/>
      <c r="M184" s="218"/>
      <c r="N184" s="223"/>
      <c r="O184" s="220"/>
      <c r="P184" s="221"/>
      <c r="Q184" s="243"/>
      <c r="R184" s="222"/>
      <c r="S184" s="219"/>
      <c r="T184" s="243"/>
      <c r="U184" s="219"/>
      <c r="V184" s="219"/>
      <c r="W184" s="214"/>
      <c r="X184" s="214"/>
      <c r="Y184" s="214"/>
      <c r="Z184" s="214"/>
      <c r="AA184" s="219"/>
      <c r="AB184" s="214"/>
      <c r="AC184" s="219"/>
    </row>
    <row r="185" spans="3:29" x14ac:dyDescent="0.2">
      <c r="C185" s="212"/>
      <c r="D185" s="223"/>
      <c r="E185" s="223"/>
      <c r="G185" s="223"/>
      <c r="H185" s="223"/>
      <c r="I185" s="223"/>
      <c r="J185" s="223"/>
      <c r="K185" s="223"/>
      <c r="L185" s="223"/>
      <c r="M185" s="218"/>
      <c r="N185" s="223"/>
      <c r="O185" s="220"/>
      <c r="P185" s="221"/>
      <c r="Q185" s="243"/>
      <c r="R185" s="222"/>
      <c r="S185" s="219"/>
      <c r="T185" s="243"/>
      <c r="U185" s="219"/>
      <c r="V185" s="219"/>
      <c r="W185" s="214"/>
      <c r="X185" s="214"/>
      <c r="Y185" s="214"/>
      <c r="Z185" s="214"/>
      <c r="AA185" s="219"/>
      <c r="AB185" s="214"/>
      <c r="AC185" s="219"/>
    </row>
    <row r="186" spans="3:29" x14ac:dyDescent="0.2">
      <c r="C186" s="212"/>
      <c r="D186" s="223"/>
      <c r="E186" s="223"/>
      <c r="G186" s="223"/>
      <c r="H186" s="223"/>
      <c r="I186" s="223"/>
      <c r="J186" s="223"/>
      <c r="K186" s="223"/>
      <c r="L186" s="223"/>
      <c r="M186" s="218"/>
      <c r="N186" s="223"/>
      <c r="O186" s="220"/>
      <c r="P186" s="221"/>
      <c r="Q186" s="243"/>
      <c r="R186" s="222"/>
      <c r="S186" s="219"/>
      <c r="T186" s="243"/>
      <c r="U186" s="219"/>
      <c r="V186" s="219"/>
      <c r="W186" s="214"/>
      <c r="X186" s="214"/>
      <c r="Y186" s="214"/>
      <c r="Z186" s="214"/>
      <c r="AA186" s="219"/>
      <c r="AB186" s="214"/>
      <c r="AC186" s="219"/>
    </row>
    <row r="187" spans="3:29" x14ac:dyDescent="0.2">
      <c r="C187" s="212"/>
      <c r="D187" s="223"/>
      <c r="E187" s="223"/>
      <c r="G187" s="223"/>
      <c r="H187" s="223"/>
      <c r="I187" s="223"/>
      <c r="J187" s="223"/>
      <c r="K187" s="223"/>
      <c r="L187" s="223"/>
      <c r="M187" s="218"/>
      <c r="N187" s="223"/>
      <c r="O187" s="220"/>
      <c r="P187" s="221"/>
      <c r="Q187" s="243"/>
      <c r="R187" s="222"/>
      <c r="S187" s="219"/>
      <c r="T187" s="243"/>
      <c r="U187" s="219"/>
      <c r="V187" s="219"/>
      <c r="W187" s="214"/>
      <c r="X187" s="214"/>
      <c r="Y187" s="214"/>
      <c r="Z187" s="214"/>
      <c r="AA187" s="219"/>
      <c r="AB187" s="214"/>
      <c r="AC187" s="219"/>
    </row>
    <row r="188" spans="3:29" x14ac:dyDescent="0.2">
      <c r="C188" s="212"/>
      <c r="D188" s="223"/>
      <c r="E188" s="223"/>
      <c r="G188" s="223"/>
      <c r="H188" s="223"/>
      <c r="I188" s="223"/>
      <c r="J188" s="223"/>
      <c r="K188" s="223"/>
      <c r="L188" s="223"/>
      <c r="M188" s="218"/>
      <c r="N188" s="223"/>
      <c r="O188" s="220"/>
      <c r="P188" s="221"/>
      <c r="Q188" s="243"/>
      <c r="R188" s="222"/>
      <c r="S188" s="219"/>
      <c r="T188" s="243"/>
      <c r="U188" s="219"/>
      <c r="V188" s="219"/>
      <c r="W188" s="214"/>
      <c r="X188" s="214"/>
      <c r="Y188" s="214"/>
      <c r="Z188" s="214"/>
      <c r="AA188" s="219"/>
      <c r="AB188" s="214"/>
      <c r="AC188" s="219"/>
    </row>
    <row r="189" spans="3:29" x14ac:dyDescent="0.2">
      <c r="C189" s="212"/>
      <c r="D189" s="223"/>
      <c r="E189" s="223"/>
      <c r="G189" s="223"/>
      <c r="H189" s="223"/>
      <c r="I189" s="223"/>
      <c r="J189" s="223"/>
      <c r="K189" s="223"/>
      <c r="L189" s="223"/>
      <c r="M189" s="218"/>
      <c r="N189" s="223"/>
      <c r="O189" s="220"/>
      <c r="P189" s="221"/>
      <c r="Q189" s="243"/>
      <c r="R189" s="222"/>
      <c r="S189" s="219"/>
      <c r="T189" s="243"/>
      <c r="U189" s="219"/>
      <c r="V189" s="219"/>
      <c r="W189" s="214"/>
      <c r="X189" s="214"/>
      <c r="Y189" s="214"/>
      <c r="Z189" s="214"/>
      <c r="AA189" s="219"/>
      <c r="AB189" s="214"/>
      <c r="AC189" s="219"/>
    </row>
    <row r="190" spans="3:29" x14ac:dyDescent="0.2">
      <c r="C190" s="212"/>
      <c r="D190" s="223"/>
      <c r="E190" s="223"/>
      <c r="G190" s="223"/>
      <c r="H190" s="223"/>
      <c r="I190" s="223"/>
      <c r="J190" s="223"/>
      <c r="K190" s="223"/>
      <c r="L190" s="223"/>
      <c r="M190" s="218"/>
      <c r="N190" s="223"/>
      <c r="O190" s="220"/>
      <c r="P190" s="221"/>
      <c r="Q190" s="243"/>
      <c r="R190" s="222"/>
      <c r="S190" s="219"/>
      <c r="T190" s="243"/>
      <c r="U190" s="219"/>
      <c r="V190" s="219"/>
      <c r="W190" s="214"/>
      <c r="X190" s="214"/>
      <c r="Y190" s="214"/>
      <c r="Z190" s="214"/>
      <c r="AA190" s="219"/>
      <c r="AB190" s="214"/>
      <c r="AC190" s="219"/>
    </row>
    <row r="191" spans="3:29" x14ac:dyDescent="0.2">
      <c r="C191" s="212"/>
      <c r="D191" s="223"/>
      <c r="E191" s="223"/>
      <c r="G191" s="223"/>
      <c r="H191" s="223"/>
      <c r="I191" s="223"/>
      <c r="J191" s="223"/>
      <c r="K191" s="223"/>
      <c r="L191" s="223"/>
      <c r="M191" s="218"/>
      <c r="N191" s="223"/>
      <c r="O191" s="220"/>
      <c r="P191" s="221"/>
      <c r="Q191" s="243"/>
      <c r="R191" s="222"/>
      <c r="S191" s="219"/>
      <c r="T191" s="243"/>
      <c r="U191" s="219"/>
      <c r="V191" s="219"/>
      <c r="W191" s="214"/>
      <c r="X191" s="214"/>
      <c r="Y191" s="214"/>
      <c r="Z191" s="214"/>
      <c r="AA191" s="219"/>
      <c r="AB191" s="214"/>
      <c r="AC191" s="219"/>
    </row>
    <row r="192" spans="3:29" x14ac:dyDescent="0.2">
      <c r="C192" s="212"/>
      <c r="D192" s="223"/>
      <c r="E192" s="223"/>
      <c r="G192" s="223"/>
      <c r="H192" s="223"/>
      <c r="I192" s="223"/>
      <c r="J192" s="223"/>
      <c r="K192" s="223"/>
      <c r="L192" s="223"/>
      <c r="M192" s="218"/>
      <c r="N192" s="223"/>
      <c r="O192" s="220"/>
      <c r="P192" s="221"/>
      <c r="Q192" s="243"/>
      <c r="R192" s="222"/>
      <c r="S192" s="219"/>
      <c r="T192" s="243"/>
      <c r="U192" s="219"/>
      <c r="V192" s="219"/>
      <c r="W192" s="214"/>
      <c r="X192" s="214"/>
      <c r="Y192" s="214"/>
      <c r="Z192" s="214"/>
      <c r="AA192" s="219"/>
      <c r="AB192" s="214"/>
      <c r="AC192" s="219"/>
    </row>
    <row r="193" spans="3:29" x14ac:dyDescent="0.2">
      <c r="C193" s="212"/>
      <c r="D193" s="223"/>
      <c r="E193" s="223"/>
      <c r="G193" s="223"/>
      <c r="H193" s="223"/>
      <c r="I193" s="223"/>
      <c r="J193" s="223"/>
      <c r="K193" s="223"/>
      <c r="L193" s="223"/>
      <c r="M193" s="218"/>
      <c r="N193" s="223"/>
      <c r="O193" s="220"/>
      <c r="P193" s="221"/>
      <c r="Q193" s="243"/>
      <c r="R193" s="222"/>
      <c r="S193" s="219"/>
      <c r="T193" s="243"/>
      <c r="U193" s="219"/>
      <c r="V193" s="219"/>
      <c r="W193" s="214"/>
      <c r="X193" s="214"/>
      <c r="Y193" s="214"/>
      <c r="Z193" s="214"/>
      <c r="AA193" s="219"/>
      <c r="AB193" s="214"/>
      <c r="AC193" s="219"/>
    </row>
    <row r="194" spans="3:29" x14ac:dyDescent="0.2">
      <c r="C194" s="212"/>
      <c r="D194" s="223"/>
      <c r="E194" s="223"/>
      <c r="G194" s="223"/>
      <c r="H194" s="223"/>
      <c r="I194" s="223"/>
      <c r="J194" s="223"/>
      <c r="K194" s="223"/>
      <c r="L194" s="223"/>
      <c r="M194" s="218"/>
      <c r="N194" s="223"/>
      <c r="O194" s="220"/>
      <c r="P194" s="221"/>
      <c r="Q194" s="243"/>
      <c r="R194" s="222"/>
      <c r="S194" s="219"/>
      <c r="T194" s="243"/>
      <c r="U194" s="219"/>
      <c r="V194" s="219"/>
      <c r="W194" s="214"/>
      <c r="X194" s="214"/>
      <c r="Y194" s="214"/>
      <c r="Z194" s="214"/>
      <c r="AA194" s="219"/>
      <c r="AB194" s="214"/>
      <c r="AC194" s="219"/>
    </row>
    <row r="195" spans="3:29" x14ac:dyDescent="0.2">
      <c r="C195" s="212"/>
      <c r="D195" s="223"/>
      <c r="E195" s="223"/>
      <c r="G195" s="223"/>
      <c r="H195" s="223"/>
      <c r="I195" s="223"/>
      <c r="J195" s="223"/>
      <c r="K195" s="223"/>
      <c r="L195" s="223"/>
      <c r="M195" s="218"/>
      <c r="N195" s="223"/>
      <c r="O195" s="220"/>
      <c r="P195" s="221"/>
      <c r="Q195" s="243"/>
      <c r="R195" s="222"/>
      <c r="S195" s="219"/>
      <c r="T195" s="243"/>
      <c r="U195" s="219"/>
      <c r="V195" s="219"/>
      <c r="W195" s="214"/>
      <c r="X195" s="214"/>
      <c r="Y195" s="214"/>
      <c r="Z195" s="214"/>
      <c r="AA195" s="219"/>
      <c r="AB195" s="214"/>
      <c r="AC195" s="219"/>
    </row>
    <row r="196" spans="3:29" x14ac:dyDescent="0.2">
      <c r="C196" s="212"/>
      <c r="D196" s="223"/>
      <c r="E196" s="223"/>
      <c r="G196" s="223"/>
      <c r="H196" s="223"/>
      <c r="I196" s="223"/>
      <c r="J196" s="223"/>
      <c r="K196" s="223"/>
      <c r="L196" s="223"/>
      <c r="M196" s="218"/>
      <c r="N196" s="223"/>
      <c r="O196" s="220"/>
      <c r="P196" s="221"/>
      <c r="Q196" s="243"/>
      <c r="R196" s="222"/>
      <c r="S196" s="219"/>
      <c r="T196" s="243"/>
      <c r="U196" s="219"/>
      <c r="V196" s="219"/>
      <c r="W196" s="214"/>
      <c r="X196" s="214"/>
      <c r="Y196" s="214"/>
      <c r="Z196" s="214"/>
      <c r="AA196" s="219"/>
      <c r="AB196" s="214"/>
      <c r="AC196" s="219"/>
    </row>
    <row r="197" spans="3:29" x14ac:dyDescent="0.2">
      <c r="C197" s="212"/>
      <c r="D197" s="223"/>
      <c r="E197" s="223"/>
      <c r="G197" s="223"/>
      <c r="H197" s="223"/>
      <c r="I197" s="223"/>
      <c r="J197" s="223"/>
      <c r="K197" s="223"/>
      <c r="L197" s="223"/>
      <c r="M197" s="218"/>
      <c r="N197" s="223"/>
      <c r="O197" s="220"/>
      <c r="P197" s="221"/>
      <c r="Q197" s="243"/>
      <c r="R197" s="222"/>
      <c r="S197" s="219"/>
      <c r="T197" s="243"/>
      <c r="U197" s="219"/>
      <c r="V197" s="219"/>
      <c r="W197" s="214"/>
      <c r="X197" s="214"/>
      <c r="Y197" s="214"/>
      <c r="Z197" s="214"/>
      <c r="AA197" s="219"/>
      <c r="AB197" s="214"/>
      <c r="AC197" s="219"/>
    </row>
    <row r="198" spans="3:29" x14ac:dyDescent="0.2">
      <c r="C198" s="212"/>
      <c r="D198" s="223"/>
      <c r="E198" s="223"/>
      <c r="G198" s="223"/>
      <c r="H198" s="223"/>
      <c r="I198" s="223"/>
      <c r="J198" s="223"/>
      <c r="K198" s="223"/>
      <c r="L198" s="223"/>
      <c r="M198" s="218"/>
      <c r="N198" s="223"/>
      <c r="O198" s="220"/>
      <c r="P198" s="221"/>
      <c r="Q198" s="243"/>
      <c r="R198" s="222"/>
      <c r="S198" s="219"/>
      <c r="T198" s="243"/>
      <c r="U198" s="219"/>
      <c r="V198" s="219"/>
      <c r="W198" s="214"/>
      <c r="X198" s="214"/>
      <c r="Y198" s="214"/>
      <c r="Z198" s="214"/>
      <c r="AA198" s="219"/>
      <c r="AB198" s="214"/>
      <c r="AC198" s="219"/>
    </row>
    <row r="199" spans="3:29" x14ac:dyDescent="0.2">
      <c r="C199" s="212"/>
      <c r="D199" s="223"/>
      <c r="E199" s="223"/>
      <c r="G199" s="223"/>
      <c r="H199" s="223"/>
      <c r="I199" s="223"/>
      <c r="J199" s="223"/>
      <c r="K199" s="223"/>
      <c r="L199" s="223"/>
      <c r="M199" s="218"/>
      <c r="N199" s="223"/>
      <c r="O199" s="220"/>
      <c r="P199" s="221"/>
      <c r="Q199" s="243"/>
      <c r="R199" s="222"/>
      <c r="S199" s="219"/>
      <c r="T199" s="243"/>
      <c r="U199" s="219"/>
      <c r="V199" s="219"/>
      <c r="W199" s="214"/>
      <c r="X199" s="214"/>
      <c r="Y199" s="214"/>
      <c r="Z199" s="214"/>
      <c r="AA199" s="219"/>
      <c r="AB199" s="214"/>
      <c r="AC199" s="219"/>
    </row>
    <row r="200" spans="3:29" x14ac:dyDescent="0.2">
      <c r="C200" s="212"/>
      <c r="D200" s="223"/>
      <c r="E200" s="223"/>
      <c r="G200" s="223"/>
      <c r="H200" s="223"/>
      <c r="I200" s="223"/>
      <c r="J200" s="223"/>
      <c r="K200" s="223"/>
      <c r="L200" s="223"/>
      <c r="M200" s="218"/>
      <c r="N200" s="223"/>
      <c r="O200" s="220"/>
      <c r="P200" s="221"/>
      <c r="Q200" s="243"/>
      <c r="R200" s="222"/>
      <c r="S200" s="219"/>
      <c r="T200" s="243"/>
      <c r="U200" s="219"/>
      <c r="V200" s="219"/>
      <c r="W200" s="214"/>
      <c r="X200" s="214"/>
      <c r="Y200" s="214"/>
      <c r="Z200" s="214"/>
      <c r="AA200" s="219"/>
      <c r="AB200" s="214"/>
      <c r="AC200" s="219"/>
    </row>
    <row r="201" spans="3:29" x14ac:dyDescent="0.2">
      <c r="C201" s="212"/>
      <c r="D201" s="223"/>
      <c r="E201" s="223"/>
      <c r="G201" s="223"/>
      <c r="H201" s="223"/>
      <c r="I201" s="223"/>
      <c r="J201" s="223"/>
      <c r="K201" s="223"/>
      <c r="L201" s="223"/>
      <c r="M201" s="218"/>
      <c r="N201" s="223"/>
      <c r="O201" s="220"/>
      <c r="P201" s="221"/>
      <c r="Q201" s="243"/>
      <c r="R201" s="222"/>
      <c r="S201" s="219"/>
      <c r="T201" s="243"/>
      <c r="U201" s="219"/>
      <c r="V201" s="219"/>
      <c r="W201" s="214"/>
      <c r="X201" s="214"/>
      <c r="Y201" s="214"/>
      <c r="Z201" s="214"/>
      <c r="AA201" s="219"/>
      <c r="AB201" s="214"/>
      <c r="AC201" s="219"/>
    </row>
    <row r="202" spans="3:29" x14ac:dyDescent="0.2">
      <c r="C202" s="212"/>
      <c r="D202" s="223"/>
      <c r="E202" s="223"/>
      <c r="G202" s="223"/>
      <c r="H202" s="223"/>
      <c r="I202" s="223"/>
      <c r="J202" s="223"/>
      <c r="K202" s="223"/>
      <c r="L202" s="223"/>
      <c r="M202" s="218"/>
      <c r="N202" s="223"/>
      <c r="O202" s="220"/>
      <c r="P202" s="221"/>
      <c r="Q202" s="243"/>
      <c r="R202" s="222"/>
      <c r="S202" s="219"/>
      <c r="T202" s="243"/>
      <c r="U202" s="219"/>
      <c r="V202" s="219"/>
      <c r="W202" s="214"/>
      <c r="X202" s="214"/>
      <c r="Y202" s="214"/>
      <c r="Z202" s="214"/>
      <c r="AA202" s="219"/>
      <c r="AB202" s="214"/>
      <c r="AC202" s="219"/>
    </row>
    <row r="203" spans="3:29" x14ac:dyDescent="0.2">
      <c r="C203" s="212"/>
      <c r="D203" s="223"/>
      <c r="E203" s="223"/>
      <c r="G203" s="223"/>
      <c r="H203" s="223"/>
      <c r="I203" s="223"/>
      <c r="J203" s="223"/>
      <c r="K203" s="223"/>
      <c r="L203" s="223"/>
      <c r="M203" s="218"/>
      <c r="N203" s="223"/>
      <c r="O203" s="220"/>
      <c r="P203" s="221"/>
      <c r="Q203" s="243"/>
      <c r="R203" s="222"/>
      <c r="S203" s="219"/>
      <c r="T203" s="243"/>
      <c r="U203" s="219"/>
      <c r="V203" s="219"/>
      <c r="W203" s="214"/>
      <c r="X203" s="214"/>
      <c r="Y203" s="214"/>
      <c r="Z203" s="214"/>
      <c r="AA203" s="219"/>
      <c r="AB203" s="214"/>
      <c r="AC203" s="219"/>
    </row>
    <row r="204" spans="3:29" x14ac:dyDescent="0.2">
      <c r="C204" s="212"/>
      <c r="D204" s="223"/>
      <c r="E204" s="223"/>
      <c r="G204" s="223"/>
      <c r="H204" s="223"/>
      <c r="I204" s="223"/>
      <c r="J204" s="223"/>
      <c r="K204" s="223"/>
      <c r="L204" s="223"/>
      <c r="M204" s="218"/>
      <c r="N204" s="223"/>
      <c r="O204" s="220"/>
      <c r="P204" s="221"/>
      <c r="Q204" s="243"/>
      <c r="R204" s="222"/>
      <c r="S204" s="219"/>
      <c r="T204" s="243"/>
      <c r="U204" s="219"/>
      <c r="V204" s="219"/>
      <c r="W204" s="214"/>
      <c r="X204" s="214"/>
      <c r="Y204" s="214"/>
      <c r="Z204" s="214"/>
      <c r="AA204" s="219"/>
      <c r="AB204" s="214"/>
      <c r="AC204" s="219"/>
    </row>
    <row r="205" spans="3:29" x14ac:dyDescent="0.2">
      <c r="C205" s="212"/>
      <c r="D205" s="223"/>
      <c r="E205" s="223"/>
      <c r="G205" s="223"/>
      <c r="H205" s="223"/>
      <c r="I205" s="223"/>
      <c r="J205" s="223"/>
      <c r="K205" s="223"/>
      <c r="L205" s="223"/>
      <c r="M205" s="218"/>
      <c r="N205" s="223"/>
      <c r="O205" s="220"/>
      <c r="P205" s="221"/>
      <c r="Q205" s="243"/>
      <c r="R205" s="222"/>
      <c r="S205" s="219"/>
      <c r="T205" s="243"/>
      <c r="U205" s="219"/>
      <c r="V205" s="219"/>
      <c r="W205" s="214"/>
      <c r="X205" s="214"/>
      <c r="Y205" s="214"/>
      <c r="Z205" s="214"/>
      <c r="AA205" s="219"/>
      <c r="AB205" s="214"/>
      <c r="AC205" s="219"/>
    </row>
    <row r="206" spans="3:29" x14ac:dyDescent="0.2">
      <c r="C206" s="212"/>
      <c r="D206" s="223"/>
      <c r="E206" s="223"/>
      <c r="G206" s="223"/>
      <c r="H206" s="223"/>
      <c r="I206" s="223"/>
      <c r="J206" s="223"/>
      <c r="K206" s="223"/>
      <c r="L206" s="223"/>
      <c r="M206" s="218"/>
      <c r="N206" s="223"/>
      <c r="O206" s="220"/>
      <c r="P206" s="221"/>
      <c r="Q206" s="243"/>
      <c r="R206" s="222"/>
      <c r="S206" s="219"/>
      <c r="T206" s="243"/>
      <c r="U206" s="219"/>
      <c r="V206" s="219"/>
      <c r="W206" s="214"/>
      <c r="X206" s="214"/>
      <c r="Y206" s="214"/>
      <c r="Z206" s="214"/>
      <c r="AA206" s="219"/>
      <c r="AB206" s="214"/>
      <c r="AC206" s="219"/>
    </row>
    <row r="207" spans="3:29" x14ac:dyDescent="0.2">
      <c r="C207" s="212"/>
      <c r="D207" s="223"/>
      <c r="E207" s="223"/>
      <c r="G207" s="223"/>
      <c r="H207" s="223"/>
      <c r="I207" s="223"/>
      <c r="J207" s="223"/>
      <c r="K207" s="223"/>
      <c r="L207" s="223"/>
      <c r="M207" s="218"/>
      <c r="N207" s="223"/>
      <c r="O207" s="220"/>
      <c r="P207" s="221"/>
      <c r="Q207" s="243"/>
      <c r="R207" s="222"/>
      <c r="S207" s="219"/>
      <c r="T207" s="243"/>
      <c r="U207" s="219"/>
      <c r="V207" s="219"/>
      <c r="W207" s="214"/>
      <c r="X207" s="214"/>
      <c r="Y207" s="214"/>
      <c r="Z207" s="214"/>
      <c r="AA207" s="219"/>
      <c r="AB207" s="214"/>
      <c r="AC207" s="219"/>
    </row>
    <row r="208" spans="3:29" x14ac:dyDescent="0.2">
      <c r="C208" s="212"/>
      <c r="D208" s="223"/>
      <c r="E208" s="223"/>
      <c r="G208" s="223"/>
      <c r="H208" s="223"/>
      <c r="I208" s="223"/>
      <c r="J208" s="223"/>
      <c r="K208" s="223"/>
      <c r="L208" s="223"/>
      <c r="M208" s="218"/>
      <c r="N208" s="223"/>
      <c r="O208" s="220"/>
      <c r="P208" s="221"/>
      <c r="Q208" s="243"/>
      <c r="R208" s="222"/>
      <c r="S208" s="219"/>
      <c r="T208" s="243"/>
      <c r="U208" s="219"/>
      <c r="V208" s="219"/>
      <c r="W208" s="214"/>
      <c r="X208" s="214"/>
      <c r="Y208" s="214"/>
      <c r="Z208" s="214"/>
      <c r="AA208" s="219"/>
      <c r="AB208" s="214"/>
      <c r="AC208" s="219"/>
    </row>
    <row r="209" spans="3:29" x14ac:dyDescent="0.2">
      <c r="C209" s="212"/>
      <c r="D209" s="223"/>
      <c r="E209" s="223"/>
      <c r="G209" s="223"/>
      <c r="H209" s="223"/>
      <c r="I209" s="223"/>
      <c r="J209" s="223"/>
      <c r="K209" s="223"/>
      <c r="L209" s="223"/>
      <c r="M209" s="218"/>
      <c r="N209" s="223"/>
      <c r="O209" s="220"/>
      <c r="P209" s="221"/>
      <c r="Q209" s="243"/>
      <c r="R209" s="222"/>
      <c r="S209" s="219"/>
      <c r="T209" s="243"/>
      <c r="U209" s="219"/>
      <c r="V209" s="219"/>
      <c r="W209" s="214"/>
      <c r="X209" s="214"/>
      <c r="Y209" s="214"/>
      <c r="Z209" s="214"/>
      <c r="AA209" s="219"/>
      <c r="AB209" s="214"/>
      <c r="AC209" s="219"/>
    </row>
    <row r="210" spans="3:29" x14ac:dyDescent="0.2">
      <c r="C210" s="212"/>
      <c r="D210" s="223"/>
      <c r="E210" s="223"/>
      <c r="G210" s="223"/>
      <c r="H210" s="223"/>
      <c r="I210" s="223"/>
      <c r="J210" s="223"/>
      <c r="K210" s="223"/>
      <c r="L210" s="223"/>
      <c r="M210" s="218"/>
      <c r="N210" s="223"/>
      <c r="O210" s="220"/>
      <c r="P210" s="221"/>
      <c r="Q210" s="243"/>
      <c r="R210" s="222"/>
      <c r="S210" s="219"/>
      <c r="T210" s="243"/>
      <c r="U210" s="219"/>
      <c r="V210" s="219"/>
      <c r="W210" s="214"/>
      <c r="X210" s="214"/>
      <c r="Y210" s="214"/>
      <c r="Z210" s="214"/>
      <c r="AA210" s="219"/>
      <c r="AB210" s="214"/>
      <c r="AC210" s="219"/>
    </row>
    <row r="211" spans="3:29" x14ac:dyDescent="0.2">
      <c r="C211" s="212"/>
      <c r="D211" s="223"/>
      <c r="E211" s="223"/>
      <c r="G211" s="223"/>
      <c r="H211" s="223"/>
      <c r="I211" s="223"/>
      <c r="J211" s="223"/>
      <c r="K211" s="223"/>
      <c r="L211" s="223"/>
      <c r="M211" s="218"/>
      <c r="N211" s="223"/>
      <c r="O211" s="220"/>
      <c r="P211" s="221"/>
      <c r="Q211" s="243"/>
      <c r="R211" s="222"/>
      <c r="S211" s="219"/>
      <c r="T211" s="243"/>
      <c r="U211" s="219"/>
      <c r="V211" s="219"/>
      <c r="W211" s="214"/>
      <c r="X211" s="214"/>
      <c r="Y211" s="214"/>
      <c r="Z211" s="214"/>
      <c r="AA211" s="219"/>
      <c r="AB211" s="214"/>
      <c r="AC211" s="219"/>
    </row>
    <row r="212" spans="3:29" x14ac:dyDescent="0.2">
      <c r="C212" s="212"/>
      <c r="D212" s="223"/>
      <c r="E212" s="223"/>
      <c r="G212" s="223"/>
      <c r="H212" s="223"/>
      <c r="I212" s="223"/>
      <c r="J212" s="223"/>
      <c r="K212" s="223"/>
      <c r="L212" s="223"/>
      <c r="M212" s="218"/>
      <c r="N212" s="223"/>
      <c r="O212" s="220"/>
      <c r="P212" s="221"/>
      <c r="Q212" s="243"/>
      <c r="R212" s="222"/>
      <c r="S212" s="219"/>
      <c r="T212" s="243"/>
      <c r="U212" s="219"/>
      <c r="V212" s="219"/>
      <c r="W212" s="214"/>
      <c r="X212" s="214"/>
      <c r="Y212" s="214"/>
      <c r="Z212" s="214"/>
      <c r="AA212" s="219"/>
      <c r="AB212" s="214"/>
      <c r="AC212" s="219"/>
    </row>
    <row r="213" spans="3:29" x14ac:dyDescent="0.2">
      <c r="C213" s="212"/>
      <c r="D213" s="223"/>
      <c r="E213" s="223"/>
      <c r="G213" s="223"/>
      <c r="H213" s="223"/>
      <c r="I213" s="223"/>
      <c r="J213" s="223"/>
      <c r="K213" s="223"/>
      <c r="L213" s="223"/>
      <c r="M213" s="218"/>
      <c r="N213" s="223"/>
      <c r="O213" s="220"/>
      <c r="P213" s="221"/>
      <c r="Q213" s="243"/>
      <c r="R213" s="222"/>
      <c r="S213" s="219"/>
      <c r="T213" s="243"/>
      <c r="U213" s="219"/>
      <c r="V213" s="219"/>
      <c r="W213" s="214"/>
      <c r="X213" s="214"/>
      <c r="Y213" s="214"/>
      <c r="Z213" s="214"/>
      <c r="AA213" s="219"/>
      <c r="AB213" s="214"/>
      <c r="AC213" s="219"/>
    </row>
    <row r="214" spans="3:29" x14ac:dyDescent="0.2">
      <c r="C214" s="212"/>
      <c r="D214" s="223"/>
      <c r="E214" s="223"/>
      <c r="G214" s="223"/>
      <c r="H214" s="223"/>
      <c r="I214" s="223"/>
      <c r="J214" s="223"/>
      <c r="K214" s="223"/>
      <c r="L214" s="223"/>
      <c r="M214" s="218"/>
      <c r="N214" s="223"/>
      <c r="O214" s="220"/>
      <c r="P214" s="221"/>
      <c r="Q214" s="243"/>
      <c r="R214" s="222"/>
      <c r="S214" s="219"/>
      <c r="T214" s="243"/>
      <c r="U214" s="219"/>
      <c r="V214" s="219"/>
      <c r="W214" s="214"/>
      <c r="X214" s="214"/>
      <c r="Y214" s="214"/>
      <c r="Z214" s="214"/>
      <c r="AA214" s="219"/>
      <c r="AB214" s="214"/>
      <c r="AC214" s="219"/>
    </row>
    <row r="215" spans="3:29" x14ac:dyDescent="0.2">
      <c r="C215" s="212"/>
      <c r="D215" s="223"/>
      <c r="E215" s="223"/>
      <c r="G215" s="223"/>
      <c r="H215" s="223"/>
      <c r="I215" s="223"/>
      <c r="J215" s="223"/>
      <c r="K215" s="223"/>
      <c r="L215" s="223"/>
      <c r="M215" s="218"/>
      <c r="N215" s="223"/>
      <c r="O215" s="220"/>
      <c r="P215" s="221"/>
      <c r="Q215" s="243"/>
      <c r="R215" s="222"/>
      <c r="S215" s="219"/>
      <c r="T215" s="243"/>
      <c r="U215" s="219"/>
      <c r="V215" s="219"/>
      <c r="W215" s="214"/>
      <c r="X215" s="214"/>
      <c r="Y215" s="214"/>
      <c r="Z215" s="214"/>
      <c r="AA215" s="219"/>
      <c r="AB215" s="214"/>
      <c r="AC215" s="219"/>
    </row>
    <row r="216" spans="3:29" x14ac:dyDescent="0.2">
      <c r="C216" s="212"/>
      <c r="D216" s="223"/>
      <c r="E216" s="223"/>
      <c r="G216" s="223"/>
      <c r="H216" s="223"/>
      <c r="I216" s="223"/>
      <c r="J216" s="223"/>
      <c r="K216" s="223"/>
      <c r="L216" s="223"/>
      <c r="M216" s="218"/>
      <c r="N216" s="223"/>
      <c r="O216" s="220"/>
      <c r="P216" s="221"/>
      <c r="Q216" s="243"/>
      <c r="R216" s="222"/>
      <c r="S216" s="219"/>
      <c r="T216" s="243"/>
      <c r="U216" s="219"/>
      <c r="V216" s="219"/>
      <c r="W216" s="214"/>
      <c r="X216" s="214"/>
      <c r="Y216" s="214"/>
      <c r="Z216" s="214"/>
      <c r="AA216" s="219"/>
      <c r="AB216" s="214"/>
      <c r="AC216" s="219"/>
    </row>
    <row r="217" spans="3:29" x14ac:dyDescent="0.2">
      <c r="C217" s="212"/>
      <c r="D217" s="223"/>
      <c r="E217" s="223"/>
      <c r="G217" s="223"/>
      <c r="H217" s="223"/>
      <c r="I217" s="223"/>
      <c r="J217" s="223"/>
      <c r="K217" s="223"/>
      <c r="L217" s="223"/>
      <c r="M217" s="218"/>
      <c r="N217" s="223"/>
      <c r="O217" s="220"/>
      <c r="P217" s="221"/>
      <c r="Q217" s="243"/>
      <c r="R217" s="222"/>
      <c r="S217" s="219"/>
      <c r="T217" s="243"/>
      <c r="U217" s="219"/>
      <c r="V217" s="219"/>
      <c r="W217" s="214"/>
      <c r="X217" s="214"/>
      <c r="Y217" s="214"/>
      <c r="Z217" s="214"/>
      <c r="AA217" s="219"/>
      <c r="AB217" s="214"/>
      <c r="AC217" s="219"/>
    </row>
    <row r="218" spans="3:29" x14ac:dyDescent="0.2">
      <c r="C218" s="212"/>
      <c r="D218" s="223"/>
      <c r="E218" s="223"/>
      <c r="G218" s="223"/>
      <c r="H218" s="223"/>
      <c r="I218" s="223"/>
      <c r="J218" s="223"/>
      <c r="K218" s="223"/>
      <c r="L218" s="223"/>
      <c r="M218" s="218"/>
      <c r="N218" s="223"/>
      <c r="O218" s="220"/>
      <c r="P218" s="221"/>
      <c r="Q218" s="243"/>
      <c r="R218" s="222"/>
      <c r="S218" s="219"/>
      <c r="T218" s="243"/>
      <c r="U218" s="219"/>
      <c r="V218" s="219"/>
      <c r="W218" s="214"/>
      <c r="X218" s="214"/>
      <c r="Y218" s="214"/>
      <c r="Z218" s="214"/>
      <c r="AA218" s="219"/>
      <c r="AB218" s="214"/>
      <c r="AC218" s="219"/>
    </row>
    <row r="219" spans="3:29" x14ac:dyDescent="0.2">
      <c r="C219" s="212"/>
      <c r="D219" s="223"/>
      <c r="E219" s="223"/>
      <c r="G219" s="223"/>
      <c r="H219" s="223"/>
      <c r="I219" s="223"/>
      <c r="J219" s="223"/>
      <c r="K219" s="223"/>
      <c r="L219" s="223"/>
      <c r="M219" s="218"/>
      <c r="N219" s="223"/>
      <c r="O219" s="220"/>
      <c r="P219" s="221"/>
      <c r="Q219" s="243"/>
      <c r="R219" s="222"/>
      <c r="S219" s="219"/>
      <c r="T219" s="243"/>
      <c r="U219" s="219"/>
      <c r="V219" s="219"/>
      <c r="W219" s="214"/>
      <c r="X219" s="214"/>
      <c r="Y219" s="214"/>
      <c r="Z219" s="214"/>
      <c r="AA219" s="219"/>
      <c r="AB219" s="214"/>
      <c r="AC219" s="219"/>
    </row>
    <row r="220" spans="3:29" x14ac:dyDescent="0.2">
      <c r="C220" s="212"/>
      <c r="D220" s="223"/>
      <c r="E220" s="223"/>
      <c r="G220" s="223"/>
      <c r="H220" s="223"/>
      <c r="I220" s="223"/>
      <c r="J220" s="223"/>
      <c r="K220" s="223"/>
      <c r="L220" s="223"/>
      <c r="M220" s="218"/>
      <c r="N220" s="223"/>
      <c r="O220" s="220"/>
      <c r="P220" s="221"/>
      <c r="Q220" s="243"/>
      <c r="R220" s="222"/>
      <c r="S220" s="219"/>
      <c r="T220" s="243"/>
      <c r="U220" s="219"/>
      <c r="V220" s="219"/>
      <c r="W220" s="214"/>
      <c r="X220" s="214"/>
      <c r="Y220" s="214"/>
      <c r="Z220" s="214"/>
      <c r="AA220" s="219"/>
      <c r="AB220" s="214"/>
      <c r="AC220" s="219"/>
    </row>
    <row r="221" spans="3:29" x14ac:dyDescent="0.2">
      <c r="C221" s="212"/>
      <c r="D221" s="223"/>
      <c r="E221" s="223"/>
      <c r="G221" s="223"/>
      <c r="H221" s="223"/>
      <c r="I221" s="223"/>
      <c r="J221" s="223"/>
      <c r="K221" s="223"/>
      <c r="L221" s="223"/>
      <c r="M221" s="218"/>
      <c r="N221" s="223"/>
      <c r="O221" s="220"/>
      <c r="P221" s="221"/>
      <c r="Q221" s="243"/>
      <c r="R221" s="222"/>
      <c r="S221" s="219"/>
      <c r="T221" s="243"/>
      <c r="U221" s="219"/>
      <c r="V221" s="219"/>
      <c r="W221" s="214"/>
      <c r="X221" s="214"/>
      <c r="Y221" s="214"/>
      <c r="Z221" s="214"/>
      <c r="AA221" s="219"/>
      <c r="AB221" s="214"/>
      <c r="AC221" s="219"/>
    </row>
    <row r="222" spans="3:29" x14ac:dyDescent="0.2">
      <c r="C222" s="212"/>
      <c r="D222" s="223"/>
      <c r="E222" s="223"/>
      <c r="G222" s="223"/>
      <c r="H222" s="223"/>
      <c r="I222" s="223"/>
      <c r="J222" s="223"/>
      <c r="K222" s="223"/>
      <c r="L222" s="223"/>
      <c r="M222" s="218"/>
      <c r="N222" s="223"/>
      <c r="O222" s="220"/>
      <c r="P222" s="221"/>
      <c r="Q222" s="243"/>
      <c r="R222" s="222"/>
      <c r="S222" s="219"/>
      <c r="T222" s="243"/>
      <c r="U222" s="219"/>
      <c r="V222" s="219"/>
      <c r="W222" s="214"/>
      <c r="X222" s="214"/>
      <c r="Y222" s="214"/>
      <c r="Z222" s="214"/>
      <c r="AA222" s="219"/>
      <c r="AB222" s="214"/>
      <c r="AC222" s="219"/>
    </row>
    <row r="223" spans="3:29" x14ac:dyDescent="0.2">
      <c r="C223" s="212"/>
      <c r="D223" s="223"/>
      <c r="E223" s="223"/>
      <c r="G223" s="223"/>
      <c r="H223" s="223"/>
      <c r="I223" s="223"/>
      <c r="J223" s="223"/>
      <c r="K223" s="223"/>
      <c r="L223" s="223"/>
      <c r="M223" s="218"/>
      <c r="N223" s="223"/>
      <c r="O223" s="220"/>
      <c r="P223" s="221"/>
      <c r="Q223" s="243"/>
      <c r="R223" s="222"/>
      <c r="S223" s="219"/>
      <c r="T223" s="243"/>
      <c r="U223" s="219"/>
      <c r="V223" s="219"/>
      <c r="W223" s="214"/>
      <c r="X223" s="214"/>
      <c r="Y223" s="214"/>
      <c r="Z223" s="214"/>
      <c r="AA223" s="219"/>
      <c r="AB223" s="214"/>
      <c r="AC223" s="219"/>
    </row>
    <row r="224" spans="3:29" x14ac:dyDescent="0.2">
      <c r="C224" s="212"/>
      <c r="D224" s="223"/>
      <c r="E224" s="223"/>
      <c r="G224" s="223"/>
      <c r="H224" s="223"/>
      <c r="I224" s="223"/>
      <c r="J224" s="223"/>
      <c r="K224" s="223"/>
      <c r="L224" s="223"/>
      <c r="M224" s="218"/>
      <c r="N224" s="223"/>
      <c r="O224" s="220"/>
      <c r="P224" s="221"/>
      <c r="Q224" s="243"/>
      <c r="R224" s="222"/>
      <c r="S224" s="219"/>
      <c r="T224" s="243"/>
      <c r="U224" s="219"/>
      <c r="V224" s="219"/>
      <c r="W224" s="214"/>
      <c r="X224" s="214"/>
      <c r="Y224" s="214"/>
      <c r="Z224" s="214"/>
      <c r="AA224" s="219"/>
      <c r="AB224" s="214"/>
      <c r="AC224" s="219"/>
    </row>
    <row r="225" spans="3:29" x14ac:dyDescent="0.2">
      <c r="C225" s="212"/>
      <c r="D225" s="223"/>
      <c r="E225" s="223"/>
      <c r="G225" s="223"/>
      <c r="H225" s="223"/>
      <c r="I225" s="223"/>
      <c r="J225" s="223"/>
      <c r="K225" s="223"/>
      <c r="L225" s="223"/>
      <c r="M225" s="218"/>
      <c r="N225" s="223"/>
      <c r="O225" s="220"/>
      <c r="P225" s="221"/>
      <c r="Q225" s="243"/>
      <c r="R225" s="222"/>
      <c r="S225" s="219"/>
      <c r="T225" s="243"/>
      <c r="U225" s="219"/>
      <c r="V225" s="219"/>
      <c r="W225" s="214"/>
      <c r="X225" s="214"/>
      <c r="Y225" s="214"/>
      <c r="Z225" s="214"/>
      <c r="AA225" s="219"/>
      <c r="AB225" s="214"/>
      <c r="AC225" s="219"/>
    </row>
    <row r="226" spans="3:29" x14ac:dyDescent="0.2">
      <c r="C226" s="212"/>
      <c r="D226" s="223"/>
      <c r="E226" s="223"/>
      <c r="G226" s="223"/>
      <c r="H226" s="223"/>
      <c r="I226" s="223"/>
      <c r="J226" s="223"/>
      <c r="K226" s="223"/>
      <c r="L226" s="223"/>
      <c r="M226" s="218"/>
      <c r="N226" s="223"/>
      <c r="O226" s="220"/>
      <c r="P226" s="221"/>
      <c r="Q226" s="243"/>
      <c r="R226" s="222"/>
      <c r="S226" s="219"/>
      <c r="T226" s="243"/>
      <c r="U226" s="219"/>
      <c r="V226" s="219"/>
      <c r="W226" s="214"/>
      <c r="X226" s="214"/>
      <c r="Y226" s="214"/>
      <c r="Z226" s="214"/>
      <c r="AA226" s="219"/>
      <c r="AB226" s="214"/>
      <c r="AC226" s="219"/>
    </row>
    <row r="227" spans="3:29" x14ac:dyDescent="0.2">
      <c r="C227" s="212"/>
      <c r="D227" s="223"/>
      <c r="E227" s="223"/>
      <c r="G227" s="223"/>
      <c r="H227" s="223"/>
      <c r="I227" s="223"/>
      <c r="J227" s="223"/>
      <c r="K227" s="223"/>
      <c r="L227" s="223"/>
      <c r="M227" s="218"/>
      <c r="N227" s="223"/>
      <c r="O227" s="220"/>
      <c r="P227" s="221"/>
      <c r="Q227" s="243"/>
      <c r="R227" s="222"/>
      <c r="S227" s="219"/>
      <c r="T227" s="243"/>
      <c r="U227" s="219"/>
      <c r="V227" s="219"/>
      <c r="W227" s="214"/>
      <c r="X227" s="214"/>
      <c r="Y227" s="214"/>
      <c r="Z227" s="214"/>
      <c r="AA227" s="219"/>
      <c r="AB227" s="214"/>
      <c r="AC227" s="219"/>
    </row>
    <row r="228" spans="3:29" x14ac:dyDescent="0.2">
      <c r="C228" s="212"/>
      <c r="D228" s="223"/>
      <c r="E228" s="223"/>
      <c r="G228" s="223"/>
      <c r="H228" s="223"/>
      <c r="I228" s="223"/>
      <c r="J228" s="223"/>
      <c r="K228" s="223"/>
      <c r="L228" s="223"/>
      <c r="M228" s="218"/>
      <c r="N228" s="223"/>
      <c r="O228" s="220"/>
      <c r="P228" s="221"/>
      <c r="Q228" s="243"/>
      <c r="R228" s="222"/>
      <c r="S228" s="219"/>
      <c r="T228" s="243"/>
      <c r="U228" s="219"/>
      <c r="V228" s="219"/>
      <c r="W228" s="214"/>
      <c r="X228" s="214"/>
      <c r="Y228" s="214"/>
      <c r="Z228" s="214"/>
      <c r="AA228" s="219"/>
      <c r="AB228" s="214"/>
      <c r="AC228" s="219"/>
    </row>
    <row r="229" spans="3:29" x14ac:dyDescent="0.2">
      <c r="C229" s="212"/>
      <c r="D229" s="223"/>
      <c r="E229" s="223"/>
      <c r="G229" s="223"/>
      <c r="H229" s="223"/>
      <c r="I229" s="223"/>
      <c r="J229" s="223"/>
      <c r="K229" s="223"/>
      <c r="L229" s="223"/>
      <c r="M229" s="218"/>
      <c r="N229" s="223"/>
      <c r="O229" s="220"/>
      <c r="P229" s="221"/>
      <c r="Q229" s="243"/>
      <c r="R229" s="222"/>
      <c r="S229" s="219"/>
      <c r="T229" s="243"/>
      <c r="U229" s="219"/>
      <c r="V229" s="219"/>
      <c r="W229" s="214"/>
      <c r="X229" s="214"/>
      <c r="Y229" s="214"/>
      <c r="Z229" s="214"/>
      <c r="AA229" s="219"/>
      <c r="AB229" s="214"/>
      <c r="AC229" s="219"/>
    </row>
    <row r="230" spans="3:29" x14ac:dyDescent="0.2">
      <c r="C230" s="212"/>
      <c r="D230" s="223"/>
      <c r="E230" s="223"/>
      <c r="G230" s="223"/>
      <c r="H230" s="223"/>
      <c r="I230" s="223"/>
      <c r="J230" s="223"/>
      <c r="K230" s="223"/>
      <c r="L230" s="223"/>
      <c r="M230" s="218"/>
      <c r="N230" s="223"/>
      <c r="O230" s="220"/>
      <c r="P230" s="221"/>
      <c r="Q230" s="243"/>
      <c r="R230" s="222"/>
      <c r="S230" s="219"/>
      <c r="T230" s="243"/>
      <c r="U230" s="219"/>
      <c r="V230" s="219"/>
      <c r="W230" s="214"/>
      <c r="X230" s="214"/>
      <c r="Y230" s="214"/>
      <c r="Z230" s="214"/>
      <c r="AA230" s="219"/>
      <c r="AB230" s="214"/>
      <c r="AC230" s="219"/>
    </row>
    <row r="231" spans="3:29" x14ac:dyDescent="0.2">
      <c r="C231" s="212"/>
      <c r="D231" s="223"/>
      <c r="E231" s="223"/>
      <c r="G231" s="223"/>
      <c r="H231" s="223"/>
      <c r="I231" s="223"/>
      <c r="J231" s="223"/>
      <c r="K231" s="223"/>
      <c r="L231" s="223"/>
      <c r="M231" s="218"/>
      <c r="N231" s="223"/>
      <c r="O231" s="220"/>
      <c r="P231" s="221"/>
      <c r="Q231" s="243"/>
      <c r="R231" s="222"/>
      <c r="S231" s="219"/>
      <c r="T231" s="243"/>
      <c r="U231" s="219"/>
      <c r="V231" s="219"/>
      <c r="W231" s="214"/>
      <c r="X231" s="214"/>
      <c r="Y231" s="214"/>
      <c r="Z231" s="214"/>
      <c r="AA231" s="219"/>
      <c r="AB231" s="214"/>
      <c r="AC231" s="219"/>
    </row>
    <row r="232" spans="3:29" x14ac:dyDescent="0.2">
      <c r="C232" s="212"/>
      <c r="D232" s="223"/>
      <c r="E232" s="223"/>
      <c r="G232" s="223"/>
      <c r="H232" s="223"/>
      <c r="I232" s="223"/>
      <c r="J232" s="223"/>
      <c r="K232" s="223"/>
      <c r="L232" s="223"/>
      <c r="M232" s="218"/>
      <c r="N232" s="223"/>
      <c r="O232" s="220"/>
      <c r="P232" s="221"/>
      <c r="Q232" s="243"/>
      <c r="R232" s="222"/>
      <c r="S232" s="219"/>
      <c r="T232" s="243"/>
      <c r="U232" s="219"/>
      <c r="V232" s="219"/>
      <c r="W232" s="214"/>
      <c r="X232" s="214"/>
      <c r="Y232" s="214"/>
      <c r="Z232" s="214"/>
      <c r="AA232" s="219"/>
      <c r="AB232" s="214"/>
      <c r="AC232" s="219"/>
    </row>
    <row r="233" spans="3:29" x14ac:dyDescent="0.2">
      <c r="C233" s="212"/>
      <c r="D233" s="223"/>
      <c r="E233" s="223"/>
      <c r="G233" s="223"/>
      <c r="H233" s="223"/>
      <c r="I233" s="223"/>
      <c r="J233" s="223"/>
      <c r="K233" s="223"/>
      <c r="L233" s="223"/>
      <c r="M233" s="218"/>
      <c r="N233" s="223"/>
      <c r="O233" s="220"/>
      <c r="P233" s="221"/>
      <c r="Q233" s="243"/>
      <c r="R233" s="222"/>
      <c r="S233" s="219"/>
      <c r="T233" s="243"/>
      <c r="U233" s="219"/>
      <c r="V233" s="219"/>
      <c r="W233" s="214"/>
      <c r="X233" s="214"/>
      <c r="Y233" s="214"/>
      <c r="Z233" s="214"/>
      <c r="AA233" s="219"/>
      <c r="AB233" s="214"/>
      <c r="AC233" s="219"/>
    </row>
    <row r="234" spans="3:29" x14ac:dyDescent="0.2">
      <c r="C234" s="212"/>
      <c r="D234" s="223"/>
      <c r="E234" s="223"/>
      <c r="G234" s="223"/>
      <c r="H234" s="223"/>
      <c r="I234" s="223"/>
      <c r="J234" s="223"/>
      <c r="K234" s="223"/>
      <c r="L234" s="223"/>
      <c r="M234" s="218"/>
      <c r="N234" s="223"/>
      <c r="O234" s="220"/>
      <c r="P234" s="221"/>
      <c r="Q234" s="243"/>
      <c r="R234" s="222"/>
      <c r="S234" s="219"/>
      <c r="T234" s="243"/>
      <c r="U234" s="219"/>
      <c r="V234" s="219"/>
      <c r="W234" s="214"/>
      <c r="X234" s="214"/>
      <c r="Y234" s="214"/>
      <c r="Z234" s="214"/>
      <c r="AA234" s="219"/>
      <c r="AB234" s="214"/>
      <c r="AC234" s="219"/>
    </row>
    <row r="235" spans="3:29" x14ac:dyDescent="0.2">
      <c r="C235" s="212"/>
      <c r="D235" s="223"/>
      <c r="E235" s="223"/>
      <c r="G235" s="223"/>
      <c r="H235" s="223"/>
      <c r="I235" s="223"/>
      <c r="J235" s="223"/>
      <c r="K235" s="223"/>
      <c r="L235" s="223"/>
      <c r="M235" s="218"/>
      <c r="N235" s="223"/>
      <c r="O235" s="220"/>
      <c r="P235" s="221"/>
      <c r="Q235" s="243"/>
      <c r="R235" s="222"/>
      <c r="S235" s="219"/>
      <c r="T235" s="243"/>
      <c r="U235" s="219"/>
      <c r="V235" s="219"/>
      <c r="W235" s="214"/>
      <c r="X235" s="214"/>
      <c r="Y235" s="214"/>
      <c r="Z235" s="214"/>
      <c r="AA235" s="219"/>
      <c r="AB235" s="214"/>
      <c r="AC235" s="219"/>
    </row>
    <row r="236" spans="3:29" x14ac:dyDescent="0.2">
      <c r="C236" s="212"/>
      <c r="D236" s="223"/>
      <c r="E236" s="223"/>
      <c r="G236" s="223"/>
      <c r="H236" s="223"/>
      <c r="I236" s="223"/>
      <c r="J236" s="223"/>
      <c r="K236" s="223"/>
      <c r="L236" s="223"/>
      <c r="M236" s="218"/>
      <c r="N236" s="223"/>
      <c r="O236" s="220"/>
      <c r="P236" s="221"/>
      <c r="Q236" s="243"/>
      <c r="R236" s="222"/>
      <c r="S236" s="219"/>
      <c r="T236" s="243"/>
      <c r="U236" s="219"/>
      <c r="V236" s="219"/>
      <c r="W236" s="214"/>
      <c r="X236" s="214"/>
      <c r="Y236" s="214"/>
      <c r="Z236" s="214"/>
      <c r="AA236" s="219"/>
      <c r="AB236" s="214"/>
      <c r="AC236" s="219"/>
    </row>
    <row r="237" spans="3:29" x14ac:dyDescent="0.2">
      <c r="C237" s="212"/>
      <c r="D237" s="223"/>
      <c r="E237" s="223"/>
      <c r="G237" s="223"/>
      <c r="H237" s="223"/>
      <c r="I237" s="223"/>
      <c r="J237" s="223"/>
      <c r="K237" s="223"/>
      <c r="L237" s="223"/>
      <c r="M237" s="218"/>
      <c r="N237" s="223"/>
      <c r="O237" s="220"/>
      <c r="P237" s="221"/>
      <c r="Q237" s="243"/>
      <c r="R237" s="222"/>
      <c r="S237" s="219"/>
      <c r="T237" s="243"/>
      <c r="U237" s="219"/>
      <c r="V237" s="219"/>
      <c r="W237" s="214"/>
      <c r="X237" s="214"/>
      <c r="Y237" s="214"/>
      <c r="Z237" s="214"/>
      <c r="AA237" s="219"/>
      <c r="AB237" s="214"/>
      <c r="AC237" s="219"/>
    </row>
    <row r="238" spans="3:29" x14ac:dyDescent="0.2">
      <c r="C238" s="212"/>
      <c r="D238" s="223"/>
      <c r="E238" s="223"/>
      <c r="G238" s="223"/>
      <c r="H238" s="223"/>
      <c r="I238" s="223"/>
      <c r="J238" s="223"/>
      <c r="K238" s="223"/>
      <c r="L238" s="223"/>
      <c r="M238" s="218"/>
      <c r="N238" s="223"/>
      <c r="O238" s="220"/>
      <c r="P238" s="221"/>
      <c r="Q238" s="243"/>
      <c r="R238" s="222"/>
      <c r="S238" s="219"/>
      <c r="T238" s="243"/>
      <c r="U238" s="219"/>
      <c r="V238" s="219"/>
      <c r="W238" s="214"/>
      <c r="X238" s="214"/>
      <c r="Y238" s="214"/>
      <c r="Z238" s="214"/>
      <c r="AA238" s="219"/>
      <c r="AB238" s="214"/>
      <c r="AC238" s="219"/>
    </row>
    <row r="239" spans="3:29" x14ac:dyDescent="0.2">
      <c r="C239" s="212"/>
      <c r="D239" s="223"/>
      <c r="E239" s="223"/>
      <c r="G239" s="223"/>
      <c r="H239" s="223"/>
      <c r="I239" s="223"/>
      <c r="J239" s="223"/>
      <c r="K239" s="223"/>
      <c r="L239" s="223"/>
      <c r="M239" s="218"/>
      <c r="N239" s="223"/>
      <c r="O239" s="220"/>
      <c r="P239" s="221"/>
      <c r="Q239" s="243"/>
      <c r="R239" s="222"/>
      <c r="S239" s="219"/>
      <c r="T239" s="243"/>
      <c r="U239" s="219"/>
      <c r="V239" s="219"/>
      <c r="W239" s="214"/>
      <c r="X239" s="214"/>
      <c r="Y239" s="214"/>
      <c r="Z239" s="214"/>
      <c r="AA239" s="219"/>
      <c r="AB239" s="214"/>
      <c r="AC239" s="219"/>
    </row>
    <row r="240" spans="3:29" x14ac:dyDescent="0.2">
      <c r="C240" s="212"/>
      <c r="D240" s="223"/>
      <c r="E240" s="223"/>
      <c r="G240" s="223"/>
      <c r="H240" s="223"/>
      <c r="I240" s="223"/>
      <c r="J240" s="223"/>
      <c r="K240" s="223"/>
      <c r="L240" s="223"/>
      <c r="M240" s="218"/>
      <c r="N240" s="223"/>
      <c r="O240" s="220"/>
      <c r="P240" s="221"/>
      <c r="Q240" s="243"/>
      <c r="R240" s="222"/>
      <c r="S240" s="219"/>
      <c r="T240" s="243"/>
      <c r="U240" s="219"/>
      <c r="V240" s="219"/>
      <c r="W240" s="214"/>
      <c r="X240" s="214"/>
      <c r="Y240" s="214"/>
      <c r="Z240" s="214"/>
      <c r="AA240" s="219"/>
      <c r="AB240" s="214"/>
      <c r="AC240" s="219"/>
    </row>
    <row r="241" spans="3:29" x14ac:dyDescent="0.2">
      <c r="C241" s="212"/>
      <c r="D241" s="223"/>
      <c r="E241" s="223"/>
      <c r="G241" s="223"/>
      <c r="H241" s="223"/>
      <c r="I241" s="223"/>
      <c r="J241" s="223"/>
      <c r="K241" s="223"/>
      <c r="L241" s="223"/>
      <c r="M241" s="218"/>
      <c r="N241" s="223"/>
      <c r="O241" s="220"/>
      <c r="P241" s="221"/>
      <c r="Q241" s="243"/>
      <c r="R241" s="222"/>
      <c r="S241" s="219"/>
      <c r="T241" s="243"/>
      <c r="U241" s="219"/>
      <c r="V241" s="219"/>
      <c r="W241" s="214"/>
      <c r="X241" s="214"/>
      <c r="Y241" s="214"/>
      <c r="Z241" s="214"/>
      <c r="AA241" s="219"/>
      <c r="AB241" s="214"/>
      <c r="AC241" s="219"/>
    </row>
    <row r="242" spans="3:29" x14ac:dyDescent="0.2">
      <c r="C242" s="212"/>
      <c r="D242" s="223"/>
      <c r="E242" s="223"/>
      <c r="G242" s="223"/>
      <c r="H242" s="223"/>
      <c r="I242" s="223"/>
      <c r="J242" s="223"/>
      <c r="K242" s="223"/>
      <c r="L242" s="223"/>
      <c r="M242" s="218"/>
      <c r="N242" s="223"/>
      <c r="O242" s="220"/>
      <c r="P242" s="221"/>
      <c r="Q242" s="243"/>
      <c r="R242" s="222"/>
      <c r="S242" s="219"/>
      <c r="T242" s="243"/>
      <c r="U242" s="219"/>
      <c r="V242" s="219"/>
      <c r="W242" s="214"/>
      <c r="X242" s="214"/>
      <c r="Y242" s="214"/>
      <c r="Z242" s="214"/>
      <c r="AA242" s="219"/>
      <c r="AB242" s="214"/>
      <c r="AC242" s="219"/>
    </row>
    <row r="243" spans="3:29" x14ac:dyDescent="0.2">
      <c r="C243" s="212"/>
      <c r="D243" s="223"/>
      <c r="E243" s="223"/>
      <c r="G243" s="223"/>
      <c r="H243" s="223"/>
      <c r="I243" s="223"/>
      <c r="J243" s="223"/>
      <c r="K243" s="223"/>
      <c r="L243" s="223"/>
      <c r="M243" s="218"/>
      <c r="N243" s="223"/>
      <c r="O243" s="220"/>
      <c r="P243" s="221"/>
      <c r="Q243" s="243"/>
      <c r="R243" s="222"/>
      <c r="S243" s="219"/>
      <c r="T243" s="243"/>
      <c r="U243" s="219"/>
      <c r="V243" s="219"/>
      <c r="W243" s="214"/>
      <c r="X243" s="214"/>
      <c r="Y243" s="214"/>
      <c r="Z243" s="214"/>
      <c r="AA243" s="219"/>
      <c r="AB243" s="214"/>
      <c r="AC243" s="219"/>
    </row>
    <row r="244" spans="3:29" x14ac:dyDescent="0.2">
      <c r="C244" s="224"/>
      <c r="D244" s="224"/>
      <c r="E244" s="105"/>
      <c r="F244" s="126"/>
      <c r="G244" s="105"/>
      <c r="H244" s="105"/>
      <c r="I244" s="105"/>
      <c r="J244" s="105"/>
      <c r="K244" s="105"/>
      <c r="L244" s="105"/>
      <c r="M244" s="225"/>
      <c r="N244" s="219"/>
      <c r="O244" s="220"/>
      <c r="P244" s="221"/>
      <c r="Q244" s="243"/>
      <c r="R244" s="222"/>
      <c r="S244" s="219"/>
      <c r="T244" s="243"/>
      <c r="U244" s="219"/>
      <c r="V244" s="219"/>
      <c r="W244" s="214"/>
      <c r="X244" s="214"/>
      <c r="Y244" s="214"/>
      <c r="Z244" s="214"/>
      <c r="AA244" s="219"/>
      <c r="AB244" s="214"/>
      <c r="AC244" s="219"/>
    </row>
    <row r="245" spans="3:29" x14ac:dyDescent="0.2">
      <c r="C245" s="224"/>
      <c r="D245" s="224"/>
      <c r="E245" s="105"/>
      <c r="F245" s="126"/>
      <c r="G245" s="105"/>
      <c r="H245" s="105"/>
      <c r="I245" s="105"/>
      <c r="J245" s="105"/>
      <c r="K245" s="105"/>
      <c r="L245" s="105"/>
      <c r="M245" s="225"/>
      <c r="N245" s="219"/>
      <c r="O245" s="220"/>
      <c r="P245" s="221"/>
      <c r="Q245" s="243"/>
      <c r="R245" s="222"/>
      <c r="S245" s="219"/>
      <c r="T245" s="243"/>
      <c r="U245" s="219"/>
      <c r="V245" s="219"/>
      <c r="W245" s="214"/>
      <c r="X245" s="214"/>
      <c r="Y245" s="214"/>
      <c r="Z245" s="214"/>
      <c r="AA245" s="219"/>
      <c r="AB245" s="214"/>
      <c r="AC245" s="219"/>
    </row>
    <row r="246" spans="3:29" x14ac:dyDescent="0.2">
      <c r="C246" s="224"/>
      <c r="D246" s="224"/>
      <c r="E246" s="105"/>
      <c r="F246" s="126"/>
      <c r="G246" s="105"/>
      <c r="H246" s="105"/>
      <c r="I246" s="105"/>
      <c r="J246" s="105"/>
      <c r="K246" s="105"/>
      <c r="L246" s="105"/>
      <c r="M246" s="225"/>
      <c r="N246" s="219"/>
      <c r="O246" s="220"/>
      <c r="P246" s="221"/>
      <c r="Q246" s="243"/>
      <c r="R246" s="222"/>
      <c r="S246" s="219"/>
      <c r="T246" s="243"/>
      <c r="U246" s="219"/>
      <c r="V246" s="219"/>
      <c r="W246" s="214"/>
      <c r="X246" s="214"/>
      <c r="Y246" s="214"/>
      <c r="Z246" s="214"/>
      <c r="AA246" s="219"/>
      <c r="AB246" s="214"/>
      <c r="AC246" s="219"/>
    </row>
    <row r="247" spans="3:29" x14ac:dyDescent="0.2">
      <c r="C247" s="224"/>
      <c r="D247" s="224"/>
      <c r="E247" s="105"/>
      <c r="F247" s="126"/>
      <c r="G247" s="105"/>
      <c r="H247" s="105"/>
      <c r="I247" s="105"/>
      <c r="J247" s="105"/>
      <c r="K247" s="105"/>
      <c r="L247" s="105"/>
      <c r="M247" s="225"/>
      <c r="N247" s="219"/>
      <c r="O247" s="220"/>
      <c r="P247" s="221"/>
      <c r="Q247" s="243"/>
      <c r="R247" s="222"/>
      <c r="S247" s="219"/>
      <c r="T247" s="243"/>
      <c r="U247" s="219"/>
      <c r="V247" s="219"/>
      <c r="W247" s="214"/>
      <c r="X247" s="214"/>
      <c r="Y247" s="214"/>
      <c r="Z247" s="214"/>
      <c r="AA247" s="219"/>
      <c r="AB247" s="214"/>
      <c r="AC247" s="219"/>
    </row>
    <row r="248" spans="3:29" x14ac:dyDescent="0.2">
      <c r="C248" s="224"/>
      <c r="D248" s="224"/>
      <c r="E248" s="105"/>
      <c r="F248" s="126"/>
      <c r="G248" s="105"/>
      <c r="H248" s="105"/>
      <c r="I248" s="105"/>
      <c r="J248" s="105"/>
      <c r="K248" s="105"/>
      <c r="L248" s="105"/>
      <c r="M248" s="225"/>
      <c r="N248" s="219"/>
      <c r="O248" s="220"/>
      <c r="P248" s="221"/>
      <c r="Q248" s="243"/>
      <c r="R248" s="222"/>
      <c r="S248" s="219"/>
      <c r="T248" s="243"/>
      <c r="U248" s="219"/>
      <c r="V248" s="219"/>
      <c r="W248" s="214"/>
      <c r="X248" s="214"/>
      <c r="Y248" s="214"/>
      <c r="Z248" s="214"/>
      <c r="AA248" s="219"/>
      <c r="AB248" s="214"/>
      <c r="AC248" s="219"/>
    </row>
    <row r="249" spans="3:29" x14ac:dyDescent="0.2">
      <c r="C249" s="224"/>
      <c r="D249" s="224"/>
      <c r="E249" s="105"/>
      <c r="F249" s="126"/>
      <c r="G249" s="105"/>
      <c r="H249" s="105"/>
      <c r="I249" s="105"/>
      <c r="J249" s="105"/>
      <c r="K249" s="105"/>
      <c r="L249" s="105"/>
      <c r="M249" s="225"/>
      <c r="N249" s="219"/>
      <c r="O249" s="220"/>
      <c r="P249" s="221"/>
      <c r="Q249" s="243"/>
      <c r="R249" s="222"/>
      <c r="S249" s="219"/>
      <c r="T249" s="243"/>
      <c r="U249" s="219"/>
      <c r="V249" s="219"/>
      <c r="W249" s="214"/>
      <c r="X249" s="214"/>
      <c r="Y249" s="214"/>
      <c r="Z249" s="214"/>
      <c r="AA249" s="219"/>
      <c r="AB249" s="214"/>
      <c r="AC249" s="219"/>
    </row>
    <row r="250" spans="3:29" x14ac:dyDescent="0.2">
      <c r="C250" s="224"/>
      <c r="D250" s="224"/>
      <c r="E250" s="105"/>
      <c r="F250" s="126"/>
      <c r="G250" s="105"/>
      <c r="H250" s="105"/>
      <c r="I250" s="105"/>
      <c r="J250" s="105"/>
      <c r="K250" s="105"/>
      <c r="L250" s="105"/>
      <c r="M250" s="225"/>
      <c r="N250" s="219"/>
      <c r="O250" s="220"/>
      <c r="P250" s="221"/>
      <c r="Q250" s="243"/>
      <c r="R250" s="222"/>
      <c r="S250" s="219"/>
      <c r="T250" s="243"/>
      <c r="U250" s="219"/>
      <c r="V250" s="219"/>
      <c r="W250" s="214"/>
      <c r="X250" s="214"/>
      <c r="Y250" s="214"/>
      <c r="Z250" s="214"/>
      <c r="AA250" s="219"/>
      <c r="AB250" s="214"/>
      <c r="AC250" s="219"/>
    </row>
    <row r="251" spans="3:29" x14ac:dyDescent="0.2">
      <c r="C251" s="224"/>
      <c r="D251" s="224"/>
      <c r="E251" s="105"/>
      <c r="F251" s="126"/>
      <c r="G251" s="105"/>
      <c r="H251" s="105"/>
      <c r="I251" s="105"/>
      <c r="J251" s="105"/>
      <c r="K251" s="105"/>
      <c r="L251" s="105"/>
      <c r="M251" s="225"/>
      <c r="N251" s="219"/>
      <c r="O251" s="220"/>
      <c r="P251" s="221"/>
      <c r="Q251" s="243"/>
      <c r="R251" s="222"/>
      <c r="S251" s="219"/>
      <c r="T251" s="243"/>
      <c r="U251" s="219"/>
      <c r="V251" s="219"/>
      <c r="W251" s="214"/>
      <c r="X251" s="214"/>
      <c r="Y251" s="214"/>
      <c r="Z251" s="214"/>
      <c r="AA251" s="219"/>
      <c r="AB251" s="214"/>
      <c r="AC251" s="219"/>
    </row>
    <row r="252" spans="3:29" x14ac:dyDescent="0.2">
      <c r="M252" s="225"/>
      <c r="O252" s="220"/>
    </row>
    <row r="253" spans="3:29" x14ac:dyDescent="0.2">
      <c r="M253" s="225"/>
      <c r="O253" s="220"/>
    </row>
    <row r="254" spans="3:29" x14ac:dyDescent="0.2">
      <c r="M254" s="225"/>
      <c r="O254" s="220"/>
    </row>
    <row r="255" spans="3:29" x14ac:dyDescent="0.2">
      <c r="M255" s="225"/>
      <c r="O255" s="220"/>
    </row>
    <row r="256" spans="3:29" x14ac:dyDescent="0.2">
      <c r="M256" s="225"/>
      <c r="O256" s="220"/>
    </row>
    <row r="257" spans="13:15" x14ac:dyDescent="0.2">
      <c r="M257" s="225"/>
      <c r="O257" s="220"/>
    </row>
    <row r="258" spans="13:15" x14ac:dyDescent="0.2">
      <c r="M258" s="225"/>
      <c r="O258" s="220"/>
    </row>
    <row r="259" spans="13:15" x14ac:dyDescent="0.2">
      <c r="M259" s="225"/>
      <c r="O259" s="220"/>
    </row>
    <row r="260" spans="13:15" x14ac:dyDescent="0.2">
      <c r="M260" s="225"/>
      <c r="O260" s="220"/>
    </row>
    <row r="261" spans="13:15" x14ac:dyDescent="0.2">
      <c r="M261" s="225"/>
      <c r="O261" s="220"/>
    </row>
    <row r="262" spans="13:15" x14ac:dyDescent="0.2">
      <c r="M262" s="225"/>
      <c r="O262" s="220"/>
    </row>
    <row r="263" spans="13:15" x14ac:dyDescent="0.2">
      <c r="M263" s="225"/>
      <c r="O263" s="220"/>
    </row>
    <row r="264" spans="13:15" x14ac:dyDescent="0.2">
      <c r="M264" s="225"/>
      <c r="O264" s="220"/>
    </row>
    <row r="265" spans="13:15" x14ac:dyDescent="0.2">
      <c r="M265" s="225"/>
      <c r="O265" s="220"/>
    </row>
    <row r="266" spans="13:15" x14ac:dyDescent="0.2">
      <c r="M266" s="225"/>
      <c r="O266" s="220"/>
    </row>
    <row r="267" spans="13:15" x14ac:dyDescent="0.2">
      <c r="M267" s="225"/>
      <c r="O267" s="220"/>
    </row>
    <row r="268" spans="13:15" x14ac:dyDescent="0.2">
      <c r="M268" s="225"/>
      <c r="O268" s="220"/>
    </row>
    <row r="269" spans="13:15" x14ac:dyDescent="0.2">
      <c r="M269" s="225"/>
      <c r="O269" s="220"/>
    </row>
    <row r="270" spans="13:15" x14ac:dyDescent="0.2">
      <c r="M270" s="225"/>
      <c r="O270" s="220"/>
    </row>
    <row r="271" spans="13:15" x14ac:dyDescent="0.2">
      <c r="M271" s="225"/>
      <c r="O271" s="220"/>
    </row>
    <row r="272" spans="13:15" x14ac:dyDescent="0.2">
      <c r="M272" s="225"/>
      <c r="O272" s="220"/>
    </row>
    <row r="273" spans="13:15" x14ac:dyDescent="0.2">
      <c r="M273" s="225"/>
      <c r="O273" s="220"/>
    </row>
    <row r="274" spans="13:15" x14ac:dyDescent="0.2">
      <c r="M274" s="225"/>
      <c r="O274" s="220"/>
    </row>
    <row r="275" spans="13:15" x14ac:dyDescent="0.2">
      <c r="M275" s="225"/>
      <c r="O275" s="220"/>
    </row>
    <row r="276" spans="13:15" x14ac:dyDescent="0.2">
      <c r="M276" s="225"/>
      <c r="O276" s="220"/>
    </row>
    <row r="277" spans="13:15" x14ac:dyDescent="0.2">
      <c r="M277" s="225"/>
      <c r="O277" s="220"/>
    </row>
    <row r="278" spans="13:15" x14ac:dyDescent="0.2">
      <c r="M278" s="225"/>
      <c r="O278" s="220"/>
    </row>
    <row r="279" spans="13:15" x14ac:dyDescent="0.2">
      <c r="M279" s="225"/>
      <c r="O279" s="220"/>
    </row>
    <row r="280" spans="13:15" x14ac:dyDescent="0.2">
      <c r="M280" s="225"/>
      <c r="O280" s="220"/>
    </row>
    <row r="281" spans="13:15" x14ac:dyDescent="0.2">
      <c r="M281" s="225"/>
      <c r="O281" s="220"/>
    </row>
    <row r="282" spans="13:15" x14ac:dyDescent="0.2">
      <c r="M282" s="225"/>
      <c r="O282" s="220"/>
    </row>
    <row r="283" spans="13:15" x14ac:dyDescent="0.2">
      <c r="M283" s="225"/>
      <c r="O283" s="220"/>
    </row>
    <row r="284" spans="13:15" x14ac:dyDescent="0.2">
      <c r="M284" s="225"/>
      <c r="O284" s="220"/>
    </row>
    <row r="285" spans="13:15" x14ac:dyDescent="0.2">
      <c r="M285" s="225"/>
      <c r="O285" s="220"/>
    </row>
    <row r="286" spans="13:15" x14ac:dyDescent="0.2">
      <c r="M286" s="225"/>
      <c r="O286" s="220"/>
    </row>
    <row r="287" spans="13:15" x14ac:dyDescent="0.2">
      <c r="M287" s="225"/>
      <c r="O287" s="220"/>
    </row>
    <row r="288" spans="13:15" x14ac:dyDescent="0.2">
      <c r="M288" s="225"/>
      <c r="O288" s="220"/>
    </row>
    <row r="289" spans="13:15" x14ac:dyDescent="0.2">
      <c r="M289" s="225"/>
      <c r="O289" s="220"/>
    </row>
    <row r="290" spans="13:15" x14ac:dyDescent="0.2">
      <c r="M290" s="225"/>
      <c r="O290" s="220"/>
    </row>
    <row r="291" spans="13:15" x14ac:dyDescent="0.2">
      <c r="M291" s="225"/>
      <c r="O291" s="220"/>
    </row>
    <row r="292" spans="13:15" x14ac:dyDescent="0.2">
      <c r="M292" s="225"/>
      <c r="O292" s="220"/>
    </row>
    <row r="293" spans="13:15" x14ac:dyDescent="0.2">
      <c r="M293" s="225"/>
      <c r="O293" s="220"/>
    </row>
    <row r="294" spans="13:15" x14ac:dyDescent="0.2">
      <c r="M294" s="225"/>
      <c r="O294" s="220"/>
    </row>
    <row r="295" spans="13:15" x14ac:dyDescent="0.2">
      <c r="M295" s="225"/>
      <c r="O295" s="220"/>
    </row>
    <row r="296" spans="13:15" x14ac:dyDescent="0.2">
      <c r="M296" s="225"/>
      <c r="O296" s="220"/>
    </row>
    <row r="297" spans="13:15" x14ac:dyDescent="0.2">
      <c r="M297" s="225"/>
      <c r="O297" s="220"/>
    </row>
    <row r="298" spans="13:15" x14ac:dyDescent="0.2">
      <c r="M298" s="225"/>
      <c r="O298" s="220"/>
    </row>
    <row r="299" spans="13:15" x14ac:dyDescent="0.2">
      <c r="M299" s="225"/>
      <c r="O299" s="220"/>
    </row>
    <row r="300" spans="13:15" x14ac:dyDescent="0.2">
      <c r="M300" s="225"/>
      <c r="O300" s="220"/>
    </row>
    <row r="301" spans="13:15" x14ac:dyDescent="0.2">
      <c r="M301" s="225"/>
      <c r="O301" s="220"/>
    </row>
    <row r="302" spans="13:15" x14ac:dyDescent="0.2">
      <c r="M302" s="225"/>
      <c r="O302" s="220"/>
    </row>
    <row r="303" spans="13:15" x14ac:dyDescent="0.2">
      <c r="M303" s="225"/>
      <c r="O303" s="220"/>
    </row>
    <row r="304" spans="13:15" x14ac:dyDescent="0.2">
      <c r="M304" s="225"/>
      <c r="O304" s="220"/>
    </row>
    <row r="305" spans="13:15" x14ac:dyDescent="0.2">
      <c r="M305" s="225"/>
      <c r="O305" s="220"/>
    </row>
    <row r="306" spans="13:15" x14ac:dyDescent="0.2">
      <c r="M306" s="225"/>
      <c r="O306" s="220"/>
    </row>
    <row r="307" spans="13:15" x14ac:dyDescent="0.2">
      <c r="M307" s="225"/>
      <c r="O307" s="220"/>
    </row>
    <row r="308" spans="13:15" x14ac:dyDescent="0.2">
      <c r="M308" s="225"/>
      <c r="O308" s="220"/>
    </row>
    <row r="309" spans="13:15" x14ac:dyDescent="0.2">
      <c r="M309" s="225"/>
      <c r="O309" s="220"/>
    </row>
    <row r="310" spans="13:15" x14ac:dyDescent="0.2">
      <c r="M310" s="225"/>
      <c r="O310" s="220"/>
    </row>
    <row r="311" spans="13:15" x14ac:dyDescent="0.2">
      <c r="M311" s="225"/>
      <c r="O311" s="220"/>
    </row>
    <row r="312" spans="13:15" x14ac:dyDescent="0.2">
      <c r="M312" s="225"/>
      <c r="O312" s="220"/>
    </row>
    <row r="313" spans="13:15" x14ac:dyDescent="0.2">
      <c r="M313" s="225"/>
      <c r="O313" s="220"/>
    </row>
    <row r="314" spans="13:15" x14ac:dyDescent="0.2">
      <c r="M314" s="225"/>
      <c r="O314" s="220"/>
    </row>
    <row r="315" spans="13:15" x14ac:dyDescent="0.2">
      <c r="M315" s="225"/>
      <c r="O315" s="220"/>
    </row>
    <row r="316" spans="13:15" x14ac:dyDescent="0.2">
      <c r="M316" s="225"/>
      <c r="O316" s="220"/>
    </row>
    <row r="317" spans="13:15" x14ac:dyDescent="0.2">
      <c r="M317" s="225"/>
      <c r="O317" s="220"/>
    </row>
    <row r="318" spans="13:15" x14ac:dyDescent="0.2">
      <c r="M318" s="225"/>
      <c r="O318" s="220"/>
    </row>
    <row r="319" spans="13:15" x14ac:dyDescent="0.2">
      <c r="M319" s="225"/>
      <c r="O319" s="220"/>
    </row>
    <row r="320" spans="13:15" x14ac:dyDescent="0.2">
      <c r="M320" s="225"/>
      <c r="O320" s="220"/>
    </row>
    <row r="321" spans="13:15" x14ac:dyDescent="0.2">
      <c r="M321" s="225"/>
      <c r="O321" s="220"/>
    </row>
    <row r="322" spans="13:15" x14ac:dyDescent="0.2">
      <c r="M322" s="225"/>
      <c r="O322" s="220"/>
    </row>
    <row r="323" spans="13:15" x14ac:dyDescent="0.2">
      <c r="M323" s="225"/>
      <c r="O323" s="220"/>
    </row>
    <row r="324" spans="13:15" x14ac:dyDescent="0.2">
      <c r="M324" s="225"/>
      <c r="O324" s="220"/>
    </row>
    <row r="325" spans="13:15" x14ac:dyDescent="0.2">
      <c r="M325" s="225"/>
      <c r="O325" s="220"/>
    </row>
    <row r="326" spans="13:15" x14ac:dyDescent="0.2">
      <c r="M326" s="225"/>
      <c r="O326" s="220"/>
    </row>
    <row r="327" spans="13:15" x14ac:dyDescent="0.2">
      <c r="M327" s="225"/>
      <c r="O327" s="220"/>
    </row>
    <row r="328" spans="13:15" x14ac:dyDescent="0.2">
      <c r="M328" s="225"/>
      <c r="O328" s="220"/>
    </row>
    <row r="329" spans="13:15" x14ac:dyDescent="0.2">
      <c r="M329" s="225"/>
      <c r="O329" s="220"/>
    </row>
    <row r="330" spans="13:15" x14ac:dyDescent="0.2">
      <c r="M330" s="225"/>
      <c r="O330" s="220"/>
    </row>
    <row r="331" spans="13:15" x14ac:dyDescent="0.2">
      <c r="M331" s="225"/>
      <c r="O331" s="220"/>
    </row>
    <row r="332" spans="13:15" x14ac:dyDescent="0.2">
      <c r="M332" s="225"/>
      <c r="O332" s="220"/>
    </row>
    <row r="333" spans="13:15" x14ac:dyDescent="0.2">
      <c r="M333" s="225"/>
      <c r="O333" s="220"/>
    </row>
    <row r="334" spans="13:15" x14ac:dyDescent="0.2">
      <c r="M334" s="225"/>
      <c r="O334" s="220"/>
    </row>
    <row r="335" spans="13:15" x14ac:dyDescent="0.2">
      <c r="M335" s="225"/>
      <c r="O335" s="220"/>
    </row>
    <row r="336" spans="13:15" x14ac:dyDescent="0.2">
      <c r="M336" s="225"/>
      <c r="O336" s="220"/>
    </row>
    <row r="337" spans="13:15" x14ac:dyDescent="0.2">
      <c r="M337" s="225"/>
      <c r="O337" s="220"/>
    </row>
    <row r="338" spans="13:15" x14ac:dyDescent="0.2">
      <c r="M338" s="225"/>
      <c r="O338" s="220"/>
    </row>
    <row r="339" spans="13:15" x14ac:dyDescent="0.2">
      <c r="M339" s="225"/>
      <c r="O339" s="220"/>
    </row>
    <row r="340" spans="13:15" x14ac:dyDescent="0.2">
      <c r="M340" s="225"/>
      <c r="O340" s="220"/>
    </row>
    <row r="341" spans="13:15" x14ac:dyDescent="0.2">
      <c r="M341" s="225"/>
      <c r="O341" s="220"/>
    </row>
    <row r="342" spans="13:15" x14ac:dyDescent="0.2">
      <c r="M342" s="225"/>
      <c r="O342" s="220"/>
    </row>
    <row r="343" spans="13:15" x14ac:dyDescent="0.2">
      <c r="M343" s="225"/>
      <c r="O343" s="220"/>
    </row>
    <row r="344" spans="13:15" x14ac:dyDescent="0.2">
      <c r="M344" s="225"/>
      <c r="O344" s="220"/>
    </row>
    <row r="345" spans="13:15" x14ac:dyDescent="0.2">
      <c r="M345" s="225"/>
      <c r="O345" s="220"/>
    </row>
    <row r="346" spans="13:15" x14ac:dyDescent="0.2">
      <c r="M346" s="225"/>
      <c r="O346" s="220"/>
    </row>
    <row r="347" spans="13:15" x14ac:dyDescent="0.2">
      <c r="M347" s="225"/>
      <c r="O347" s="220"/>
    </row>
    <row r="348" spans="13:15" x14ac:dyDescent="0.2">
      <c r="M348" s="225"/>
      <c r="O348" s="220"/>
    </row>
    <row r="349" spans="13:15" x14ac:dyDescent="0.2">
      <c r="M349" s="225"/>
      <c r="O349" s="220"/>
    </row>
    <row r="350" spans="13:15" x14ac:dyDescent="0.2">
      <c r="M350" s="225"/>
      <c r="O350" s="220"/>
    </row>
    <row r="351" spans="13:15" x14ac:dyDescent="0.2">
      <c r="M351" s="225"/>
      <c r="O351" s="220"/>
    </row>
    <row r="352" spans="13:15" x14ac:dyDescent="0.2">
      <c r="M352" s="225"/>
      <c r="O352" s="220"/>
    </row>
    <row r="353" spans="13:15" x14ac:dyDescent="0.2">
      <c r="M353" s="225"/>
      <c r="O353" s="220"/>
    </row>
    <row r="354" spans="13:15" x14ac:dyDescent="0.2">
      <c r="M354" s="225"/>
      <c r="O354" s="220"/>
    </row>
    <row r="355" spans="13:15" x14ac:dyDescent="0.2">
      <c r="M355" s="225"/>
      <c r="O355" s="220"/>
    </row>
    <row r="356" spans="13:15" x14ac:dyDescent="0.2">
      <c r="M356" s="225"/>
      <c r="O356" s="220"/>
    </row>
    <row r="357" spans="13:15" x14ac:dyDescent="0.2">
      <c r="M357" s="225"/>
      <c r="O357" s="220"/>
    </row>
    <row r="358" spans="13:15" x14ac:dyDescent="0.2">
      <c r="M358" s="225"/>
      <c r="O358" s="220"/>
    </row>
    <row r="359" spans="13:15" x14ac:dyDescent="0.2">
      <c r="M359" s="225"/>
      <c r="O359" s="220"/>
    </row>
    <row r="360" spans="13:15" x14ac:dyDescent="0.2">
      <c r="M360" s="225"/>
      <c r="O360" s="220"/>
    </row>
    <row r="361" spans="13:15" x14ac:dyDescent="0.2">
      <c r="M361" s="225"/>
      <c r="O361" s="220"/>
    </row>
    <row r="362" spans="13:15" x14ac:dyDescent="0.2">
      <c r="M362" s="17"/>
      <c r="O362" s="12"/>
    </row>
    <row r="363" spans="13:15" ht="13.5" thickBot="1" x14ac:dyDescent="0.25">
      <c r="M363" s="230"/>
      <c r="O363" s="12"/>
    </row>
    <row r="364" spans="13:15" x14ac:dyDescent="0.2">
      <c r="M364" s="231"/>
      <c r="O364" s="12"/>
    </row>
    <row r="365" spans="13:15" x14ac:dyDescent="0.2">
      <c r="M365" s="231"/>
      <c r="O365" s="12"/>
    </row>
    <row r="366" spans="13:15" x14ac:dyDescent="0.2">
      <c r="M366" s="231"/>
      <c r="O366" s="12"/>
    </row>
    <row r="367" spans="13:15" x14ac:dyDescent="0.2">
      <c r="M367" s="231"/>
      <c r="O367" s="12"/>
    </row>
    <row r="368" spans="13:15" x14ac:dyDescent="0.2">
      <c r="M368" s="231"/>
      <c r="O368" s="12"/>
    </row>
    <row r="369" spans="13:15" x14ac:dyDescent="0.2">
      <c r="M369" s="231"/>
      <c r="O369" s="12"/>
    </row>
    <row r="370" spans="13:15" x14ac:dyDescent="0.2">
      <c r="M370" s="231"/>
      <c r="O370" s="12"/>
    </row>
    <row r="371" spans="13:15" x14ac:dyDescent="0.2">
      <c r="M371" s="231"/>
      <c r="O371" s="12"/>
    </row>
    <row r="372" spans="13:15" x14ac:dyDescent="0.2">
      <c r="M372" s="231"/>
      <c r="O372" s="12"/>
    </row>
    <row r="373" spans="13:15" x14ac:dyDescent="0.2">
      <c r="M373" s="231"/>
      <c r="O373" s="12"/>
    </row>
    <row r="374" spans="13:15" x14ac:dyDescent="0.2">
      <c r="M374" s="231"/>
      <c r="O374" s="12"/>
    </row>
    <row r="375" spans="13:15" x14ac:dyDescent="0.2">
      <c r="M375" s="231"/>
      <c r="O375" s="12"/>
    </row>
    <row r="376" spans="13:15" x14ac:dyDescent="0.2">
      <c r="M376" s="231"/>
      <c r="O376" s="12"/>
    </row>
    <row r="377" spans="13:15" x14ac:dyDescent="0.2">
      <c r="M377" s="231"/>
      <c r="O377" s="12"/>
    </row>
    <row r="378" spans="13:15" x14ac:dyDescent="0.2">
      <c r="M378" s="231"/>
      <c r="O378" s="12"/>
    </row>
    <row r="379" spans="13:15" x14ac:dyDescent="0.2">
      <c r="M379" s="231"/>
      <c r="O379" s="12"/>
    </row>
    <row r="380" spans="13:15" x14ac:dyDescent="0.2">
      <c r="M380" s="231"/>
      <c r="O380" s="12"/>
    </row>
    <row r="381" spans="13:15" x14ac:dyDescent="0.2">
      <c r="M381" s="231"/>
      <c r="O381" s="12"/>
    </row>
    <row r="382" spans="13:15" x14ac:dyDescent="0.2">
      <c r="M382" s="12"/>
      <c r="O382" s="12"/>
    </row>
    <row r="383" spans="13:15" x14ac:dyDescent="0.2">
      <c r="M383" s="12"/>
      <c r="O383" s="12"/>
    </row>
    <row r="384" spans="13:15" x14ac:dyDescent="0.2">
      <c r="M384" s="12"/>
      <c r="O384" s="12"/>
    </row>
    <row r="385" spans="13:15" x14ac:dyDescent="0.2">
      <c r="M385" s="12"/>
      <c r="O385" s="12"/>
    </row>
    <row r="386" spans="13:15" x14ac:dyDescent="0.2">
      <c r="M386" s="12"/>
      <c r="O386" s="12"/>
    </row>
    <row r="387" spans="13:15" x14ac:dyDescent="0.2">
      <c r="M387" s="12"/>
      <c r="O387" s="12"/>
    </row>
    <row r="388" spans="13:15" x14ac:dyDescent="0.2">
      <c r="M388" s="12"/>
      <c r="O388" s="12"/>
    </row>
    <row r="389" spans="13:15" x14ac:dyDescent="0.2">
      <c r="M389" s="12"/>
      <c r="O389" s="12"/>
    </row>
    <row r="390" spans="13:15" x14ac:dyDescent="0.2">
      <c r="M390" s="12"/>
      <c r="O390" s="12"/>
    </row>
    <row r="391" spans="13:15" x14ac:dyDescent="0.2">
      <c r="M391" s="12"/>
      <c r="O391" s="12"/>
    </row>
    <row r="392" spans="13:15" x14ac:dyDescent="0.2">
      <c r="M392" s="12"/>
      <c r="O392" s="12"/>
    </row>
    <row r="393" spans="13:15" x14ac:dyDescent="0.2">
      <c r="M393" s="12"/>
      <c r="O393" s="12"/>
    </row>
    <row r="394" spans="13:15" x14ac:dyDescent="0.2">
      <c r="M394" s="12"/>
      <c r="O394" s="12"/>
    </row>
    <row r="395" spans="13:15" x14ac:dyDescent="0.2">
      <c r="M395" s="12"/>
      <c r="O395" s="12"/>
    </row>
    <row r="396" spans="13:15" x14ac:dyDescent="0.2">
      <c r="M396" s="12"/>
      <c r="O396" s="12"/>
    </row>
    <row r="397" spans="13:15" x14ac:dyDescent="0.2">
      <c r="M397" s="12"/>
      <c r="O397" s="12"/>
    </row>
    <row r="398" spans="13:15" x14ac:dyDescent="0.2">
      <c r="M398" s="12"/>
      <c r="O398" s="12"/>
    </row>
    <row r="399" spans="13:15" x14ac:dyDescent="0.2">
      <c r="M399" s="12"/>
      <c r="O399" s="12"/>
    </row>
    <row r="400" spans="13:15" x14ac:dyDescent="0.2">
      <c r="M400" s="12"/>
      <c r="O400" s="12"/>
    </row>
    <row r="401" spans="13:15" x14ac:dyDescent="0.2">
      <c r="M401" s="12"/>
      <c r="O401" s="12"/>
    </row>
    <row r="402" spans="13:15" x14ac:dyDescent="0.2">
      <c r="M402" s="12"/>
      <c r="O402" s="12"/>
    </row>
    <row r="403" spans="13:15" x14ac:dyDescent="0.2">
      <c r="M403" s="12"/>
      <c r="O403" s="12"/>
    </row>
    <row r="404" spans="13:15" x14ac:dyDescent="0.2">
      <c r="M404" s="12"/>
      <c r="O404" s="12"/>
    </row>
    <row r="405" spans="13:15" x14ac:dyDescent="0.2">
      <c r="M405" s="12"/>
    </row>
    <row r="406" spans="13:15" x14ac:dyDescent="0.2">
      <c r="M406" s="12"/>
    </row>
    <row r="407" spans="13:15" x14ac:dyDescent="0.2">
      <c r="M407" s="12"/>
    </row>
    <row r="408" spans="13:15" x14ac:dyDescent="0.2">
      <c r="M408" s="12"/>
    </row>
    <row r="409" spans="13:15" x14ac:dyDescent="0.2">
      <c r="M409" s="12"/>
    </row>
    <row r="410" spans="13:15" x14ac:dyDescent="0.2">
      <c r="M410" s="12"/>
    </row>
    <row r="411" spans="13:15" x14ac:dyDescent="0.2">
      <c r="M411" s="12"/>
    </row>
    <row r="412" spans="13:15" x14ac:dyDescent="0.2">
      <c r="M412" s="12"/>
    </row>
    <row r="413" spans="13:15" x14ac:dyDescent="0.2">
      <c r="M413" s="12"/>
    </row>
    <row r="414" spans="13:15" x14ac:dyDescent="0.2">
      <c r="M414" s="12"/>
    </row>
    <row r="415" spans="13:15" x14ac:dyDescent="0.2">
      <c r="M415" s="12"/>
    </row>
    <row r="416" spans="13:15" x14ac:dyDescent="0.2">
      <c r="M416" s="12"/>
    </row>
    <row r="417" spans="13:13" x14ac:dyDescent="0.2">
      <c r="M417" s="12"/>
    </row>
    <row r="418" spans="13:13" x14ac:dyDescent="0.2">
      <c r="M418" s="12"/>
    </row>
    <row r="419" spans="13:13" x14ac:dyDescent="0.2">
      <c r="M419" s="12"/>
    </row>
    <row r="420" spans="13:13" x14ac:dyDescent="0.2">
      <c r="M420" s="12"/>
    </row>
    <row r="421" spans="13:13" x14ac:dyDescent="0.2">
      <c r="M421" s="12"/>
    </row>
    <row r="422" spans="13:13" x14ac:dyDescent="0.2">
      <c r="M422" s="12"/>
    </row>
    <row r="423" spans="13:13" x14ac:dyDescent="0.2">
      <c r="M423" s="12"/>
    </row>
    <row r="424" spans="13:13" x14ac:dyDescent="0.2">
      <c r="M424" s="12"/>
    </row>
    <row r="425" spans="13:13" x14ac:dyDescent="0.2">
      <c r="M425" s="12"/>
    </row>
    <row r="426" spans="13:13" x14ac:dyDescent="0.2">
      <c r="M426" s="12"/>
    </row>
    <row r="427" spans="13:13" x14ac:dyDescent="0.2">
      <c r="M427" s="12"/>
    </row>
    <row r="428" spans="13:13" x14ac:dyDescent="0.2">
      <c r="M428" s="12"/>
    </row>
    <row r="429" spans="13:13" x14ac:dyDescent="0.2">
      <c r="M429" s="12"/>
    </row>
    <row r="430" spans="13:13" x14ac:dyDescent="0.2">
      <c r="M430" s="12"/>
    </row>
    <row r="431" spans="13:13" x14ac:dyDescent="0.2">
      <c r="M431" s="12"/>
    </row>
    <row r="432" spans="13:13" x14ac:dyDescent="0.2">
      <c r="M432" s="12"/>
    </row>
    <row r="433" spans="13:13" x14ac:dyDescent="0.2">
      <c r="M433" s="12"/>
    </row>
    <row r="434" spans="13:13" x14ac:dyDescent="0.2">
      <c r="M434" s="12"/>
    </row>
    <row r="435" spans="13:13" x14ac:dyDescent="0.2">
      <c r="M435" s="12"/>
    </row>
    <row r="436" spans="13:13" x14ac:dyDescent="0.2">
      <c r="M436" s="12"/>
    </row>
    <row r="437" spans="13:13" x14ac:dyDescent="0.2">
      <c r="M437" s="12"/>
    </row>
    <row r="438" spans="13:13" x14ac:dyDescent="0.2">
      <c r="M438" s="12"/>
    </row>
    <row r="439" spans="13:13" x14ac:dyDescent="0.2">
      <c r="M439" s="12"/>
    </row>
    <row r="440" spans="13:13" x14ac:dyDescent="0.2">
      <c r="M440" s="12"/>
    </row>
    <row r="441" spans="13:13" x14ac:dyDescent="0.2">
      <c r="M441" s="12"/>
    </row>
    <row r="442" spans="13:13" x14ac:dyDescent="0.2">
      <c r="M442" s="12"/>
    </row>
    <row r="443" spans="13:13" x14ac:dyDescent="0.2">
      <c r="M443" s="12"/>
    </row>
    <row r="444" spans="13:13" x14ac:dyDescent="0.2">
      <c r="M444" s="12"/>
    </row>
    <row r="445" spans="13:13" x14ac:dyDescent="0.2">
      <c r="M445" s="12"/>
    </row>
    <row r="446" spans="13:13" x14ac:dyDescent="0.2">
      <c r="M446" s="12"/>
    </row>
    <row r="447" spans="13:13" x14ac:dyDescent="0.2">
      <c r="M447" s="12"/>
    </row>
    <row r="448" spans="13:13" x14ac:dyDescent="0.2">
      <c r="M448" s="12"/>
    </row>
    <row r="449" spans="13:13" x14ac:dyDescent="0.2">
      <c r="M449" s="12"/>
    </row>
    <row r="450" spans="13:13" x14ac:dyDescent="0.2">
      <c r="M450" s="12"/>
    </row>
    <row r="451" spans="13:13" x14ac:dyDescent="0.2">
      <c r="M451" s="12"/>
    </row>
    <row r="452" spans="13:13" x14ac:dyDescent="0.2">
      <c r="M452" s="12"/>
    </row>
    <row r="453" spans="13:13" x14ac:dyDescent="0.2">
      <c r="M453" s="12"/>
    </row>
    <row r="454" spans="13:13" x14ac:dyDescent="0.2">
      <c r="M454" s="12"/>
    </row>
    <row r="455" spans="13:13" x14ac:dyDescent="0.2">
      <c r="M455" s="12"/>
    </row>
    <row r="456" spans="13:13" x14ac:dyDescent="0.2">
      <c r="M456" s="12"/>
    </row>
    <row r="457" spans="13:13" x14ac:dyDescent="0.2">
      <c r="M457" s="12"/>
    </row>
    <row r="458" spans="13:13" x14ac:dyDescent="0.2">
      <c r="M458" s="12"/>
    </row>
    <row r="459" spans="13:13" x14ac:dyDescent="0.2">
      <c r="M459" s="12"/>
    </row>
    <row r="460" spans="13:13" x14ac:dyDescent="0.2">
      <c r="M460" s="12"/>
    </row>
    <row r="461" spans="13:13" x14ac:dyDescent="0.2">
      <c r="M461" s="12"/>
    </row>
    <row r="462" spans="13:13" x14ac:dyDescent="0.2">
      <c r="M462" s="12"/>
    </row>
    <row r="463" spans="13:13" x14ac:dyDescent="0.2">
      <c r="M463" s="12"/>
    </row>
    <row r="464" spans="13:13" x14ac:dyDescent="0.2">
      <c r="M464" s="12"/>
    </row>
    <row r="465" spans="13:13" x14ac:dyDescent="0.2">
      <c r="M465" s="12"/>
    </row>
    <row r="466" spans="13:13" x14ac:dyDescent="0.2">
      <c r="M466" s="12"/>
    </row>
    <row r="467" spans="13:13" x14ac:dyDescent="0.2">
      <c r="M467" s="12"/>
    </row>
    <row r="468" spans="13:13" x14ac:dyDescent="0.2">
      <c r="M468" s="12"/>
    </row>
    <row r="469" spans="13:13" x14ac:dyDescent="0.2">
      <c r="M469" s="12"/>
    </row>
    <row r="470" spans="13:13" x14ac:dyDescent="0.2">
      <c r="M470" s="12"/>
    </row>
    <row r="471" spans="13:13" x14ac:dyDescent="0.2">
      <c r="M471" s="12"/>
    </row>
    <row r="472" spans="13:13" x14ac:dyDescent="0.2">
      <c r="M472" s="12"/>
    </row>
    <row r="473" spans="13:13" x14ac:dyDescent="0.2">
      <c r="M473" s="12"/>
    </row>
    <row r="474" spans="13:13" x14ac:dyDescent="0.2">
      <c r="M474" s="12"/>
    </row>
    <row r="475" spans="13:13" x14ac:dyDescent="0.2">
      <c r="M475" s="12"/>
    </row>
    <row r="476" spans="13:13" x14ac:dyDescent="0.2">
      <c r="M476" s="12"/>
    </row>
    <row r="477" spans="13:13" x14ac:dyDescent="0.2">
      <c r="M477" s="12"/>
    </row>
    <row r="478" spans="13:13" x14ac:dyDescent="0.2">
      <c r="M478" s="12"/>
    </row>
    <row r="479" spans="13:13" x14ac:dyDescent="0.2">
      <c r="M479" s="12"/>
    </row>
    <row r="480" spans="13:13" x14ac:dyDescent="0.2">
      <c r="M480" s="12"/>
    </row>
    <row r="481" spans="13:13" x14ac:dyDescent="0.2">
      <c r="M481" s="12"/>
    </row>
    <row r="482" spans="13:13" x14ac:dyDescent="0.2">
      <c r="M482" s="12"/>
    </row>
    <row r="483" spans="13:13" x14ac:dyDescent="0.2">
      <c r="M483" s="12"/>
    </row>
    <row r="484" spans="13:13" x14ac:dyDescent="0.2">
      <c r="M484" s="12"/>
    </row>
    <row r="485" spans="13:13" x14ac:dyDescent="0.2">
      <c r="M485" s="12"/>
    </row>
    <row r="486" spans="13:13" x14ac:dyDescent="0.2">
      <c r="M486" s="12"/>
    </row>
    <row r="487" spans="13:13" x14ac:dyDescent="0.2">
      <c r="M487" s="12"/>
    </row>
    <row r="488" spans="13:13" x14ac:dyDescent="0.2">
      <c r="M488" s="12"/>
    </row>
    <row r="489" spans="13:13" x14ac:dyDescent="0.2">
      <c r="M489" s="12"/>
    </row>
    <row r="490" spans="13:13" x14ac:dyDescent="0.2">
      <c r="M490" s="12"/>
    </row>
    <row r="491" spans="13:13" x14ac:dyDescent="0.2">
      <c r="M491" s="12"/>
    </row>
    <row r="492" spans="13:13" x14ac:dyDescent="0.2">
      <c r="M492" s="12"/>
    </row>
    <row r="493" spans="13:13" x14ac:dyDescent="0.2">
      <c r="M493" s="12"/>
    </row>
    <row r="494" spans="13:13" x14ac:dyDescent="0.2">
      <c r="M494" s="12"/>
    </row>
    <row r="495" spans="13:13" x14ac:dyDescent="0.2">
      <c r="M495" s="12"/>
    </row>
    <row r="496" spans="13:13" x14ac:dyDescent="0.2">
      <c r="M496" s="12"/>
    </row>
    <row r="497" spans="13:13" x14ac:dyDescent="0.2">
      <c r="M497" s="12"/>
    </row>
    <row r="498" spans="13:13" x14ac:dyDescent="0.2">
      <c r="M498" s="12"/>
    </row>
    <row r="499" spans="13:13" x14ac:dyDescent="0.2">
      <c r="M499" s="12"/>
    </row>
    <row r="500" spans="13:13" x14ac:dyDescent="0.2">
      <c r="M500" s="12"/>
    </row>
    <row r="501" spans="13:13" x14ac:dyDescent="0.2">
      <c r="M501" s="12"/>
    </row>
    <row r="502" spans="13:13" x14ac:dyDescent="0.2">
      <c r="M502" s="12"/>
    </row>
    <row r="503" spans="13:13" x14ac:dyDescent="0.2">
      <c r="M503" s="12"/>
    </row>
    <row r="504" spans="13:13" x14ac:dyDescent="0.2">
      <c r="M504" s="12"/>
    </row>
    <row r="505" spans="13:13" x14ac:dyDescent="0.2">
      <c r="M505" s="12"/>
    </row>
    <row r="506" spans="13:13" x14ac:dyDescent="0.2">
      <c r="M506" s="12"/>
    </row>
    <row r="507" spans="13:13" x14ac:dyDescent="0.2">
      <c r="M507" s="12"/>
    </row>
    <row r="508" spans="13:13" x14ac:dyDescent="0.2">
      <c r="M508" s="12"/>
    </row>
    <row r="509" spans="13:13" x14ac:dyDescent="0.2">
      <c r="M509" s="12"/>
    </row>
    <row r="510" spans="13:13" x14ac:dyDescent="0.2">
      <c r="M510" s="12"/>
    </row>
    <row r="511" spans="13:13" x14ac:dyDescent="0.2">
      <c r="M511" s="12"/>
    </row>
    <row r="512" spans="13:13" x14ac:dyDescent="0.2">
      <c r="M512" s="12"/>
    </row>
    <row r="513" spans="13:13" x14ac:dyDescent="0.2">
      <c r="M513" s="12"/>
    </row>
    <row r="514" spans="13:13" x14ac:dyDescent="0.2">
      <c r="M514" s="12"/>
    </row>
    <row r="515" spans="13:13" x14ac:dyDescent="0.2">
      <c r="M515" s="12"/>
    </row>
    <row r="516" spans="13:13" x14ac:dyDescent="0.2">
      <c r="M516" s="12"/>
    </row>
    <row r="517" spans="13:13" x14ac:dyDescent="0.2">
      <c r="M517" s="12"/>
    </row>
    <row r="518" spans="13:13" x14ac:dyDescent="0.2">
      <c r="M518" s="12"/>
    </row>
    <row r="519" spans="13:13" x14ac:dyDescent="0.2">
      <c r="M519" s="12"/>
    </row>
    <row r="520" spans="13:13" x14ac:dyDescent="0.2">
      <c r="M520" s="12"/>
    </row>
    <row r="521" spans="13:13" x14ac:dyDescent="0.2">
      <c r="M521" s="12"/>
    </row>
    <row r="522" spans="13:13" x14ac:dyDescent="0.2">
      <c r="M522" s="12"/>
    </row>
    <row r="523" spans="13:13" x14ac:dyDescent="0.2">
      <c r="M523" s="12"/>
    </row>
    <row r="524" spans="13:13" x14ac:dyDescent="0.2">
      <c r="M524" s="12"/>
    </row>
    <row r="525" spans="13:13" x14ac:dyDescent="0.2">
      <c r="M525" s="12"/>
    </row>
    <row r="526" spans="13:13" x14ac:dyDescent="0.2">
      <c r="M526" s="12"/>
    </row>
    <row r="527" spans="13:13" x14ac:dyDescent="0.2">
      <c r="M527" s="12"/>
    </row>
    <row r="528" spans="13:13" x14ac:dyDescent="0.2">
      <c r="M528" s="12"/>
    </row>
    <row r="529" spans="13:13" x14ac:dyDescent="0.2">
      <c r="M529" s="12"/>
    </row>
    <row r="530" spans="13:13" x14ac:dyDescent="0.2">
      <c r="M530" s="12"/>
    </row>
    <row r="531" spans="13:13" x14ac:dyDescent="0.2">
      <c r="M531" s="12"/>
    </row>
    <row r="532" spans="13:13" x14ac:dyDescent="0.2">
      <c r="M532" s="12"/>
    </row>
    <row r="533" spans="13:13" x14ac:dyDescent="0.2">
      <c r="M533" s="12"/>
    </row>
    <row r="534" spans="13:13" x14ac:dyDescent="0.2">
      <c r="M534" s="12"/>
    </row>
    <row r="535" spans="13:13" x14ac:dyDescent="0.2">
      <c r="M535" s="12"/>
    </row>
    <row r="536" spans="13:13" x14ac:dyDescent="0.2">
      <c r="M536" s="12"/>
    </row>
    <row r="537" spans="13:13" x14ac:dyDescent="0.2">
      <c r="M537" s="12"/>
    </row>
    <row r="538" spans="13:13" x14ac:dyDescent="0.2">
      <c r="M538" s="12"/>
    </row>
    <row r="539" spans="13:13" x14ac:dyDescent="0.2">
      <c r="M539" s="12"/>
    </row>
    <row r="540" spans="13:13" x14ac:dyDescent="0.2">
      <c r="M540" s="12"/>
    </row>
    <row r="541" spans="13:13" x14ac:dyDescent="0.2">
      <c r="M541" s="12"/>
    </row>
    <row r="542" spans="13:13" x14ac:dyDescent="0.2">
      <c r="M542" s="12"/>
    </row>
    <row r="543" spans="13:13" x14ac:dyDescent="0.2">
      <c r="M543" s="12"/>
    </row>
    <row r="544" spans="13:13" x14ac:dyDescent="0.2">
      <c r="M544" s="12"/>
    </row>
    <row r="545" spans="13:13" x14ac:dyDescent="0.2">
      <c r="M545" s="12"/>
    </row>
    <row r="546" spans="13:13" x14ac:dyDescent="0.2">
      <c r="M546" s="12"/>
    </row>
    <row r="547" spans="13:13" x14ac:dyDescent="0.2">
      <c r="M547" s="12"/>
    </row>
    <row r="548" spans="13:13" x14ac:dyDescent="0.2">
      <c r="M548" s="12"/>
    </row>
    <row r="549" spans="13:13" x14ac:dyDescent="0.2">
      <c r="M549" s="12"/>
    </row>
    <row r="550" spans="13:13" x14ac:dyDescent="0.2">
      <c r="M550" s="12"/>
    </row>
    <row r="551" spans="13:13" x14ac:dyDescent="0.2">
      <c r="M551" s="12"/>
    </row>
    <row r="552" spans="13:13" x14ac:dyDescent="0.2">
      <c r="M552" s="12"/>
    </row>
    <row r="553" spans="13:13" x14ac:dyDescent="0.2">
      <c r="M553" s="12"/>
    </row>
    <row r="554" spans="13:13" x14ac:dyDescent="0.2">
      <c r="M554" s="12"/>
    </row>
    <row r="555" spans="13:13" x14ac:dyDescent="0.2">
      <c r="M555" s="12"/>
    </row>
    <row r="556" spans="13:13" x14ac:dyDescent="0.2">
      <c r="M556" s="12"/>
    </row>
    <row r="557" spans="13:13" x14ac:dyDescent="0.2">
      <c r="M557" s="12"/>
    </row>
    <row r="558" spans="13:13" x14ac:dyDescent="0.2">
      <c r="M558" s="12"/>
    </row>
    <row r="559" spans="13:13" x14ac:dyDescent="0.2">
      <c r="M559" s="12"/>
    </row>
    <row r="560" spans="13:13" x14ac:dyDescent="0.2">
      <c r="M560" s="12"/>
    </row>
    <row r="561" spans="13:13" x14ac:dyDescent="0.2">
      <c r="M561" s="12"/>
    </row>
    <row r="562" spans="13:13" x14ac:dyDescent="0.2">
      <c r="M562" s="12"/>
    </row>
    <row r="563" spans="13:13" x14ac:dyDescent="0.2">
      <c r="M563" s="12"/>
    </row>
    <row r="564" spans="13:13" x14ac:dyDescent="0.2">
      <c r="M564" s="12"/>
    </row>
    <row r="565" spans="13:13" x14ac:dyDescent="0.2">
      <c r="M565" s="12"/>
    </row>
    <row r="566" spans="13:13" x14ac:dyDescent="0.2">
      <c r="M566" s="12"/>
    </row>
    <row r="567" spans="13:13" x14ac:dyDescent="0.2">
      <c r="M567" s="12"/>
    </row>
    <row r="568" spans="13:13" x14ac:dyDescent="0.2">
      <c r="M568" s="12"/>
    </row>
    <row r="569" spans="13:13" x14ac:dyDescent="0.2">
      <c r="M569" s="12"/>
    </row>
    <row r="570" spans="13:13" x14ac:dyDescent="0.2">
      <c r="M570" s="12"/>
    </row>
    <row r="571" spans="13:13" x14ac:dyDescent="0.2">
      <c r="M571" s="12"/>
    </row>
    <row r="572" spans="13:13" x14ac:dyDescent="0.2">
      <c r="M572" s="12"/>
    </row>
    <row r="573" spans="13:13" x14ac:dyDescent="0.2">
      <c r="M573" s="12"/>
    </row>
    <row r="574" spans="13:13" x14ac:dyDescent="0.2">
      <c r="M574" s="12"/>
    </row>
    <row r="575" spans="13:13" x14ac:dyDescent="0.2">
      <c r="M575" s="12"/>
    </row>
    <row r="576" spans="13:13" x14ac:dyDescent="0.2">
      <c r="M576" s="12"/>
    </row>
    <row r="577" spans="13:13" x14ac:dyDescent="0.2">
      <c r="M577" s="12"/>
    </row>
    <row r="578" spans="13:13" x14ac:dyDescent="0.2">
      <c r="M578" s="12"/>
    </row>
    <row r="579" spans="13:13" x14ac:dyDescent="0.2">
      <c r="M579" s="12"/>
    </row>
    <row r="580" spans="13:13" x14ac:dyDescent="0.2">
      <c r="M580" s="12"/>
    </row>
    <row r="581" spans="13:13" x14ac:dyDescent="0.2">
      <c r="M581" s="12"/>
    </row>
    <row r="582" spans="13:13" x14ac:dyDescent="0.2">
      <c r="M582" s="12"/>
    </row>
    <row r="583" spans="13:13" x14ac:dyDescent="0.2">
      <c r="M583" s="12"/>
    </row>
    <row r="584" spans="13:13" x14ac:dyDescent="0.2">
      <c r="M584" s="12"/>
    </row>
    <row r="585" spans="13:13" x14ac:dyDescent="0.2">
      <c r="M585" s="12"/>
    </row>
    <row r="586" spans="13:13" x14ac:dyDescent="0.2">
      <c r="M586" s="12"/>
    </row>
    <row r="587" spans="13:13" x14ac:dyDescent="0.2">
      <c r="M587" s="12"/>
    </row>
    <row r="588" spans="13:13" x14ac:dyDescent="0.2">
      <c r="M588" s="12"/>
    </row>
    <row r="589" spans="13:13" x14ac:dyDescent="0.2">
      <c r="M589" s="12"/>
    </row>
    <row r="590" spans="13:13" x14ac:dyDescent="0.2">
      <c r="M590" s="12"/>
    </row>
    <row r="591" spans="13:13" x14ac:dyDescent="0.2">
      <c r="M591" s="12"/>
    </row>
    <row r="592" spans="13:13" x14ac:dyDescent="0.2">
      <c r="M592" s="12"/>
    </row>
    <row r="593" spans="13:13" x14ac:dyDescent="0.2">
      <c r="M593" s="12"/>
    </row>
    <row r="594" spans="13:13" x14ac:dyDescent="0.2">
      <c r="M594" s="12"/>
    </row>
    <row r="595" spans="13:13" x14ac:dyDescent="0.2">
      <c r="M595" s="12"/>
    </row>
    <row r="596" spans="13:13" x14ac:dyDescent="0.2">
      <c r="M596" s="12"/>
    </row>
    <row r="597" spans="13:13" x14ac:dyDescent="0.2">
      <c r="M597" s="12"/>
    </row>
    <row r="598" spans="13:13" x14ac:dyDescent="0.2">
      <c r="M598" s="12"/>
    </row>
    <row r="599" spans="13:13" x14ac:dyDescent="0.2">
      <c r="M599" s="12"/>
    </row>
    <row r="600" spans="13:13" x14ac:dyDescent="0.2">
      <c r="M600" s="12"/>
    </row>
    <row r="601" spans="13:13" x14ac:dyDescent="0.2">
      <c r="M601" s="12"/>
    </row>
    <row r="602" spans="13:13" x14ac:dyDescent="0.2">
      <c r="M602" s="12"/>
    </row>
    <row r="603" spans="13:13" x14ac:dyDescent="0.2">
      <c r="M603" s="12"/>
    </row>
    <row r="604" spans="13:13" x14ac:dyDescent="0.2">
      <c r="M604" s="12"/>
    </row>
    <row r="605" spans="13:13" x14ac:dyDescent="0.2">
      <c r="M605" s="12"/>
    </row>
    <row r="606" spans="13:13" x14ac:dyDescent="0.2">
      <c r="M606" s="12"/>
    </row>
    <row r="607" spans="13:13" x14ac:dyDescent="0.2">
      <c r="M607" s="12"/>
    </row>
    <row r="608" spans="13:13" x14ac:dyDescent="0.2">
      <c r="M608" s="12"/>
    </row>
    <row r="609" spans="13:13" x14ac:dyDescent="0.2">
      <c r="M609" s="12"/>
    </row>
    <row r="610" spans="13:13" x14ac:dyDescent="0.2">
      <c r="M610" s="12"/>
    </row>
    <row r="611" spans="13:13" x14ac:dyDescent="0.2">
      <c r="M611" s="12"/>
    </row>
    <row r="612" spans="13:13" x14ac:dyDescent="0.2">
      <c r="M612" s="12"/>
    </row>
    <row r="613" spans="13:13" x14ac:dyDescent="0.2">
      <c r="M613" s="12"/>
    </row>
    <row r="614" spans="13:13" x14ac:dyDescent="0.2">
      <c r="M614" s="12"/>
    </row>
    <row r="615" spans="13:13" x14ac:dyDescent="0.2">
      <c r="M615" s="12"/>
    </row>
    <row r="616" spans="13:13" x14ac:dyDescent="0.2">
      <c r="M616" s="12"/>
    </row>
    <row r="617" spans="13:13" x14ac:dyDescent="0.2">
      <c r="M617" s="12"/>
    </row>
    <row r="618" spans="13:13" x14ac:dyDescent="0.2">
      <c r="M618" s="12"/>
    </row>
    <row r="619" spans="13:13" x14ac:dyDescent="0.2">
      <c r="M619" s="12"/>
    </row>
    <row r="620" spans="13:13" x14ac:dyDescent="0.2">
      <c r="M620" s="12"/>
    </row>
    <row r="621" spans="13:13" x14ac:dyDescent="0.2">
      <c r="M621" s="12"/>
    </row>
    <row r="622" spans="13:13" x14ac:dyDescent="0.2">
      <c r="M622" s="12"/>
    </row>
    <row r="623" spans="13:13" x14ac:dyDescent="0.2">
      <c r="M623" s="12"/>
    </row>
    <row r="624" spans="13:13" x14ac:dyDescent="0.2">
      <c r="M624" s="12"/>
    </row>
    <row r="625" spans="13:13" x14ac:dyDescent="0.2">
      <c r="M625" s="12"/>
    </row>
    <row r="626" spans="13:13" x14ac:dyDescent="0.2">
      <c r="M626" s="12"/>
    </row>
    <row r="627" spans="13:13" x14ac:dyDescent="0.2">
      <c r="M627" s="12"/>
    </row>
    <row r="628" spans="13:13" x14ac:dyDescent="0.2">
      <c r="M628" s="12"/>
    </row>
    <row r="629" spans="13:13" x14ac:dyDescent="0.2">
      <c r="M629" s="12"/>
    </row>
    <row r="630" spans="13:13" x14ac:dyDescent="0.2">
      <c r="M630" s="12"/>
    </row>
    <row r="631" spans="13:13" x14ac:dyDescent="0.2">
      <c r="M631" s="12"/>
    </row>
    <row r="632" spans="13:13" x14ac:dyDescent="0.2">
      <c r="M632" s="12"/>
    </row>
    <row r="633" spans="13:13" x14ac:dyDescent="0.2">
      <c r="M633" s="12"/>
    </row>
    <row r="634" spans="13:13" x14ac:dyDescent="0.2">
      <c r="M634" s="12"/>
    </row>
    <row r="635" spans="13:13" x14ac:dyDescent="0.2">
      <c r="M635" s="12"/>
    </row>
    <row r="636" spans="13:13" x14ac:dyDescent="0.2">
      <c r="M636" s="12"/>
    </row>
    <row r="637" spans="13:13" x14ac:dyDescent="0.2">
      <c r="M637" s="12"/>
    </row>
    <row r="638" spans="13:13" x14ac:dyDescent="0.2">
      <c r="M638" s="12"/>
    </row>
    <row r="639" spans="13:13" x14ac:dyDescent="0.2">
      <c r="M639" s="12"/>
    </row>
    <row r="640" spans="13:13" x14ac:dyDescent="0.2">
      <c r="M640" s="12"/>
    </row>
    <row r="641" spans="13:13" x14ac:dyDescent="0.2">
      <c r="M641" s="12"/>
    </row>
    <row r="642" spans="13:13" x14ac:dyDescent="0.2">
      <c r="M642" s="12"/>
    </row>
    <row r="643" spans="13:13" x14ac:dyDescent="0.2">
      <c r="M643" s="12"/>
    </row>
    <row r="644" spans="13:13" x14ac:dyDescent="0.2">
      <c r="M644" s="12"/>
    </row>
    <row r="645" spans="13:13" x14ac:dyDescent="0.2">
      <c r="M645" s="12"/>
    </row>
    <row r="646" spans="13:13" x14ac:dyDescent="0.2">
      <c r="M646" s="12"/>
    </row>
    <row r="647" spans="13:13" x14ac:dyDescent="0.2">
      <c r="M647" s="12"/>
    </row>
    <row r="648" spans="13:13" x14ac:dyDescent="0.2">
      <c r="M648" s="12"/>
    </row>
    <row r="649" spans="13:13" x14ac:dyDescent="0.2">
      <c r="M649" s="12"/>
    </row>
    <row r="650" spans="13:13" x14ac:dyDescent="0.2">
      <c r="M650" s="12"/>
    </row>
    <row r="651" spans="13:13" x14ac:dyDescent="0.2">
      <c r="M651" s="12"/>
    </row>
    <row r="652" spans="13:13" x14ac:dyDescent="0.2">
      <c r="M652" s="12"/>
    </row>
    <row r="653" spans="13:13" x14ac:dyDescent="0.2">
      <c r="M653" s="12"/>
    </row>
    <row r="654" spans="13:13" x14ac:dyDescent="0.2">
      <c r="M654" s="12"/>
    </row>
    <row r="655" spans="13:13" x14ac:dyDescent="0.2">
      <c r="M655" s="12"/>
    </row>
    <row r="656" spans="13:13" x14ac:dyDescent="0.2">
      <c r="M656" s="12"/>
    </row>
    <row r="657" spans="13:13" x14ac:dyDescent="0.2">
      <c r="M657" s="12"/>
    </row>
    <row r="658" spans="13:13" x14ac:dyDescent="0.2">
      <c r="M658" s="12"/>
    </row>
    <row r="659" spans="13:13" x14ac:dyDescent="0.2">
      <c r="M659" s="12"/>
    </row>
    <row r="660" spans="13:13" x14ac:dyDescent="0.2">
      <c r="M660" s="12"/>
    </row>
    <row r="661" spans="13:13" x14ac:dyDescent="0.2">
      <c r="M661" s="12"/>
    </row>
    <row r="662" spans="13:13" x14ac:dyDescent="0.2">
      <c r="M662" s="12"/>
    </row>
    <row r="663" spans="13:13" x14ac:dyDescent="0.2">
      <c r="M663" s="12"/>
    </row>
    <row r="664" spans="13:13" x14ac:dyDescent="0.2">
      <c r="M664" s="12"/>
    </row>
    <row r="665" spans="13:13" x14ac:dyDescent="0.2">
      <c r="M665" s="12"/>
    </row>
    <row r="666" spans="13:13" x14ac:dyDescent="0.2">
      <c r="M666" s="12"/>
    </row>
    <row r="667" spans="13:13" x14ac:dyDescent="0.2">
      <c r="M667" s="12"/>
    </row>
    <row r="668" spans="13:13" x14ac:dyDescent="0.2">
      <c r="M668" s="12"/>
    </row>
    <row r="669" spans="13:13" x14ac:dyDescent="0.2">
      <c r="M669" s="12"/>
    </row>
    <row r="670" spans="13:13" x14ac:dyDescent="0.2">
      <c r="M670" s="12"/>
    </row>
    <row r="671" spans="13:13" x14ac:dyDescent="0.2">
      <c r="M671" s="12"/>
    </row>
    <row r="672" spans="13:13" x14ac:dyDescent="0.2">
      <c r="M672" s="12"/>
    </row>
    <row r="673" spans="13:13" x14ac:dyDescent="0.2">
      <c r="M673" s="12"/>
    </row>
    <row r="674" spans="13:13" x14ac:dyDescent="0.2">
      <c r="M674" s="12"/>
    </row>
    <row r="675" spans="13:13" x14ac:dyDescent="0.2">
      <c r="M675" s="12"/>
    </row>
    <row r="676" spans="13:13" x14ac:dyDescent="0.2">
      <c r="M676" s="12"/>
    </row>
    <row r="677" spans="13:13" x14ac:dyDescent="0.2">
      <c r="M677" s="12"/>
    </row>
    <row r="678" spans="13:13" x14ac:dyDescent="0.2">
      <c r="M678" s="12"/>
    </row>
    <row r="679" spans="13:13" x14ac:dyDescent="0.2">
      <c r="M679" s="12"/>
    </row>
    <row r="680" spans="13:13" x14ac:dyDescent="0.2">
      <c r="M680" s="12"/>
    </row>
    <row r="681" spans="13:13" x14ac:dyDescent="0.2">
      <c r="M681" s="12"/>
    </row>
    <row r="682" spans="13:13" x14ac:dyDescent="0.2">
      <c r="M682" s="12"/>
    </row>
    <row r="683" spans="13:13" x14ac:dyDescent="0.2">
      <c r="M683" s="12"/>
    </row>
    <row r="684" spans="13:13" x14ac:dyDescent="0.2">
      <c r="M684" s="12"/>
    </row>
    <row r="685" spans="13:13" x14ac:dyDescent="0.2">
      <c r="M685" s="12"/>
    </row>
    <row r="686" spans="13:13" x14ac:dyDescent="0.2">
      <c r="M686" s="12"/>
    </row>
    <row r="687" spans="13:13" x14ac:dyDescent="0.2">
      <c r="M687" s="12"/>
    </row>
    <row r="688" spans="13:13" x14ac:dyDescent="0.2">
      <c r="M688" s="12"/>
    </row>
    <row r="689" spans="13:13" x14ac:dyDescent="0.2">
      <c r="M689" s="12"/>
    </row>
    <row r="690" spans="13:13" x14ac:dyDescent="0.2">
      <c r="M690" s="12"/>
    </row>
    <row r="691" spans="13:13" x14ac:dyDescent="0.2">
      <c r="M691" s="12"/>
    </row>
    <row r="692" spans="13:13" x14ac:dyDescent="0.2">
      <c r="M692" s="12"/>
    </row>
    <row r="693" spans="13:13" x14ac:dyDescent="0.2">
      <c r="M693" s="12"/>
    </row>
    <row r="694" spans="13:13" x14ac:dyDescent="0.2">
      <c r="M694" s="12"/>
    </row>
    <row r="695" spans="13:13" x14ac:dyDescent="0.2">
      <c r="M695" s="12"/>
    </row>
    <row r="696" spans="13:13" x14ac:dyDescent="0.2">
      <c r="M696" s="12"/>
    </row>
    <row r="697" spans="13:13" x14ac:dyDescent="0.2">
      <c r="M697" s="12"/>
    </row>
    <row r="698" spans="13:13" x14ac:dyDescent="0.2">
      <c r="M698" s="12"/>
    </row>
    <row r="699" spans="13:13" x14ac:dyDescent="0.2">
      <c r="M699" s="12"/>
    </row>
    <row r="700" spans="13:13" x14ac:dyDescent="0.2">
      <c r="M700" s="12"/>
    </row>
    <row r="701" spans="13:13" x14ac:dyDescent="0.2">
      <c r="M701" s="12"/>
    </row>
    <row r="702" spans="13:13" x14ac:dyDescent="0.2">
      <c r="M702" s="12"/>
    </row>
    <row r="703" spans="13:13" x14ac:dyDescent="0.2">
      <c r="M703" s="12"/>
    </row>
    <row r="704" spans="13:13" x14ac:dyDescent="0.2">
      <c r="M704" s="12"/>
    </row>
    <row r="705" spans="13:13" x14ac:dyDescent="0.2">
      <c r="M705" s="12"/>
    </row>
    <row r="706" spans="13:13" x14ac:dyDescent="0.2">
      <c r="M706" s="12"/>
    </row>
    <row r="707" spans="13:13" x14ac:dyDescent="0.2">
      <c r="M707" s="12"/>
    </row>
    <row r="708" spans="13:13" x14ac:dyDescent="0.2">
      <c r="M708" s="12"/>
    </row>
    <row r="709" spans="13:13" x14ac:dyDescent="0.2">
      <c r="M709" s="12"/>
    </row>
    <row r="710" spans="13:13" x14ac:dyDescent="0.2">
      <c r="M710" s="12"/>
    </row>
    <row r="711" spans="13:13" x14ac:dyDescent="0.2">
      <c r="M711" s="12"/>
    </row>
    <row r="712" spans="13:13" x14ac:dyDescent="0.2">
      <c r="M712" s="12"/>
    </row>
    <row r="713" spans="13:13" x14ac:dyDescent="0.2">
      <c r="M713" s="12"/>
    </row>
    <row r="714" spans="13:13" x14ac:dyDescent="0.2">
      <c r="M714" s="12"/>
    </row>
    <row r="715" spans="13:13" x14ac:dyDescent="0.2">
      <c r="M715" s="12"/>
    </row>
    <row r="716" spans="13:13" x14ac:dyDescent="0.2">
      <c r="M716" s="12"/>
    </row>
    <row r="717" spans="13:13" x14ac:dyDescent="0.2">
      <c r="M717" s="12"/>
    </row>
    <row r="718" spans="13:13" x14ac:dyDescent="0.2">
      <c r="M718" s="12"/>
    </row>
    <row r="719" spans="13:13" x14ac:dyDescent="0.2">
      <c r="M719" s="12"/>
    </row>
    <row r="720" spans="13:13" x14ac:dyDescent="0.2">
      <c r="M720" s="12"/>
    </row>
    <row r="721" spans="13:13" x14ac:dyDescent="0.2">
      <c r="M721" s="12"/>
    </row>
    <row r="722" spans="13:13" x14ac:dyDescent="0.2">
      <c r="M722" s="12"/>
    </row>
    <row r="723" spans="13:13" x14ac:dyDescent="0.2">
      <c r="M723" s="12"/>
    </row>
    <row r="724" spans="13:13" x14ac:dyDescent="0.2">
      <c r="M724" s="12"/>
    </row>
    <row r="725" spans="13:13" x14ac:dyDescent="0.2">
      <c r="M725" s="12"/>
    </row>
    <row r="726" spans="13:13" x14ac:dyDescent="0.2">
      <c r="M726" s="12"/>
    </row>
    <row r="727" spans="13:13" x14ac:dyDescent="0.2">
      <c r="M727" s="12"/>
    </row>
    <row r="728" spans="13:13" x14ac:dyDescent="0.2">
      <c r="M728" s="12"/>
    </row>
    <row r="729" spans="13:13" x14ac:dyDescent="0.2">
      <c r="M729" s="12"/>
    </row>
    <row r="730" spans="13:13" x14ac:dyDescent="0.2">
      <c r="M730" s="12"/>
    </row>
    <row r="731" spans="13:13" x14ac:dyDescent="0.2">
      <c r="M731" s="12"/>
    </row>
    <row r="732" spans="13:13" x14ac:dyDescent="0.2">
      <c r="M732" s="12"/>
    </row>
    <row r="733" spans="13:13" x14ac:dyDescent="0.2">
      <c r="M733" s="12"/>
    </row>
    <row r="734" spans="13:13" x14ac:dyDescent="0.2">
      <c r="M734" s="12"/>
    </row>
    <row r="735" spans="13:13" x14ac:dyDescent="0.2">
      <c r="M735" s="12"/>
    </row>
    <row r="736" spans="13:13" x14ac:dyDescent="0.2">
      <c r="M736" s="12"/>
    </row>
    <row r="737" spans="13:13" x14ac:dyDescent="0.2">
      <c r="M737" s="12"/>
    </row>
    <row r="738" spans="13:13" x14ac:dyDescent="0.2">
      <c r="M738" s="12"/>
    </row>
    <row r="739" spans="13:13" x14ac:dyDescent="0.2">
      <c r="M739" s="12"/>
    </row>
    <row r="740" spans="13:13" x14ac:dyDescent="0.2">
      <c r="M740" s="12"/>
    </row>
    <row r="741" spans="13:13" x14ac:dyDescent="0.2">
      <c r="M741" s="12"/>
    </row>
    <row r="742" spans="13:13" x14ac:dyDescent="0.2">
      <c r="M742" s="12"/>
    </row>
    <row r="743" spans="13:13" x14ac:dyDescent="0.2">
      <c r="M743" s="12"/>
    </row>
    <row r="744" spans="13:13" x14ac:dyDescent="0.2">
      <c r="M744" s="12"/>
    </row>
    <row r="745" spans="13:13" x14ac:dyDescent="0.2">
      <c r="M745" s="12"/>
    </row>
    <row r="746" spans="13:13" x14ac:dyDescent="0.2">
      <c r="M746" s="12"/>
    </row>
    <row r="747" spans="13:13" x14ac:dyDescent="0.2">
      <c r="M747" s="12"/>
    </row>
    <row r="748" spans="13:13" x14ac:dyDescent="0.2">
      <c r="M748" s="12"/>
    </row>
    <row r="749" spans="13:13" x14ac:dyDescent="0.2">
      <c r="M749" s="12"/>
    </row>
    <row r="750" spans="13:13" x14ac:dyDescent="0.2">
      <c r="M750" s="12"/>
    </row>
    <row r="751" spans="13:13" x14ac:dyDescent="0.2">
      <c r="M751" s="12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 activeCell="D12" sqref="D12"/>
    </sheetView>
  </sheetViews>
  <sheetFormatPr defaultRowHeight="12.75" x14ac:dyDescent="0.2"/>
  <cols>
    <col min="1" max="1" width="2.7109375" style="12" customWidth="1"/>
    <col min="2" max="2" width="10.5703125" style="11" customWidth="1"/>
    <col min="3" max="14" width="12.85546875" style="99" customWidth="1"/>
    <col min="15" max="15" width="10.140625" style="102" customWidth="1"/>
    <col min="16" max="16" width="18.7109375" style="102" customWidth="1"/>
    <col min="17" max="18" width="15.140625" style="102" customWidth="1"/>
    <col min="19" max="19" width="9.140625" style="121"/>
    <col min="20" max="20" width="9.140625" style="17"/>
    <col min="21" max="22" width="9.140625" style="102"/>
    <col min="23" max="24" width="9.140625" style="17"/>
    <col min="25" max="25" width="9.140625" style="102"/>
    <col min="26" max="27" width="9.140625" style="17"/>
    <col min="28" max="28" width="9.140625" style="118"/>
    <col min="29" max="29" width="10.140625" style="119" customWidth="1"/>
    <col min="30" max="30" width="9.140625" style="120"/>
    <col min="31" max="31" width="11.5703125" style="102" customWidth="1"/>
    <col min="32" max="32" width="10.28515625" style="102" customWidth="1"/>
    <col min="33" max="33" width="10.28515625" style="17" customWidth="1"/>
    <col min="34" max="34" width="9.140625" style="17"/>
    <col min="35" max="16384" width="9.140625" style="12"/>
  </cols>
  <sheetData>
    <row r="1" spans="2:76" ht="29.25" customHeight="1" x14ac:dyDescent="0.2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">
      <c r="B2" s="11">
        <f>DATE(YEAR(Inputs!$K$7),MONTH(Inputs!$K$7)+1,1)</f>
        <v>36708</v>
      </c>
      <c r="C2" s="103">
        <f>IF(ISNA(VLOOKUP($B2,'[2]MENGENLS1 27-07-2000'!$R$7:$S$71,2,0)),0,VLOOKUP($B2,'[2]MENGENLS1 27-07-2000'!$R$7:$S$71,2,0))</f>
        <v>267295</v>
      </c>
      <c r="D2" s="109">
        <f>IF(ISNA(VLOOKUP($B2,'[2]MENGENLS1 27-07-2000'!$U$7:$V$60,2,0)),0,VLOOKUP($B2,'[2]MENGENLS1 27-07-2000'!$U$7:$V$60,2,0))</f>
        <v>295626</v>
      </c>
      <c r="E2" s="104">
        <f>IF(ISNA(VLOOKUP($B2,'[2]MENGENLS1 27-07-2000'!$X$7:$Y$27,2,0)),0,VLOOKUP($B2,'[2]MENGENLS1 27-07-2000'!$X$7:$Y$27,2,0))</f>
        <v>97359</v>
      </c>
      <c r="F2" s="104">
        <f>IF(ISNA(VLOOKUP($B2,'[2]MENGENLS1 27-07-2000'!$AA$7:$AB$35,2,0)),0,VLOOKUP($B2,'[2]MENGENLS1 27-07-2000'!$AA$7:$AB$35,2,0))</f>
        <v>5300</v>
      </c>
      <c r="G2" s="104">
        <f>IF(ISNA(VLOOKUP($B2,'[2]MENGENLS1 27-07-2000'!$AD$7:$AE$38,2,0)),0,VLOOKUP($B2,'[2]MENGENLS1 27-07-2000'!$AD$7:$AE$38,2,0))</f>
        <v>287396</v>
      </c>
      <c r="H2" s="109">
        <f>IF(ISNA(VLOOKUP($B2,'[2]MENGENLS1 27-07-2000'!$AG$7:$AH$20,2,0)),0,VLOOKUP($B2,'[2]MENGENLS1 27-07-2000'!$AG$7:$AH$20,2,0))</f>
        <v>2905</v>
      </c>
      <c r="I2" s="104">
        <f>IF(ISNA(VLOOKUP($B2,'[2]MENGENLS1 27-07-2000'!$AJ$7:$AK$38,2,0)),0,VLOOKUP($B2,'[2]MENGENLS1 27-07-2000'!$AJ$7:$AK$38,2,0))</f>
        <v>89735</v>
      </c>
      <c r="J2" s="104">
        <f>IF(ISNA(VLOOKUP($B2,'[2]MENGENLS1 27-07-2000'!$AM$7:$AN$38,2,0)),0,VLOOKUP($B2,'[2]MENGENLS1 27-07-2000'!$AM$7:$AN$38,2,0))</f>
        <v>-90183</v>
      </c>
      <c r="K2" s="104">
        <f>IF(ISNA(VLOOKUP($B2,'[2]MENGENLS1 27-07-2000'!$AP$7:$AQ$12,2,0)),0,VLOOKUP($B2,'[2]MENGENLS1 27-07-2000'!$AP$7:$AQ$12,2,0))</f>
        <v>71845</v>
      </c>
      <c r="L2" s="98">
        <f>IF(ISNA(VLOOKUP($B2,'[2]MENGENLS1 27-07-2000'!$AS$7:$AT$23,2,0)),0,VLOOKUP($B2,'[2]MENGENLS1 27-07-2000'!$AS$7:$AT$23,2,0))</f>
        <v>19317</v>
      </c>
      <c r="M2" s="12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/>
      <c r="X2" s="101"/>
      <c r="Y2" s="101"/>
      <c r="Z2" s="101"/>
      <c r="AA2" s="101"/>
      <c r="AB2" s="101"/>
      <c r="AC2" s="105"/>
      <c r="AD2" s="106"/>
    </row>
    <row r="3" spans="2:76" x14ac:dyDescent="0.2">
      <c r="B3" s="107">
        <f>DATE(YEAR(B2),MONTH(B2)+1,1)</f>
        <v>36739</v>
      </c>
      <c r="C3" s="108">
        <f>IF(ISNA(VLOOKUP($B3,'[2]MENGENLS1 27-07-2000'!$R$7:$S$71,2,0)),0,VLOOKUP($B3,'[2]MENGENLS1 27-07-2000'!$R$7:$S$71,2,0))</f>
        <v>-252782</v>
      </c>
      <c r="D3" s="109">
        <f>IF(ISNA(VLOOKUP($B3,'[2]MENGENLS1 27-07-2000'!$U$7:$V$60,2,0)),0,VLOOKUP($B3,'[2]MENGENLS1 27-07-2000'!$U$7:$V$60,2,0))</f>
        <v>119318</v>
      </c>
      <c r="E3" s="109">
        <f>IF(ISNA(VLOOKUP($B3,'[2]MENGENLS1 27-07-2000'!$X$7:$Y$27,2,0)),0,VLOOKUP($B3,'[2]MENGENLS1 27-07-2000'!$X$7:$Y$27,2,0))</f>
        <v>-7378</v>
      </c>
      <c r="F3" s="109">
        <f>IF(ISNA(VLOOKUP($B3,'[2]MENGENLS1 27-07-2000'!$AA$7:$AB$35,2,0)),0,VLOOKUP($B3,'[2]MENGENLS1 27-07-2000'!$AA$7:$AB$35,2,0))</f>
        <v>1343</v>
      </c>
      <c r="G3" s="109">
        <f>IF(ISNA(VLOOKUP($B3,'[2]MENGENLS1 27-07-2000'!$AD$7:$AE$38,2,0)),0,VLOOKUP($B3,'[2]MENGENLS1 27-07-2000'!$AD$7:$AE$38,2,0))</f>
        <v>664330</v>
      </c>
      <c r="H3" s="109">
        <f>IF(ISNA(VLOOKUP($B3,'[2]MENGENLS1 27-07-2000'!$AG$7:$AH$20,2,0)),0,VLOOKUP($B3,'[2]MENGENLS1 27-07-2000'!$AG$7:$AH$20,2,0))</f>
        <v>-940</v>
      </c>
      <c r="I3" s="109">
        <f>IF(ISNA(VLOOKUP($B3,'[2]MENGENLS1 27-07-2000'!$AJ$7:$AK$38,2,0)),0,VLOOKUP($B3,'[2]MENGENLS1 27-07-2000'!$AJ$7:$AK$38,2,0))</f>
        <v>18873</v>
      </c>
      <c r="J3" s="109">
        <f>IF(ISNA(VLOOKUP($B3,'[2]MENGENLS1 27-07-2000'!$AM$7:$AN$38,2,0)),0,VLOOKUP($B3,'[2]MENGENLS1 27-07-2000'!$AM$7:$AN$38,2,0))</f>
        <v>15657</v>
      </c>
      <c r="K3" s="109">
        <f>IF(ISNA(VLOOKUP($B3,'[2]MENGENLS1 27-07-2000'!$AP$7:$AQ$12,2,0)),0,VLOOKUP($B3,'[2]MENGENLS1 27-07-2000'!$AP$7:$AQ$12,2,0))</f>
        <v>0</v>
      </c>
      <c r="L3" s="260">
        <f>IF(ISNA(VLOOKUP($B3,'[2]MENGENLS1 27-07-2000'!$AS$7:$AT$23,2,0)),0,VLOOKUP($B3,'[2]MENGENLS1 27-07-2000'!$AS$7:$AT$23,2,0))</f>
        <v>0</v>
      </c>
      <c r="M3" s="12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/>
      <c r="X3" s="101"/>
      <c r="Y3" s="101"/>
      <c r="Z3" s="101"/>
      <c r="AA3" s="101"/>
      <c r="AB3" s="101"/>
      <c r="AC3" s="105"/>
      <c r="AD3" s="106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">
      <c r="B4" s="107">
        <f t="shared" ref="B4:B19" si="0">DATE(YEAR(B3),MONTH(B3)+1,1)</f>
        <v>36770</v>
      </c>
      <c r="C4" s="108">
        <f>IF(ISNA(VLOOKUP($B4,'[2]MENGENLS1 27-07-2000'!$R$7:$S$71,2,0)),0,VLOOKUP($B4,'[2]MENGENLS1 27-07-2000'!$R$7:$S$71,2,0))</f>
        <v>53050</v>
      </c>
      <c r="D4" s="109">
        <f>IF(ISNA(VLOOKUP($B4,'[2]MENGENLS1 27-07-2000'!$U$7:$V$60,2,0)),0,VLOOKUP($B4,'[2]MENGENLS1 27-07-2000'!$U$7:$V$60,2,0))</f>
        <v>-148527</v>
      </c>
      <c r="E4" s="109">
        <f>IF(ISNA(VLOOKUP($B4,'[2]MENGENLS1 27-07-2000'!$X$7:$Y$27,2,0)),0,VLOOKUP($B4,'[2]MENGENLS1 27-07-2000'!$X$7:$Y$27,2,0))</f>
        <v>1827</v>
      </c>
      <c r="F4" s="109">
        <f>IF(ISNA(VLOOKUP($B4,'[2]MENGENLS1 27-07-2000'!$AA$7:$AB$35,2,0)),0,VLOOKUP($B4,'[2]MENGENLS1 27-07-2000'!$AA$7:$AB$35,2,0))</f>
        <v>3705</v>
      </c>
      <c r="G4" s="109">
        <f>IF(ISNA(VLOOKUP($B4,'[2]MENGENLS1 27-07-2000'!$AD$7:$AE$38,2,0)),0,VLOOKUP($B4,'[2]MENGENLS1 27-07-2000'!$AD$7:$AE$38,2,0))</f>
        <v>-1067146</v>
      </c>
      <c r="H4" s="109">
        <f>IF(ISNA(VLOOKUP($B4,'[2]MENGENLS1 27-07-2000'!$AG$7:$AH$20,2,0)),0,VLOOKUP($B4,'[2]MENGENLS1 27-07-2000'!$AG$7:$AH$20,2,0))</f>
        <v>887</v>
      </c>
      <c r="I4" s="109">
        <f>IF(ISNA(VLOOKUP($B4,'[2]MENGENLS1 27-07-2000'!$AJ$7:$AK$38,2,0)),0,VLOOKUP($B4,'[2]MENGENLS1 27-07-2000'!$AJ$7:$AK$38,2,0))</f>
        <v>-57155</v>
      </c>
      <c r="J4" s="109">
        <f>IF(ISNA(VLOOKUP($B4,'[2]MENGENLS1 27-07-2000'!$AM$7:$AN$38,2,0)),0,VLOOKUP($B4,'[2]MENGENLS1 27-07-2000'!$AM$7:$AN$38,2,0))</f>
        <v>8198</v>
      </c>
      <c r="K4" s="109">
        <f>IF(ISNA(VLOOKUP($B4,'[2]MENGENLS1 27-07-2000'!$AP$7:$AQ$12,2,0)),0,VLOOKUP($B4,'[2]MENGENLS1 27-07-2000'!$AP$7:$AQ$12,2,0))</f>
        <v>-3280</v>
      </c>
      <c r="L4" s="260">
        <f>IF(ISNA(VLOOKUP($B4,'[2]MENGENLS1 27-07-2000'!$AS$7:$AT$23,2,0)),0,VLOOKUP($B4,'[2]MENGENLS1 27-07-2000'!$AS$7:$AT$23,2,0))</f>
        <v>-10000</v>
      </c>
      <c r="M4" s="12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/>
      <c r="X4" s="101"/>
      <c r="Y4" s="101"/>
      <c r="Z4" s="101"/>
      <c r="AA4" s="101"/>
      <c r="AB4" s="101"/>
      <c r="AC4" s="105"/>
      <c r="AD4" s="106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">
      <c r="B5" s="107">
        <f t="shared" si="0"/>
        <v>36800</v>
      </c>
      <c r="C5" s="108">
        <f>IF(ISNA(VLOOKUP($B5,'[2]MENGENLS1 27-07-2000'!$R$7:$S$71,2,0)),0,VLOOKUP($B5,'[2]MENGENLS1 27-07-2000'!$R$7:$S$71,2,0))</f>
        <v>39922</v>
      </c>
      <c r="D5" s="109">
        <f>IF(ISNA(VLOOKUP($B5,'[2]MENGENLS1 27-07-2000'!$U$7:$V$60,2,0)),0,VLOOKUP($B5,'[2]MENGENLS1 27-07-2000'!$U$7:$V$60,2,0))</f>
        <v>-128331</v>
      </c>
      <c r="E5" s="109">
        <f>IF(ISNA(VLOOKUP($B5,'[2]MENGENLS1 27-07-2000'!$X$7:$Y$27,2,0)),0,VLOOKUP($B5,'[2]MENGENLS1 27-07-2000'!$X$7:$Y$27,2,0))</f>
        <v>12460</v>
      </c>
      <c r="F5" s="109">
        <f>IF(ISNA(VLOOKUP($B5,'[2]MENGENLS1 27-07-2000'!$AA$7:$AB$35,2,0)),0,VLOOKUP($B5,'[2]MENGENLS1 27-07-2000'!$AA$7:$AB$35,2,0))</f>
        <v>793</v>
      </c>
      <c r="G5" s="109">
        <f>IF(ISNA(VLOOKUP($B5,'[2]MENGENLS1 27-07-2000'!$AD$7:$AE$38,2,0)),0,VLOOKUP($B5,'[2]MENGENLS1 27-07-2000'!$AD$7:$AE$38,2,0))</f>
        <v>403781</v>
      </c>
      <c r="H5" s="109">
        <f>IF(ISNA(VLOOKUP($B5,'[2]MENGENLS1 27-07-2000'!$AG$7:$AH$20,2,0)),0,VLOOKUP($B5,'[2]MENGENLS1 27-07-2000'!$AG$7:$AH$20,2,0))</f>
        <v>-878</v>
      </c>
      <c r="I5" s="109">
        <f>IF(ISNA(VLOOKUP($B5,'[2]MENGENLS1 27-07-2000'!$AJ$7:$AK$38,2,0)),0,VLOOKUP($B5,'[2]MENGENLS1 27-07-2000'!$AJ$7:$AK$38,2,0))</f>
        <v>4857</v>
      </c>
      <c r="J5" s="109">
        <f>IF(ISNA(VLOOKUP($B5,'[2]MENGENLS1 27-07-2000'!$AM$7:$AN$38,2,0)),0,VLOOKUP($B5,'[2]MENGENLS1 27-07-2000'!$AM$7:$AN$38,2,0))</f>
        <v>-56361</v>
      </c>
      <c r="K5" s="109">
        <f>IF(ISNA(VLOOKUP($B5,'[2]MENGENLS1 27-07-2000'!$AP$7:$AQ$12,2,0)),0,VLOOKUP($B5,'[2]MENGENLS1 27-07-2000'!$AP$7:$AQ$12,2,0))</f>
        <v>0</v>
      </c>
      <c r="L5" s="260">
        <f>IF(ISNA(VLOOKUP($B5,'[2]MENGENLS1 27-07-2000'!$AS$7:$AT$23,2,0)),0,VLOOKUP($B5,'[2]MENGENLS1 27-07-2000'!$AS$7:$AT$23,2,0))</f>
        <v>-20000</v>
      </c>
      <c r="M5" s="12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/>
      <c r="X5" s="111"/>
      <c r="Y5" s="111"/>
      <c r="Z5" s="111"/>
      <c r="AA5" s="111"/>
      <c r="AB5" s="111"/>
      <c r="AC5" s="105"/>
      <c r="AD5" s="106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">
      <c r="B6" s="107">
        <f t="shared" si="0"/>
        <v>36831</v>
      </c>
      <c r="C6" s="108">
        <f>IF(ISNA(VLOOKUP($B6,'[2]MENGENLS1 27-07-2000'!$R$7:$S$71,2,0)),0,VLOOKUP($B6,'[2]MENGENLS1 27-07-2000'!$R$7:$S$71,2,0))</f>
        <v>-36058</v>
      </c>
      <c r="D6" s="109">
        <f>IF(ISNA(VLOOKUP($B6,'[2]MENGENLS1 27-07-2000'!$U$7:$V$60,2,0)),0,VLOOKUP($B6,'[2]MENGENLS1 27-07-2000'!$U$7:$V$60,2,0))</f>
        <v>-4377</v>
      </c>
      <c r="E6" s="109">
        <f>IF(ISNA(VLOOKUP($B6,'[2]MENGENLS1 27-07-2000'!$X$7:$Y$27,2,0)),0,VLOOKUP($B6,'[2]MENGENLS1 27-07-2000'!$X$7:$Y$27,2,0))</f>
        <v>3719</v>
      </c>
      <c r="F6" s="109">
        <f>IF(ISNA(VLOOKUP($B6,'[2]MENGENLS1 27-07-2000'!$AA$7:$AB$35,2,0)),0,VLOOKUP($B6,'[2]MENGENLS1 27-07-2000'!$AA$7:$AB$35,2,0))</f>
        <v>-911</v>
      </c>
      <c r="G6" s="109">
        <f>IF(ISNA(VLOOKUP($B6,'[2]MENGENLS1 27-07-2000'!$AD$7:$AE$38,2,0)),0,VLOOKUP($B6,'[2]MENGENLS1 27-07-2000'!$AD$7:$AE$38,2,0))</f>
        <v>672336</v>
      </c>
      <c r="H6" s="109">
        <f>IF(ISNA(VLOOKUP($B6,'[2]MENGENLS1 27-07-2000'!$AG$7:$AH$20,2,0)),0,VLOOKUP($B6,'[2]MENGENLS1 27-07-2000'!$AG$7:$AH$20,2,0))</f>
        <v>-174</v>
      </c>
      <c r="I6" s="109">
        <f>IF(ISNA(VLOOKUP($B6,'[2]MENGENLS1 27-07-2000'!$AJ$7:$AK$38,2,0)),0,VLOOKUP($B6,'[2]MENGENLS1 27-07-2000'!$AJ$7:$AK$38,2,0))</f>
        <v>-8814</v>
      </c>
      <c r="J6" s="109">
        <f>IF(ISNA(VLOOKUP($B6,'[2]MENGENLS1 27-07-2000'!$AM$7:$AN$38,2,0)),0,VLOOKUP($B6,'[2]MENGENLS1 27-07-2000'!$AM$7:$AN$38,2,0))</f>
        <v>-8328</v>
      </c>
      <c r="K6" s="109">
        <f>IF(ISNA(VLOOKUP($B6,'[2]MENGENLS1 27-07-2000'!$AP$7:$AQ$12,2,0)),0,VLOOKUP($B6,'[2]MENGENLS1 27-07-2000'!$AP$7:$AQ$12,2,0))</f>
        <v>0</v>
      </c>
      <c r="L6" s="260">
        <f>IF(ISNA(VLOOKUP($B6,'[2]MENGENLS1 27-07-2000'!$AS$7:$AT$23,2,0)),0,VLOOKUP($B6,'[2]MENGENLS1 27-07-2000'!$AS$7:$AT$23,2,0))</f>
        <v>-20000</v>
      </c>
      <c r="M6" s="12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/>
      <c r="X6" s="101"/>
      <c r="Y6" s="101"/>
      <c r="Z6" s="101"/>
      <c r="AA6" s="101"/>
      <c r="AB6" s="101"/>
      <c r="AC6" s="105"/>
      <c r="AD6" s="106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">
      <c r="B7" s="107">
        <f t="shared" si="0"/>
        <v>36861</v>
      </c>
      <c r="C7" s="108">
        <f>IF(ISNA(VLOOKUP($B7,'[2]MENGENLS1 27-07-2000'!$R$7:$S$71,2,0)),0,VLOOKUP($B7,'[2]MENGENLS1 27-07-2000'!$R$7:$S$71,2,0))</f>
        <v>-65658</v>
      </c>
      <c r="D7" s="109">
        <f>IF(ISNA(VLOOKUP($B7,'[2]MENGENLS1 27-07-2000'!$U$7:$V$60,2,0)),0,VLOOKUP($B7,'[2]MENGENLS1 27-07-2000'!$U$7:$V$60,2,0))</f>
        <v>53637</v>
      </c>
      <c r="E7" s="109">
        <f>IF(ISNA(VLOOKUP($B7,'[2]MENGENLS1 27-07-2000'!$X$7:$Y$27,2,0)),0,VLOOKUP($B7,'[2]MENGENLS1 27-07-2000'!$X$7:$Y$27,2,0))</f>
        <v>-5532</v>
      </c>
      <c r="F7" s="109">
        <f>IF(ISNA(VLOOKUP($B7,'[2]MENGENLS1 27-07-2000'!$AA$7:$AB$35,2,0)),0,VLOOKUP($B7,'[2]MENGENLS1 27-07-2000'!$AA$7:$AB$35,2,0))</f>
        <v>2418</v>
      </c>
      <c r="G7" s="109">
        <f>IF(ISNA(VLOOKUP($B7,'[2]MENGENLS1 27-07-2000'!$AD$7:$AE$38,2,0)),0,VLOOKUP($B7,'[2]MENGENLS1 27-07-2000'!$AD$7:$AE$38,2,0))</f>
        <v>-1229059</v>
      </c>
      <c r="H7" s="109">
        <f>IF(ISNA(VLOOKUP($B7,'[2]MENGENLS1 27-07-2000'!$AG$7:$AH$20,2,0)),0,VLOOKUP($B7,'[2]MENGENLS1 27-07-2000'!$AG$7:$AH$20,2,0))</f>
        <v>-304</v>
      </c>
      <c r="I7" s="109">
        <f>IF(ISNA(VLOOKUP($B7,'[2]MENGENLS1 27-07-2000'!$AJ$7:$AK$38,2,0)),0,VLOOKUP($B7,'[2]MENGENLS1 27-07-2000'!$AJ$7:$AK$38,2,0))</f>
        <v>-4566</v>
      </c>
      <c r="J7" s="109">
        <f>IF(ISNA(VLOOKUP($B7,'[2]MENGENLS1 27-07-2000'!$AM$7:$AN$38,2,0)),0,VLOOKUP($B7,'[2]MENGENLS1 27-07-2000'!$AM$7:$AN$38,2,0))</f>
        <v>23824</v>
      </c>
      <c r="K7" s="109">
        <f>IF(ISNA(VLOOKUP($B7,'[2]MENGENLS1 27-07-2000'!$AP$7:$AQ$12,2,0)),0,VLOOKUP($B7,'[2]MENGENLS1 27-07-2000'!$AP$7:$AQ$12,2,0))</f>
        <v>-22250</v>
      </c>
      <c r="L7" s="260">
        <f>IF(ISNA(VLOOKUP($B7,'[2]MENGENLS1 27-07-2000'!$AS$7:$AT$23,2,0)),0,VLOOKUP($B7,'[2]MENGENLS1 27-07-2000'!$AS$7:$AT$23,2,0))</f>
        <v>-40000</v>
      </c>
      <c r="M7" s="12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/>
      <c r="X7" s="111"/>
      <c r="Y7" s="111"/>
      <c r="Z7" s="111"/>
      <c r="AA7" s="111"/>
      <c r="AB7" s="111"/>
      <c r="AC7" s="105"/>
      <c r="AD7" s="106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">
      <c r="B8" s="107">
        <f t="shared" si="0"/>
        <v>36892</v>
      </c>
      <c r="C8" s="108">
        <f>IF(ISNA(VLOOKUP($B8,'[2]MENGENLS1 27-07-2000'!$R$7:$S$71,2,0)),0,VLOOKUP($B8,'[2]MENGENLS1 27-07-2000'!$R$7:$S$71,2,0))</f>
        <v>10651</v>
      </c>
      <c r="D8" s="109">
        <f>IF(ISNA(VLOOKUP($B8,'[2]MENGENLS1 27-07-2000'!$U$7:$V$60,2,0)),0,VLOOKUP($B8,'[2]MENGENLS1 27-07-2000'!$U$7:$V$60,2,0))</f>
        <v>12518</v>
      </c>
      <c r="E8" s="109">
        <f>IF(ISNA(VLOOKUP($B8,'[2]MENGENLS1 27-07-2000'!$X$7:$Y$27,2,0)),0,VLOOKUP($B8,'[2]MENGENLS1 27-07-2000'!$X$7:$Y$27,2,0))</f>
        <v>-18883</v>
      </c>
      <c r="F8" s="109">
        <f>IF(ISNA(VLOOKUP($B8,'[2]MENGENLS1 27-07-2000'!$AA$7:$AB$35,2,0)),0,VLOOKUP($B8,'[2]MENGENLS1 27-07-2000'!$AA$7:$AB$35,2,0))</f>
        <v>728</v>
      </c>
      <c r="G8" s="109">
        <f>IF(ISNA(VLOOKUP($B8,'[2]MENGENLS1 27-07-2000'!$AD$7:$AE$38,2,0)),0,VLOOKUP($B8,'[2]MENGENLS1 27-07-2000'!$AD$7:$AE$38,2,0))</f>
        <v>152555</v>
      </c>
      <c r="H8" s="109">
        <f>IF(ISNA(VLOOKUP($B8,'[2]MENGENLS1 27-07-2000'!$AG$7:$AH$20,2,0)),0,VLOOKUP($B8,'[2]MENGENLS1 27-07-2000'!$AG$7:$AH$20,2,0))</f>
        <v>-31</v>
      </c>
      <c r="I8" s="109">
        <f>IF(ISNA(VLOOKUP($B8,'[2]MENGENLS1 27-07-2000'!$AJ$7:$AK$38,2,0)),0,VLOOKUP($B8,'[2]MENGENLS1 27-07-2000'!$AJ$7:$AK$38,2,0))</f>
        <v>-5406</v>
      </c>
      <c r="J8" s="109">
        <f>IF(ISNA(VLOOKUP($B8,'[2]MENGENLS1 27-07-2000'!$AM$7:$AN$38,2,0)),0,VLOOKUP($B8,'[2]MENGENLS1 27-07-2000'!$AM$7:$AN$38,2,0))</f>
        <v>33533</v>
      </c>
      <c r="K8" s="109">
        <f>IF(ISNA(VLOOKUP($B8,'[2]MENGENLS1 27-07-2000'!$AP$7:$AQ$12,2,0)),0,VLOOKUP($B8,'[2]MENGENLS1 27-07-2000'!$AP$7:$AQ$12,2,0))</f>
        <v>0</v>
      </c>
      <c r="L8" s="260">
        <f>IF(ISNA(VLOOKUP($B8,'[2]MENGENLS1 27-07-2000'!$AS$7:$AT$23,2,0)),0,VLOOKUP($B8,'[2]MENGENLS1 27-07-2000'!$AS$7:$AT$23,2,0))</f>
        <v>20000</v>
      </c>
      <c r="M8" s="12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/>
      <c r="X8" s="101"/>
      <c r="Y8" s="101"/>
      <c r="Z8" s="101"/>
      <c r="AA8" s="101"/>
      <c r="AB8" s="101"/>
      <c r="AC8" s="105"/>
      <c r="AD8" s="106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">
      <c r="B9" s="107">
        <f t="shared" si="0"/>
        <v>36923</v>
      </c>
      <c r="C9" s="108">
        <f>IF(ISNA(VLOOKUP($B9,'[2]MENGENLS1 27-07-2000'!$R$7:$S$71,2,0)),0,VLOOKUP($B9,'[2]MENGENLS1 27-07-2000'!$R$7:$S$71,2,0))</f>
        <v>-8110</v>
      </c>
      <c r="D9" s="109">
        <f>IF(ISNA(VLOOKUP($B9,'[2]MENGENLS1 27-07-2000'!$U$7:$V$60,2,0)),0,VLOOKUP($B9,'[2]MENGENLS1 27-07-2000'!$U$7:$V$60,2,0))</f>
        <v>-1128</v>
      </c>
      <c r="E9" s="109">
        <f>IF(ISNA(VLOOKUP($B9,'[2]MENGENLS1 27-07-2000'!$X$7:$Y$27,2,0)),0,VLOOKUP($B9,'[2]MENGENLS1 27-07-2000'!$X$7:$Y$27,2,0))</f>
        <v>-7216</v>
      </c>
      <c r="F9" s="109">
        <f>IF(ISNA(VLOOKUP($B9,'[2]MENGENLS1 27-07-2000'!$AA$7:$AB$35,2,0)),0,VLOOKUP($B9,'[2]MENGENLS1 27-07-2000'!$AA$7:$AB$35,2,0))</f>
        <v>86</v>
      </c>
      <c r="G9" s="109">
        <f>IF(ISNA(VLOOKUP($B9,'[2]MENGENLS1 27-07-2000'!$AD$7:$AE$38,2,0)),0,VLOOKUP($B9,'[2]MENGENLS1 27-07-2000'!$AD$7:$AE$38,2,0))</f>
        <v>-38742</v>
      </c>
      <c r="H9" s="109">
        <f>IF(ISNA(VLOOKUP($B9,'[2]MENGENLS1 27-07-2000'!$AG$7:$AH$20,2,0)),0,VLOOKUP($B9,'[2]MENGENLS1 27-07-2000'!$AG$7:$AH$20,2,0))</f>
        <v>-28</v>
      </c>
      <c r="I9" s="109">
        <f>IF(ISNA(VLOOKUP($B9,'[2]MENGENLS1 27-07-2000'!$AJ$7:$AK$38,2,0)),0,VLOOKUP($B9,'[2]MENGENLS1 27-07-2000'!$AJ$7:$AK$38,2,0))</f>
        <v>-1215</v>
      </c>
      <c r="J9" s="109">
        <f>IF(ISNA(VLOOKUP($B9,'[2]MENGENLS1 27-07-2000'!$AM$7:$AN$38,2,0)),0,VLOOKUP($B9,'[2]MENGENLS1 27-07-2000'!$AM$7:$AN$38,2,0))</f>
        <v>6173</v>
      </c>
      <c r="K9" s="109">
        <f>IF(ISNA(VLOOKUP($B9,'[2]MENGENLS1 27-07-2000'!$AP$7:$AQ$12,2,0)),0,VLOOKUP($B9,'[2]MENGENLS1 27-07-2000'!$AP$7:$AQ$12,2,0))</f>
        <v>0</v>
      </c>
      <c r="L9" s="260">
        <f>IF(ISNA(VLOOKUP($B9,'[2]MENGENLS1 27-07-2000'!$AS$7:$AT$23,2,0)),0,VLOOKUP($B9,'[2]MENGENLS1 27-07-2000'!$AS$7:$AT$23,2,0))</f>
        <v>20000</v>
      </c>
      <c r="M9" s="12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/>
      <c r="X9" s="111"/>
      <c r="Y9" s="111"/>
      <c r="Z9" s="111"/>
      <c r="AA9" s="111"/>
      <c r="AB9" s="111"/>
      <c r="AC9" s="105"/>
      <c r="AD9" s="106"/>
      <c r="AE9" s="111"/>
      <c r="AF9" s="112"/>
      <c r="AG9" s="111"/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">
      <c r="B10" s="107">
        <f t="shared" si="0"/>
        <v>36951</v>
      </c>
      <c r="C10" s="108">
        <f>IF(ISNA(VLOOKUP($B10,'[2]MENGENLS1 27-07-2000'!$R$7:$S$71,2,0)),0,VLOOKUP($B10,'[2]MENGENLS1 27-07-2000'!$R$7:$S$71,2,0))</f>
        <v>-9729</v>
      </c>
      <c r="D10" s="109">
        <f>IF(ISNA(VLOOKUP($B10,'[2]MENGENLS1 27-07-2000'!$U$7:$V$60,2,0)),0,VLOOKUP($B10,'[2]MENGENLS1 27-07-2000'!$U$7:$V$60,2,0))</f>
        <v>-42739</v>
      </c>
      <c r="E10" s="109">
        <f>IF(ISNA(VLOOKUP($B10,'[2]MENGENLS1 27-07-2000'!$X$7:$Y$27,2,0)),0,VLOOKUP($B10,'[2]MENGENLS1 27-07-2000'!$X$7:$Y$27,2,0))</f>
        <v>-10574</v>
      </c>
      <c r="F10" s="109">
        <f>IF(ISNA(VLOOKUP($B10,'[2]MENGENLS1 27-07-2000'!$AA$7:$AB$35,2,0)),0,VLOOKUP($B10,'[2]MENGENLS1 27-07-2000'!$AA$7:$AB$35,2,0))</f>
        <v>553</v>
      </c>
      <c r="G10" s="109">
        <f>IF(ISNA(VLOOKUP($B10,'[2]MENGENLS1 27-07-2000'!$AD$7:$AE$38,2,0)),0,VLOOKUP($B10,'[2]MENGENLS1 27-07-2000'!$AD$7:$AE$38,2,0))</f>
        <v>170528</v>
      </c>
      <c r="H10" s="109">
        <f>IF(ISNA(VLOOKUP($B10,'[2]MENGENLS1 27-07-2000'!$AG$7:$AH$20,2,0)),0,VLOOKUP($B10,'[2]MENGENLS1 27-07-2000'!$AG$7:$AH$20,2,0))</f>
        <v>-103</v>
      </c>
      <c r="I10" s="109">
        <f>IF(ISNA(VLOOKUP($B10,'[2]MENGENLS1 27-07-2000'!$AJ$7:$AK$38,2,0)),0,VLOOKUP($B10,'[2]MENGENLS1 27-07-2000'!$AJ$7:$AK$38,2,0))</f>
        <v>-4527</v>
      </c>
      <c r="J10" s="109">
        <f>IF(ISNA(VLOOKUP($B10,'[2]MENGENLS1 27-07-2000'!$AM$7:$AN$38,2,0)),0,VLOOKUP($B10,'[2]MENGENLS1 27-07-2000'!$AM$7:$AN$38,2,0))</f>
        <v>13600</v>
      </c>
      <c r="K10" s="109">
        <f>IF(ISNA(VLOOKUP($B10,'[2]MENGENLS1 27-07-2000'!$AP$7:$AQ$12,2,0)),0,VLOOKUP($B10,'[2]MENGENLS1 27-07-2000'!$AP$7:$AQ$12,2,0))</f>
        <v>-43310</v>
      </c>
      <c r="L10" s="260">
        <f>IF(ISNA(VLOOKUP($B10,'[2]MENGENLS1 27-07-2000'!$AS$7:$AT$23,2,0)),0,VLOOKUP($B10,'[2]MENGENLS1 27-07-2000'!$AS$7:$AT$23,2,0))</f>
        <v>25000</v>
      </c>
      <c r="M10" s="12">
        <v>0</v>
      </c>
      <c r="N10" s="101">
        <v>0</v>
      </c>
      <c r="O10" s="101">
        <v>0</v>
      </c>
      <c r="P10" s="101">
        <v>0</v>
      </c>
      <c r="Q10" s="101">
        <v>0</v>
      </c>
      <c r="R10" s="101">
        <v>0</v>
      </c>
      <c r="S10" s="101">
        <v>0</v>
      </c>
      <c r="T10" s="101">
        <v>0</v>
      </c>
      <c r="U10" s="101">
        <v>0</v>
      </c>
      <c r="V10" s="101">
        <v>0</v>
      </c>
      <c r="W10" s="101"/>
      <c r="X10" s="101"/>
      <c r="Y10" s="101"/>
      <c r="Z10" s="101"/>
      <c r="AA10" s="101"/>
      <c r="AB10" s="101"/>
      <c r="AC10" s="105"/>
      <c r="AD10" s="106"/>
      <c r="AE10" s="111"/>
      <c r="AF10" s="112"/>
      <c r="AG10" s="111"/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">
      <c r="B11" s="107">
        <f t="shared" si="0"/>
        <v>36982</v>
      </c>
      <c r="C11" s="108">
        <f>IF(ISNA(VLOOKUP($B11,'[2]MENGENLS1 27-07-2000'!$R$7:$S$71,2,0)),0,VLOOKUP($B11,'[2]MENGENLS1 27-07-2000'!$R$7:$S$71,2,0))</f>
        <v>-8386</v>
      </c>
      <c r="D11" s="109">
        <f>IF(ISNA(VLOOKUP($B11,'[2]MENGENLS1 27-07-2000'!$U$7:$V$60,2,0)),0,VLOOKUP($B11,'[2]MENGENLS1 27-07-2000'!$U$7:$V$60,2,0))</f>
        <v>-29392</v>
      </c>
      <c r="E11" s="109">
        <f>IF(ISNA(VLOOKUP($B11,'[2]MENGENLS1 27-07-2000'!$X$7:$Y$27,2,0)),0,VLOOKUP($B11,'[2]MENGENLS1 27-07-2000'!$X$7:$Y$27,2,0))</f>
        <v>-1803</v>
      </c>
      <c r="F11" s="109">
        <f>IF(ISNA(VLOOKUP($B11,'[2]MENGENLS1 27-07-2000'!$AA$7:$AB$35,2,0)),0,VLOOKUP($B11,'[2]MENGENLS1 27-07-2000'!$AA$7:$AB$35,2,0))</f>
        <v>649</v>
      </c>
      <c r="G11" s="109">
        <f>IF(ISNA(VLOOKUP($B11,'[2]MENGENLS1 27-07-2000'!$AD$7:$AE$38,2,0)),0,VLOOKUP($B11,'[2]MENGENLS1 27-07-2000'!$AD$7:$AE$38,2,0))</f>
        <v>28807</v>
      </c>
      <c r="H11" s="109">
        <f>IF(ISNA(VLOOKUP($B11,'[2]MENGENLS1 27-07-2000'!$AG$7:$AH$20,2,0)),0,VLOOKUP($B11,'[2]MENGENLS1 27-07-2000'!$AG$7:$AH$20,2,0))</f>
        <v>-6</v>
      </c>
      <c r="I11" s="109">
        <f>IF(ISNA(VLOOKUP($B11,'[2]MENGENLS1 27-07-2000'!$AJ$7:$AK$38,2,0)),0,VLOOKUP($B11,'[2]MENGENLS1 27-07-2000'!$AJ$7:$AK$38,2,0))</f>
        <v>-1787</v>
      </c>
      <c r="J11" s="109">
        <f>IF(ISNA(VLOOKUP($B11,'[2]MENGENLS1 27-07-2000'!$AM$7:$AN$38,2,0)),0,VLOOKUP($B11,'[2]MENGENLS1 27-07-2000'!$AM$7:$AN$38,2,0))</f>
        <v>26878</v>
      </c>
      <c r="K11" s="109">
        <f>IF(ISNA(VLOOKUP($B11,'[2]MENGENLS1 27-07-2000'!$AP$7:$AQ$12,2,0)),0,VLOOKUP($B11,'[2]MENGENLS1 27-07-2000'!$AP$7:$AQ$12,2,0))</f>
        <v>0</v>
      </c>
      <c r="L11" s="260">
        <f>IF(ISNA(VLOOKUP($B11,'[2]MENGENLS1 27-07-2000'!$AS$7:$AT$23,2,0)),0,VLOOKUP($B11,'[2]MENGENLS1 27-07-2000'!$AS$7:$AT$23,2,0))</f>
        <v>-6666</v>
      </c>
      <c r="M11" s="12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/>
      <c r="X11" s="111"/>
      <c r="Y11" s="111"/>
      <c r="Z11" s="111"/>
      <c r="AA11" s="111"/>
      <c r="AB11" s="111"/>
      <c r="AC11" s="105"/>
      <c r="AD11" s="106"/>
      <c r="AE11" s="111"/>
      <c r="AF11" s="112"/>
      <c r="AG11" s="111"/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">
      <c r="B12" s="107">
        <f t="shared" si="0"/>
        <v>37012</v>
      </c>
      <c r="C12" s="108">
        <f>IF(ISNA(VLOOKUP($B12,'[2]MENGENLS1 27-07-2000'!$R$7:$S$71,2,0)),0,VLOOKUP($B12,'[2]MENGENLS1 27-07-2000'!$R$7:$S$71,2,0))</f>
        <v>-1616</v>
      </c>
      <c r="D12" s="109">
        <f>IF(ISNA(VLOOKUP($B12,'[2]MENGENLS1 27-07-2000'!$U$7:$V$60,2,0)),0,VLOOKUP($B12,'[2]MENGENLS1 27-07-2000'!$U$7:$V$60,2,0))</f>
        <v>7253</v>
      </c>
      <c r="E12" s="109">
        <f>IF(ISNA(VLOOKUP($B12,'[2]MENGENLS1 27-07-2000'!$X$7:$Y$27,2,0)),0,VLOOKUP($B12,'[2]MENGENLS1 27-07-2000'!$X$7:$Y$27,2,0))</f>
        <v>-6874</v>
      </c>
      <c r="F12" s="109">
        <f>IF(ISNA(VLOOKUP($B12,'[2]MENGENLS1 27-07-2000'!$AA$7:$AB$35,2,0)),0,VLOOKUP($B12,'[2]MENGENLS1 27-07-2000'!$AA$7:$AB$35,2,0))</f>
        <v>1</v>
      </c>
      <c r="G12" s="109">
        <f>IF(ISNA(VLOOKUP($B12,'[2]MENGENLS1 27-07-2000'!$AD$7:$AE$38,2,0)),0,VLOOKUP($B12,'[2]MENGENLS1 27-07-2000'!$AD$7:$AE$38,2,0))</f>
        <v>-37616</v>
      </c>
      <c r="H12" s="109">
        <f>IF(ISNA(VLOOKUP($B12,'[2]MENGENLS1 27-07-2000'!$AG$7:$AH$20,2,0)),0,VLOOKUP($B12,'[2]MENGENLS1 27-07-2000'!$AG$7:$AH$20,2,0))</f>
        <v>46</v>
      </c>
      <c r="I12" s="109">
        <f>IF(ISNA(VLOOKUP($B12,'[2]MENGENLS1 27-07-2000'!$AJ$7:$AK$38,2,0)),0,VLOOKUP($B12,'[2]MENGENLS1 27-07-2000'!$AJ$7:$AK$38,2,0))</f>
        <v>-4662</v>
      </c>
      <c r="J12" s="109">
        <f>IF(ISNA(VLOOKUP($B12,'[2]MENGENLS1 27-07-2000'!$AM$7:$AN$38,2,0)),0,VLOOKUP($B12,'[2]MENGENLS1 27-07-2000'!$AM$7:$AN$38,2,0))</f>
        <v>-23470</v>
      </c>
      <c r="K12" s="109">
        <f>IF(ISNA(VLOOKUP($B12,'[2]MENGENLS1 27-07-2000'!$AP$7:$AQ$12,2,0)),0,VLOOKUP($B12,'[2]MENGENLS1 27-07-2000'!$AP$7:$AQ$12,2,0))</f>
        <v>18860</v>
      </c>
      <c r="L12" s="260">
        <f>IF(ISNA(VLOOKUP($B12,'[2]MENGENLS1 27-07-2000'!$AS$7:$AT$23,2,0)),0,VLOOKUP($B12,'[2]MENGENLS1 27-07-2000'!$AS$7:$AT$23,2,0))</f>
        <v>-10000</v>
      </c>
      <c r="M12" s="12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/>
      <c r="X12" s="101"/>
      <c r="Y12" s="101"/>
      <c r="Z12" s="101"/>
      <c r="AA12" s="101"/>
      <c r="AB12" s="101"/>
      <c r="AC12" s="105"/>
      <c r="AD12" s="106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">
      <c r="B13" s="107">
        <f t="shared" si="0"/>
        <v>37043</v>
      </c>
      <c r="C13" s="108">
        <f>IF(ISNA(VLOOKUP($B13,'[2]MENGENLS1 27-07-2000'!$R$7:$S$71,2,0)),0,VLOOKUP($B13,'[2]MENGENLS1 27-07-2000'!$R$7:$S$71,2,0))</f>
        <v>-3124</v>
      </c>
      <c r="D13" s="109">
        <f>IF(ISNA(VLOOKUP($B13,'[2]MENGENLS1 27-07-2000'!$U$7:$V$60,2,0)),0,VLOOKUP($B13,'[2]MENGENLS1 27-07-2000'!$U$7:$V$60,2,0))</f>
        <v>1236</v>
      </c>
      <c r="E13" s="109">
        <f>IF(ISNA(VLOOKUP($B13,'[2]MENGENLS1 27-07-2000'!$X$7:$Y$27,2,0)),0,VLOOKUP($B13,'[2]MENGENLS1 27-07-2000'!$X$7:$Y$27,2,0))</f>
        <v>-9692</v>
      </c>
      <c r="F13" s="109">
        <f>IF(ISNA(VLOOKUP($B13,'[2]MENGENLS1 27-07-2000'!$AA$7:$AB$35,2,0)),0,VLOOKUP($B13,'[2]MENGENLS1 27-07-2000'!$AA$7:$AB$35,2,0))</f>
        <v>2101</v>
      </c>
      <c r="G13" s="109">
        <f>IF(ISNA(VLOOKUP($B13,'[2]MENGENLS1 27-07-2000'!$AD$7:$AE$38,2,0)),0,VLOOKUP($B13,'[2]MENGENLS1 27-07-2000'!$AD$7:$AE$38,2,0))</f>
        <v>-3794</v>
      </c>
      <c r="H13" s="109">
        <f>IF(ISNA(VLOOKUP($B13,'[2]MENGENLS1 27-07-2000'!$AG$7:$AH$20,2,0)),0,VLOOKUP($B13,'[2]MENGENLS1 27-07-2000'!$AG$7:$AH$20,2,0))</f>
        <v>-154</v>
      </c>
      <c r="I13" s="109">
        <f>IF(ISNA(VLOOKUP($B13,'[2]MENGENLS1 27-07-2000'!$AJ$7:$AK$38,2,0)),0,VLOOKUP($B13,'[2]MENGENLS1 27-07-2000'!$AJ$7:$AK$38,2,0))</f>
        <v>1291</v>
      </c>
      <c r="J13" s="109">
        <f>IF(ISNA(VLOOKUP($B13,'[2]MENGENLS1 27-07-2000'!$AM$7:$AN$38,2,0)),0,VLOOKUP($B13,'[2]MENGENLS1 27-07-2000'!$AM$7:$AN$38,2,0))</f>
        <v>24724</v>
      </c>
      <c r="K13" s="109">
        <f>IF(ISNA(VLOOKUP($B13,'[2]MENGENLS1 27-07-2000'!$AP$7:$AQ$12,2,0)),0,VLOOKUP($B13,'[2]MENGENLS1 27-07-2000'!$AP$7:$AQ$12,2,0))</f>
        <v>0</v>
      </c>
      <c r="L13" s="260">
        <f>IF(ISNA(VLOOKUP($B13,'[2]MENGENLS1 27-07-2000'!$AS$7:$AT$23,2,0)),0,VLOOKUP($B13,'[2]MENGENLS1 27-07-2000'!$AS$7:$AT$23,2,0))</f>
        <v>20000</v>
      </c>
      <c r="M13" s="12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/>
      <c r="X13" s="111"/>
      <c r="Y13" s="111"/>
      <c r="Z13" s="111"/>
      <c r="AA13" s="111"/>
      <c r="AB13" s="111"/>
      <c r="AC13" s="105"/>
      <c r="AD13" s="106"/>
      <c r="AG13" s="102"/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">
      <c r="B14" s="107">
        <f t="shared" si="0"/>
        <v>37073</v>
      </c>
      <c r="C14" s="108">
        <f>IF(ISNA(VLOOKUP($B14,'[2]MENGENLS1 27-07-2000'!$R$7:$S$71,2,0)),0,VLOOKUP($B14,'[2]MENGENLS1 27-07-2000'!$R$7:$S$71,2,0))</f>
        <v>-5986</v>
      </c>
      <c r="D14" s="109">
        <f>IF(ISNA(VLOOKUP($B14,'[2]MENGENLS1 27-07-2000'!$U$7:$V$60,2,0)),0,VLOOKUP($B14,'[2]MENGENLS1 27-07-2000'!$U$7:$V$60,2,0))</f>
        <v>1103</v>
      </c>
      <c r="E14" s="109">
        <f>IF(ISNA(VLOOKUP($B14,'[2]MENGENLS1 27-07-2000'!$X$7:$Y$27,2,0)),0,VLOOKUP($B14,'[2]MENGENLS1 27-07-2000'!$X$7:$Y$27,2,0))</f>
        <v>-25900</v>
      </c>
      <c r="F14" s="109">
        <f>IF(ISNA(VLOOKUP($B14,'[2]MENGENLS1 27-07-2000'!$AA$7:$AB$35,2,0)),0,VLOOKUP($B14,'[2]MENGENLS1 27-07-2000'!$AA$7:$AB$35,2,0))</f>
        <v>-947</v>
      </c>
      <c r="G14" s="109">
        <f>IF(ISNA(VLOOKUP($B14,'[2]MENGENLS1 27-07-2000'!$AD$7:$AE$38,2,0)),0,VLOOKUP($B14,'[2]MENGENLS1 27-07-2000'!$AD$7:$AE$38,2,0))</f>
        <v>9163</v>
      </c>
      <c r="H14" s="109">
        <f>IF(ISNA(VLOOKUP($B14,'[2]MENGENLS1 27-07-2000'!$AG$7:$AH$20,2,0)),0,VLOOKUP($B14,'[2]MENGENLS1 27-07-2000'!$AG$7:$AH$20,2,0))</f>
        <v>-50</v>
      </c>
      <c r="I14" s="109">
        <f>IF(ISNA(VLOOKUP($B14,'[2]MENGENLS1 27-07-2000'!$AJ$7:$AK$38,2,0)),0,VLOOKUP($B14,'[2]MENGENLS1 27-07-2000'!$AJ$7:$AK$38,2,0))</f>
        <v>-4514</v>
      </c>
      <c r="J14" s="109">
        <f>IF(ISNA(VLOOKUP($B14,'[2]MENGENLS1 27-07-2000'!$AM$7:$AN$38,2,0)),0,VLOOKUP($B14,'[2]MENGENLS1 27-07-2000'!$AM$7:$AN$38,2,0))</f>
        <v>611</v>
      </c>
      <c r="K14" s="109">
        <f>IF(ISNA(VLOOKUP($B14,'[2]MENGENLS1 27-07-2000'!$AP$7:$AQ$12,2,0)),0,VLOOKUP($B14,'[2]MENGENLS1 27-07-2000'!$AP$7:$AQ$12,2,0))</f>
        <v>0</v>
      </c>
      <c r="L14" s="260">
        <f>IF(ISNA(VLOOKUP($B14,'[2]MENGENLS1 27-07-2000'!$AS$7:$AT$23,2,0)),0,VLOOKUP($B14,'[2]MENGENLS1 27-07-2000'!$AS$7:$AT$23,2,0))</f>
        <v>10000</v>
      </c>
      <c r="M14" s="12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/>
      <c r="X14" s="101"/>
      <c r="Y14" s="101"/>
      <c r="Z14" s="101"/>
      <c r="AA14" s="101"/>
      <c r="AB14" s="101"/>
      <c r="AC14" s="105"/>
      <c r="AD14" s="106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">
      <c r="B15" s="107">
        <f t="shared" si="0"/>
        <v>37104</v>
      </c>
      <c r="C15" s="108">
        <f>IF(ISNA(VLOOKUP($B15,'[2]MENGENLS1 27-07-2000'!$R$7:$S$71,2,0)),0,VLOOKUP($B15,'[2]MENGENLS1 27-07-2000'!$R$7:$S$71,2,0))</f>
        <v>1156</v>
      </c>
      <c r="D15" s="109">
        <f>IF(ISNA(VLOOKUP($B15,'[2]MENGENLS1 27-07-2000'!$U$7:$V$60,2,0)),0,VLOOKUP($B15,'[2]MENGENLS1 27-07-2000'!$U$7:$V$60,2,0))</f>
        <v>-1853</v>
      </c>
      <c r="E15" s="109">
        <f>IF(ISNA(VLOOKUP($B15,'[2]MENGENLS1 27-07-2000'!$X$7:$Y$27,2,0)),0,VLOOKUP($B15,'[2]MENGENLS1 27-07-2000'!$X$7:$Y$27,2,0))</f>
        <v>-2975</v>
      </c>
      <c r="F15" s="109">
        <f>IF(ISNA(VLOOKUP($B15,'[2]MENGENLS1 27-07-2000'!$AA$7:$AB$35,2,0)),0,VLOOKUP($B15,'[2]MENGENLS1 27-07-2000'!$AA$7:$AB$35,2,0))</f>
        <v>-71</v>
      </c>
      <c r="G15" s="109">
        <f>IF(ISNA(VLOOKUP($B15,'[2]MENGENLS1 27-07-2000'!$AD$7:$AE$38,2,0)),0,VLOOKUP($B15,'[2]MENGENLS1 27-07-2000'!$AD$7:$AE$38,2,0))</f>
        <v>-1061</v>
      </c>
      <c r="H15" s="109">
        <f>IF(ISNA(VLOOKUP($B15,'[2]MENGENLS1 27-07-2000'!$AG$7:$AH$20,2,0)),0,VLOOKUP($B15,'[2]MENGENLS1 27-07-2000'!$AG$7:$AH$20,2,0))</f>
        <v>70</v>
      </c>
      <c r="I15" s="109">
        <f>IF(ISNA(VLOOKUP($B15,'[2]MENGENLS1 27-07-2000'!$AJ$7:$AK$38,2,0)),0,VLOOKUP($B15,'[2]MENGENLS1 27-07-2000'!$AJ$7:$AK$38,2,0))</f>
        <v>-7888</v>
      </c>
      <c r="J15" s="109">
        <f>IF(ISNA(VLOOKUP($B15,'[2]MENGENLS1 27-07-2000'!$AM$7:$AN$38,2,0)),0,VLOOKUP($B15,'[2]MENGENLS1 27-07-2000'!$AM$7:$AN$38,2,0))</f>
        <v>-6720</v>
      </c>
      <c r="K15" s="109">
        <f>IF(ISNA(VLOOKUP($B15,'[2]MENGENLS1 27-07-2000'!$AP$7:$AQ$12,2,0)),0,VLOOKUP($B15,'[2]MENGENLS1 27-07-2000'!$AP$7:$AQ$12,2,0))</f>
        <v>0</v>
      </c>
      <c r="L15" s="260">
        <f>IF(ISNA(VLOOKUP($B15,'[2]MENGENLS1 27-07-2000'!$AS$7:$AT$23,2,0)),0,VLOOKUP($B15,'[2]MENGENLS1 27-07-2000'!$AS$7:$AT$23,2,0))</f>
        <v>-16666</v>
      </c>
      <c r="M15" s="12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/>
      <c r="X15" s="111"/>
      <c r="Y15" s="111"/>
      <c r="Z15" s="111"/>
      <c r="AA15" s="111"/>
      <c r="AB15" s="111"/>
      <c r="AC15" s="105"/>
      <c r="AD15" s="106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">
      <c r="B16" s="107">
        <f t="shared" si="0"/>
        <v>37135</v>
      </c>
      <c r="C16" s="108">
        <f>IF(ISNA(VLOOKUP($B16,'[2]MENGENLS1 27-07-2000'!$R$7:$S$71,2,0)),0,VLOOKUP($B16,'[2]MENGENLS1 27-07-2000'!$R$7:$S$71,2,0))</f>
        <v>-1212</v>
      </c>
      <c r="D16" s="109">
        <f>IF(ISNA(VLOOKUP($B16,'[2]MENGENLS1 27-07-2000'!$U$7:$V$60,2,0)),0,VLOOKUP($B16,'[2]MENGENLS1 27-07-2000'!$U$7:$V$60,2,0))</f>
        <v>-6722</v>
      </c>
      <c r="E16" s="109">
        <f>IF(ISNA(VLOOKUP($B16,'[2]MENGENLS1 27-07-2000'!$X$7:$Y$27,2,0)),0,VLOOKUP($B16,'[2]MENGENLS1 27-07-2000'!$X$7:$Y$27,2,0))</f>
        <v>-1075</v>
      </c>
      <c r="F16" s="109">
        <f>IF(ISNA(VLOOKUP($B16,'[2]MENGENLS1 27-07-2000'!$AA$7:$AB$35,2,0)),0,VLOOKUP($B16,'[2]MENGENLS1 27-07-2000'!$AA$7:$AB$35,2,0))</f>
        <v>-341</v>
      </c>
      <c r="G16" s="109">
        <f>IF(ISNA(VLOOKUP($B16,'[2]MENGENLS1 27-07-2000'!$AD$7:$AE$38,2,0)),0,VLOOKUP($B16,'[2]MENGENLS1 27-07-2000'!$AD$7:$AE$38,2,0))</f>
        <v>9163</v>
      </c>
      <c r="H16" s="109">
        <f>IF(ISNA(VLOOKUP($B16,'[2]MENGENLS1 27-07-2000'!$AG$7:$AH$20,2,0)),0,VLOOKUP($B16,'[2]MENGENLS1 27-07-2000'!$AG$7:$AH$20,2,0))</f>
        <v>0</v>
      </c>
      <c r="I16" s="109">
        <f>IF(ISNA(VLOOKUP($B16,'[2]MENGENLS1 27-07-2000'!$AJ$7:$AK$38,2,0)),0,VLOOKUP($B16,'[2]MENGENLS1 27-07-2000'!$AJ$7:$AK$38,2,0))</f>
        <v>-1401</v>
      </c>
      <c r="J16" s="109">
        <f>IF(ISNA(VLOOKUP($B16,'[2]MENGENLS1 27-07-2000'!$AM$7:$AN$38,2,0)),0,VLOOKUP($B16,'[2]MENGENLS1 27-07-2000'!$AM$7:$AN$38,2,0))</f>
        <v>611</v>
      </c>
      <c r="K16" s="109">
        <f>IF(ISNA(VLOOKUP($B16,'[2]MENGENLS1 27-07-2000'!$AP$7:$AQ$12,2,0)),0,VLOOKUP($B16,'[2]MENGENLS1 27-07-2000'!$AP$7:$AQ$12,2,0))</f>
        <v>0</v>
      </c>
      <c r="L16" s="260">
        <f>IF(ISNA(VLOOKUP($B16,'[2]MENGENLS1 27-07-2000'!$AS$7:$AT$23,2,0)),0,VLOOKUP($B16,'[2]MENGENLS1 27-07-2000'!$AS$7:$AT$23,2,0))</f>
        <v>10000</v>
      </c>
      <c r="M16" s="12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/>
      <c r="X16" s="101"/>
      <c r="Y16" s="101"/>
      <c r="Z16" s="101"/>
      <c r="AA16" s="101"/>
      <c r="AB16" s="101"/>
      <c r="AC16" s="105"/>
      <c r="AD16" s="106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">
      <c r="B17" s="107">
        <f t="shared" si="0"/>
        <v>37165</v>
      </c>
      <c r="C17" s="108">
        <f>IF(ISNA(VLOOKUP($B17,'[2]MENGENLS1 27-07-2000'!$R$7:$S$71,2,0)),0,VLOOKUP($B17,'[2]MENGENLS1 27-07-2000'!$R$7:$S$71,2,0))</f>
        <v>2639</v>
      </c>
      <c r="D17" s="109">
        <f>IF(ISNA(VLOOKUP($B17,'[2]MENGENLS1 27-07-2000'!$U$7:$V$60,2,0)),0,VLOOKUP($B17,'[2]MENGENLS1 27-07-2000'!$U$7:$V$60,2,0))</f>
        <v>-39</v>
      </c>
      <c r="E17" s="109">
        <f>IF(ISNA(VLOOKUP($B17,'[2]MENGENLS1 27-07-2000'!$X$7:$Y$27,2,0)),0,VLOOKUP($B17,'[2]MENGENLS1 27-07-2000'!$X$7:$Y$27,2,0))</f>
        <v>-325</v>
      </c>
      <c r="F17" s="109">
        <f>IF(ISNA(VLOOKUP($B17,'[2]MENGENLS1 27-07-2000'!$AA$7:$AB$35,2,0)),0,VLOOKUP($B17,'[2]MENGENLS1 27-07-2000'!$AA$7:$AB$35,2,0))</f>
        <v>-924</v>
      </c>
      <c r="G17" s="109">
        <f>IF(ISNA(VLOOKUP($B17,'[2]MENGENLS1 27-07-2000'!$AD$7:$AE$38,2,0)),0,VLOOKUP($B17,'[2]MENGENLS1 27-07-2000'!$AD$7:$AE$38,2,0))</f>
        <v>27971</v>
      </c>
      <c r="H17" s="109">
        <f>IF(ISNA(VLOOKUP($B17,'[2]MENGENLS1 27-07-2000'!$AG$7:$AH$20,2,0)),0,VLOOKUP($B17,'[2]MENGENLS1 27-07-2000'!$AG$7:$AH$20,2,0))</f>
        <v>0</v>
      </c>
      <c r="I17" s="109">
        <f>IF(ISNA(VLOOKUP($B17,'[2]MENGENLS1 27-07-2000'!$AJ$7:$AK$38,2,0)),0,VLOOKUP($B17,'[2]MENGENLS1 27-07-2000'!$AJ$7:$AK$38,2,0))</f>
        <v>-3546</v>
      </c>
      <c r="J17" s="109">
        <f>IF(ISNA(VLOOKUP($B17,'[2]MENGENLS1 27-07-2000'!$AM$7:$AN$38,2,0)),0,VLOOKUP($B17,'[2]MENGENLS1 27-07-2000'!$AM$7:$AN$38,2,0))</f>
        <v>7813</v>
      </c>
      <c r="K17" s="109">
        <f>IF(ISNA(VLOOKUP($B17,'[2]MENGENLS1 27-07-2000'!$AP$7:$AQ$12,2,0)),0,VLOOKUP($B17,'[2]MENGENLS1 27-07-2000'!$AP$7:$AQ$12,2,0))</f>
        <v>0</v>
      </c>
      <c r="L17" s="260">
        <f>IF(ISNA(VLOOKUP($B17,'[2]MENGENLS1 27-07-2000'!$AS$7:$AT$23,2,0)),0,VLOOKUP($B17,'[2]MENGENLS1 27-07-2000'!$AS$7:$AT$23,2,0))</f>
        <v>0</v>
      </c>
      <c r="M17" s="12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/>
      <c r="X17" s="111"/>
      <c r="Y17" s="111"/>
      <c r="Z17" s="111"/>
      <c r="AA17" s="111"/>
      <c r="AB17" s="111"/>
      <c r="AC17" s="105"/>
      <c r="AD17" s="106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">
      <c r="B18" s="107">
        <f t="shared" si="0"/>
        <v>37196</v>
      </c>
      <c r="C18" s="108">
        <f>IF(ISNA(VLOOKUP($B18,'[2]MENGENLS1 27-07-2000'!$R$7:$S$71,2,0)),0,VLOOKUP($B18,'[2]MENGENLS1 27-07-2000'!$R$7:$S$71,2,0))</f>
        <v>9881</v>
      </c>
      <c r="D18" s="109">
        <f>IF(ISNA(VLOOKUP($B18,'[2]MENGENLS1 27-07-2000'!$U$7:$V$60,2,0)),0,VLOOKUP($B18,'[2]MENGENLS1 27-07-2000'!$U$7:$V$60,2,0))</f>
        <v>-4886</v>
      </c>
      <c r="E18" s="109">
        <f>IF(ISNA(VLOOKUP($B18,'[2]MENGENLS1 27-07-2000'!$X$7:$Y$27,2,0)),0,VLOOKUP($B18,'[2]MENGENLS1 27-07-2000'!$X$7:$Y$27,2,0))</f>
        <v>925</v>
      </c>
      <c r="F18" s="109">
        <f>IF(ISNA(VLOOKUP($B18,'[2]MENGENLS1 27-07-2000'!$AA$7:$AB$35,2,0)),0,VLOOKUP($B18,'[2]MENGENLS1 27-07-2000'!$AA$7:$AB$35,2,0))</f>
        <v>-276</v>
      </c>
      <c r="G18" s="109">
        <f>IF(ISNA(VLOOKUP($B18,'[2]MENGENLS1 27-07-2000'!$AD$7:$AE$38,2,0)),0,VLOOKUP($B18,'[2]MENGENLS1 27-07-2000'!$AD$7:$AE$38,2,0))</f>
        <v>-18808</v>
      </c>
      <c r="H18" s="109">
        <f>IF(ISNA(VLOOKUP($B18,'[2]MENGENLS1 27-07-2000'!$AG$7:$AH$20,2,0)),0,VLOOKUP($B18,'[2]MENGENLS1 27-07-2000'!$AG$7:$AH$20,2,0))</f>
        <v>0</v>
      </c>
      <c r="I18" s="109">
        <f>IF(ISNA(VLOOKUP($B18,'[2]MENGENLS1 27-07-2000'!$AJ$7:$AK$38,2,0)),0,VLOOKUP($B18,'[2]MENGENLS1 27-07-2000'!$AJ$7:$AK$38,2,0))</f>
        <v>-4308</v>
      </c>
      <c r="J18" s="109">
        <f>IF(ISNA(VLOOKUP($B18,'[2]MENGENLS1 27-07-2000'!$AM$7:$AN$38,2,0)),0,VLOOKUP($B18,'[2]MENGENLS1 27-07-2000'!$AM$7:$AN$38,2,0))</f>
        <v>-7202</v>
      </c>
      <c r="K18" s="109">
        <f>IF(ISNA(VLOOKUP($B18,'[2]MENGENLS1 27-07-2000'!$AP$7:$AQ$12,2,0)),0,VLOOKUP($B18,'[2]MENGENLS1 27-07-2000'!$AP$7:$AQ$12,2,0))</f>
        <v>0</v>
      </c>
      <c r="L18" s="260">
        <f>IF(ISNA(VLOOKUP($B18,'[2]MENGENLS1 27-07-2000'!$AS$7:$AT$23,2,0)),0,VLOOKUP($B18,'[2]MENGENLS1 27-07-2000'!$AS$7:$AT$23,2,0))</f>
        <v>-6666</v>
      </c>
      <c r="M18" s="12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/>
      <c r="X18" s="101"/>
      <c r="Y18" s="101"/>
      <c r="Z18" s="101"/>
      <c r="AA18" s="101"/>
      <c r="AB18" s="101"/>
      <c r="AC18" s="105"/>
      <c r="AD18" s="106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">
      <c r="B19" s="107">
        <f t="shared" si="0"/>
        <v>37226</v>
      </c>
      <c r="C19" s="108">
        <f>IF(ISNA(VLOOKUP($B19,'[2]MENGENLS1 27-07-2000'!$R$7:$S$71,2,0)),0,VLOOKUP($B19,'[2]MENGENLS1 27-07-2000'!$R$7:$S$71,2,0))</f>
        <v>-22211</v>
      </c>
      <c r="D19" s="109">
        <f>IF(ISNA(VLOOKUP($B19,'[2]MENGENLS1 27-07-2000'!$U$7:$V$60,2,0)),0,VLOOKUP($B19,'[2]MENGENLS1 27-07-2000'!$U$7:$V$60,2,0))</f>
        <v>-110980</v>
      </c>
      <c r="E19" s="109">
        <f>IF(ISNA(VLOOKUP($B19,'[2]MENGENLS1 27-07-2000'!$X$7:$Y$27,2,0)),0,VLOOKUP($B19,'[2]MENGENLS1 27-07-2000'!$X$7:$Y$27,2,0))</f>
        <v>925</v>
      </c>
      <c r="F19" s="109">
        <f>IF(ISNA(VLOOKUP($B19,'[2]MENGENLS1 27-07-2000'!$AA$7:$AB$35,2,0)),0,VLOOKUP($B19,'[2]MENGENLS1 27-07-2000'!$AA$7:$AB$35,2,0))</f>
        <v>-10284</v>
      </c>
      <c r="G19" s="109">
        <f>IF(ISNA(VLOOKUP($B19,'[2]MENGENLS1 27-07-2000'!$AD$7:$AE$38,2,0)),0,VLOOKUP($B19,'[2]MENGENLS1 27-07-2000'!$AD$7:$AE$38,2,0))</f>
        <v>0</v>
      </c>
      <c r="H19" s="109">
        <f>IF(ISNA(VLOOKUP($B19,'[2]MENGENLS1 27-07-2000'!$AG$7:$AH$20,2,0)),0,VLOOKUP($B19,'[2]MENGENLS1 27-07-2000'!$AG$7:$AH$20,2,0))</f>
        <v>0</v>
      </c>
      <c r="I19" s="109">
        <f>IF(ISNA(VLOOKUP($B19,'[2]MENGENLS1 27-07-2000'!$AJ$7:$AK$38,2,0)),0,VLOOKUP($B19,'[2]MENGENLS1 27-07-2000'!$AJ$7:$AK$38,2,0))</f>
        <v>3890</v>
      </c>
      <c r="J19" s="109">
        <f>IF(ISNA(VLOOKUP($B19,'[2]MENGENLS1 27-07-2000'!$AM$7:$AN$38,2,0)),0,VLOOKUP($B19,'[2]MENGENLS1 27-07-2000'!$AM$7:$AN$38,2,0))</f>
        <v>0</v>
      </c>
      <c r="K19" s="109">
        <f>IF(ISNA(VLOOKUP($B19,'[2]MENGENLS1 27-07-2000'!$AP$7:$AQ$12,2,0)),0,VLOOKUP($B19,'[2]MENGENLS1 27-07-2000'!$AP$7:$AQ$12,2,0))</f>
        <v>0</v>
      </c>
      <c r="L19" s="260">
        <f>IF(ISNA(VLOOKUP($B19,'[2]MENGENLS1 27-07-2000'!$AS$7:$AT$23,2,0)),0,VLOOKUP($B19,'[2]MENGENLS1 27-07-2000'!$AS$7:$AT$23,2,0))</f>
        <v>10000</v>
      </c>
      <c r="M19" s="12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/>
      <c r="X19" s="111"/>
      <c r="Y19" s="111"/>
      <c r="Z19" s="111"/>
      <c r="AA19" s="111"/>
      <c r="AB19" s="111"/>
      <c r="AC19" s="105"/>
      <c r="AD19" s="106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">
      <c r="B20" s="107">
        <f t="shared" ref="B20:B35" si="1">DATE(YEAR(B19),MONTH(B19)+1,1)</f>
        <v>37257</v>
      </c>
      <c r="C20" s="108">
        <f>IF(ISNA(VLOOKUP($B20,'[2]MENGENLS1 27-07-2000'!$R$7:$S$71,2,0)),0,VLOOKUP($B20,'[2]MENGENLS1 27-07-2000'!$R$7:$S$71,2,0))</f>
        <v>38601</v>
      </c>
      <c r="D20" s="109">
        <f>IF(ISNA(VLOOKUP($B20,'[2]MENGENLS1 27-07-2000'!$U$7:$V$60,2,0)),0,VLOOKUP($B20,'[2]MENGENLS1 27-07-2000'!$U$7:$V$60,2,0))</f>
        <v>-889</v>
      </c>
      <c r="E20" s="109">
        <f>IF(ISNA(VLOOKUP($B20,'[2]MENGENLS1 27-07-2000'!$X$7:$Y$27,2,0)),0,VLOOKUP($B20,'[2]MENGENLS1 27-07-2000'!$X$7:$Y$27,2,0))</f>
        <v>675</v>
      </c>
      <c r="F20" s="109">
        <f>IF(ISNA(VLOOKUP($B20,'[2]MENGENLS1 27-07-2000'!$AA$7:$AB$35,2,0)),0,VLOOKUP($B20,'[2]MENGENLS1 27-07-2000'!$AA$7:$AB$35,2,0))</f>
        <v>-654</v>
      </c>
      <c r="G20" s="109">
        <f>IF(ISNA(VLOOKUP($B20,'[2]MENGENLS1 27-07-2000'!$AD$7:$AE$38,2,0)),0,VLOOKUP($B20,'[2]MENGENLS1 27-07-2000'!$AD$7:$AE$38,2,0))</f>
        <v>18808</v>
      </c>
      <c r="H20" s="109">
        <f>IF(ISNA(VLOOKUP($B20,'[2]MENGENLS1 27-07-2000'!$AG$7:$AH$20,2,0)),0,VLOOKUP($B20,'[2]MENGENLS1 27-07-2000'!$AG$7:$AH$20,2,0))</f>
        <v>0</v>
      </c>
      <c r="I20" s="109">
        <f>IF(ISNA(VLOOKUP($B20,'[2]MENGENLS1 27-07-2000'!$AJ$7:$AK$38,2,0)),0,VLOOKUP($B20,'[2]MENGENLS1 27-07-2000'!$AJ$7:$AK$38,2,0))</f>
        <v>4197</v>
      </c>
      <c r="J20" s="109">
        <f>IF(ISNA(VLOOKUP($B20,'[2]MENGENLS1 27-07-2000'!$AM$7:$AN$38,2,0)),0,VLOOKUP($B20,'[2]MENGENLS1 27-07-2000'!$AM$7:$AN$38,2,0))</f>
        <v>7202</v>
      </c>
      <c r="K20" s="109">
        <f>IF(ISNA(VLOOKUP($B20,'[2]MENGENLS1 27-07-2000'!$AP$7:$AQ$12,2,0)),0,VLOOKUP($B20,'[2]MENGENLS1 27-07-2000'!$AP$7:$AQ$12,2,0))</f>
        <v>0</v>
      </c>
      <c r="L20" s="260">
        <f>IF(ISNA(VLOOKUP($B20,'[2]MENGENLS1 27-07-2000'!$AS$7:$AT$23,2,0)),0,VLOOKUP($B20,'[2]MENGENLS1 27-07-2000'!$AS$7:$AT$23,2,0))</f>
        <v>0</v>
      </c>
      <c r="M20" s="12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/>
      <c r="X20" s="101"/>
      <c r="Y20" s="101"/>
      <c r="Z20" s="101"/>
      <c r="AA20" s="101"/>
      <c r="AB20" s="101"/>
      <c r="AC20" s="105"/>
      <c r="AD20" s="106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">
      <c r="B21" s="107">
        <f t="shared" si="1"/>
        <v>37288</v>
      </c>
      <c r="C21" s="108">
        <f>IF(ISNA(VLOOKUP($B21,'[2]MENGENLS1 27-07-2000'!$R$7:$S$71,2,0)),0,VLOOKUP($B21,'[2]MENGENLS1 27-07-2000'!$R$7:$S$71,2,0))</f>
        <v>15351</v>
      </c>
      <c r="D21" s="109">
        <f>IF(ISNA(VLOOKUP($B21,'[2]MENGENLS1 27-07-2000'!$U$7:$V$60,2,0)),0,VLOOKUP($B21,'[2]MENGENLS1 27-07-2000'!$U$7:$V$60,2,0))</f>
        <v>-187</v>
      </c>
      <c r="E21" s="109">
        <f>IF(ISNA(VLOOKUP($B21,'[2]MENGENLS1 27-07-2000'!$X$7:$Y$27,2,0)),0,VLOOKUP($B21,'[2]MENGENLS1 27-07-2000'!$X$7:$Y$27,2,0))</f>
        <v>900</v>
      </c>
      <c r="F21" s="109">
        <f>IF(ISNA(VLOOKUP($B21,'[2]MENGENLS1 27-07-2000'!$AA$7:$AB$35,2,0)),0,VLOOKUP($B21,'[2]MENGENLS1 27-07-2000'!$AA$7:$AB$35,2,0))</f>
        <v>-72</v>
      </c>
      <c r="G21" s="109">
        <f>IF(ISNA(VLOOKUP($B21,'[2]MENGENLS1 27-07-2000'!$AD$7:$AE$38,2,0)),0,VLOOKUP($B21,'[2]MENGENLS1 27-07-2000'!$AD$7:$AE$38,2,0))</f>
        <v>0</v>
      </c>
      <c r="H21" s="109">
        <f>IF(ISNA(VLOOKUP($B21,'[2]MENGENLS1 27-07-2000'!$AG$7:$AH$20,2,0)),0,VLOOKUP($B21,'[2]MENGENLS1 27-07-2000'!$AG$7:$AH$20,2,0))</f>
        <v>0</v>
      </c>
      <c r="I21" s="109">
        <f>IF(ISNA(VLOOKUP($B21,'[2]MENGENLS1 27-07-2000'!$AJ$7:$AK$38,2,0)),0,VLOOKUP($B21,'[2]MENGENLS1 27-07-2000'!$AJ$7:$AK$38,2,0))</f>
        <v>-817</v>
      </c>
      <c r="J21" s="109">
        <f>IF(ISNA(VLOOKUP($B21,'[2]MENGENLS1 27-07-2000'!$AM$7:$AN$38,2,0)),0,VLOOKUP($B21,'[2]MENGENLS1 27-07-2000'!$AM$7:$AN$38,2,0))</f>
        <v>0</v>
      </c>
      <c r="K21" s="109">
        <f>IF(ISNA(VLOOKUP($B21,'[2]MENGENLS1 27-07-2000'!$AP$7:$AQ$12,2,0)),0,VLOOKUP($B21,'[2]MENGENLS1 27-07-2000'!$AP$7:$AQ$12,2,0))</f>
        <v>0</v>
      </c>
      <c r="L21" s="260">
        <f>IF(ISNA(VLOOKUP($B21,'[2]MENGENLS1 27-07-2000'!$AS$7:$AT$23,2,0)),0,VLOOKUP($B21,'[2]MENGENLS1 27-07-2000'!$AS$7:$AT$23,2,0))</f>
        <v>0</v>
      </c>
      <c r="M21" s="12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/>
      <c r="X21" s="111"/>
      <c r="Y21" s="111"/>
      <c r="Z21" s="111"/>
      <c r="AA21" s="111"/>
      <c r="AB21" s="111"/>
      <c r="AC21" s="105"/>
      <c r="AD21" s="106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">
      <c r="B22" s="107">
        <f t="shared" si="1"/>
        <v>37316</v>
      </c>
      <c r="C22" s="108">
        <f>IF(ISNA(VLOOKUP($B22,'[2]MENGENLS1 27-07-2000'!$R$7:$S$71,2,0)),0,VLOOKUP($B22,'[2]MENGENLS1 27-07-2000'!$R$7:$S$71,2,0))</f>
        <v>22114</v>
      </c>
      <c r="D22" s="109">
        <f>IF(ISNA(VLOOKUP($B22,'[2]MENGENLS1 27-07-2000'!$U$7:$V$60,2,0)),0,VLOOKUP($B22,'[2]MENGENLS1 27-07-2000'!$U$7:$V$60,2,0))</f>
        <v>1045</v>
      </c>
      <c r="E22" s="109">
        <f>IF(ISNA(VLOOKUP($B22,'[2]MENGENLS1 27-07-2000'!$X$7:$Y$27,2,0)),0,VLOOKUP($B22,'[2]MENGENLS1 27-07-2000'!$X$7:$Y$27,2,0))</f>
        <v>1000</v>
      </c>
      <c r="F22" s="109">
        <f>IF(ISNA(VLOOKUP($B22,'[2]MENGENLS1 27-07-2000'!$AA$7:$AB$35,2,0)),0,VLOOKUP($B22,'[2]MENGENLS1 27-07-2000'!$AA$7:$AB$35,2,0))</f>
        <v>-234</v>
      </c>
      <c r="G22" s="109">
        <f>IF(ISNA(VLOOKUP($B22,'[2]MENGENLS1 27-07-2000'!$AD$7:$AE$38,2,0)),0,VLOOKUP($B22,'[2]MENGENLS1 27-07-2000'!$AD$7:$AE$38,2,0))</f>
        <v>0</v>
      </c>
      <c r="H22" s="109">
        <f>IF(ISNA(VLOOKUP($B22,'[2]MENGENLS1 27-07-2000'!$AG$7:$AH$20,2,0)),0,VLOOKUP($B22,'[2]MENGENLS1 27-07-2000'!$AG$7:$AH$20,2,0))</f>
        <v>0</v>
      </c>
      <c r="I22" s="109">
        <f>IF(ISNA(VLOOKUP($B22,'[2]MENGENLS1 27-07-2000'!$AJ$7:$AK$38,2,0)),0,VLOOKUP($B22,'[2]MENGENLS1 27-07-2000'!$AJ$7:$AK$38,2,0))</f>
        <v>2810</v>
      </c>
      <c r="J22" s="109">
        <f>IF(ISNA(VLOOKUP($B22,'[2]MENGENLS1 27-07-2000'!$AM$7:$AN$38,2,0)),0,VLOOKUP($B22,'[2]MENGENLS1 27-07-2000'!$AM$7:$AN$38,2,0))</f>
        <v>0</v>
      </c>
      <c r="K22" s="109">
        <f>IF(ISNA(VLOOKUP($B22,'[2]MENGENLS1 27-07-2000'!$AP$7:$AQ$12,2,0)),0,VLOOKUP($B22,'[2]MENGENLS1 27-07-2000'!$AP$7:$AQ$12,2,0))</f>
        <v>0</v>
      </c>
      <c r="L22" s="260">
        <f>IF(ISNA(VLOOKUP($B22,'[2]MENGENLS1 27-07-2000'!$AS$7:$AT$23,2,0)),0,VLOOKUP($B22,'[2]MENGENLS1 27-07-2000'!$AS$7:$AT$23,2,0))</f>
        <v>0</v>
      </c>
      <c r="M22" s="12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/>
      <c r="X22" s="101"/>
      <c r="Y22" s="101"/>
      <c r="Z22" s="101"/>
      <c r="AA22" s="101"/>
      <c r="AB22" s="101"/>
      <c r="AC22" s="105"/>
      <c r="AD22" s="106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">
      <c r="B23" s="107">
        <f t="shared" si="1"/>
        <v>37347</v>
      </c>
      <c r="C23" s="108">
        <f>IF(ISNA(VLOOKUP($B23,'[2]MENGENLS1 27-07-2000'!$R$7:$S$71,2,0)),0,VLOOKUP($B23,'[2]MENGENLS1 27-07-2000'!$R$7:$S$71,2,0))</f>
        <v>5476</v>
      </c>
      <c r="D23" s="109">
        <f>IF(ISNA(VLOOKUP($B23,'[2]MENGENLS1 27-07-2000'!$U$7:$V$60,2,0)),0,VLOOKUP($B23,'[2]MENGENLS1 27-07-2000'!$U$7:$V$60,2,0))</f>
        <v>13805</v>
      </c>
      <c r="E23" s="109">
        <f>IF(ISNA(VLOOKUP($B23,'[2]MENGENLS1 27-07-2000'!$X$7:$Y$27,2,0)),0,VLOOKUP($B23,'[2]MENGENLS1 27-07-2000'!$X$7:$Y$27,2,0))</f>
        <v>0</v>
      </c>
      <c r="F23" s="109">
        <f>IF(ISNA(VLOOKUP($B23,'[2]MENGENLS1 27-07-2000'!$AA$7:$AB$35,2,0)),0,VLOOKUP($B23,'[2]MENGENLS1 27-07-2000'!$AA$7:$AB$35,2,0))</f>
        <v>-150</v>
      </c>
      <c r="G23" s="109">
        <f>IF(ISNA(VLOOKUP($B23,'[2]MENGENLS1 27-07-2000'!$AD$7:$AE$38,2,0)),0,VLOOKUP($B23,'[2]MENGENLS1 27-07-2000'!$AD$7:$AE$38,2,0))</f>
        <v>0</v>
      </c>
      <c r="H23" s="109">
        <f>IF(ISNA(VLOOKUP($B23,'[2]MENGENLS1 27-07-2000'!$AG$7:$AH$20,2,0)),0,VLOOKUP($B23,'[2]MENGENLS1 27-07-2000'!$AG$7:$AH$20,2,0))</f>
        <v>0</v>
      </c>
      <c r="I23" s="109">
        <f>IF(ISNA(VLOOKUP($B23,'[2]MENGENLS1 27-07-2000'!$AJ$7:$AK$38,2,0)),0,VLOOKUP($B23,'[2]MENGENLS1 27-07-2000'!$AJ$7:$AK$38,2,0))</f>
        <v>-1139</v>
      </c>
      <c r="J23" s="109">
        <f>IF(ISNA(VLOOKUP($B23,'[2]MENGENLS1 27-07-2000'!$AM$7:$AN$38,2,0)),0,VLOOKUP($B23,'[2]MENGENLS1 27-07-2000'!$AM$7:$AN$38,2,0))</f>
        <v>0</v>
      </c>
      <c r="K23" s="109">
        <f>IF(ISNA(VLOOKUP($B23,'[2]MENGENLS1 27-07-2000'!$AP$7:$AQ$12,2,0)),0,VLOOKUP($B23,'[2]MENGENLS1 27-07-2000'!$AP$7:$AQ$12,2,0))</f>
        <v>0</v>
      </c>
      <c r="L23" s="260">
        <f>IF(ISNA(VLOOKUP($B23,'[2]MENGENLS1 27-07-2000'!$AS$7:$AT$23,2,0)),0,VLOOKUP($B23,'[2]MENGENLS1 27-07-2000'!$AS$7:$AT$23,2,0))</f>
        <v>0</v>
      </c>
      <c r="M23" s="12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/>
      <c r="X23" s="111"/>
      <c r="Y23" s="111"/>
      <c r="Z23" s="111"/>
      <c r="AA23" s="111"/>
      <c r="AB23" s="111"/>
      <c r="AC23" s="105"/>
      <c r="AD23" s="106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">
      <c r="B24" s="107">
        <f t="shared" si="1"/>
        <v>37377</v>
      </c>
      <c r="C24" s="108">
        <f>IF(ISNA(VLOOKUP($B24,'[2]MENGENLS1 27-07-2000'!$R$7:$S$71,2,0)),0,VLOOKUP($B24,'[2]MENGENLS1 27-07-2000'!$R$7:$S$71,2,0))</f>
        <v>5075</v>
      </c>
      <c r="D24" s="109">
        <f>IF(ISNA(VLOOKUP($B24,'[2]MENGENLS1 27-07-2000'!$U$7:$V$60,2,0)),0,VLOOKUP($B24,'[2]MENGENLS1 27-07-2000'!$U$7:$V$60,2,0))</f>
        <v>-1895</v>
      </c>
      <c r="E24" s="109">
        <f>IF(ISNA(VLOOKUP($B24,'[2]MENGENLS1 27-07-2000'!$X$7:$Y$27,2,0)),0,VLOOKUP($B24,'[2]MENGENLS1 27-07-2000'!$X$7:$Y$27,2,0))</f>
        <v>0</v>
      </c>
      <c r="F24" s="109">
        <f>IF(ISNA(VLOOKUP($B24,'[2]MENGENLS1 27-07-2000'!$AA$7:$AB$35,2,0)),0,VLOOKUP($B24,'[2]MENGENLS1 27-07-2000'!$AA$7:$AB$35,2,0))</f>
        <v>54</v>
      </c>
      <c r="G24" s="109">
        <f>IF(ISNA(VLOOKUP($B24,'[2]MENGENLS1 27-07-2000'!$AD$7:$AE$38,2,0)),0,VLOOKUP($B24,'[2]MENGENLS1 27-07-2000'!$AD$7:$AE$38,2,0))</f>
        <v>0</v>
      </c>
      <c r="H24" s="109">
        <f>IF(ISNA(VLOOKUP($B24,'[2]MENGENLS1 27-07-2000'!$AG$7:$AH$20,2,0)),0,VLOOKUP($B24,'[2]MENGENLS1 27-07-2000'!$AG$7:$AH$20,2,0))</f>
        <v>0</v>
      </c>
      <c r="I24" s="109">
        <f>IF(ISNA(VLOOKUP($B24,'[2]MENGENLS1 27-07-2000'!$AJ$7:$AK$38,2,0)),0,VLOOKUP($B24,'[2]MENGENLS1 27-07-2000'!$AJ$7:$AK$38,2,0))</f>
        <v>-1410</v>
      </c>
      <c r="J24" s="109">
        <f>IF(ISNA(VLOOKUP($B24,'[2]MENGENLS1 27-07-2000'!$AM$7:$AN$38,2,0)),0,VLOOKUP($B24,'[2]MENGENLS1 27-07-2000'!$AM$7:$AN$38,2,0))</f>
        <v>0</v>
      </c>
      <c r="K24" s="109">
        <f>IF(ISNA(VLOOKUP($B24,'[2]MENGENLS1 27-07-2000'!$AP$7:$AQ$12,2,0)),0,VLOOKUP($B24,'[2]MENGENLS1 27-07-2000'!$AP$7:$AQ$12,2,0))</f>
        <v>-20000</v>
      </c>
      <c r="L24" s="260">
        <f>IF(ISNA(VLOOKUP($B24,'[2]MENGENLS1 27-07-2000'!$AS$7:$AT$23,2,0)),0,VLOOKUP($B24,'[2]MENGENLS1 27-07-2000'!$AS$7:$AT$23,2,0))</f>
        <v>0</v>
      </c>
      <c r="M24" s="12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/>
      <c r="X24" s="101"/>
      <c r="Y24" s="101"/>
      <c r="Z24" s="101"/>
      <c r="AA24" s="101"/>
      <c r="AB24" s="101"/>
      <c r="AC24" s="105"/>
      <c r="AD24" s="106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">
      <c r="B25" s="107">
        <f t="shared" si="1"/>
        <v>37408</v>
      </c>
      <c r="C25" s="108">
        <f>IF(ISNA(VLOOKUP($B25,'[2]MENGENLS1 27-07-2000'!$R$7:$S$71,2,0)),0,VLOOKUP($B25,'[2]MENGENLS1 27-07-2000'!$R$7:$S$71,2,0))</f>
        <v>-27120</v>
      </c>
      <c r="D25" s="109">
        <f>IF(ISNA(VLOOKUP($B25,'[2]MENGENLS1 27-07-2000'!$U$7:$V$60,2,0)),0,VLOOKUP($B25,'[2]MENGENLS1 27-07-2000'!$U$7:$V$60,2,0))</f>
        <v>-1395</v>
      </c>
      <c r="E25" s="109">
        <f>IF(ISNA(VLOOKUP($B25,'[2]MENGENLS1 27-07-2000'!$X$7:$Y$27,2,0)),0,VLOOKUP($B25,'[2]MENGENLS1 27-07-2000'!$X$7:$Y$27,2,0))</f>
        <v>0</v>
      </c>
      <c r="F25" s="109">
        <f>IF(ISNA(VLOOKUP($B25,'[2]MENGENLS1 27-07-2000'!$AA$7:$AB$35,2,0)),0,VLOOKUP($B25,'[2]MENGENLS1 27-07-2000'!$AA$7:$AB$35,2,0))</f>
        <v>-78</v>
      </c>
      <c r="G25" s="109">
        <f>IF(ISNA(VLOOKUP($B25,'[2]MENGENLS1 27-07-2000'!$AD$7:$AE$38,2,0)),0,VLOOKUP($B25,'[2]MENGENLS1 27-07-2000'!$AD$7:$AE$38,2,0))</f>
        <v>0</v>
      </c>
      <c r="H25" s="109">
        <f>IF(ISNA(VLOOKUP($B25,'[2]MENGENLS1 27-07-2000'!$AG$7:$AH$20,2,0)),0,VLOOKUP($B25,'[2]MENGENLS1 27-07-2000'!$AG$7:$AH$20,2,0))</f>
        <v>0</v>
      </c>
      <c r="I25" s="109">
        <f>IF(ISNA(VLOOKUP($B25,'[2]MENGENLS1 27-07-2000'!$AJ$7:$AK$38,2,0)),0,VLOOKUP($B25,'[2]MENGENLS1 27-07-2000'!$AJ$7:$AK$38,2,0))</f>
        <v>345</v>
      </c>
      <c r="J25" s="109">
        <f>IF(ISNA(VLOOKUP($B25,'[2]MENGENLS1 27-07-2000'!$AM$7:$AN$38,2,0)),0,VLOOKUP($B25,'[2]MENGENLS1 27-07-2000'!$AM$7:$AN$38,2,0))</f>
        <v>0</v>
      </c>
      <c r="K25" s="109">
        <f>IF(ISNA(VLOOKUP($B25,'[2]MENGENLS1 27-07-2000'!$AP$7:$AQ$12,2,0)),0,VLOOKUP($B25,'[2]MENGENLS1 27-07-2000'!$AP$7:$AQ$12,2,0))</f>
        <v>0</v>
      </c>
      <c r="L25" s="260">
        <f>IF(ISNA(VLOOKUP($B25,'[2]MENGENLS1 27-07-2000'!$AS$7:$AT$23,2,0)),0,VLOOKUP($B25,'[2]MENGENLS1 27-07-2000'!$AS$7:$AT$23,2,0))</f>
        <v>0</v>
      </c>
      <c r="M25" s="12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/>
      <c r="X25" s="111"/>
      <c r="Y25" s="111"/>
      <c r="Z25" s="111"/>
      <c r="AA25" s="111"/>
      <c r="AB25" s="111"/>
      <c r="AC25" s="105"/>
      <c r="AD25" s="106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">
      <c r="B26" s="107">
        <f t="shared" si="1"/>
        <v>37438</v>
      </c>
      <c r="C26" s="108">
        <f>IF(ISNA(VLOOKUP($B26,'[2]MENGENLS1 27-07-2000'!$R$7:$S$71,2,0)),0,VLOOKUP($B26,'[2]MENGENLS1 27-07-2000'!$R$7:$S$71,2,0))</f>
        <v>2853</v>
      </c>
      <c r="D26" s="109">
        <f>IF(ISNA(VLOOKUP($B26,'[2]MENGENLS1 27-07-2000'!$U$7:$V$60,2,0)),0,VLOOKUP($B26,'[2]MENGENLS1 27-07-2000'!$U$7:$V$60,2,0))</f>
        <v>-1295</v>
      </c>
      <c r="E26" s="109">
        <f>IF(ISNA(VLOOKUP($B26,'[2]MENGENLS1 27-07-2000'!$X$7:$Y$27,2,0)),0,VLOOKUP($B26,'[2]MENGENLS1 27-07-2000'!$X$7:$Y$27,2,0))</f>
        <v>0</v>
      </c>
      <c r="F26" s="109">
        <f>IF(ISNA(VLOOKUP($B26,'[2]MENGENLS1 27-07-2000'!$AA$7:$AB$35,2,0)),0,VLOOKUP($B26,'[2]MENGENLS1 27-07-2000'!$AA$7:$AB$35,2,0))</f>
        <v>-186</v>
      </c>
      <c r="G26" s="109">
        <f>IF(ISNA(VLOOKUP($B26,'[2]MENGENLS1 27-07-2000'!$AD$7:$AE$38,2,0)),0,VLOOKUP($B26,'[2]MENGENLS1 27-07-2000'!$AD$7:$AE$38,2,0))</f>
        <v>0</v>
      </c>
      <c r="H26" s="109">
        <f>IF(ISNA(VLOOKUP($B26,'[2]MENGENLS1 27-07-2000'!$AG$7:$AH$20,2,0)),0,VLOOKUP($B26,'[2]MENGENLS1 27-07-2000'!$AG$7:$AH$20,2,0))</f>
        <v>0</v>
      </c>
      <c r="I26" s="109">
        <f>IF(ISNA(VLOOKUP($B26,'[2]MENGENLS1 27-07-2000'!$AJ$7:$AK$38,2,0)),0,VLOOKUP($B26,'[2]MENGENLS1 27-07-2000'!$AJ$7:$AK$38,2,0))</f>
        <v>-2050</v>
      </c>
      <c r="J26" s="109">
        <f>IF(ISNA(VLOOKUP($B26,'[2]MENGENLS1 27-07-2000'!$AM$7:$AN$38,2,0)),0,VLOOKUP($B26,'[2]MENGENLS1 27-07-2000'!$AM$7:$AN$38,2,0))</f>
        <v>0</v>
      </c>
      <c r="K26" s="109">
        <f>IF(ISNA(VLOOKUP($B26,'[2]MENGENLS1 27-07-2000'!$AP$7:$AQ$12,2,0)),0,VLOOKUP($B26,'[2]MENGENLS1 27-07-2000'!$AP$7:$AQ$12,2,0))</f>
        <v>0</v>
      </c>
      <c r="L26" s="260">
        <f>IF(ISNA(VLOOKUP($B26,'[2]MENGENLS1 27-07-2000'!$AS$7:$AT$23,2,0)),0,VLOOKUP($B26,'[2]MENGENLS1 27-07-2000'!$AS$7:$AT$23,2,0))</f>
        <v>0</v>
      </c>
      <c r="M26" s="12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/>
      <c r="X26" s="101"/>
      <c r="Y26" s="101"/>
      <c r="Z26" s="101"/>
      <c r="AA26" s="101"/>
      <c r="AB26" s="101"/>
      <c r="AC26" s="105"/>
      <c r="AD26" s="106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">
      <c r="B27" s="107">
        <f t="shared" si="1"/>
        <v>37469</v>
      </c>
      <c r="C27" s="108">
        <f>IF(ISNA(VLOOKUP($B27,'[2]MENGENLS1 27-07-2000'!$R$7:$S$71,2,0)),0,VLOOKUP($B27,'[2]MENGENLS1 27-07-2000'!$R$7:$S$71,2,0))</f>
        <v>-14148</v>
      </c>
      <c r="D27" s="109">
        <f>IF(ISNA(VLOOKUP($B27,'[2]MENGENLS1 27-07-2000'!$U$7:$V$60,2,0)),0,VLOOKUP($B27,'[2]MENGENLS1 27-07-2000'!$U$7:$V$60,2,0))</f>
        <v>-1086</v>
      </c>
      <c r="E27" s="109">
        <f>IF(ISNA(VLOOKUP($B27,'[2]MENGENLS1 27-07-2000'!$X$7:$Y$27,2,0)),0,VLOOKUP($B27,'[2]MENGENLS1 27-07-2000'!$X$7:$Y$27,2,0))</f>
        <v>0</v>
      </c>
      <c r="F27" s="109">
        <f>IF(ISNA(VLOOKUP($B27,'[2]MENGENLS1 27-07-2000'!$AA$7:$AB$35,2,0)),0,VLOOKUP($B27,'[2]MENGENLS1 27-07-2000'!$AA$7:$AB$35,2,0))</f>
        <v>-12</v>
      </c>
      <c r="G27" s="109">
        <f>IF(ISNA(VLOOKUP($B27,'[2]MENGENLS1 27-07-2000'!$AD$7:$AE$38,2,0)),0,VLOOKUP($B27,'[2]MENGENLS1 27-07-2000'!$AD$7:$AE$38,2,0))</f>
        <v>0</v>
      </c>
      <c r="H27" s="109">
        <f>IF(ISNA(VLOOKUP($B27,'[2]MENGENLS1 27-07-2000'!$AG$7:$AH$20,2,0)),0,VLOOKUP($B27,'[2]MENGENLS1 27-07-2000'!$AG$7:$AH$20,2,0))</f>
        <v>0</v>
      </c>
      <c r="I27" s="109">
        <f>IF(ISNA(VLOOKUP($B27,'[2]MENGENLS1 27-07-2000'!$AJ$7:$AK$38,2,0)),0,VLOOKUP($B27,'[2]MENGENLS1 27-07-2000'!$AJ$7:$AK$38,2,0))</f>
        <v>-396</v>
      </c>
      <c r="J27" s="109">
        <f>IF(ISNA(VLOOKUP($B27,'[2]MENGENLS1 27-07-2000'!$AM$7:$AN$38,2,0)),0,VLOOKUP($B27,'[2]MENGENLS1 27-07-2000'!$AM$7:$AN$38,2,0))</f>
        <v>0</v>
      </c>
      <c r="K27" s="109">
        <f>IF(ISNA(VLOOKUP($B27,'[2]MENGENLS1 27-07-2000'!$AP$7:$AQ$12,2,0)),0,VLOOKUP($B27,'[2]MENGENLS1 27-07-2000'!$AP$7:$AQ$12,2,0))</f>
        <v>0</v>
      </c>
      <c r="L27" s="260">
        <f>IF(ISNA(VLOOKUP($B27,'[2]MENGENLS1 27-07-2000'!$AS$7:$AT$23,2,0)),0,VLOOKUP($B27,'[2]MENGENLS1 27-07-2000'!$AS$7:$AT$23,2,0))</f>
        <v>0</v>
      </c>
      <c r="M27" s="12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/>
      <c r="X27" s="111"/>
      <c r="Y27" s="111"/>
      <c r="Z27" s="111"/>
      <c r="AA27" s="111"/>
      <c r="AB27" s="111"/>
      <c r="AC27" s="105"/>
      <c r="AD27" s="106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">
      <c r="B28" s="107">
        <f t="shared" si="1"/>
        <v>37500</v>
      </c>
      <c r="C28" s="108">
        <f>IF(ISNA(VLOOKUP($B28,'[2]MENGENLS1 27-07-2000'!$R$7:$S$71,2,0)),0,VLOOKUP($B28,'[2]MENGENLS1 27-07-2000'!$R$7:$S$71,2,0))</f>
        <v>40143</v>
      </c>
      <c r="D28" s="109">
        <f>IF(ISNA(VLOOKUP($B28,'[2]MENGENLS1 27-07-2000'!$U$7:$V$60,2,0)),0,VLOOKUP($B28,'[2]MENGENLS1 27-07-2000'!$U$7:$V$60,2,0))</f>
        <v>250</v>
      </c>
      <c r="E28" s="109">
        <f>IF(ISNA(VLOOKUP($B28,'[2]MENGENLS1 27-07-2000'!$X$7:$Y$27,2,0)),0,VLOOKUP($B28,'[2]MENGENLS1 27-07-2000'!$X$7:$Y$27,2,0))</f>
        <v>0</v>
      </c>
      <c r="F28" s="109">
        <f>IF(ISNA(VLOOKUP($B28,'[2]MENGENLS1 27-07-2000'!$AA$7:$AB$35,2,0)),0,VLOOKUP($B28,'[2]MENGENLS1 27-07-2000'!$AA$7:$AB$35,2,0))</f>
        <v>24</v>
      </c>
      <c r="G28" s="109">
        <f>IF(ISNA(VLOOKUP($B28,'[2]MENGENLS1 27-07-2000'!$AD$7:$AE$38,2,0)),0,VLOOKUP($B28,'[2]MENGENLS1 27-07-2000'!$AD$7:$AE$38,2,0))</f>
        <v>0</v>
      </c>
      <c r="H28" s="109">
        <f>IF(ISNA(VLOOKUP($B28,'[2]MENGENLS1 27-07-2000'!$AG$7:$AH$20,2,0)),0,VLOOKUP($B28,'[2]MENGENLS1 27-07-2000'!$AG$7:$AH$20,2,0))</f>
        <v>0</v>
      </c>
      <c r="I28" s="109">
        <f>IF(ISNA(VLOOKUP($B28,'[2]MENGENLS1 27-07-2000'!$AJ$7:$AK$38,2,0)),0,VLOOKUP($B28,'[2]MENGENLS1 27-07-2000'!$AJ$7:$AK$38,2,0))</f>
        <v>-390</v>
      </c>
      <c r="J28" s="109">
        <f>IF(ISNA(VLOOKUP($B28,'[2]MENGENLS1 27-07-2000'!$AM$7:$AN$38,2,0)),0,VLOOKUP($B28,'[2]MENGENLS1 27-07-2000'!$AM$7:$AN$38,2,0))</f>
        <v>0</v>
      </c>
      <c r="K28" s="109">
        <f>IF(ISNA(VLOOKUP($B28,'[2]MENGENLS1 27-07-2000'!$AP$7:$AQ$12,2,0)),0,VLOOKUP($B28,'[2]MENGENLS1 27-07-2000'!$AP$7:$AQ$12,2,0))</f>
        <v>0</v>
      </c>
      <c r="L28" s="260">
        <f>IF(ISNA(VLOOKUP($B28,'[2]MENGENLS1 27-07-2000'!$AS$7:$AT$23,2,0)),0,VLOOKUP($B28,'[2]MENGENLS1 27-07-2000'!$AS$7:$AT$23,2,0))</f>
        <v>0</v>
      </c>
      <c r="M28" s="12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/>
      <c r="X28" s="101"/>
      <c r="Y28" s="101"/>
      <c r="Z28" s="101"/>
      <c r="AA28" s="101"/>
      <c r="AB28" s="101"/>
      <c r="AC28" s="105"/>
      <c r="AD28" s="106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">
      <c r="B29" s="107">
        <f t="shared" si="1"/>
        <v>37530</v>
      </c>
      <c r="C29" s="108">
        <f>IF(ISNA(VLOOKUP($B29,'[2]MENGENLS1 27-07-2000'!$R$7:$S$71,2,0)),0,VLOOKUP($B29,'[2]MENGENLS1 27-07-2000'!$R$7:$S$71,2,0))</f>
        <v>-1415</v>
      </c>
      <c r="D29" s="109">
        <f>IF(ISNA(VLOOKUP($B29,'[2]MENGENLS1 27-07-2000'!$U$7:$V$60,2,0)),0,VLOOKUP($B29,'[2]MENGENLS1 27-07-2000'!$U$7:$V$60,2,0))</f>
        <v>-25</v>
      </c>
      <c r="E29" s="109">
        <f>IF(ISNA(VLOOKUP($B29,'[2]MENGENLS1 27-07-2000'!$X$7:$Y$27,2,0)),0,VLOOKUP($B29,'[2]MENGENLS1 27-07-2000'!$X$7:$Y$27,2,0))</f>
        <v>0</v>
      </c>
      <c r="F29" s="109">
        <f>IF(ISNA(VLOOKUP($B29,'[2]MENGENLS1 27-07-2000'!$AA$7:$AB$35,2,0)),0,VLOOKUP($B29,'[2]MENGENLS1 27-07-2000'!$AA$7:$AB$35,2,0))</f>
        <v>-6</v>
      </c>
      <c r="G29" s="109">
        <f>IF(ISNA(VLOOKUP($B29,'[2]MENGENLS1 27-07-2000'!$AD$7:$AE$38,2,0)),0,VLOOKUP($B29,'[2]MENGENLS1 27-07-2000'!$AD$7:$AE$38,2,0))</f>
        <v>0</v>
      </c>
      <c r="H29" s="109">
        <f>IF(ISNA(VLOOKUP($B29,'[2]MENGENLS1 27-07-2000'!$AG$7:$AH$20,2,0)),0,VLOOKUP($B29,'[2]MENGENLS1 27-07-2000'!$AG$7:$AH$20,2,0))</f>
        <v>0</v>
      </c>
      <c r="I29" s="109">
        <f>IF(ISNA(VLOOKUP($B29,'[2]MENGENLS1 27-07-2000'!$AJ$7:$AK$38,2,0)),0,VLOOKUP($B29,'[2]MENGENLS1 27-07-2000'!$AJ$7:$AK$38,2,0))</f>
        <v>215</v>
      </c>
      <c r="J29" s="109">
        <f>IF(ISNA(VLOOKUP($B29,'[2]MENGENLS1 27-07-2000'!$AM$7:$AN$38,2,0)),0,VLOOKUP($B29,'[2]MENGENLS1 27-07-2000'!$AM$7:$AN$38,2,0))</f>
        <v>0</v>
      </c>
      <c r="K29" s="109">
        <f>IF(ISNA(VLOOKUP($B29,'[2]MENGENLS1 27-07-2000'!$AP$7:$AQ$12,2,0)),0,VLOOKUP($B29,'[2]MENGENLS1 27-07-2000'!$AP$7:$AQ$12,2,0))</f>
        <v>0</v>
      </c>
      <c r="L29" s="260">
        <f>IF(ISNA(VLOOKUP($B29,'[2]MENGENLS1 27-07-2000'!$AS$7:$AT$23,2,0)),0,VLOOKUP($B29,'[2]MENGENLS1 27-07-2000'!$AS$7:$AT$23,2,0))</f>
        <v>0</v>
      </c>
      <c r="M29" s="12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/>
      <c r="X29" s="111"/>
      <c r="Y29" s="111"/>
      <c r="Z29" s="111"/>
      <c r="AA29" s="111"/>
      <c r="AB29" s="111"/>
      <c r="AC29" s="105"/>
      <c r="AD29" s="106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">
      <c r="B30" s="107">
        <f t="shared" si="1"/>
        <v>37561</v>
      </c>
      <c r="C30" s="108">
        <f>IF(ISNA(VLOOKUP($B30,'[2]MENGENLS1 27-07-2000'!$R$7:$S$71,2,0)),0,VLOOKUP($B30,'[2]MENGENLS1 27-07-2000'!$R$7:$S$71,2,0))</f>
        <v>3685</v>
      </c>
      <c r="D30" s="109">
        <f>IF(ISNA(VLOOKUP($B30,'[2]MENGENLS1 27-07-2000'!$U$7:$V$60,2,0)),0,VLOOKUP($B30,'[2]MENGENLS1 27-07-2000'!$U$7:$V$60,2,0))</f>
        <v>50</v>
      </c>
      <c r="E30" s="109">
        <f>IF(ISNA(VLOOKUP($B30,'[2]MENGENLS1 27-07-2000'!$X$7:$Y$27,2,0)),0,VLOOKUP($B30,'[2]MENGENLS1 27-07-2000'!$X$7:$Y$27,2,0))</f>
        <v>0</v>
      </c>
      <c r="F30" s="109">
        <f>IF(ISNA(VLOOKUP($B30,'[2]MENGENLS1 27-07-2000'!$AA$7:$AB$35,2,0)),0,VLOOKUP($B30,'[2]MENGENLS1 27-07-2000'!$AA$7:$AB$35,2,0))</f>
        <v>-12</v>
      </c>
      <c r="G30" s="109">
        <f>IF(ISNA(VLOOKUP($B30,'[2]MENGENLS1 27-07-2000'!$AD$7:$AE$38,2,0)),0,VLOOKUP($B30,'[2]MENGENLS1 27-07-2000'!$AD$7:$AE$38,2,0))</f>
        <v>0</v>
      </c>
      <c r="H30" s="109">
        <f>IF(ISNA(VLOOKUP($B30,'[2]MENGENLS1 27-07-2000'!$AG$7:$AH$20,2,0)),0,VLOOKUP($B30,'[2]MENGENLS1 27-07-2000'!$AG$7:$AH$20,2,0))</f>
        <v>0</v>
      </c>
      <c r="I30" s="109">
        <f>IF(ISNA(VLOOKUP($B30,'[2]MENGENLS1 27-07-2000'!$AJ$7:$AK$38,2,0)),0,VLOOKUP($B30,'[2]MENGENLS1 27-07-2000'!$AJ$7:$AK$38,2,0))</f>
        <v>219</v>
      </c>
      <c r="J30" s="109">
        <f>IF(ISNA(VLOOKUP($B30,'[2]MENGENLS1 27-07-2000'!$AM$7:$AN$38,2,0)),0,VLOOKUP($B30,'[2]MENGENLS1 27-07-2000'!$AM$7:$AN$38,2,0))</f>
        <v>0</v>
      </c>
      <c r="K30" s="109">
        <f>IF(ISNA(VLOOKUP($B30,'[2]MENGENLS1 27-07-2000'!$AP$7:$AQ$12,2,0)),0,VLOOKUP($B30,'[2]MENGENLS1 27-07-2000'!$AP$7:$AQ$12,2,0))</f>
        <v>0</v>
      </c>
      <c r="L30" s="260">
        <f>IF(ISNA(VLOOKUP($B30,'[2]MENGENLS1 27-07-2000'!$AS$7:$AT$23,2,0)),0,VLOOKUP($B30,'[2]MENGENLS1 27-07-2000'!$AS$7:$AT$23,2,0))</f>
        <v>0</v>
      </c>
      <c r="M30" s="12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/>
      <c r="X30" s="101"/>
      <c r="Y30" s="101"/>
      <c r="Z30" s="101"/>
      <c r="AA30" s="101"/>
      <c r="AB30" s="101"/>
      <c r="AC30" s="105"/>
      <c r="AD30" s="106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">
      <c r="B31" s="107">
        <f t="shared" si="1"/>
        <v>37591</v>
      </c>
      <c r="C31" s="108">
        <f>IF(ISNA(VLOOKUP($B31,'[2]MENGENLS1 27-07-2000'!$R$7:$S$71,2,0)),0,VLOOKUP($B31,'[2]MENGENLS1 27-07-2000'!$R$7:$S$71,2,0))</f>
        <v>-12424</v>
      </c>
      <c r="D31" s="109">
        <f>IF(ISNA(VLOOKUP($B31,'[2]MENGENLS1 27-07-2000'!$U$7:$V$60,2,0)),0,VLOOKUP($B31,'[2]MENGENLS1 27-07-2000'!$U$7:$V$60,2,0))</f>
        <v>150</v>
      </c>
      <c r="E31" s="109">
        <f>IF(ISNA(VLOOKUP($B31,'[2]MENGENLS1 27-07-2000'!$X$7:$Y$27,2,0)),0,VLOOKUP($B31,'[2]MENGENLS1 27-07-2000'!$X$7:$Y$27,2,0))</f>
        <v>0</v>
      </c>
      <c r="F31" s="109">
        <f>IF(ISNA(VLOOKUP($B31,'[2]MENGENLS1 27-07-2000'!$AA$7:$AB$35,2,0)),0,VLOOKUP($B31,'[2]MENGENLS1 27-07-2000'!$AA$7:$AB$35,2,0))</f>
        <v>0</v>
      </c>
      <c r="G31" s="109">
        <f>IF(ISNA(VLOOKUP($B31,'[2]MENGENLS1 27-07-2000'!$AD$7:$AE$38,2,0)),0,VLOOKUP($B31,'[2]MENGENLS1 27-07-2000'!$AD$7:$AE$38,2,0))</f>
        <v>0</v>
      </c>
      <c r="H31" s="109">
        <f>IF(ISNA(VLOOKUP($B31,'[2]MENGENLS1 27-07-2000'!$AG$7:$AH$20,2,0)),0,VLOOKUP($B31,'[2]MENGENLS1 27-07-2000'!$AG$7:$AH$20,2,0))</f>
        <v>0</v>
      </c>
      <c r="I31" s="109">
        <f>IF(ISNA(VLOOKUP($B31,'[2]MENGENLS1 27-07-2000'!$AJ$7:$AK$38,2,0)),0,VLOOKUP($B31,'[2]MENGENLS1 27-07-2000'!$AJ$7:$AK$38,2,0))</f>
        <v>223</v>
      </c>
      <c r="J31" s="109">
        <f>IF(ISNA(VLOOKUP($B31,'[2]MENGENLS1 27-07-2000'!$AM$7:$AN$38,2,0)),0,VLOOKUP($B31,'[2]MENGENLS1 27-07-2000'!$AM$7:$AN$38,2,0))</f>
        <v>0</v>
      </c>
      <c r="K31" s="109">
        <f>IF(ISNA(VLOOKUP($B31,'[2]MENGENLS1 27-07-2000'!$AP$7:$AQ$12,2,0)),0,VLOOKUP($B31,'[2]MENGENLS1 27-07-2000'!$AP$7:$AQ$12,2,0))</f>
        <v>0</v>
      </c>
      <c r="L31" s="260">
        <f>IF(ISNA(VLOOKUP($B31,'[2]MENGENLS1 27-07-2000'!$AS$7:$AT$23,2,0)),0,VLOOKUP($B31,'[2]MENGENLS1 27-07-2000'!$AS$7:$AT$23,2,0))</f>
        <v>0</v>
      </c>
      <c r="M31" s="12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/>
      <c r="X31" s="111"/>
      <c r="Y31" s="111"/>
      <c r="Z31" s="111"/>
      <c r="AA31" s="111"/>
      <c r="AB31" s="111"/>
      <c r="AC31" s="105"/>
      <c r="AD31" s="106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">
      <c r="B32" s="107">
        <f t="shared" si="1"/>
        <v>37622</v>
      </c>
      <c r="C32" s="108">
        <f>IF(ISNA(VLOOKUP($B32,'[2]MENGENLS1 27-07-2000'!$R$7:$S$71,2,0)),0,VLOOKUP($B32,'[2]MENGENLS1 27-07-2000'!$R$7:$S$71,2,0))</f>
        <v>-1019</v>
      </c>
      <c r="D32" s="109">
        <f>IF(ISNA(VLOOKUP($B32,'[2]MENGENLS1 27-07-2000'!$U$7:$V$60,2,0)),0,VLOOKUP($B32,'[2]MENGENLS1 27-07-2000'!$U$7:$V$60,2,0))</f>
        <v>100</v>
      </c>
      <c r="E32" s="109">
        <f>IF(ISNA(VLOOKUP($B32,'[2]MENGENLS1 27-07-2000'!$X$7:$Y$27,2,0)),0,VLOOKUP($B32,'[2]MENGENLS1 27-07-2000'!$X$7:$Y$27,2,0))</f>
        <v>0</v>
      </c>
      <c r="F32" s="109">
        <f>IF(ISNA(VLOOKUP($B32,'[2]MENGENLS1 27-07-2000'!$AA$7:$AB$35,2,0)),0,VLOOKUP($B32,'[2]MENGENLS1 27-07-2000'!$AA$7:$AB$35,2,0))</f>
        <v>0</v>
      </c>
      <c r="G32" s="109">
        <f>IF(ISNA(VLOOKUP($B32,'[2]MENGENLS1 27-07-2000'!$AD$7:$AE$38,2,0)),0,VLOOKUP($B32,'[2]MENGENLS1 27-07-2000'!$AD$7:$AE$38,2,0))</f>
        <v>0</v>
      </c>
      <c r="H32" s="109">
        <f>IF(ISNA(VLOOKUP($B32,'[2]MENGENLS1 27-07-2000'!$AG$7:$AH$20,2,0)),0,VLOOKUP($B32,'[2]MENGENLS1 27-07-2000'!$AG$7:$AH$20,2,0))</f>
        <v>0</v>
      </c>
      <c r="I32" s="109">
        <f>IF(ISNA(VLOOKUP($B32,'[2]MENGENLS1 27-07-2000'!$AJ$7:$AK$38,2,0)),0,VLOOKUP($B32,'[2]MENGENLS1 27-07-2000'!$AJ$7:$AK$38,2,0))</f>
        <v>228</v>
      </c>
      <c r="J32" s="109">
        <f>IF(ISNA(VLOOKUP($B32,'[2]MENGENLS1 27-07-2000'!$AM$7:$AN$38,2,0)),0,VLOOKUP($B32,'[2]MENGENLS1 27-07-2000'!$AM$7:$AN$38,2,0))</f>
        <v>0</v>
      </c>
      <c r="K32" s="109">
        <f>IF(ISNA(VLOOKUP($B32,'[2]MENGENLS1 27-07-2000'!$AP$7:$AQ$12,2,0)),0,VLOOKUP($B32,'[2]MENGENLS1 27-07-2000'!$AP$7:$AQ$12,2,0))</f>
        <v>0</v>
      </c>
      <c r="M32" s="12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/>
      <c r="X32" s="101"/>
      <c r="Y32" s="101"/>
      <c r="Z32" s="101"/>
      <c r="AA32" s="101"/>
      <c r="AB32" s="101"/>
      <c r="AC32" s="105"/>
      <c r="AD32" s="106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">
      <c r="B33" s="107">
        <f t="shared" si="1"/>
        <v>37653</v>
      </c>
      <c r="C33" s="108">
        <f>IF(ISNA(VLOOKUP($B33,'[2]MENGENLS1 27-07-2000'!$R$7:$S$71,2,0)),0,VLOOKUP($B33,'[2]MENGENLS1 27-07-2000'!$R$7:$S$71,2,0))</f>
        <v>-5640</v>
      </c>
      <c r="D33" s="109">
        <f>IF(ISNA(VLOOKUP($B33,'[2]MENGENLS1 27-07-2000'!$U$7:$V$60,2,0)),0,VLOOKUP($B33,'[2]MENGENLS1 27-07-2000'!$U$7:$V$60,2,0))</f>
        <v>100</v>
      </c>
      <c r="E33" s="109">
        <f>IF(ISNA(VLOOKUP($B33,'[2]MENGENLS1 27-07-2000'!$X$7:$Y$27,2,0)),0,VLOOKUP($B33,'[2]MENGENLS1 27-07-2000'!$X$7:$Y$27,2,0))</f>
        <v>0</v>
      </c>
      <c r="F33" s="109">
        <f>IF(ISNA(VLOOKUP($B33,'[2]MENGENLS1 27-07-2000'!$AA$7:$AB$35,2,0)),0,VLOOKUP($B33,'[2]MENGENLS1 27-07-2000'!$AA$7:$AB$35,2,0))</f>
        <v>0</v>
      </c>
      <c r="G33" s="109">
        <f>IF(ISNA(VLOOKUP($B33,'[2]MENGENLS1 27-07-2000'!$AD$7:$AE$38,2,0)),0,VLOOKUP($B33,'[2]MENGENLS1 27-07-2000'!$AD$7:$AE$38,2,0))</f>
        <v>0</v>
      </c>
      <c r="H33" s="109">
        <f>IF(ISNA(VLOOKUP($B33,'[2]MENGENLS1 27-07-2000'!$AG$7:$AH$20,2,0)),0,VLOOKUP($B33,'[2]MENGENLS1 27-07-2000'!$AG$7:$AH$20,2,0))</f>
        <v>0</v>
      </c>
      <c r="I33" s="109">
        <f>IF(ISNA(VLOOKUP($B33,'[2]MENGENLS1 27-07-2000'!$AJ$7:$AK$38,2,0)),0,VLOOKUP($B33,'[2]MENGENLS1 27-07-2000'!$AJ$7:$AK$38,2,0))</f>
        <v>0</v>
      </c>
      <c r="J33" s="109">
        <f>IF(ISNA(VLOOKUP($B33,'[2]MENGENLS1 27-07-2000'!$AM$7:$AN$38,2,0)),0,VLOOKUP($B33,'[2]MENGENLS1 27-07-2000'!$AM$7:$AN$38,2,0))</f>
        <v>0</v>
      </c>
      <c r="K33" s="109">
        <f>IF(ISNA(VLOOKUP($B33,'[2]MENGENLS1 27-07-2000'!$AP$7:$AQ$12,2,0)),0,VLOOKUP($B33,'[2]MENGENLS1 27-07-2000'!$AP$7:$AQ$12,2,0))</f>
        <v>0</v>
      </c>
      <c r="M33" s="12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/>
      <c r="X33" s="111"/>
      <c r="Y33" s="111"/>
      <c r="Z33" s="111"/>
      <c r="AA33" s="111"/>
      <c r="AB33" s="111"/>
      <c r="AC33" s="105"/>
      <c r="AD33" s="106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">
      <c r="B34" s="107">
        <f t="shared" si="1"/>
        <v>37681</v>
      </c>
      <c r="C34" s="108">
        <f>IF(ISNA(VLOOKUP($B34,'[2]MENGENLS1 27-07-2000'!$R$7:$S$71,2,0)),0,VLOOKUP($B34,'[2]MENGENLS1 27-07-2000'!$R$7:$S$71,2,0))</f>
        <v>-5573</v>
      </c>
      <c r="D34" s="109">
        <f>IF(ISNA(VLOOKUP($B34,'[2]MENGENLS1 27-07-2000'!$U$7:$V$60,2,0)),0,VLOOKUP($B34,'[2]MENGENLS1 27-07-2000'!$U$7:$V$60,2,0))</f>
        <v>-25</v>
      </c>
      <c r="E34" s="109">
        <f>IF(ISNA(VLOOKUP($B34,'[2]MENGENLS1 27-07-2000'!$X$7:$Y$27,2,0)),0,VLOOKUP($B34,'[2]MENGENLS1 27-07-2000'!$X$7:$Y$27,2,0))</f>
        <v>0</v>
      </c>
      <c r="F34" s="109">
        <f>IF(ISNA(VLOOKUP($B34,'[2]MENGENLS1 27-07-2000'!$AA$7:$AB$35,2,0)),0,VLOOKUP($B34,'[2]MENGENLS1 27-07-2000'!$AA$7:$AB$35,2,0))</f>
        <v>0</v>
      </c>
      <c r="G34" s="109">
        <f>IF(ISNA(VLOOKUP($B34,'[2]MENGENLS1 27-07-2000'!$AD$7:$AE$38,2,0)),0,VLOOKUP($B34,'[2]MENGENLS1 27-07-2000'!$AD$7:$AE$38,2,0))</f>
        <v>0</v>
      </c>
      <c r="H34" s="109">
        <f>IF(ISNA(VLOOKUP($B34,'[2]MENGENLS1 27-07-2000'!$AG$7:$AH$20,2,0)),0,VLOOKUP($B34,'[2]MENGENLS1 27-07-2000'!$AG$7:$AH$20,2,0))</f>
        <v>0</v>
      </c>
      <c r="I34" s="109">
        <f>IF(ISNA(VLOOKUP($B34,'[2]MENGENLS1 27-07-2000'!$AJ$7:$AK$38,2,0)),0,VLOOKUP($B34,'[2]MENGENLS1 27-07-2000'!$AJ$7:$AK$38,2,0))</f>
        <v>0</v>
      </c>
      <c r="J34" s="109">
        <f>IF(ISNA(VLOOKUP($B34,'[2]MENGENLS1 27-07-2000'!$AM$7:$AN$38,2,0)),0,VLOOKUP($B34,'[2]MENGENLS1 27-07-2000'!$AM$7:$AN$38,2,0))</f>
        <v>0</v>
      </c>
      <c r="K34" s="109">
        <f>IF(ISNA(VLOOKUP($B34,'[2]MENGENLS1 27-07-2000'!$AP$7:$AQ$12,2,0)),0,VLOOKUP($B34,'[2]MENGENLS1 27-07-2000'!$AP$7:$AQ$12,2,0))</f>
        <v>0</v>
      </c>
      <c r="M34" s="12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/>
      <c r="X34" s="101"/>
      <c r="Y34" s="101"/>
      <c r="Z34" s="101"/>
      <c r="AA34" s="101"/>
      <c r="AB34" s="101"/>
      <c r="AC34" s="105"/>
      <c r="AD34" s="106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">
      <c r="B35" s="107">
        <f t="shared" si="1"/>
        <v>37712</v>
      </c>
      <c r="C35" s="108">
        <f>IF(ISNA(VLOOKUP($B35,'[2]MENGENLS1 27-07-2000'!$R$7:$S$71,2,0)),0,VLOOKUP($B35,'[2]MENGENLS1 27-07-2000'!$R$7:$S$71,2,0))</f>
        <v>119</v>
      </c>
      <c r="D35" s="109">
        <f>IF(ISNA(VLOOKUP($B35,'[2]MENGENLS1 27-07-2000'!$U$7:$V$60,2,0)),0,VLOOKUP($B35,'[2]MENGENLS1 27-07-2000'!$U$7:$V$60,2,0))</f>
        <v>100</v>
      </c>
      <c r="E35" s="109">
        <f>IF(ISNA(VLOOKUP($B35,'[2]MENGENLS1 27-07-2000'!$X$7:$Y$27,2,0)),0,VLOOKUP($B35,'[2]MENGENLS1 27-07-2000'!$X$7:$Y$27,2,0))</f>
        <v>0</v>
      </c>
      <c r="F35" s="109">
        <f>IF(ISNA(VLOOKUP($B35,'[2]MENGENLS1 27-07-2000'!$AA$7:$AB$35,2,0)),0,VLOOKUP($B35,'[2]MENGENLS1 27-07-2000'!$AA$7:$AB$35,2,0))</f>
        <v>0</v>
      </c>
      <c r="G35" s="109">
        <f>IF(ISNA(VLOOKUP($B35,'[2]MENGENLS1 27-07-2000'!$AD$7:$AE$38,2,0)),0,VLOOKUP($B35,'[2]MENGENLS1 27-07-2000'!$AD$7:$AE$38,2,0))</f>
        <v>0</v>
      </c>
      <c r="H35" s="109">
        <f>IF(ISNA(VLOOKUP($B35,'[2]MENGENLS1 27-07-2000'!$AG$7:$AH$20,2,0)),0,VLOOKUP($B35,'[2]MENGENLS1 27-07-2000'!$AG$7:$AH$20,2,0))</f>
        <v>0</v>
      </c>
      <c r="I35" s="109">
        <f>IF(ISNA(VLOOKUP($B35,'[2]MENGENLS1 27-07-2000'!$AJ$7:$AK$38,2,0)),0,VLOOKUP($B35,'[2]MENGENLS1 27-07-2000'!$AJ$7:$AK$38,2,0))</f>
        <v>0</v>
      </c>
      <c r="J35" s="109">
        <f>IF(ISNA(VLOOKUP($B35,'[2]MENGENLS1 27-07-2000'!$AM$7:$AN$38,2,0)),0,VLOOKUP($B35,'[2]MENGENLS1 27-07-2000'!$AM$7:$AN$38,2,0))</f>
        <v>0</v>
      </c>
      <c r="K35" s="109">
        <f>IF(ISNA(VLOOKUP($B35,'[2]MENGENLS1 27-07-2000'!$AP$7:$AQ$12,2,0)),0,VLOOKUP($B35,'[2]MENGENLS1 27-07-2000'!$AP$7:$AQ$12,2,0))</f>
        <v>0</v>
      </c>
      <c r="M35" s="12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/>
      <c r="X35" s="111"/>
      <c r="Y35" s="111"/>
      <c r="Z35" s="111"/>
      <c r="AA35" s="111"/>
      <c r="AB35" s="111"/>
      <c r="AC35" s="105"/>
      <c r="AD35" s="106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">
      <c r="B36" s="107">
        <f t="shared" ref="B36:B51" si="2">DATE(YEAR(B35),MONTH(B35)+1,1)</f>
        <v>37742</v>
      </c>
      <c r="C36" s="108">
        <f>IF(ISNA(VLOOKUP($B36,'[2]MENGENLS1 27-07-2000'!$R$7:$S$71,2,0)),0,VLOOKUP($B36,'[2]MENGENLS1 27-07-2000'!$R$7:$S$71,2,0))</f>
        <v>107</v>
      </c>
      <c r="D36" s="109">
        <f>IF(ISNA(VLOOKUP($B36,'[2]MENGENLS1 27-07-2000'!$U$7:$V$60,2,0)),0,VLOOKUP($B36,'[2]MENGENLS1 27-07-2000'!$U$7:$V$60,2,0))</f>
        <v>100</v>
      </c>
      <c r="E36" s="109">
        <f>IF(ISNA(VLOOKUP($B36,'[2]MENGENLS1 27-07-2000'!$X$7:$Y$27,2,0)),0,VLOOKUP($B36,'[2]MENGENLS1 27-07-2000'!$X$7:$Y$27,2,0))</f>
        <v>0</v>
      </c>
      <c r="F36" s="109">
        <f>IF(ISNA(VLOOKUP($B36,'[2]MENGENLS1 27-07-2000'!$AA$7:$AB$35,2,0)),0,VLOOKUP($B36,'[2]MENGENLS1 27-07-2000'!$AA$7:$AB$35,2,0))</f>
        <v>0</v>
      </c>
      <c r="G36" s="109">
        <f>IF(ISNA(VLOOKUP($B36,'[2]MENGENLS1 27-07-2000'!$AD$7:$AE$38,2,0)),0,VLOOKUP($B36,'[2]MENGENLS1 27-07-2000'!$AD$7:$AE$38,2,0))</f>
        <v>0</v>
      </c>
      <c r="H36" s="109">
        <f>IF(ISNA(VLOOKUP($B36,'[2]MENGENLS1 27-07-2000'!$AG$7:$AH$20,2,0)),0,VLOOKUP($B36,'[2]MENGENLS1 27-07-2000'!$AG$7:$AH$20,2,0))</f>
        <v>0</v>
      </c>
      <c r="I36" s="109">
        <f>IF(ISNA(VLOOKUP($B36,'[2]MENGENLS1 27-07-2000'!$AJ$7:$AK$38,2,0)),0,VLOOKUP($B36,'[2]MENGENLS1 27-07-2000'!$AJ$7:$AK$38,2,0))</f>
        <v>0</v>
      </c>
      <c r="J36" s="109">
        <f>IF(ISNA(VLOOKUP($B36,'[2]MENGENLS1 27-07-2000'!$AM$7:$AN$38,2,0)),0,VLOOKUP($B36,'[2]MENGENLS1 27-07-2000'!$AM$7:$AN$38,2,0))</f>
        <v>0</v>
      </c>
      <c r="K36" s="109">
        <f>IF(ISNA(VLOOKUP($B36,'[2]MENGENLS1 27-07-2000'!$AP$7:$AQ$12,2,0)),0,VLOOKUP($B36,'[2]MENGENLS1 27-07-2000'!$AP$7:$AQ$12,2,0))</f>
        <v>0</v>
      </c>
      <c r="M36" s="12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/>
      <c r="X36" s="101"/>
      <c r="Y36" s="101"/>
      <c r="Z36" s="101"/>
      <c r="AA36" s="101"/>
      <c r="AB36" s="101"/>
      <c r="AC36" s="105"/>
      <c r="AD36" s="106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">
      <c r="B37" s="107">
        <f t="shared" si="2"/>
        <v>37773</v>
      </c>
      <c r="C37" s="108">
        <f>IF(ISNA(VLOOKUP($B37,'[2]MENGENLS1 27-07-2000'!$R$7:$S$71,2,0)),0,VLOOKUP($B37,'[2]MENGENLS1 27-07-2000'!$R$7:$S$71,2,0))</f>
        <v>75</v>
      </c>
      <c r="D37" s="109">
        <f>IF(ISNA(VLOOKUP($B37,'[2]MENGENLS1 27-07-2000'!$U$7:$V$60,2,0)),0,VLOOKUP($B37,'[2]MENGENLS1 27-07-2000'!$U$7:$V$60,2,0))</f>
        <v>100</v>
      </c>
      <c r="E37" s="109">
        <f>IF(ISNA(VLOOKUP($B37,'[2]MENGENLS1 27-07-2000'!$X$7:$Y$27,2,0)),0,VLOOKUP($B37,'[2]MENGENLS1 27-07-2000'!$X$7:$Y$27,2,0))</f>
        <v>0</v>
      </c>
      <c r="F37" s="109">
        <f>IF(ISNA(VLOOKUP($B37,'[2]MENGENLS1 27-07-2000'!$AA$7:$AB$35,2,0)),0,VLOOKUP($B37,'[2]MENGENLS1 27-07-2000'!$AA$7:$AB$35,2,0))</f>
        <v>0</v>
      </c>
      <c r="G37" s="109">
        <f>IF(ISNA(VLOOKUP($B37,'[2]MENGENLS1 27-07-2000'!$AD$7:$AE$38,2,0)),0,VLOOKUP($B37,'[2]MENGENLS1 27-07-2000'!$AD$7:$AE$38,2,0))</f>
        <v>0</v>
      </c>
      <c r="H37" s="109">
        <f>IF(ISNA(VLOOKUP($B37,'[2]MENGENLS1 27-07-2000'!$AG$7:$AH$20,2,0)),0,VLOOKUP($B37,'[2]MENGENLS1 27-07-2000'!$AG$7:$AH$20,2,0))</f>
        <v>0</v>
      </c>
      <c r="I37" s="109">
        <f>IF(ISNA(VLOOKUP($B37,'[2]MENGENLS1 27-07-2000'!$AJ$7:$AK$38,2,0)),0,VLOOKUP($B37,'[2]MENGENLS1 27-07-2000'!$AJ$7:$AK$38,2,0))</f>
        <v>0</v>
      </c>
      <c r="J37" s="109">
        <f>IF(ISNA(VLOOKUP($B37,'[2]MENGENLS1 27-07-2000'!$AM$7:$AN$38,2,0)),0,VLOOKUP($B37,'[2]MENGENLS1 27-07-2000'!$AM$7:$AN$38,2,0))</f>
        <v>0</v>
      </c>
      <c r="K37" s="109">
        <f>IF(ISNA(VLOOKUP($B37,'[2]MENGENLS1 27-07-2000'!$AP$7:$AQ$12,2,0)),0,VLOOKUP($B37,'[2]MENGENLS1 27-07-2000'!$AP$7:$AQ$12,2,0))</f>
        <v>0</v>
      </c>
      <c r="M37" s="12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/>
      <c r="X37" s="111"/>
      <c r="Y37" s="111"/>
      <c r="Z37" s="111"/>
      <c r="AA37" s="111"/>
      <c r="AB37" s="111"/>
      <c r="AC37" s="105"/>
      <c r="AD37" s="106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">
      <c r="B38" s="107">
        <f t="shared" si="2"/>
        <v>37803</v>
      </c>
      <c r="C38" s="108">
        <f>IF(ISNA(VLOOKUP($B38,'[2]MENGENLS1 27-07-2000'!$R$7:$S$71,2,0)),0,VLOOKUP($B38,'[2]MENGENLS1 27-07-2000'!$R$7:$S$71,2,0))</f>
        <v>-9905</v>
      </c>
      <c r="D38" s="109">
        <f>IF(ISNA(VLOOKUP($B38,'[2]MENGENLS1 27-07-2000'!$U$7:$V$60,2,0)),0,VLOOKUP($B38,'[2]MENGENLS1 27-07-2000'!$U$7:$V$60,2,0))</f>
        <v>100</v>
      </c>
      <c r="E38" s="109">
        <f>IF(ISNA(VLOOKUP($B38,'[2]MENGENLS1 27-07-2000'!$X$7:$Y$27,2,0)),0,VLOOKUP($B38,'[2]MENGENLS1 27-07-2000'!$X$7:$Y$27,2,0))</f>
        <v>0</v>
      </c>
      <c r="F38" s="109">
        <f>IF(ISNA(VLOOKUP($B38,'[2]MENGENLS1 27-07-2000'!$AA$7:$AB$35,2,0)),0,VLOOKUP($B38,'[2]MENGENLS1 27-07-2000'!$AA$7:$AB$35,2,0))</f>
        <v>0</v>
      </c>
      <c r="G38" s="109">
        <f>IF(ISNA(VLOOKUP($B38,'[2]MENGENLS1 27-07-2000'!$AD$7:$AE$38,2,0)),0,VLOOKUP($B38,'[2]MENGENLS1 27-07-2000'!$AD$7:$AE$38,2,0))</f>
        <v>0</v>
      </c>
      <c r="H38" s="109">
        <f>IF(ISNA(VLOOKUP($B38,'[2]MENGENLS1 27-07-2000'!$AG$7:$AH$20,2,0)),0,VLOOKUP($B38,'[2]MENGENLS1 27-07-2000'!$AG$7:$AH$20,2,0))</f>
        <v>0</v>
      </c>
      <c r="I38" s="109">
        <f>IF(ISNA(VLOOKUP($B38,'[2]MENGENLS1 27-07-2000'!$AJ$7:$AK$38,2,0)),0,VLOOKUP($B38,'[2]MENGENLS1 27-07-2000'!$AJ$7:$AK$38,2,0))</f>
        <v>0</v>
      </c>
      <c r="J38" s="109">
        <f>IF(ISNA(VLOOKUP($B38,'[2]MENGENLS1 27-07-2000'!$AM$7:$AN$38,2,0)),0,VLOOKUP($B38,'[2]MENGENLS1 27-07-2000'!$AM$7:$AN$38,2,0))</f>
        <v>0</v>
      </c>
      <c r="K38" s="109">
        <f>IF(ISNA(VLOOKUP($B38,'[2]MENGENLS1 27-07-2000'!$AP$7:$AQ$12,2,0)),0,VLOOKUP($B38,'[2]MENGENLS1 27-07-2000'!$AP$7:$AQ$12,2,0))</f>
        <v>0</v>
      </c>
      <c r="M38" s="12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/>
      <c r="X38" s="101"/>
      <c r="Y38" s="101"/>
      <c r="Z38" s="101"/>
      <c r="AA38" s="101"/>
      <c r="AB38" s="101"/>
      <c r="AC38" s="105"/>
      <c r="AD38" s="106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">
      <c r="B39" s="107">
        <f t="shared" si="2"/>
        <v>37834</v>
      </c>
      <c r="C39" s="108">
        <f>IF(ISNA(VLOOKUP($B39,'[2]MENGENLS1 27-07-2000'!$R$7:$S$71,2,0)),0,VLOOKUP($B39,'[2]MENGENLS1 27-07-2000'!$R$7:$S$71,2,0))</f>
        <v>-6790</v>
      </c>
      <c r="D39" s="109">
        <f>IF(ISNA(VLOOKUP($B39,'[2]MENGENLS1 27-07-2000'!$U$7:$V$60,2,0)),0,VLOOKUP($B39,'[2]MENGENLS1 27-07-2000'!$U$7:$V$60,2,0))</f>
        <v>100</v>
      </c>
      <c r="E39" s="109">
        <f>IF(ISNA(VLOOKUP($B39,'[2]MENGENLS1 27-07-2000'!$X$7:$Y$27,2,0)),0,VLOOKUP($B39,'[2]MENGENLS1 27-07-2000'!$X$7:$Y$27,2,0))</f>
        <v>0</v>
      </c>
      <c r="F39" s="109">
        <f>IF(ISNA(VLOOKUP($B39,'[2]MENGENLS1 27-07-2000'!$AA$7:$AB$35,2,0)),0,VLOOKUP($B39,'[2]MENGENLS1 27-07-2000'!$AA$7:$AB$35,2,0))</f>
        <v>0</v>
      </c>
      <c r="G39" s="109">
        <f>IF(ISNA(VLOOKUP($B39,'[2]MENGENLS1 27-07-2000'!$AD$7:$AE$38,2,0)),0,VLOOKUP($B39,'[2]MENGENLS1 27-07-2000'!$AD$7:$AE$38,2,0))</f>
        <v>0</v>
      </c>
      <c r="H39" s="109">
        <f>IF(ISNA(VLOOKUP($B39,'[2]MENGENLS1 27-07-2000'!$AG$7:$AH$20,2,0)),0,VLOOKUP($B39,'[2]MENGENLS1 27-07-2000'!$AG$7:$AH$20,2,0))</f>
        <v>0</v>
      </c>
      <c r="I39" s="109">
        <f>IF(ISNA(VLOOKUP($B39,'[2]MENGENLS1 27-07-2000'!$AJ$7:$AK$38,2,0)),0,VLOOKUP($B39,'[2]MENGENLS1 27-07-2000'!$AJ$7:$AK$38,2,0))</f>
        <v>0</v>
      </c>
      <c r="J39" s="109">
        <f>IF(ISNA(VLOOKUP($B39,'[2]MENGENLS1 27-07-2000'!$AM$7:$AN$38,2,0)),0,VLOOKUP($B39,'[2]MENGENLS1 27-07-2000'!$AM$7:$AN$38,2,0))</f>
        <v>0</v>
      </c>
      <c r="K39" s="109">
        <f>IF(ISNA(VLOOKUP($B39,'[2]MENGENLS1 27-07-2000'!$AP$7:$AQ$12,2,0)),0,VLOOKUP($B39,'[2]MENGENLS1 27-07-2000'!$AP$7:$AQ$12,2,0))</f>
        <v>0</v>
      </c>
      <c r="M39" s="12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/>
      <c r="X39" s="111"/>
      <c r="Y39" s="111"/>
      <c r="Z39" s="111"/>
      <c r="AA39" s="111"/>
      <c r="AB39" s="111"/>
      <c r="AC39" s="105"/>
      <c r="AD39" s="106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">
      <c r="B40" s="107">
        <f t="shared" si="2"/>
        <v>37865</v>
      </c>
      <c r="C40" s="108">
        <f>IF(ISNA(VLOOKUP($B40,'[2]MENGENLS1 27-07-2000'!$R$7:$S$71,2,0)),0,VLOOKUP($B40,'[2]MENGENLS1 27-07-2000'!$R$7:$S$71,2,0))</f>
        <v>55</v>
      </c>
      <c r="D40" s="109">
        <f>IF(ISNA(VLOOKUP($B40,'[2]MENGENLS1 27-07-2000'!$U$7:$V$60,2,0)),0,VLOOKUP($B40,'[2]MENGENLS1 27-07-2000'!$U$7:$V$60,2,0))</f>
        <v>100</v>
      </c>
      <c r="E40" s="109">
        <f>IF(ISNA(VLOOKUP($B40,'[2]MENGENLS1 27-07-2000'!$X$7:$Y$27,2,0)),0,VLOOKUP($B40,'[2]MENGENLS1 27-07-2000'!$X$7:$Y$27,2,0))</f>
        <v>0</v>
      </c>
      <c r="F40" s="109">
        <f>IF(ISNA(VLOOKUP($B40,'[2]MENGENLS1 27-07-2000'!$AA$7:$AB$35,2,0)),0,VLOOKUP($B40,'[2]MENGENLS1 27-07-2000'!$AA$7:$AB$35,2,0))</f>
        <v>0</v>
      </c>
      <c r="G40" s="109">
        <f>IF(ISNA(VLOOKUP($B40,'[2]MENGENLS1 27-07-2000'!$AD$7:$AE$38,2,0)),0,VLOOKUP($B40,'[2]MENGENLS1 27-07-2000'!$AD$7:$AE$38,2,0))</f>
        <v>0</v>
      </c>
      <c r="H40" s="109">
        <f>IF(ISNA(VLOOKUP($B40,'[2]MENGENLS1 27-07-2000'!$AG$7:$AH$20,2,0)),0,VLOOKUP($B40,'[2]MENGENLS1 27-07-2000'!$AG$7:$AH$20,2,0))</f>
        <v>0</v>
      </c>
      <c r="I40" s="109">
        <f>IF(ISNA(VLOOKUP($B40,'[2]MENGENLS1 27-07-2000'!$AJ$7:$AK$38,2,0)),0,VLOOKUP($B40,'[2]MENGENLS1 27-07-2000'!$AJ$7:$AK$38,2,0))</f>
        <v>0</v>
      </c>
      <c r="J40" s="109">
        <f>IF(ISNA(VLOOKUP($B40,'[2]MENGENLS1 27-07-2000'!$AM$7:$AN$38,2,0)),0,VLOOKUP($B40,'[2]MENGENLS1 27-07-2000'!$AM$7:$AN$38,2,0))</f>
        <v>0</v>
      </c>
      <c r="K40" s="109">
        <f>IF(ISNA(VLOOKUP($B40,'[2]MENGENLS1 27-07-2000'!$AP$7:$AQ$12,2,0)),0,VLOOKUP($B40,'[2]MENGENLS1 27-07-2000'!$AP$7:$AQ$12,2,0))</f>
        <v>0</v>
      </c>
      <c r="M40" s="12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/>
      <c r="X40" s="101"/>
      <c r="Y40" s="101"/>
      <c r="Z40" s="101"/>
      <c r="AA40" s="101"/>
      <c r="AB40" s="101"/>
      <c r="AC40" s="105"/>
      <c r="AD40" s="106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">
      <c r="B41" s="107">
        <f t="shared" si="2"/>
        <v>37895</v>
      </c>
      <c r="C41" s="108">
        <f>IF(ISNA(VLOOKUP($B41,'[2]MENGENLS1 27-07-2000'!$R$7:$S$71,2,0)),0,VLOOKUP($B41,'[2]MENGENLS1 27-07-2000'!$R$7:$S$71,2,0))</f>
        <v>676</v>
      </c>
      <c r="D41" s="109">
        <f>IF(ISNA(VLOOKUP($B41,'[2]MENGENLS1 27-07-2000'!$U$7:$V$60,2,0)),0,VLOOKUP($B41,'[2]MENGENLS1 27-07-2000'!$U$7:$V$60,2,0))</f>
        <v>100</v>
      </c>
      <c r="E41" s="109">
        <f>IF(ISNA(VLOOKUP($B41,'[2]MENGENLS1 27-07-2000'!$X$7:$Y$27,2,0)),0,VLOOKUP($B41,'[2]MENGENLS1 27-07-2000'!$X$7:$Y$27,2,0))</f>
        <v>0</v>
      </c>
      <c r="F41" s="109">
        <f>IF(ISNA(VLOOKUP($B41,'[2]MENGENLS1 27-07-2000'!$AA$7:$AB$35,2,0)),0,VLOOKUP($B41,'[2]MENGENLS1 27-07-2000'!$AA$7:$AB$35,2,0))</f>
        <v>0</v>
      </c>
      <c r="G41" s="109">
        <f>IF(ISNA(VLOOKUP($B41,'[2]MENGENLS1 27-07-2000'!$AD$7:$AE$38,2,0)),0,VLOOKUP($B41,'[2]MENGENLS1 27-07-2000'!$AD$7:$AE$38,2,0))</f>
        <v>0</v>
      </c>
      <c r="H41" s="109">
        <f>IF(ISNA(VLOOKUP($B41,'[2]MENGENLS1 27-07-2000'!$AG$7:$AH$20,2,0)),0,VLOOKUP($B41,'[2]MENGENLS1 27-07-2000'!$AG$7:$AH$20,2,0))</f>
        <v>0</v>
      </c>
      <c r="I41" s="109">
        <f>IF(ISNA(VLOOKUP($B41,'[2]MENGENLS1 27-07-2000'!$AJ$7:$AK$38,2,0)),0,VLOOKUP($B41,'[2]MENGENLS1 27-07-2000'!$AJ$7:$AK$38,2,0))</f>
        <v>0</v>
      </c>
      <c r="J41" s="109">
        <f>IF(ISNA(VLOOKUP($B41,'[2]MENGENLS1 27-07-2000'!$AM$7:$AN$38,2,0)),0,VLOOKUP($B41,'[2]MENGENLS1 27-07-2000'!$AM$7:$AN$38,2,0))</f>
        <v>0</v>
      </c>
      <c r="K41" s="109">
        <f>IF(ISNA(VLOOKUP($B41,'[2]MENGENLS1 27-07-2000'!$AP$7:$AQ$12,2,0)),0,VLOOKUP($B41,'[2]MENGENLS1 27-07-2000'!$AP$7:$AQ$12,2,0))</f>
        <v>0</v>
      </c>
      <c r="M41" s="12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/>
      <c r="X41" s="111"/>
      <c r="Y41" s="111"/>
      <c r="Z41" s="111"/>
      <c r="AA41" s="111"/>
      <c r="AB41" s="111"/>
      <c r="AC41" s="105"/>
      <c r="AD41" s="106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">
      <c r="B42" s="107">
        <f t="shared" si="2"/>
        <v>37926</v>
      </c>
      <c r="C42" s="108">
        <f>IF(ISNA(VLOOKUP($B42,'[2]MENGENLS1 27-07-2000'!$R$7:$S$71,2,0)),0,VLOOKUP($B42,'[2]MENGENLS1 27-07-2000'!$R$7:$S$71,2,0))</f>
        <v>667</v>
      </c>
      <c r="D42" s="109">
        <f>IF(ISNA(VLOOKUP($B42,'[2]MENGENLS1 27-07-2000'!$U$7:$V$60,2,0)),0,VLOOKUP($B42,'[2]MENGENLS1 27-07-2000'!$U$7:$V$60,2,0))</f>
        <v>100</v>
      </c>
      <c r="E42" s="109">
        <f>IF(ISNA(VLOOKUP($B42,'[2]MENGENLS1 27-07-2000'!$X$7:$Y$27,2,0)),0,VLOOKUP($B42,'[2]MENGENLS1 27-07-2000'!$X$7:$Y$27,2,0))</f>
        <v>0</v>
      </c>
      <c r="F42" s="109">
        <f>IF(ISNA(VLOOKUP($B42,'[2]MENGENLS1 27-07-2000'!$AA$7:$AB$35,2,0)),0,VLOOKUP($B42,'[2]MENGENLS1 27-07-2000'!$AA$7:$AB$35,2,0))</f>
        <v>0</v>
      </c>
      <c r="G42" s="109">
        <f>IF(ISNA(VLOOKUP($B42,'[2]MENGENLS1 27-07-2000'!$AD$7:$AE$38,2,0)),0,VLOOKUP($B42,'[2]MENGENLS1 27-07-2000'!$AD$7:$AE$38,2,0))</f>
        <v>0</v>
      </c>
      <c r="H42" s="109">
        <f>IF(ISNA(VLOOKUP($B42,'[2]MENGENLS1 27-07-2000'!$AG$7:$AH$20,2,0)),0,VLOOKUP($B42,'[2]MENGENLS1 27-07-2000'!$AG$7:$AH$20,2,0))</f>
        <v>0</v>
      </c>
      <c r="I42" s="109">
        <f>IF(ISNA(VLOOKUP($B42,'[2]MENGENLS1 27-07-2000'!$AJ$7:$AK$38,2,0)),0,VLOOKUP($B42,'[2]MENGENLS1 27-07-2000'!$AJ$7:$AK$38,2,0))</f>
        <v>0</v>
      </c>
      <c r="J42" s="109">
        <f>IF(ISNA(VLOOKUP($B42,'[2]MENGENLS1 27-07-2000'!$AM$7:$AN$38,2,0)),0,VLOOKUP($B42,'[2]MENGENLS1 27-07-2000'!$AM$7:$AN$38,2,0))</f>
        <v>0</v>
      </c>
      <c r="K42" s="109">
        <f>IF(ISNA(VLOOKUP($B42,'[2]MENGENLS1 27-07-2000'!$AP$7:$AQ$12,2,0)),0,VLOOKUP($B42,'[2]MENGENLS1 27-07-2000'!$AP$7:$AQ$12,2,0))</f>
        <v>0</v>
      </c>
      <c r="M42" s="12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/>
      <c r="X42" s="101"/>
      <c r="Y42" s="101"/>
      <c r="Z42" s="101"/>
      <c r="AA42" s="101"/>
      <c r="AB42" s="101"/>
      <c r="AC42" s="105"/>
      <c r="AD42" s="106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">
      <c r="B43" s="107">
        <f t="shared" si="2"/>
        <v>37956</v>
      </c>
      <c r="C43" s="108">
        <f>IF(ISNA(VLOOKUP($B43,'[2]MENGENLS1 27-07-2000'!$R$7:$S$71,2,0)),0,VLOOKUP($B43,'[2]MENGENLS1 27-07-2000'!$R$7:$S$71,2,0))</f>
        <v>637</v>
      </c>
      <c r="D43" s="109">
        <f>IF(ISNA(VLOOKUP($B43,'[2]MENGENLS1 27-07-2000'!$U$7:$V$60,2,0)),0,VLOOKUP($B43,'[2]MENGENLS1 27-07-2000'!$U$7:$V$60,2,0))</f>
        <v>200</v>
      </c>
      <c r="E43" s="109">
        <f>IF(ISNA(VLOOKUP($B43,'[2]MENGENLS1 27-07-2000'!$X$7:$Y$27,2,0)),0,VLOOKUP($B43,'[2]MENGENLS1 27-07-2000'!$X$7:$Y$27,2,0))</f>
        <v>0</v>
      </c>
      <c r="F43" s="109">
        <f>IF(ISNA(VLOOKUP($B43,'[2]MENGENLS1 27-07-2000'!$AA$7:$AB$35,2,0)),0,VLOOKUP($B43,'[2]MENGENLS1 27-07-2000'!$AA$7:$AB$35,2,0))</f>
        <v>0</v>
      </c>
      <c r="G43" s="109">
        <f>IF(ISNA(VLOOKUP($B43,'[2]MENGENLS1 27-07-2000'!$AD$7:$AE$38,2,0)),0,VLOOKUP($B43,'[2]MENGENLS1 27-07-2000'!$AD$7:$AE$38,2,0))</f>
        <v>0</v>
      </c>
      <c r="H43" s="109">
        <f>IF(ISNA(VLOOKUP($B43,'[2]MENGENLS1 27-07-2000'!$AG$7:$AH$20,2,0)),0,VLOOKUP($B43,'[2]MENGENLS1 27-07-2000'!$AG$7:$AH$20,2,0))</f>
        <v>0</v>
      </c>
      <c r="I43" s="109">
        <f>IF(ISNA(VLOOKUP($B43,'[2]MENGENLS1 27-07-2000'!$AJ$7:$AK$38,2,0)),0,VLOOKUP($B43,'[2]MENGENLS1 27-07-2000'!$AJ$7:$AK$38,2,0))</f>
        <v>0</v>
      </c>
      <c r="J43" s="109">
        <f>IF(ISNA(VLOOKUP($B43,'[2]MENGENLS1 27-07-2000'!$AM$7:$AN$38,2,0)),0,VLOOKUP($B43,'[2]MENGENLS1 27-07-2000'!$AM$7:$AN$38,2,0))</f>
        <v>0</v>
      </c>
      <c r="K43" s="109">
        <f>IF(ISNA(VLOOKUP($B43,'[2]MENGENLS1 27-07-2000'!$AP$7:$AQ$12,2,0)),0,VLOOKUP($B43,'[2]MENGENLS1 27-07-2000'!$AP$7:$AQ$12,2,0))</f>
        <v>0</v>
      </c>
      <c r="M43" s="12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/>
      <c r="X43" s="111"/>
      <c r="Y43" s="111"/>
      <c r="Z43" s="111"/>
      <c r="AA43" s="111"/>
      <c r="AB43" s="111"/>
      <c r="AC43" s="105"/>
      <c r="AD43" s="106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">
      <c r="B44" s="107">
        <f t="shared" si="2"/>
        <v>37987</v>
      </c>
      <c r="C44" s="108">
        <f>IF(ISNA(VLOOKUP($B44,'[2]MENGENLS1 27-07-2000'!$R$7:$S$71,2,0)),0,VLOOKUP($B44,'[2]MENGENLS1 27-07-2000'!$R$7:$S$71,2,0))</f>
        <v>-75</v>
      </c>
      <c r="D44" s="109">
        <f>IF(ISNA(VLOOKUP($B44,'[2]MENGENLS1 27-07-2000'!$U$7:$V$60,2,0)),0,VLOOKUP($B44,'[2]MENGENLS1 27-07-2000'!$U$7:$V$60,2,0))</f>
        <v>-25</v>
      </c>
      <c r="E44" s="109">
        <f>IF(ISNA(VLOOKUP($B44,'[2]MENGENLS1 27-07-2000'!$X$7:$Y$27,2,0)),0,VLOOKUP($B44,'[2]MENGENLS1 27-07-2000'!$X$7:$Y$27,2,0))</f>
        <v>0</v>
      </c>
      <c r="F44" s="109">
        <f>IF(ISNA(VLOOKUP($B44,'[2]MENGENLS1 27-07-2000'!$AA$7:$AB$35,2,0)),0,VLOOKUP($B44,'[2]MENGENLS1 27-07-2000'!$AA$7:$AB$35,2,0))</f>
        <v>0</v>
      </c>
      <c r="G44" s="109">
        <f>IF(ISNA(VLOOKUP($B44,'[2]MENGENLS1 27-07-2000'!$AD$7:$AE$38,2,0)),0,VLOOKUP($B44,'[2]MENGENLS1 27-07-2000'!$AD$7:$AE$38,2,0))</f>
        <v>0</v>
      </c>
      <c r="H44" s="109">
        <f>IF(ISNA(VLOOKUP($B44,'[2]MENGENLS1 27-07-2000'!$AG$7:$AH$20,2,0)),0,VLOOKUP($B44,'[2]MENGENLS1 27-07-2000'!$AG$7:$AH$20,2,0))</f>
        <v>0</v>
      </c>
      <c r="I44" s="109">
        <f>IF(ISNA(VLOOKUP($B44,'[2]MENGENLS1 27-07-2000'!$AJ$7:$AK$38,2,0)),0,VLOOKUP($B44,'[2]MENGENLS1 27-07-2000'!$AJ$7:$AK$38,2,0))</f>
        <v>0</v>
      </c>
      <c r="J44" s="109">
        <f>IF(ISNA(VLOOKUP($B44,'[2]MENGENLS1 27-07-2000'!$AM$7:$AN$38,2,0)),0,VLOOKUP($B44,'[2]MENGENLS1 27-07-2000'!$AM$7:$AN$38,2,0))</f>
        <v>0</v>
      </c>
      <c r="K44" s="109">
        <f>IF(ISNA(VLOOKUP($B44,'[2]MENGENLS1 27-07-2000'!$AP$7:$AQ$12,2,0)),0,VLOOKUP($B44,'[2]MENGENLS1 27-07-2000'!$AP$7:$AQ$12,2,0))</f>
        <v>0</v>
      </c>
      <c r="M44" s="12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/>
      <c r="X44" s="101"/>
      <c r="Y44" s="101"/>
      <c r="Z44" s="101"/>
      <c r="AA44" s="101"/>
      <c r="AB44" s="101"/>
      <c r="AC44" s="105"/>
      <c r="AD44" s="106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">
      <c r="B45" s="107">
        <f t="shared" si="2"/>
        <v>38018</v>
      </c>
      <c r="C45" s="108">
        <f>IF(ISNA(VLOOKUP($B45,'[2]MENGENLS1 27-07-2000'!$R$7:$S$71,2,0)),0,VLOOKUP($B45,'[2]MENGENLS1 27-07-2000'!$R$7:$S$71,2,0))</f>
        <v>-100</v>
      </c>
      <c r="D45" s="109">
        <f>IF(ISNA(VLOOKUP($B45,'[2]MENGENLS1 27-07-2000'!$U$7:$V$60,2,0)),0,VLOOKUP($B45,'[2]MENGENLS1 27-07-2000'!$U$7:$V$60,2,0))</f>
        <v>-25</v>
      </c>
      <c r="E45" s="109">
        <f>IF(ISNA(VLOOKUP($B45,'[2]MENGENLS1 27-07-2000'!$X$7:$Y$27,2,0)),0,VLOOKUP($B45,'[2]MENGENLS1 27-07-2000'!$X$7:$Y$27,2,0))</f>
        <v>0</v>
      </c>
      <c r="F45" s="109">
        <f>IF(ISNA(VLOOKUP($B45,'[2]MENGENLS1 27-07-2000'!$AA$7:$AB$35,2,0)),0,VLOOKUP($B45,'[2]MENGENLS1 27-07-2000'!$AA$7:$AB$35,2,0))</f>
        <v>0</v>
      </c>
      <c r="G45" s="109">
        <f>IF(ISNA(VLOOKUP($B45,'[2]MENGENLS1 27-07-2000'!$AD$7:$AE$38,2,0)),0,VLOOKUP($B45,'[2]MENGENLS1 27-07-2000'!$AD$7:$AE$38,2,0))</f>
        <v>0</v>
      </c>
      <c r="H45" s="109">
        <f>IF(ISNA(VLOOKUP($B45,'[2]MENGENLS1 27-07-2000'!$AG$7:$AH$20,2,0)),0,VLOOKUP($B45,'[2]MENGENLS1 27-07-2000'!$AG$7:$AH$20,2,0))</f>
        <v>0</v>
      </c>
      <c r="I45" s="109">
        <f>IF(ISNA(VLOOKUP($B45,'[2]MENGENLS1 27-07-2000'!$AJ$7:$AK$38,2,0)),0,VLOOKUP($B45,'[2]MENGENLS1 27-07-2000'!$AJ$7:$AK$38,2,0))</f>
        <v>0</v>
      </c>
      <c r="J45" s="109">
        <f>IF(ISNA(VLOOKUP($B45,'[2]MENGENLS1 27-07-2000'!$AM$7:$AN$38,2,0)),0,VLOOKUP($B45,'[2]MENGENLS1 27-07-2000'!$AM$7:$AN$38,2,0))</f>
        <v>0</v>
      </c>
      <c r="K45" s="109">
        <f>IF(ISNA(VLOOKUP($B45,'[2]MENGENLS1 27-07-2000'!$AP$7:$AQ$12,2,0)),0,VLOOKUP($B45,'[2]MENGENLS1 27-07-2000'!$AP$7:$AQ$12,2,0))</f>
        <v>0</v>
      </c>
      <c r="M45" s="12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/>
      <c r="X45" s="111"/>
      <c r="Y45" s="111"/>
      <c r="Z45" s="111"/>
      <c r="AA45" s="111"/>
      <c r="AB45" s="111"/>
      <c r="AC45" s="105"/>
      <c r="AD45" s="106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">
      <c r="B46" s="107">
        <f t="shared" si="2"/>
        <v>38047</v>
      </c>
      <c r="C46" s="108">
        <f>IF(ISNA(VLOOKUP($B46,'[2]MENGENLS1 27-07-2000'!$R$7:$S$71,2,0)),0,VLOOKUP($B46,'[2]MENGENLS1 27-07-2000'!$R$7:$S$71,2,0))</f>
        <v>-75</v>
      </c>
      <c r="D46" s="109">
        <f>IF(ISNA(VLOOKUP($B46,'[2]MENGENLS1 27-07-2000'!$U$7:$V$60,2,0)),0,VLOOKUP($B46,'[2]MENGENLS1 27-07-2000'!$U$7:$V$60,2,0))</f>
        <v>-25</v>
      </c>
      <c r="E46" s="109">
        <f>IF(ISNA(VLOOKUP($B46,'[2]MENGENLS1 27-07-2000'!$X$7:$Y$27,2,0)),0,VLOOKUP($B46,'[2]MENGENLS1 27-07-2000'!$X$7:$Y$27,2,0))</f>
        <v>0</v>
      </c>
      <c r="F46" s="109">
        <f>IF(ISNA(VLOOKUP($B46,'[2]MENGENLS1 27-07-2000'!$AA$7:$AB$35,2,0)),0,VLOOKUP($B46,'[2]MENGENLS1 27-07-2000'!$AA$7:$AB$35,2,0))</f>
        <v>0</v>
      </c>
      <c r="G46" s="109">
        <f>IF(ISNA(VLOOKUP($B46,'[2]MENGENLS1 27-07-2000'!$AD$7:$AE$38,2,0)),0,VLOOKUP($B46,'[2]MENGENLS1 27-07-2000'!$AD$7:$AE$38,2,0))</f>
        <v>0</v>
      </c>
      <c r="H46" s="109">
        <f>IF(ISNA(VLOOKUP($B46,'[2]MENGENLS1 27-07-2000'!$AG$7:$AH$20,2,0)),0,VLOOKUP($B46,'[2]MENGENLS1 27-07-2000'!$AG$7:$AH$20,2,0))</f>
        <v>0</v>
      </c>
      <c r="I46" s="109">
        <f>IF(ISNA(VLOOKUP($B46,'[2]MENGENLS1 27-07-2000'!$AJ$7:$AK$38,2,0)),0,VLOOKUP($B46,'[2]MENGENLS1 27-07-2000'!$AJ$7:$AK$38,2,0))</f>
        <v>0</v>
      </c>
      <c r="J46" s="109">
        <f>IF(ISNA(VLOOKUP($B46,'[2]MENGENLS1 27-07-2000'!$AM$7:$AN$38,2,0)),0,VLOOKUP($B46,'[2]MENGENLS1 27-07-2000'!$AM$7:$AN$38,2,0))</f>
        <v>0</v>
      </c>
      <c r="K46" s="109">
        <f>IF(ISNA(VLOOKUP($B46,'[2]MENGENLS1 27-07-2000'!$AP$7:$AQ$12,2,0)),0,VLOOKUP($B46,'[2]MENGENLS1 27-07-2000'!$AP$7:$AQ$12,2,0))</f>
        <v>0</v>
      </c>
      <c r="M46" s="12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/>
      <c r="X46" s="101"/>
      <c r="Y46" s="101"/>
      <c r="Z46" s="101"/>
      <c r="AA46" s="101"/>
      <c r="AB46" s="101"/>
      <c r="AC46" s="105"/>
      <c r="AD46" s="106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">
      <c r="B47" s="107">
        <f t="shared" si="2"/>
        <v>38078</v>
      </c>
      <c r="C47" s="108">
        <f>IF(ISNA(VLOOKUP($B47,'[2]MENGENLS1 27-07-2000'!$R$7:$S$71,2,0)),0,VLOOKUP($B47,'[2]MENGENLS1 27-07-2000'!$R$7:$S$71,2,0))</f>
        <v>-100</v>
      </c>
      <c r="D47" s="109">
        <f>IF(ISNA(VLOOKUP($B47,'[2]MENGENLS1 27-07-2000'!$U$7:$V$60,2,0)),0,VLOOKUP($B47,'[2]MENGENLS1 27-07-2000'!$U$7:$V$60,2,0))</f>
        <v>-25</v>
      </c>
      <c r="E47" s="109">
        <f>IF(ISNA(VLOOKUP($B47,'[2]MENGENLS1 27-07-2000'!$X$7:$Y$27,2,0)),0,VLOOKUP($B47,'[2]MENGENLS1 27-07-2000'!$X$7:$Y$27,2,0))</f>
        <v>0</v>
      </c>
      <c r="F47" s="109">
        <f>IF(ISNA(VLOOKUP($B47,'[2]MENGENLS1 27-07-2000'!$AA$7:$AB$35,2,0)),0,VLOOKUP($B47,'[2]MENGENLS1 27-07-2000'!$AA$7:$AB$35,2,0))</f>
        <v>0</v>
      </c>
      <c r="G47" s="109">
        <f>IF(ISNA(VLOOKUP($B47,'[2]MENGENLS1 27-07-2000'!$AD$7:$AE$38,2,0)),0,VLOOKUP($B47,'[2]MENGENLS1 27-07-2000'!$AD$7:$AE$38,2,0))</f>
        <v>0</v>
      </c>
      <c r="H47" s="109">
        <f>IF(ISNA(VLOOKUP($B47,'[2]MENGENLS1 27-07-2000'!$AG$7:$AH$20,2,0)),0,VLOOKUP($B47,'[2]MENGENLS1 27-07-2000'!$AG$7:$AH$20,2,0))</f>
        <v>0</v>
      </c>
      <c r="I47" s="109">
        <f>IF(ISNA(VLOOKUP($B47,'[2]MENGENLS1 27-07-2000'!$AJ$7:$AK$38,2,0)),0,VLOOKUP($B47,'[2]MENGENLS1 27-07-2000'!$AJ$7:$AK$38,2,0))</f>
        <v>0</v>
      </c>
      <c r="J47" s="109">
        <f>IF(ISNA(VLOOKUP($B47,'[2]MENGENLS1 27-07-2000'!$AM$7:$AN$38,2,0)),0,VLOOKUP($B47,'[2]MENGENLS1 27-07-2000'!$AM$7:$AN$38,2,0))</f>
        <v>0</v>
      </c>
      <c r="K47" s="109">
        <f>IF(ISNA(VLOOKUP($B47,'[2]MENGENLS1 27-07-2000'!$AP$7:$AQ$12,2,0)),0,VLOOKUP($B47,'[2]MENGENLS1 27-07-2000'!$AP$7:$AQ$12,2,0))</f>
        <v>0</v>
      </c>
      <c r="M47" s="12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/>
      <c r="X47" s="111"/>
      <c r="Y47" s="111"/>
      <c r="Z47" s="111"/>
      <c r="AA47" s="111"/>
      <c r="AB47" s="111"/>
      <c r="AC47" s="105"/>
      <c r="AD47" s="106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">
      <c r="B48" s="107">
        <f t="shared" si="2"/>
        <v>38108</v>
      </c>
      <c r="C48" s="108">
        <f>IF(ISNA(VLOOKUP($B48,'[2]MENGENLS1 27-07-2000'!$R$7:$S$71,2,0)),0,VLOOKUP($B48,'[2]MENGENLS1 27-07-2000'!$R$7:$S$71,2,0))</f>
        <v>-75</v>
      </c>
      <c r="D48" s="109">
        <f>IF(ISNA(VLOOKUP($B48,'[2]MENGENLS1 27-07-2000'!$U$7:$V$60,2,0)),0,VLOOKUP($B48,'[2]MENGENLS1 27-07-2000'!$U$7:$V$60,2,0))</f>
        <v>-25</v>
      </c>
      <c r="E48" s="109">
        <f>IF(ISNA(VLOOKUP($B48,'[2]MENGENLS1 27-07-2000'!$X$7:$Y$27,2,0)),0,VLOOKUP($B48,'[2]MENGENLS1 27-07-2000'!$X$7:$Y$27,2,0))</f>
        <v>0</v>
      </c>
      <c r="F48" s="109">
        <f>IF(ISNA(VLOOKUP($B48,'[2]MENGENLS1 27-07-2000'!$AA$7:$AB$35,2,0)),0,VLOOKUP($B48,'[2]MENGENLS1 27-07-2000'!$AA$7:$AB$35,2,0))</f>
        <v>0</v>
      </c>
      <c r="G48" s="109">
        <f>IF(ISNA(VLOOKUP($B48,'[2]MENGENLS1 27-07-2000'!$AD$7:$AE$38,2,0)),0,VLOOKUP($B48,'[2]MENGENLS1 27-07-2000'!$AD$7:$AE$38,2,0))</f>
        <v>0</v>
      </c>
      <c r="H48" s="109">
        <f>IF(ISNA(VLOOKUP($B48,'[2]MENGENLS1 27-07-2000'!$AG$7:$AH$20,2,0)),0,VLOOKUP($B48,'[2]MENGENLS1 27-07-2000'!$AG$7:$AH$20,2,0))</f>
        <v>0</v>
      </c>
      <c r="I48" s="109">
        <f>IF(ISNA(VLOOKUP($B48,'[2]MENGENLS1 27-07-2000'!$AJ$7:$AK$38,2,0)),0,VLOOKUP($B48,'[2]MENGENLS1 27-07-2000'!$AJ$7:$AK$38,2,0))</f>
        <v>0</v>
      </c>
      <c r="J48" s="109">
        <f>IF(ISNA(VLOOKUP($B48,'[2]MENGENLS1 27-07-2000'!$AM$7:$AN$38,2,0)),0,VLOOKUP($B48,'[2]MENGENLS1 27-07-2000'!$AM$7:$AN$38,2,0))</f>
        <v>0</v>
      </c>
      <c r="K48" s="109">
        <f>IF(ISNA(VLOOKUP($B48,'[2]MENGENLS1 27-07-2000'!$AP$7:$AQ$12,2,0)),0,VLOOKUP($B48,'[2]MENGENLS1 27-07-2000'!$AP$7:$AQ$12,2,0))</f>
        <v>0</v>
      </c>
      <c r="M48" s="12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/>
      <c r="X48" s="101"/>
      <c r="Y48" s="101"/>
      <c r="Z48" s="101"/>
      <c r="AA48" s="101"/>
      <c r="AB48" s="101"/>
      <c r="AC48" s="105"/>
      <c r="AD48" s="106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">
      <c r="B49" s="107">
        <f t="shared" si="2"/>
        <v>38139</v>
      </c>
      <c r="C49" s="108">
        <f>IF(ISNA(VLOOKUP($B49,'[2]MENGENLS1 27-07-2000'!$R$7:$S$71,2,0)),0,VLOOKUP($B49,'[2]MENGENLS1 27-07-2000'!$R$7:$S$71,2,0))</f>
        <v>-100</v>
      </c>
      <c r="D49" s="109">
        <f>IF(ISNA(VLOOKUP($B49,'[2]MENGENLS1 27-07-2000'!$U$7:$V$60,2,0)),0,VLOOKUP($B49,'[2]MENGENLS1 27-07-2000'!$U$7:$V$60,2,0))</f>
        <v>-25</v>
      </c>
      <c r="E49" s="109">
        <f>IF(ISNA(VLOOKUP($B49,'[2]MENGENLS1 27-07-2000'!$X$7:$Y$27,2,0)),0,VLOOKUP($B49,'[2]MENGENLS1 27-07-2000'!$X$7:$Y$27,2,0))</f>
        <v>0</v>
      </c>
      <c r="F49" s="109">
        <f>IF(ISNA(VLOOKUP($B49,'[2]MENGENLS1 27-07-2000'!$AA$7:$AB$35,2,0)),0,VLOOKUP($B49,'[2]MENGENLS1 27-07-2000'!$AA$7:$AB$35,2,0))</f>
        <v>0</v>
      </c>
      <c r="G49" s="109">
        <f>IF(ISNA(VLOOKUP($B49,'[2]MENGENLS1 27-07-2000'!$AD$7:$AE$38,2,0)),0,VLOOKUP($B49,'[2]MENGENLS1 27-07-2000'!$AD$7:$AE$38,2,0))</f>
        <v>0</v>
      </c>
      <c r="H49" s="109">
        <f>IF(ISNA(VLOOKUP($B49,'[2]MENGENLS1 27-07-2000'!$AG$7:$AH$20,2,0)),0,VLOOKUP($B49,'[2]MENGENLS1 27-07-2000'!$AG$7:$AH$20,2,0))</f>
        <v>0</v>
      </c>
      <c r="I49" s="109">
        <f>IF(ISNA(VLOOKUP($B49,'[2]MENGENLS1 27-07-2000'!$AJ$7:$AK$38,2,0)),0,VLOOKUP($B49,'[2]MENGENLS1 27-07-2000'!$AJ$7:$AK$38,2,0))</f>
        <v>0</v>
      </c>
      <c r="J49" s="109">
        <f>IF(ISNA(VLOOKUP($B49,'[2]MENGENLS1 27-07-2000'!$AM$7:$AN$38,2,0)),0,VLOOKUP($B49,'[2]MENGENLS1 27-07-2000'!$AM$7:$AN$38,2,0))</f>
        <v>0</v>
      </c>
      <c r="K49" s="109">
        <f>IF(ISNA(VLOOKUP($B49,'[2]MENGENLS1 27-07-2000'!$AP$7:$AQ$12,2,0)),0,VLOOKUP($B49,'[2]MENGENLS1 27-07-2000'!$AP$7:$AQ$12,2,0))</f>
        <v>0</v>
      </c>
      <c r="M49" s="12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/>
      <c r="X49" s="111"/>
      <c r="Y49" s="111"/>
      <c r="Z49" s="111"/>
      <c r="AA49" s="111"/>
      <c r="AB49" s="111"/>
      <c r="AC49" s="105"/>
      <c r="AD49" s="106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">
      <c r="B50" s="107">
        <f t="shared" si="2"/>
        <v>38169</v>
      </c>
      <c r="C50" s="108">
        <f>IF(ISNA(VLOOKUP($B50,'[2]MENGENLS1 27-07-2000'!$R$7:$S$71,2,0)),0,VLOOKUP($B50,'[2]MENGENLS1 27-07-2000'!$R$7:$S$71,2,0))</f>
        <v>-75</v>
      </c>
      <c r="D50" s="109">
        <f>IF(ISNA(VLOOKUP($B50,'[2]MENGENLS1 27-07-2000'!$U$7:$V$60,2,0)),0,VLOOKUP($B50,'[2]MENGENLS1 27-07-2000'!$U$7:$V$60,2,0))</f>
        <v>-25</v>
      </c>
      <c r="E50" s="109">
        <f>IF(ISNA(VLOOKUP($B50,'[2]MENGENLS1 27-07-2000'!$X$7:$Y$27,2,0)),0,VLOOKUP($B50,'[2]MENGENLS1 27-07-2000'!$X$7:$Y$27,2,0))</f>
        <v>0</v>
      </c>
      <c r="F50" s="109">
        <f>IF(ISNA(VLOOKUP($B50,'[2]MENGENLS1 27-07-2000'!$AA$7:$AB$35,2,0)),0,VLOOKUP($B50,'[2]MENGENLS1 27-07-2000'!$AA$7:$AB$35,2,0))</f>
        <v>0</v>
      </c>
      <c r="G50" s="109">
        <f>IF(ISNA(VLOOKUP($B50,'[2]MENGENLS1 27-07-2000'!$AD$7:$AE$38,2,0)),0,VLOOKUP($B50,'[2]MENGENLS1 27-07-2000'!$AD$7:$AE$38,2,0))</f>
        <v>0</v>
      </c>
      <c r="H50" s="109">
        <f>IF(ISNA(VLOOKUP($B50,'[2]MENGENLS1 27-07-2000'!$AG$7:$AH$20,2,0)),0,VLOOKUP($B50,'[2]MENGENLS1 27-07-2000'!$AG$7:$AH$20,2,0))</f>
        <v>0</v>
      </c>
      <c r="I50" s="109">
        <f>IF(ISNA(VLOOKUP($B50,'[2]MENGENLS1 27-07-2000'!$AJ$7:$AK$38,2,0)),0,VLOOKUP($B50,'[2]MENGENLS1 27-07-2000'!$AJ$7:$AK$38,2,0))</f>
        <v>0</v>
      </c>
      <c r="J50" s="109">
        <f>IF(ISNA(VLOOKUP($B50,'[2]MENGENLS1 27-07-2000'!$AM$7:$AN$38,2,0)),0,VLOOKUP($B50,'[2]MENGENLS1 27-07-2000'!$AM$7:$AN$38,2,0))</f>
        <v>0</v>
      </c>
      <c r="K50" s="109">
        <f>IF(ISNA(VLOOKUP($B50,'[2]MENGENLS1 27-07-2000'!$AP$7:$AQ$12,2,0)),0,VLOOKUP($B50,'[2]MENGENLS1 27-07-2000'!$AP$7:$AQ$12,2,0))</f>
        <v>0</v>
      </c>
      <c r="M50" s="12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/>
      <c r="X50" s="101"/>
      <c r="Y50" s="101"/>
      <c r="Z50" s="101"/>
      <c r="AA50" s="101"/>
      <c r="AB50" s="101"/>
      <c r="AC50" s="105"/>
      <c r="AD50" s="106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">
      <c r="B51" s="107">
        <f t="shared" si="2"/>
        <v>38200</v>
      </c>
      <c r="C51" s="108">
        <f>IF(ISNA(VLOOKUP($B51,'[2]MENGENLS1 27-07-2000'!$R$7:$S$71,2,0)),0,VLOOKUP($B51,'[2]MENGENLS1 27-07-2000'!$R$7:$S$71,2,0))</f>
        <v>-25</v>
      </c>
      <c r="D51" s="109">
        <f>IF(ISNA(VLOOKUP($B51,'[2]MENGENLS1 27-07-2000'!$U$7:$V$60,2,0)),0,VLOOKUP($B51,'[2]MENGENLS1 27-07-2000'!$U$7:$V$60,2,0))</f>
        <v>-25</v>
      </c>
      <c r="E51" s="109">
        <f>IF(ISNA(VLOOKUP($B51,'[2]MENGENLS1 27-07-2000'!$X$7:$Y$27,2,0)),0,VLOOKUP($B51,'[2]MENGENLS1 27-07-2000'!$X$7:$Y$27,2,0))</f>
        <v>0</v>
      </c>
      <c r="F51" s="109">
        <f>IF(ISNA(VLOOKUP($B51,'[2]MENGENLS1 27-07-2000'!$AA$7:$AB$35,2,0)),0,VLOOKUP($B51,'[2]MENGENLS1 27-07-2000'!$AA$7:$AB$35,2,0))</f>
        <v>0</v>
      </c>
      <c r="G51" s="109">
        <f>IF(ISNA(VLOOKUP($B51,'[2]MENGENLS1 27-07-2000'!$AD$7:$AE$38,2,0)),0,VLOOKUP($B51,'[2]MENGENLS1 27-07-2000'!$AD$7:$AE$38,2,0))</f>
        <v>0</v>
      </c>
      <c r="H51" s="109">
        <f>IF(ISNA(VLOOKUP($B51,'[2]MENGENLS1 27-07-2000'!$AG$7:$AH$20,2,0)),0,VLOOKUP($B51,'[2]MENGENLS1 27-07-2000'!$AG$7:$AH$20,2,0))</f>
        <v>0</v>
      </c>
      <c r="I51" s="109">
        <f>IF(ISNA(VLOOKUP($B51,'[2]MENGENLS1 27-07-2000'!$AJ$7:$AK$38,2,0)),0,VLOOKUP($B51,'[2]MENGENLS1 27-07-2000'!$AJ$7:$AK$38,2,0))</f>
        <v>0</v>
      </c>
      <c r="J51" s="109">
        <f>IF(ISNA(VLOOKUP($B51,'[2]MENGENLS1 27-07-2000'!$AM$7:$AN$38,2,0)),0,VLOOKUP($B51,'[2]MENGENLS1 27-07-2000'!$AM$7:$AN$38,2,0))</f>
        <v>0</v>
      </c>
      <c r="K51" s="109">
        <f>IF(ISNA(VLOOKUP($B51,'[2]MENGENLS1 27-07-2000'!$AP$7:$AQ$12,2,0)),0,VLOOKUP($B51,'[2]MENGENLS1 27-07-2000'!$AP$7:$AQ$12,2,0))</f>
        <v>0</v>
      </c>
      <c r="M51" s="12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/>
      <c r="X51" s="111"/>
      <c r="Y51" s="111"/>
      <c r="Z51" s="111"/>
      <c r="AA51" s="111"/>
      <c r="AB51" s="111"/>
      <c r="AC51" s="105"/>
      <c r="AD51" s="106"/>
    </row>
    <row r="52" spans="2:76" x14ac:dyDescent="0.2">
      <c r="B52" s="107">
        <f t="shared" ref="B52:B67" si="3">DATE(YEAR(B51),MONTH(B51)+1,1)</f>
        <v>38231</v>
      </c>
      <c r="C52" s="108">
        <f>IF(ISNA(VLOOKUP($B52,'[2]MENGENLS1 27-07-2000'!$R$7:$S$71,2,0)),0,VLOOKUP($B52,'[2]MENGENLS1 27-07-2000'!$R$7:$S$71,2,0))</f>
        <v>0</v>
      </c>
      <c r="D52" s="109">
        <f>IF(ISNA(VLOOKUP($B52,'[2]MENGENLS1 27-07-2000'!$U$7:$V$60,2,0)),0,VLOOKUP($B52,'[2]MENGENLS1 27-07-2000'!$U$7:$V$60,2,0))</f>
        <v>-25</v>
      </c>
      <c r="E52" s="109">
        <f>IF(ISNA(VLOOKUP($B52,'[2]MENGENLS1 27-07-2000'!$X$7:$Y$27,2,0)),0,VLOOKUP($B52,'[2]MENGENLS1 27-07-2000'!$X$7:$Y$27,2,0))</f>
        <v>0</v>
      </c>
      <c r="F52" s="109">
        <f>IF(ISNA(VLOOKUP($B52,'[2]MENGENLS1 27-07-2000'!$AA$7:$AB$35,2,0)),0,VLOOKUP($B52,'[2]MENGENLS1 27-07-2000'!$AA$7:$AB$35,2,0))</f>
        <v>0</v>
      </c>
      <c r="G52" s="109">
        <f>IF(ISNA(VLOOKUP($B52,'[2]MENGENLS1 27-07-2000'!$AD$7:$AE$38,2,0)),0,VLOOKUP($B52,'[2]MENGENLS1 27-07-2000'!$AD$7:$AE$38,2,0))</f>
        <v>0</v>
      </c>
      <c r="H52" s="109">
        <f>IF(ISNA(VLOOKUP($B52,'[2]MENGENLS1 27-07-2000'!$AG$7:$AH$20,2,0)),0,VLOOKUP($B52,'[2]MENGENLS1 27-07-2000'!$AG$7:$AH$20,2,0))</f>
        <v>0</v>
      </c>
      <c r="I52" s="109">
        <f>IF(ISNA(VLOOKUP($B52,'[2]MENGENLS1 27-07-2000'!$AJ$7:$AK$38,2,0)),0,VLOOKUP($B52,'[2]MENGENLS1 27-07-2000'!$AJ$7:$AK$38,2,0))</f>
        <v>0</v>
      </c>
      <c r="J52" s="109">
        <f>IF(ISNA(VLOOKUP($B52,'[2]MENGENLS1 27-07-2000'!$AM$7:$AN$38,2,0)),0,VLOOKUP($B52,'[2]MENGENLS1 27-07-2000'!$AM$7:$AN$38,2,0))</f>
        <v>0</v>
      </c>
      <c r="K52" s="109">
        <f>IF(ISNA(VLOOKUP($B52,'[2]MENGENLS1 27-07-2000'!$AP$7:$AQ$12,2,0)),0,VLOOKUP($B52,'[2]MENGENLS1 27-07-2000'!$AP$7:$AQ$12,2,0))</f>
        <v>0</v>
      </c>
      <c r="M52" s="12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/>
      <c r="X52" s="101"/>
      <c r="Y52" s="101"/>
      <c r="Z52" s="101"/>
      <c r="AA52" s="101"/>
      <c r="AB52" s="101"/>
      <c r="AC52" s="105"/>
      <c r="AD52" s="106"/>
    </row>
    <row r="53" spans="2:76" x14ac:dyDescent="0.2">
      <c r="B53" s="107">
        <f t="shared" si="3"/>
        <v>38261</v>
      </c>
      <c r="C53" s="108">
        <f>IF(ISNA(VLOOKUP($B53,'[2]MENGENLS1 27-07-2000'!$R$7:$S$71,2,0)),0,VLOOKUP($B53,'[2]MENGENLS1 27-07-2000'!$R$7:$S$71,2,0))</f>
        <v>-25</v>
      </c>
      <c r="D53" s="109">
        <f>IF(ISNA(VLOOKUP($B53,'[2]MENGENLS1 27-07-2000'!$U$7:$V$60,2,0)),0,VLOOKUP($B53,'[2]MENGENLS1 27-07-2000'!$U$7:$V$60,2,0))</f>
        <v>-25</v>
      </c>
      <c r="E53" s="109">
        <f>IF(ISNA(VLOOKUP($B53,'[2]MENGENLS1 27-07-2000'!$X$7:$Y$27,2,0)),0,VLOOKUP($B53,'[2]MENGENLS1 27-07-2000'!$X$7:$Y$27,2,0))</f>
        <v>0</v>
      </c>
      <c r="F53" s="109">
        <f>IF(ISNA(VLOOKUP($B53,'[2]MENGENLS1 27-07-2000'!$AA$7:$AB$35,2,0)),0,VLOOKUP($B53,'[2]MENGENLS1 27-07-2000'!$AA$7:$AB$35,2,0))</f>
        <v>0</v>
      </c>
      <c r="G53" s="109">
        <f>IF(ISNA(VLOOKUP($B53,'[2]MENGENLS1 27-07-2000'!$AD$7:$AE$38,2,0)),0,VLOOKUP($B53,'[2]MENGENLS1 27-07-2000'!$AD$7:$AE$38,2,0))</f>
        <v>0</v>
      </c>
      <c r="H53" s="109">
        <f>IF(ISNA(VLOOKUP($B53,'[2]MENGENLS1 27-07-2000'!$AG$7:$AH$20,2,0)),0,VLOOKUP($B53,'[2]MENGENLS1 27-07-2000'!$AG$7:$AH$20,2,0))</f>
        <v>0</v>
      </c>
      <c r="I53" s="109">
        <f>IF(ISNA(VLOOKUP($B53,'[2]MENGENLS1 27-07-2000'!$AJ$7:$AK$38,2,0)),0,VLOOKUP($B53,'[2]MENGENLS1 27-07-2000'!$AJ$7:$AK$38,2,0))</f>
        <v>0</v>
      </c>
      <c r="J53" s="109">
        <f>IF(ISNA(VLOOKUP($B53,'[2]MENGENLS1 27-07-2000'!$AM$7:$AN$38,2,0)),0,VLOOKUP($B53,'[2]MENGENLS1 27-07-2000'!$AM$7:$AN$38,2,0))</f>
        <v>0</v>
      </c>
      <c r="K53" s="109">
        <f>IF(ISNA(VLOOKUP($B53,'[2]MENGENLS1 27-07-2000'!$AP$7:$AQ$12,2,0)),0,VLOOKUP($B53,'[2]MENGENLS1 27-07-2000'!$AP$7:$AQ$12,2,0))</f>
        <v>0</v>
      </c>
      <c r="M53" s="12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/>
      <c r="X53" s="111"/>
      <c r="Y53" s="111"/>
      <c r="Z53" s="111"/>
      <c r="AA53" s="111"/>
      <c r="AB53" s="111"/>
      <c r="AC53" s="105"/>
      <c r="AD53" s="106"/>
    </row>
    <row r="54" spans="2:76" x14ac:dyDescent="0.2">
      <c r="B54" s="107">
        <f t="shared" si="3"/>
        <v>38292</v>
      </c>
      <c r="C54" s="108">
        <f>IF(ISNA(VLOOKUP($B54,'[2]MENGENLS1 27-07-2000'!$R$7:$S$71,2,0)),0,VLOOKUP($B54,'[2]MENGENLS1 27-07-2000'!$R$7:$S$71,2,0))</f>
        <v>0</v>
      </c>
      <c r="D54" s="109">
        <f>IF(ISNA(VLOOKUP($B54,'[2]MENGENLS1 27-07-2000'!$U$7:$V$60,2,0)),0,VLOOKUP($B54,'[2]MENGENLS1 27-07-2000'!$U$7:$V$60,2,0))</f>
        <v>-25</v>
      </c>
      <c r="E54" s="109">
        <f>IF(ISNA(VLOOKUP($B54,'[2]MENGENLS1 27-07-2000'!$X$7:$Y$27,2,0)),0,VLOOKUP($B54,'[2]MENGENLS1 27-07-2000'!$X$7:$Y$27,2,0))</f>
        <v>0</v>
      </c>
      <c r="F54" s="109">
        <f>IF(ISNA(VLOOKUP($B54,'[2]MENGENLS1 27-07-2000'!$AA$7:$AB$35,2,0)),0,VLOOKUP($B54,'[2]MENGENLS1 27-07-2000'!$AA$7:$AB$35,2,0))</f>
        <v>0</v>
      </c>
      <c r="G54" s="109">
        <f>IF(ISNA(VLOOKUP($B54,'[2]MENGENLS1 27-07-2000'!$AD$7:$AE$38,2,0)),0,VLOOKUP($B54,'[2]MENGENLS1 27-07-2000'!$AD$7:$AE$38,2,0))</f>
        <v>0</v>
      </c>
      <c r="H54" s="109">
        <f>IF(ISNA(VLOOKUP($B54,'[2]MENGENLS1 27-07-2000'!$AG$7:$AH$20,2,0)),0,VLOOKUP($B54,'[2]MENGENLS1 27-07-2000'!$AG$7:$AH$20,2,0))</f>
        <v>0</v>
      </c>
      <c r="I54" s="109">
        <f>IF(ISNA(VLOOKUP($B54,'[2]MENGENLS1 27-07-2000'!$AJ$7:$AK$38,2,0)),0,VLOOKUP($B54,'[2]MENGENLS1 27-07-2000'!$AJ$7:$AK$38,2,0))</f>
        <v>0</v>
      </c>
      <c r="J54" s="109">
        <f>IF(ISNA(VLOOKUP($B54,'[2]MENGENLS1 27-07-2000'!$AM$7:$AN$38,2,0)),0,VLOOKUP($B54,'[2]MENGENLS1 27-07-2000'!$AM$7:$AN$38,2,0))</f>
        <v>0</v>
      </c>
      <c r="K54" s="109">
        <f>IF(ISNA(VLOOKUP($B54,'[2]MENGENLS1 27-07-2000'!$AP$7:$AQ$12,2,0)),0,VLOOKUP($B54,'[2]MENGENLS1 27-07-2000'!$AP$7:$AQ$12,2,0))</f>
        <v>0</v>
      </c>
      <c r="M54" s="12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/>
      <c r="X54" s="101"/>
      <c r="Y54" s="101"/>
      <c r="Z54" s="101"/>
      <c r="AA54" s="101"/>
      <c r="AB54" s="101"/>
      <c r="AC54" s="105"/>
      <c r="AD54" s="106"/>
    </row>
    <row r="55" spans="2:76" x14ac:dyDescent="0.2">
      <c r="B55" s="107">
        <f t="shared" si="3"/>
        <v>38322</v>
      </c>
      <c r="C55" s="108">
        <f>IF(ISNA(VLOOKUP($B55,'[2]MENGENLS1 27-07-2000'!$R$7:$S$71,2,0)),0,VLOOKUP($B55,'[2]MENGENLS1 27-07-2000'!$R$7:$S$71,2,0))</f>
        <v>-15025</v>
      </c>
      <c r="D55" s="109">
        <f>IF(ISNA(VLOOKUP($B55,'[2]MENGENLS1 27-07-2000'!$U$7:$V$60,2,0)),0,VLOOKUP($B55,'[2]MENGENLS1 27-07-2000'!$U$7:$V$60,2,0))</f>
        <v>-25</v>
      </c>
      <c r="E55" s="109">
        <f>IF(ISNA(VLOOKUP($B55,'[2]MENGENLS1 27-07-2000'!$X$7:$Y$27,2,0)),0,VLOOKUP($B55,'[2]MENGENLS1 27-07-2000'!$X$7:$Y$27,2,0))</f>
        <v>0</v>
      </c>
      <c r="F55" s="109">
        <f>IF(ISNA(VLOOKUP($B55,'[2]MENGENLS1 27-07-2000'!$AA$7:$AB$35,2,0)),0,VLOOKUP($B55,'[2]MENGENLS1 27-07-2000'!$AA$7:$AB$35,2,0))</f>
        <v>0</v>
      </c>
      <c r="G55" s="109">
        <f>IF(ISNA(VLOOKUP($B55,'[2]MENGENLS1 27-07-2000'!$AD$7:$AE$38,2,0)),0,VLOOKUP($B55,'[2]MENGENLS1 27-07-2000'!$AD$7:$AE$38,2,0))</f>
        <v>0</v>
      </c>
      <c r="H55" s="109">
        <f>IF(ISNA(VLOOKUP($B55,'[2]MENGENLS1 27-07-2000'!$AG$7:$AH$20,2,0)),0,VLOOKUP($B55,'[2]MENGENLS1 27-07-2000'!$AG$7:$AH$20,2,0))</f>
        <v>0</v>
      </c>
      <c r="I55" s="109">
        <f>IF(ISNA(VLOOKUP($B55,'[2]MENGENLS1 27-07-2000'!$AJ$7:$AK$38,2,0)),0,VLOOKUP($B55,'[2]MENGENLS1 27-07-2000'!$AJ$7:$AK$38,2,0))</f>
        <v>0</v>
      </c>
      <c r="J55" s="109">
        <f>IF(ISNA(VLOOKUP($B55,'[2]MENGENLS1 27-07-2000'!$AM$7:$AN$38,2,0)),0,VLOOKUP($B55,'[2]MENGENLS1 27-07-2000'!$AM$7:$AN$38,2,0))</f>
        <v>0</v>
      </c>
      <c r="K55" s="109">
        <f>IF(ISNA(VLOOKUP($B55,'[2]MENGENLS1 27-07-2000'!$AP$7:$AQ$12,2,0)),0,VLOOKUP($B55,'[2]MENGENLS1 27-07-2000'!$AP$7:$AQ$12,2,0))</f>
        <v>0</v>
      </c>
      <c r="M55" s="12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/>
      <c r="X55" s="111"/>
      <c r="Y55" s="111"/>
      <c r="Z55" s="111"/>
      <c r="AA55" s="111"/>
      <c r="AB55" s="111"/>
      <c r="AC55" s="105"/>
      <c r="AD55" s="106"/>
    </row>
    <row r="56" spans="2:76" x14ac:dyDescent="0.2">
      <c r="B56" s="107">
        <f t="shared" si="3"/>
        <v>38353</v>
      </c>
      <c r="C56" s="108">
        <f>IF(ISNA(VLOOKUP($B56,'[2]MENGENLS1 27-07-2000'!$R$7:$S$71,2,0)),0,VLOOKUP($B56,'[2]MENGENLS1 27-07-2000'!$R$7:$S$71,2,0))</f>
        <v>0</v>
      </c>
      <c r="D56" s="109">
        <f>IF(ISNA(VLOOKUP($B56,'[2]MENGENLS1 27-07-2000'!$U$7:$V$60,2,0)),0,VLOOKUP($B56,'[2]MENGENLS1 27-07-2000'!$U$7:$V$60,2,0))</f>
        <v>0</v>
      </c>
      <c r="E56" s="109">
        <f>IF(ISNA(VLOOKUP($B56,'[2]MENGENLS1 27-07-2000'!$X$7:$Y$27,2,0)),0,VLOOKUP($B56,'[2]MENGENLS1 27-07-2000'!$X$7:$Y$27,2,0))</f>
        <v>0</v>
      </c>
      <c r="F56" s="109">
        <f>IF(ISNA(VLOOKUP($B56,'[2]MENGENLS1 27-07-2000'!$AA$7:$AB$35,2,0)),0,VLOOKUP($B56,'[2]MENGENLS1 27-07-2000'!$AA$7:$AB$35,2,0))</f>
        <v>0</v>
      </c>
      <c r="G56" s="109">
        <f>IF(ISNA(VLOOKUP($B56,'[2]MENGENLS1 27-07-2000'!$AD$7:$AE$38,2,0)),0,VLOOKUP($B56,'[2]MENGENLS1 27-07-2000'!$AD$7:$AE$38,2,0))</f>
        <v>0</v>
      </c>
      <c r="H56" s="109">
        <f>IF(ISNA(VLOOKUP($B56,'[2]MENGENLS1 27-07-2000'!$AG$7:$AH$20,2,0)),0,VLOOKUP($B56,'[2]MENGENLS1 27-07-2000'!$AG$7:$AH$20,2,0))</f>
        <v>0</v>
      </c>
      <c r="I56" s="109">
        <f>IF(ISNA(VLOOKUP($B56,'[2]MENGENLS1 27-07-2000'!$AJ$7:$AK$38,2,0)),0,VLOOKUP($B56,'[2]MENGENLS1 27-07-2000'!$AJ$7:$AK$38,2,0))</f>
        <v>0</v>
      </c>
      <c r="J56" s="109">
        <f>IF(ISNA(VLOOKUP($B56,'[2]MENGENLS1 27-07-2000'!$AM$7:$AN$38,2,0)),0,VLOOKUP($B56,'[2]MENGENLS1 27-07-2000'!$AM$7:$AN$38,2,0))</f>
        <v>0</v>
      </c>
      <c r="K56" s="109">
        <f>IF(ISNA(VLOOKUP($B56,'[2]MENGENLS1 27-07-2000'!$AP$7:$AQ$12,2,0)),0,VLOOKUP($B56,'[2]MENGENLS1 27-07-2000'!$AP$7:$AQ$12,2,0))</f>
        <v>0</v>
      </c>
      <c r="M56" s="12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/>
      <c r="X56" s="101"/>
      <c r="Y56" s="101"/>
      <c r="Z56" s="101"/>
      <c r="AA56" s="101"/>
      <c r="AB56" s="101"/>
      <c r="AC56" s="105"/>
      <c r="AD56" s="106"/>
    </row>
    <row r="57" spans="2:76" x14ac:dyDescent="0.2">
      <c r="B57" s="107">
        <f t="shared" si="3"/>
        <v>38384</v>
      </c>
      <c r="C57" s="108">
        <f>IF(ISNA(VLOOKUP($B57,'[2]MENGENLS1 27-07-2000'!$R$7:$S$71,2,0)),0,VLOOKUP($B57,'[2]MENGENLS1 27-07-2000'!$R$7:$S$71,2,0))</f>
        <v>-25</v>
      </c>
      <c r="D57" s="109">
        <f>IF(ISNA(VLOOKUP($B57,'[2]MENGENLS1 27-07-2000'!$U$7:$V$60,2,0)),0,VLOOKUP($B57,'[2]MENGENLS1 27-07-2000'!$U$7:$V$60,2,0))</f>
        <v>0</v>
      </c>
      <c r="E57" s="109">
        <f>IF(ISNA(VLOOKUP($B57,'[2]MENGENLS1 27-07-2000'!$X$7:$Y$27,2,0)),0,VLOOKUP($B57,'[2]MENGENLS1 27-07-2000'!$X$7:$Y$27,2,0))</f>
        <v>0</v>
      </c>
      <c r="F57" s="109">
        <f>IF(ISNA(VLOOKUP($B57,'[2]MENGENLS1 27-07-2000'!$AA$7:$AB$35,2,0)),0,VLOOKUP($B57,'[2]MENGENLS1 27-07-2000'!$AA$7:$AB$35,2,0))</f>
        <v>0</v>
      </c>
      <c r="G57" s="109">
        <f>IF(ISNA(VLOOKUP($B57,'[2]MENGENLS1 27-07-2000'!$AD$7:$AE$38,2,0)),0,VLOOKUP($B57,'[2]MENGENLS1 27-07-2000'!$AD$7:$AE$38,2,0))</f>
        <v>0</v>
      </c>
      <c r="H57" s="109">
        <f>IF(ISNA(VLOOKUP($B57,'[2]MENGENLS1 27-07-2000'!$AG$7:$AH$20,2,0)),0,VLOOKUP($B57,'[2]MENGENLS1 27-07-2000'!$AG$7:$AH$20,2,0))</f>
        <v>0</v>
      </c>
      <c r="I57" s="109">
        <f>IF(ISNA(VLOOKUP($B57,'[2]MENGENLS1 27-07-2000'!$AJ$7:$AK$38,2,0)),0,VLOOKUP($B57,'[2]MENGENLS1 27-07-2000'!$AJ$7:$AK$38,2,0))</f>
        <v>0</v>
      </c>
      <c r="J57" s="109">
        <f>IF(ISNA(VLOOKUP($B57,'[2]MENGENLS1 27-07-2000'!$AM$7:$AN$38,2,0)),0,VLOOKUP($B57,'[2]MENGENLS1 27-07-2000'!$AM$7:$AN$38,2,0))</f>
        <v>0</v>
      </c>
      <c r="K57" s="109">
        <f>IF(ISNA(VLOOKUP($B57,'[2]MENGENLS1 27-07-2000'!$AP$7:$AQ$12,2,0)),0,VLOOKUP($B57,'[2]MENGENLS1 27-07-2000'!$AP$7:$AQ$12,2,0))</f>
        <v>0</v>
      </c>
      <c r="M57" s="12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/>
      <c r="X57" s="111"/>
      <c r="Y57" s="111"/>
      <c r="Z57" s="111"/>
      <c r="AA57" s="111"/>
      <c r="AB57" s="111"/>
      <c r="AC57" s="105"/>
      <c r="AD57" s="106"/>
    </row>
    <row r="58" spans="2:76" x14ac:dyDescent="0.2">
      <c r="B58" s="107">
        <f t="shared" si="3"/>
        <v>38412</v>
      </c>
      <c r="C58" s="108">
        <f>IF(ISNA(VLOOKUP($B58,'[2]MENGENLS1 27-07-2000'!$R$7:$S$71,2,0)),0,VLOOKUP($B58,'[2]MENGENLS1 27-07-2000'!$R$7:$S$71,2,0))</f>
        <v>0</v>
      </c>
      <c r="D58" s="109">
        <f>IF(ISNA(VLOOKUP($B58,'[2]MENGENLS1 27-07-2000'!$U$7:$V$60,2,0)),0,VLOOKUP($B58,'[2]MENGENLS1 27-07-2000'!$U$7:$V$60,2,0))</f>
        <v>0</v>
      </c>
      <c r="E58" s="109">
        <f>IF(ISNA(VLOOKUP($B58,'[2]MENGENLS1 27-07-2000'!$X$7:$Y$27,2,0)),0,VLOOKUP($B58,'[2]MENGENLS1 27-07-2000'!$X$7:$Y$27,2,0))</f>
        <v>0</v>
      </c>
      <c r="F58" s="109">
        <f>IF(ISNA(VLOOKUP($B58,'[2]MENGENLS1 27-07-2000'!$AA$7:$AB$35,2,0)),0,VLOOKUP($B58,'[2]MENGENLS1 27-07-2000'!$AA$7:$AB$35,2,0))</f>
        <v>0</v>
      </c>
      <c r="G58" s="109">
        <f>IF(ISNA(VLOOKUP($B58,'[2]MENGENLS1 27-07-2000'!$AD$7:$AE$38,2,0)),0,VLOOKUP($B58,'[2]MENGENLS1 27-07-2000'!$AD$7:$AE$38,2,0))</f>
        <v>0</v>
      </c>
      <c r="H58" s="109">
        <f>IF(ISNA(VLOOKUP($B58,'[2]MENGENLS1 27-07-2000'!$AG$7:$AH$20,2,0)),0,VLOOKUP($B58,'[2]MENGENLS1 27-07-2000'!$AG$7:$AH$20,2,0))</f>
        <v>0</v>
      </c>
      <c r="I58" s="109">
        <f>IF(ISNA(VLOOKUP($B58,'[2]MENGENLS1 27-07-2000'!$AJ$7:$AK$38,2,0)),0,VLOOKUP($B58,'[2]MENGENLS1 27-07-2000'!$AJ$7:$AK$38,2,0))</f>
        <v>0</v>
      </c>
      <c r="J58" s="109">
        <f>IF(ISNA(VLOOKUP($B58,'[2]MENGENLS1 27-07-2000'!$AM$7:$AN$38,2,0)),0,VLOOKUP($B58,'[2]MENGENLS1 27-07-2000'!$AM$7:$AN$38,2,0))</f>
        <v>0</v>
      </c>
      <c r="K58" s="109">
        <f>IF(ISNA(VLOOKUP($B58,'[2]MENGENLS1 27-07-2000'!$AP$7:$AQ$12,2,0)),0,VLOOKUP($B58,'[2]MENGENLS1 27-07-2000'!$AP$7:$AQ$12,2,0))</f>
        <v>0</v>
      </c>
      <c r="M58" s="12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/>
      <c r="X58" s="101"/>
      <c r="Y58" s="101"/>
      <c r="Z58" s="101"/>
      <c r="AA58" s="101"/>
      <c r="AB58" s="101"/>
      <c r="AC58" s="105"/>
      <c r="AD58" s="106"/>
    </row>
    <row r="59" spans="2:76" x14ac:dyDescent="0.2">
      <c r="B59" s="107">
        <f t="shared" si="3"/>
        <v>38443</v>
      </c>
      <c r="C59" s="108">
        <f>IF(ISNA(VLOOKUP($B59,'[2]MENGENLS1 27-07-2000'!$R$7:$S$71,2,0)),0,VLOOKUP($B59,'[2]MENGENLS1 27-07-2000'!$R$7:$S$71,2,0))</f>
        <v>-25</v>
      </c>
      <c r="D59" s="109">
        <f>IF(ISNA(VLOOKUP($B59,'[2]MENGENLS1 27-07-2000'!$U$7:$V$60,2,0)),0,VLOOKUP($B59,'[2]MENGENLS1 27-07-2000'!$U$7:$V$60,2,0))</f>
        <v>0</v>
      </c>
      <c r="E59" s="109">
        <f>IF(ISNA(VLOOKUP($B59,'[2]MENGENLS1 27-07-2000'!$X$7:$Y$27,2,0)),0,VLOOKUP($B59,'[2]MENGENLS1 27-07-2000'!$X$7:$Y$27,2,0))</f>
        <v>0</v>
      </c>
      <c r="F59" s="109">
        <f>IF(ISNA(VLOOKUP($B59,'[2]MENGENLS1 27-07-2000'!$AA$7:$AB$35,2,0)),0,VLOOKUP($B59,'[2]MENGENLS1 27-07-2000'!$AA$7:$AB$35,2,0))</f>
        <v>0</v>
      </c>
      <c r="G59" s="109">
        <f>IF(ISNA(VLOOKUP($B59,'[2]MENGENLS1 27-07-2000'!$AD$7:$AE$38,2,0)),0,VLOOKUP($B59,'[2]MENGENLS1 27-07-2000'!$AD$7:$AE$38,2,0))</f>
        <v>0</v>
      </c>
      <c r="H59" s="109">
        <f>IF(ISNA(VLOOKUP($B59,'[2]MENGENLS1 27-07-2000'!$AG$7:$AH$20,2,0)),0,VLOOKUP($B59,'[2]MENGENLS1 27-07-2000'!$AG$7:$AH$20,2,0))</f>
        <v>0</v>
      </c>
      <c r="I59" s="109">
        <f>IF(ISNA(VLOOKUP($B59,'[2]MENGENLS1 27-07-2000'!$AJ$7:$AK$38,2,0)),0,VLOOKUP($B59,'[2]MENGENLS1 27-07-2000'!$AJ$7:$AK$38,2,0))</f>
        <v>0</v>
      </c>
      <c r="J59" s="109">
        <f>IF(ISNA(VLOOKUP($B59,'[2]MENGENLS1 27-07-2000'!$AM$7:$AN$38,2,0)),0,VLOOKUP($B59,'[2]MENGENLS1 27-07-2000'!$AM$7:$AN$38,2,0))</f>
        <v>0</v>
      </c>
      <c r="K59" s="109">
        <f>IF(ISNA(VLOOKUP($B59,'[2]MENGENLS1 27-07-2000'!$AP$7:$AQ$12,2,0)),0,VLOOKUP($B59,'[2]MENGENLS1 27-07-2000'!$AP$7:$AQ$12,2,0))</f>
        <v>0</v>
      </c>
      <c r="M59" s="12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/>
      <c r="X59" s="111"/>
      <c r="Y59" s="111"/>
      <c r="Z59" s="111"/>
      <c r="AA59" s="111"/>
      <c r="AB59" s="111"/>
      <c r="AC59" s="105"/>
      <c r="AD59" s="106"/>
    </row>
    <row r="60" spans="2:76" x14ac:dyDescent="0.2">
      <c r="B60" s="107">
        <f t="shared" si="3"/>
        <v>38473</v>
      </c>
      <c r="C60" s="108">
        <f>IF(ISNA(VLOOKUP($B60,'[2]MENGENLS1 27-07-2000'!$R$7:$S$71,2,0)),0,VLOOKUP($B60,'[2]MENGENLS1 27-07-2000'!$R$7:$S$71,2,0))</f>
        <v>0</v>
      </c>
      <c r="D60" s="109">
        <f>IF(ISNA(VLOOKUP($B60,'[2]MENGENLS1 27-07-2000'!$U$7:$V$60,2,0)),0,VLOOKUP($B60,'[2]MENGENLS1 27-07-2000'!$U$7:$V$60,2,0))</f>
        <v>0</v>
      </c>
      <c r="E60" s="109">
        <f>IF(ISNA(VLOOKUP($B60,'[2]MENGENLS1 27-07-2000'!$X$7:$Y$27,2,0)),0,VLOOKUP($B60,'[2]MENGENLS1 27-07-2000'!$X$7:$Y$27,2,0))</f>
        <v>0</v>
      </c>
      <c r="F60" s="109">
        <f>IF(ISNA(VLOOKUP($B60,'[2]MENGENLS1 27-07-2000'!$AA$7:$AB$35,2,0)),0,VLOOKUP($B60,'[2]MENGENLS1 27-07-2000'!$AA$7:$AB$35,2,0))</f>
        <v>0</v>
      </c>
      <c r="G60" s="109">
        <f>IF(ISNA(VLOOKUP($B60,'[2]MENGENLS1 27-07-2000'!$AD$7:$AE$38,2,0)),0,VLOOKUP($B60,'[2]MENGENLS1 27-07-2000'!$AD$7:$AE$38,2,0))</f>
        <v>0</v>
      </c>
      <c r="H60" s="109">
        <f>IF(ISNA(VLOOKUP($B60,'[2]MENGENLS1 27-07-2000'!$AG$7:$AH$20,2,0)),0,VLOOKUP($B60,'[2]MENGENLS1 27-07-2000'!$AG$7:$AH$20,2,0))</f>
        <v>0</v>
      </c>
      <c r="I60" s="109">
        <f>IF(ISNA(VLOOKUP($B60,'[2]MENGENLS1 27-07-2000'!$AJ$7:$AK$38,2,0)),0,VLOOKUP($B60,'[2]MENGENLS1 27-07-2000'!$AJ$7:$AK$38,2,0))</f>
        <v>0</v>
      </c>
      <c r="J60" s="109">
        <f>IF(ISNA(VLOOKUP($B60,'[2]MENGENLS1 27-07-2000'!$AM$7:$AN$38,2,0)),0,VLOOKUP($B60,'[2]MENGENLS1 27-07-2000'!$AM$7:$AN$38,2,0))</f>
        <v>0</v>
      </c>
      <c r="K60" s="109">
        <f>IF(ISNA(VLOOKUP($B60,'[2]MENGENLS1 27-07-2000'!$AP$7:$AQ$12,2,0)),0,VLOOKUP($B60,'[2]MENGENLS1 27-07-2000'!$AP$7:$AQ$12,2,0))</f>
        <v>0</v>
      </c>
      <c r="M60" s="12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/>
      <c r="X60" s="101"/>
      <c r="Y60" s="101"/>
      <c r="Z60" s="101"/>
      <c r="AA60" s="101"/>
      <c r="AB60" s="101"/>
      <c r="AC60" s="105"/>
      <c r="AD60" s="106"/>
    </row>
    <row r="61" spans="2:76" x14ac:dyDescent="0.2">
      <c r="B61" s="107">
        <f t="shared" si="3"/>
        <v>38504</v>
      </c>
      <c r="C61" s="108">
        <f>IF(ISNA(VLOOKUP($B61,'[2]MENGENLS1 27-07-2000'!$R$7:$S$71,2,0)),0,VLOOKUP($B61,'[2]MENGENLS1 27-07-2000'!$R$7:$S$71,2,0))</f>
        <v>-25</v>
      </c>
      <c r="D61" s="109">
        <f>IF(ISNA(VLOOKUP($B61,'[2]MENGENLS1 27-07-2000'!$U$7:$V$60,2,0)),0,VLOOKUP($B61,'[2]MENGENLS1 27-07-2000'!$U$7:$V$60,2,0))</f>
        <v>0</v>
      </c>
      <c r="E61" s="109">
        <f>IF(ISNA(VLOOKUP($B61,'[2]MENGENLS1 27-07-2000'!$X$7:$Y$27,2,0)),0,VLOOKUP($B61,'[2]MENGENLS1 27-07-2000'!$X$7:$Y$27,2,0))</f>
        <v>0</v>
      </c>
      <c r="F61" s="109">
        <f>IF(ISNA(VLOOKUP($B61,'[2]MENGENLS1 27-07-2000'!$AA$7:$AB$35,2,0)),0,VLOOKUP($B61,'[2]MENGENLS1 27-07-2000'!$AA$7:$AB$35,2,0))</f>
        <v>0</v>
      </c>
      <c r="G61" s="109">
        <f>IF(ISNA(VLOOKUP($B61,'[2]MENGENLS1 27-07-2000'!$AD$7:$AE$38,2,0)),0,VLOOKUP($B61,'[2]MENGENLS1 27-07-2000'!$AD$7:$AE$38,2,0))</f>
        <v>0</v>
      </c>
      <c r="H61" s="109">
        <f>IF(ISNA(VLOOKUP($B61,'[2]MENGENLS1 27-07-2000'!$AG$7:$AH$20,2,0)),0,VLOOKUP($B61,'[2]MENGENLS1 27-07-2000'!$AG$7:$AH$20,2,0))</f>
        <v>0</v>
      </c>
      <c r="I61" s="109">
        <f>IF(ISNA(VLOOKUP($B61,'[2]MENGENLS1 27-07-2000'!$AJ$7:$AK$38,2,0)),0,VLOOKUP($B61,'[2]MENGENLS1 27-07-2000'!$AJ$7:$AK$38,2,0))</f>
        <v>0</v>
      </c>
      <c r="J61" s="109">
        <f>IF(ISNA(VLOOKUP($B61,'[2]MENGENLS1 27-07-2000'!$AM$7:$AN$38,2,0)),0,VLOOKUP($B61,'[2]MENGENLS1 27-07-2000'!$AM$7:$AN$38,2,0))</f>
        <v>0</v>
      </c>
      <c r="K61" s="109">
        <f>IF(ISNA(VLOOKUP($B61,'[2]MENGENLS1 27-07-2000'!$AP$7:$AQ$12,2,0)),0,VLOOKUP($B61,'[2]MENGENLS1 27-07-2000'!$AP$7:$AQ$12,2,0))</f>
        <v>0</v>
      </c>
      <c r="M61" s="12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/>
      <c r="X61" s="111"/>
      <c r="Y61" s="111"/>
      <c r="Z61" s="111"/>
      <c r="AA61" s="111"/>
      <c r="AB61" s="111"/>
      <c r="AC61" s="105"/>
      <c r="AD61" s="106"/>
    </row>
    <row r="62" spans="2:76" x14ac:dyDescent="0.2">
      <c r="B62" s="107">
        <f t="shared" si="3"/>
        <v>38534</v>
      </c>
      <c r="C62" s="108">
        <f>IF(ISNA(VLOOKUP($B62,'[2]MENGENLS1 27-07-2000'!$R$7:$S$71,2,0)),0,VLOOKUP($B62,'[2]MENGENLS1 27-07-2000'!$R$7:$S$71,2,0))</f>
        <v>0</v>
      </c>
      <c r="D62" s="109">
        <f>IF(ISNA(VLOOKUP($B62,'[2]MENGENLS1 27-07-2000'!$U$7:$V$60,2,0)),0,VLOOKUP($B62,'[2]MENGENLS1 27-07-2000'!$U$7:$V$60,2,0))</f>
        <v>0</v>
      </c>
      <c r="E62" s="109">
        <f>IF(ISNA(VLOOKUP($B62,'[2]MENGENLS1 27-07-2000'!$X$7:$Y$27,2,0)),0,VLOOKUP($B62,'[2]MENGENLS1 27-07-2000'!$X$7:$Y$27,2,0))</f>
        <v>0</v>
      </c>
      <c r="F62" s="109">
        <f>IF(ISNA(VLOOKUP($B62,'[2]MENGENLS1 27-07-2000'!$AA$7:$AB$35,2,0)),0,VLOOKUP($B62,'[2]MENGENLS1 27-07-2000'!$AA$7:$AB$35,2,0))</f>
        <v>0</v>
      </c>
      <c r="G62" s="109">
        <f>IF(ISNA(VLOOKUP($B62,'[2]MENGENLS1 27-07-2000'!$AD$7:$AE$38,2,0)),0,VLOOKUP($B62,'[2]MENGENLS1 27-07-2000'!$AD$7:$AE$38,2,0))</f>
        <v>0</v>
      </c>
      <c r="H62" s="109">
        <f>IF(ISNA(VLOOKUP($B62,'[2]MENGENLS1 27-07-2000'!$AG$7:$AH$20,2,0)),0,VLOOKUP($B62,'[2]MENGENLS1 27-07-2000'!$AG$7:$AH$20,2,0))</f>
        <v>0</v>
      </c>
      <c r="I62" s="109">
        <f>IF(ISNA(VLOOKUP($B62,'[2]MENGENLS1 27-07-2000'!$AJ$7:$AK$38,2,0)),0,VLOOKUP($B62,'[2]MENGENLS1 27-07-2000'!$AJ$7:$AK$38,2,0))</f>
        <v>0</v>
      </c>
      <c r="J62" s="109">
        <f>IF(ISNA(VLOOKUP($B62,'[2]MENGENLS1 27-07-2000'!$AM$7:$AN$38,2,0)),0,VLOOKUP($B62,'[2]MENGENLS1 27-07-2000'!$AM$7:$AN$38,2,0))</f>
        <v>0</v>
      </c>
      <c r="K62" s="109">
        <f>IF(ISNA(VLOOKUP($B62,'[2]MENGENLS1 27-07-2000'!$AP$7:$AQ$12,2,0)),0,VLOOKUP($B62,'[2]MENGENLS1 27-07-2000'!$AP$7:$AQ$12,2,0))</f>
        <v>0</v>
      </c>
      <c r="M62" s="12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/>
      <c r="X62" s="101"/>
      <c r="Y62" s="101"/>
      <c r="Z62" s="101"/>
      <c r="AA62" s="101"/>
      <c r="AB62" s="101"/>
      <c r="AC62" s="105"/>
      <c r="AD62" s="106"/>
    </row>
    <row r="63" spans="2:76" x14ac:dyDescent="0.2">
      <c r="B63" s="107">
        <f t="shared" si="3"/>
        <v>38565</v>
      </c>
      <c r="C63" s="108">
        <f>IF(ISNA(VLOOKUP($B63,'[2]MENGENLS1 27-07-2000'!$R$7:$S$71,2,0)),0,VLOOKUP($B63,'[2]MENGENLS1 27-07-2000'!$R$7:$S$71,2,0))</f>
        <v>-25</v>
      </c>
      <c r="D63" s="109">
        <f>IF(ISNA(VLOOKUP($B63,'[2]MENGENLS1 27-07-2000'!$U$7:$V$60,2,0)),0,VLOOKUP($B63,'[2]MENGENLS1 27-07-2000'!$U$7:$V$60,2,0))</f>
        <v>0</v>
      </c>
      <c r="E63" s="109">
        <f>IF(ISNA(VLOOKUP($B63,'[2]MENGENLS1 27-07-2000'!$X$7:$Y$27,2,0)),0,VLOOKUP($B63,'[2]MENGENLS1 27-07-2000'!$X$7:$Y$27,2,0))</f>
        <v>0</v>
      </c>
      <c r="F63" s="109">
        <f>IF(ISNA(VLOOKUP($B63,'[2]MENGENLS1 27-07-2000'!$AA$7:$AB$35,2,0)),0,VLOOKUP($B63,'[2]MENGENLS1 27-07-2000'!$AA$7:$AB$35,2,0))</f>
        <v>0</v>
      </c>
      <c r="G63" s="109">
        <f>IF(ISNA(VLOOKUP($B63,'[2]MENGENLS1 27-07-2000'!$AD$7:$AE$38,2,0)),0,VLOOKUP($B63,'[2]MENGENLS1 27-07-2000'!$AD$7:$AE$38,2,0))</f>
        <v>0</v>
      </c>
      <c r="H63" s="109">
        <f>IF(ISNA(VLOOKUP($B63,'[2]MENGENLS1 27-07-2000'!$AG$7:$AH$20,2,0)),0,VLOOKUP($B63,'[2]MENGENLS1 27-07-2000'!$AG$7:$AH$20,2,0))</f>
        <v>0</v>
      </c>
      <c r="I63" s="109">
        <f>IF(ISNA(VLOOKUP($B63,'[2]MENGENLS1 27-07-2000'!$AJ$7:$AK$38,2,0)),0,VLOOKUP($B63,'[2]MENGENLS1 27-07-2000'!$AJ$7:$AK$38,2,0))</f>
        <v>0</v>
      </c>
      <c r="J63" s="109">
        <f>IF(ISNA(VLOOKUP($B63,'[2]MENGENLS1 27-07-2000'!$AM$7:$AN$38,2,0)),0,VLOOKUP($B63,'[2]MENGENLS1 27-07-2000'!$AM$7:$AN$38,2,0))</f>
        <v>0</v>
      </c>
      <c r="K63" s="109">
        <f>IF(ISNA(VLOOKUP($B63,'[2]MENGENLS1 27-07-2000'!$AP$7:$AQ$12,2,0)),0,VLOOKUP($B63,'[2]MENGENLS1 27-07-2000'!$AP$7:$AQ$12,2,0))</f>
        <v>0</v>
      </c>
      <c r="M63" s="12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/>
      <c r="X63" s="111"/>
      <c r="Y63" s="111"/>
      <c r="Z63" s="111"/>
      <c r="AA63" s="111"/>
      <c r="AB63" s="111"/>
      <c r="AC63" s="105"/>
      <c r="AD63" s="106"/>
    </row>
    <row r="64" spans="2:76" x14ac:dyDescent="0.2">
      <c r="B64" s="107">
        <f t="shared" si="3"/>
        <v>38596</v>
      </c>
      <c r="C64" s="108">
        <f>IF(ISNA(VLOOKUP($B64,'[2]MENGENLS1 27-07-2000'!$R$7:$S$71,2,0)),0,VLOOKUP($B64,'[2]MENGENLS1 27-07-2000'!$R$7:$S$71,2,0))</f>
        <v>0</v>
      </c>
      <c r="D64" s="109">
        <f>IF(ISNA(VLOOKUP($B64,'[2]MENGENLS1 27-07-2000'!$U$7:$V$60,2,0)),0,VLOOKUP($B64,'[2]MENGENLS1 27-07-2000'!$U$7:$V$60,2,0))</f>
        <v>0</v>
      </c>
      <c r="E64" s="109">
        <f>IF(ISNA(VLOOKUP($B64,'[2]MENGENLS1 27-07-2000'!$X$7:$Y$27,2,0)),0,VLOOKUP($B64,'[2]MENGENLS1 27-07-2000'!$X$7:$Y$27,2,0))</f>
        <v>0</v>
      </c>
      <c r="F64" s="109">
        <f>IF(ISNA(VLOOKUP($B64,'[2]MENGENLS1 27-07-2000'!$AA$7:$AB$35,2,0)),0,VLOOKUP($B64,'[2]MENGENLS1 27-07-2000'!$AA$7:$AB$35,2,0))</f>
        <v>0</v>
      </c>
      <c r="G64" s="109">
        <f>IF(ISNA(VLOOKUP($B64,'[2]MENGENLS1 27-07-2000'!$AD$7:$AE$38,2,0)),0,VLOOKUP($B64,'[2]MENGENLS1 27-07-2000'!$AD$7:$AE$38,2,0))</f>
        <v>0</v>
      </c>
      <c r="H64" s="109">
        <f>IF(ISNA(VLOOKUP($B64,'[2]MENGENLS1 27-07-2000'!$AG$7:$AH$20,2,0)),0,VLOOKUP($B64,'[2]MENGENLS1 27-07-2000'!$AG$7:$AH$20,2,0))</f>
        <v>0</v>
      </c>
      <c r="I64" s="109">
        <f>IF(ISNA(VLOOKUP($B64,'[2]MENGENLS1 27-07-2000'!$AJ$7:$AK$38,2,0)),0,VLOOKUP($B64,'[2]MENGENLS1 27-07-2000'!$AJ$7:$AK$38,2,0))</f>
        <v>0</v>
      </c>
      <c r="J64" s="109">
        <f>IF(ISNA(VLOOKUP($B64,'[2]MENGENLS1 27-07-2000'!$AM$7:$AN$38,2,0)),0,VLOOKUP($B64,'[2]MENGENLS1 27-07-2000'!$AM$7:$AN$38,2,0))</f>
        <v>0</v>
      </c>
      <c r="K64" s="109">
        <f>IF(ISNA(VLOOKUP($B64,'[2]MENGENLS1 27-07-2000'!$AP$7:$AQ$12,2,0)),0,VLOOKUP($B64,'[2]MENGENLS1 27-07-2000'!$AP$7:$AQ$12,2,0))</f>
        <v>0</v>
      </c>
      <c r="M64" s="12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/>
      <c r="X64" s="101"/>
      <c r="Y64" s="101"/>
      <c r="Z64" s="101"/>
      <c r="AA64" s="101"/>
      <c r="AB64" s="101"/>
      <c r="AC64" s="105"/>
      <c r="AD64" s="106"/>
    </row>
    <row r="65" spans="2:30" x14ac:dyDescent="0.2">
      <c r="B65" s="107">
        <f t="shared" si="3"/>
        <v>38626</v>
      </c>
      <c r="C65" s="108">
        <f>IF(ISNA(VLOOKUP($B65,'[2]MENGENLS1 27-07-2000'!$R$7:$S$71,2,0)),0,VLOOKUP($B65,'[2]MENGENLS1 27-07-2000'!$R$7:$S$71,2,0))</f>
        <v>-25</v>
      </c>
      <c r="D65" s="109">
        <f>IF(ISNA(VLOOKUP($B65,'[2]MENGENLS1 27-07-2000'!$U$7:$V$60,2,0)),0,VLOOKUP($B65,'[2]MENGENLS1 27-07-2000'!$U$7:$V$60,2,0))</f>
        <v>0</v>
      </c>
      <c r="E65" s="109">
        <f>IF(ISNA(VLOOKUP($B65,'[2]MENGENLS1 27-07-2000'!$X$7:$Y$27,2,0)),0,VLOOKUP($B65,'[2]MENGENLS1 27-07-2000'!$X$7:$Y$27,2,0))</f>
        <v>0</v>
      </c>
      <c r="F65" s="109">
        <f>IF(ISNA(VLOOKUP($B65,'[2]MENGENLS1 27-07-2000'!$AA$7:$AB$35,2,0)),0,VLOOKUP($B65,'[2]MENGENLS1 27-07-2000'!$AA$7:$AB$35,2,0))</f>
        <v>0</v>
      </c>
      <c r="G65" s="109">
        <f>IF(ISNA(VLOOKUP($B65,'[2]MENGENLS1 27-07-2000'!$AD$7:$AE$38,2,0)),0,VLOOKUP($B65,'[2]MENGENLS1 27-07-2000'!$AD$7:$AE$38,2,0))</f>
        <v>0</v>
      </c>
      <c r="H65" s="109">
        <f>IF(ISNA(VLOOKUP($B65,'[2]MENGENLS1 27-07-2000'!$AG$7:$AH$20,2,0)),0,VLOOKUP($B65,'[2]MENGENLS1 27-07-2000'!$AG$7:$AH$20,2,0))</f>
        <v>0</v>
      </c>
      <c r="I65" s="109">
        <f>IF(ISNA(VLOOKUP($B65,'[2]MENGENLS1 27-07-2000'!$AJ$7:$AK$38,2,0)),0,VLOOKUP($B65,'[2]MENGENLS1 27-07-2000'!$AJ$7:$AK$38,2,0))</f>
        <v>0</v>
      </c>
      <c r="J65" s="109">
        <f>IF(ISNA(VLOOKUP($B65,'[2]MENGENLS1 27-07-2000'!$AM$7:$AN$38,2,0)),0,VLOOKUP($B65,'[2]MENGENLS1 27-07-2000'!$AM$7:$AN$38,2,0))</f>
        <v>0</v>
      </c>
      <c r="K65" s="109">
        <f>IF(ISNA(VLOOKUP($B65,'[2]MENGENLS1 27-07-2000'!$AP$7:$AQ$12,2,0)),0,VLOOKUP($B65,'[2]MENGENLS1 27-07-2000'!$AP$7:$AQ$12,2,0))</f>
        <v>0</v>
      </c>
      <c r="M65" s="12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/>
      <c r="X65" s="111"/>
      <c r="Y65" s="111"/>
      <c r="Z65" s="111"/>
      <c r="AA65" s="111"/>
      <c r="AB65" s="111"/>
      <c r="AC65" s="105"/>
      <c r="AD65" s="106"/>
    </row>
    <row r="66" spans="2:30" x14ac:dyDescent="0.2">
      <c r="B66" s="107">
        <f t="shared" si="3"/>
        <v>38657</v>
      </c>
      <c r="C66" s="108">
        <f>IF(ISNA(VLOOKUP($B66,'[2]MENGENLS1 27-07-2000'!$R$7:$S$71,2,0)),0,VLOOKUP($B66,'[2]MENGENLS1 27-07-2000'!$R$7:$S$71,2,0))</f>
        <v>0</v>
      </c>
      <c r="D66" s="109">
        <f>IF(ISNA(VLOOKUP($B66,'[2]MENGENLS1 27-07-2000'!$U$7:$V$60,2,0)),0,VLOOKUP($B66,'[2]MENGENLS1 27-07-2000'!$U$7:$V$60,2,0))</f>
        <v>0</v>
      </c>
      <c r="E66" s="109">
        <f>IF(ISNA(VLOOKUP($B66,'[2]MENGENLS1 27-07-2000'!$X$7:$Y$27,2,0)),0,VLOOKUP($B66,'[2]MENGENLS1 27-07-2000'!$X$7:$Y$27,2,0))</f>
        <v>0</v>
      </c>
      <c r="F66" s="109">
        <f>IF(ISNA(VLOOKUP($B66,'[2]MENGENLS1 27-07-2000'!$AA$7:$AB$35,2,0)),0,VLOOKUP($B66,'[2]MENGENLS1 27-07-2000'!$AA$7:$AB$35,2,0))</f>
        <v>0</v>
      </c>
      <c r="G66" s="109">
        <f>IF(ISNA(VLOOKUP($B66,'[2]MENGENLS1 27-07-2000'!$AD$7:$AE$38,2,0)),0,VLOOKUP($B66,'[2]MENGENLS1 27-07-2000'!$AD$7:$AE$38,2,0))</f>
        <v>0</v>
      </c>
      <c r="H66" s="109">
        <f>IF(ISNA(VLOOKUP($B66,'[2]MENGENLS1 27-07-2000'!$AG$7:$AH$20,2,0)),0,VLOOKUP($B66,'[2]MENGENLS1 27-07-2000'!$AG$7:$AH$20,2,0))</f>
        <v>0</v>
      </c>
      <c r="I66" s="109">
        <f>IF(ISNA(VLOOKUP($B66,'[2]MENGENLS1 27-07-2000'!$AJ$7:$AK$38,2,0)),0,VLOOKUP($B66,'[2]MENGENLS1 27-07-2000'!$AJ$7:$AK$38,2,0))</f>
        <v>0</v>
      </c>
      <c r="J66" s="109">
        <f>IF(ISNA(VLOOKUP($B66,'[2]MENGENLS1 27-07-2000'!$AM$7:$AN$38,2,0)),0,VLOOKUP($B66,'[2]MENGENLS1 27-07-2000'!$AM$7:$AN$38,2,0))</f>
        <v>0</v>
      </c>
      <c r="K66" s="109">
        <f>IF(ISNA(VLOOKUP($B66,'[2]MENGENLS1 27-07-2000'!$AP$7:$AQ$12,2,0)),0,VLOOKUP($B66,'[2]MENGENLS1 27-07-2000'!$AP$7:$AQ$12,2,0))</f>
        <v>0</v>
      </c>
      <c r="M66" s="12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/>
      <c r="X66" s="101"/>
      <c r="Y66" s="101"/>
      <c r="Z66" s="101"/>
      <c r="AA66" s="101"/>
      <c r="AB66" s="101"/>
      <c r="AC66" s="105"/>
      <c r="AD66" s="106"/>
    </row>
    <row r="67" spans="2:30" x14ac:dyDescent="0.2">
      <c r="B67" s="107">
        <f t="shared" si="3"/>
        <v>38687</v>
      </c>
      <c r="C67" s="108">
        <f>IF(ISNA(VLOOKUP($B67,'[2]MENGENLS1 27-07-2000'!$R$7:$S$71,2,0)),0,VLOOKUP($B67,'[2]MENGENLS1 27-07-2000'!$R$7:$S$71,2,0))</f>
        <v>-25</v>
      </c>
      <c r="D67" s="109">
        <f>IF(ISNA(VLOOKUP($B67,'[2]MENGENLS1 27-07-2000'!$U$7:$V$60,2,0)),0,VLOOKUP($B67,'[2]MENGENLS1 27-07-2000'!$U$7:$V$60,2,0))</f>
        <v>0</v>
      </c>
      <c r="E67" s="109">
        <f>IF(ISNA(VLOOKUP($B67,'[2]MENGENLS1 27-07-2000'!$X$7:$Y$27,2,0)),0,VLOOKUP($B67,'[2]MENGENLS1 27-07-2000'!$X$7:$Y$27,2,0))</f>
        <v>0</v>
      </c>
      <c r="F67" s="109">
        <f>IF(ISNA(VLOOKUP($B67,'[2]MENGENLS1 27-07-2000'!$AA$7:$AB$35,2,0)),0,VLOOKUP($B67,'[2]MENGENLS1 27-07-2000'!$AA$7:$AB$35,2,0))</f>
        <v>0</v>
      </c>
      <c r="G67" s="109">
        <f>IF(ISNA(VLOOKUP($B67,'[2]MENGENLS1 27-07-2000'!$AD$7:$AE$38,2,0)),0,VLOOKUP($B67,'[2]MENGENLS1 27-07-2000'!$AD$7:$AE$38,2,0))</f>
        <v>0</v>
      </c>
      <c r="H67" s="109">
        <f>IF(ISNA(VLOOKUP($B67,'[2]MENGENLS1 27-07-2000'!$AG$7:$AH$20,2,0)),0,VLOOKUP($B67,'[2]MENGENLS1 27-07-2000'!$AG$7:$AH$20,2,0))</f>
        <v>0</v>
      </c>
      <c r="I67" s="109">
        <f>IF(ISNA(VLOOKUP($B67,'[2]MENGENLS1 27-07-2000'!$AJ$7:$AK$38,2,0)),0,VLOOKUP($B67,'[2]MENGENLS1 27-07-2000'!$AJ$7:$AK$38,2,0))</f>
        <v>0</v>
      </c>
      <c r="J67" s="109">
        <f>IF(ISNA(VLOOKUP($B67,'[2]MENGENLS1 27-07-2000'!$AM$7:$AN$38,2,0)),0,VLOOKUP($B67,'[2]MENGENLS1 27-07-2000'!$AM$7:$AN$38,2,0))</f>
        <v>0</v>
      </c>
      <c r="K67" s="109">
        <f>IF(ISNA(VLOOKUP($B67,'[2]MENGENLS1 27-07-2000'!$AP$7:$AQ$12,2,0)),0,VLOOKUP($B67,'[2]MENGENLS1 27-07-2000'!$AP$7:$AQ$12,2,0))</f>
        <v>0</v>
      </c>
      <c r="M67" s="12">
        <v>0</v>
      </c>
      <c r="N67" s="111">
        <v>0</v>
      </c>
      <c r="O67" s="101">
        <v>0</v>
      </c>
      <c r="P67" s="101">
        <v>0</v>
      </c>
      <c r="Q67" s="102">
        <f>R67*((1+S67/2)^(-2*(B67-Inputs!$K$7)/365.25))</f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13"/>
      <c r="X67" s="113"/>
      <c r="Y67" s="111"/>
      <c r="Z67" s="114"/>
      <c r="AA67" s="114"/>
      <c r="AB67" s="115"/>
      <c r="AC67" s="105"/>
      <c r="AD67" s="106"/>
    </row>
    <row r="68" spans="2:30" x14ac:dyDescent="0.2">
      <c r="B68" s="107">
        <f t="shared" ref="B68:B80" si="4">DATE(YEAR(B67),MONTH(B67)+1,1)</f>
        <v>38718</v>
      </c>
      <c r="C68" s="108">
        <f>IF(ISNA(VLOOKUP($B68,'[2]MENGENLS1 27-07-2000'!$R$7:$S$71,2,0)),0,VLOOKUP($B68,'[2]MENGENLS1 27-07-2000'!$R$7:$S$71,2,0))</f>
        <v>0</v>
      </c>
      <c r="D68" s="109">
        <f>IF(ISNA(VLOOKUP($B68,'[2]MENGENLS1 27-07-2000'!$U$7:$V$60,2,0)),0,VLOOKUP($B68,'[2]MENGENLS1 27-07-2000'!$U$7:$V$60,2,0))</f>
        <v>0</v>
      </c>
      <c r="E68" s="109">
        <f>IF(ISNA(VLOOKUP($B68,'[2]MENGENLS1 27-07-2000'!$X$7:$Y$27,2,0)),0,VLOOKUP($B68,'[2]MENGENLS1 27-07-2000'!$X$7:$Y$27,2,0))</f>
        <v>0</v>
      </c>
      <c r="F68" s="109">
        <f>IF(ISNA(VLOOKUP($B68,'[2]MENGENLS1 27-07-2000'!$AA$7:$AB$35,2,0)),0,VLOOKUP($B68,'[2]MENGENLS1 27-07-2000'!$AA$7:$AB$35,2,0))</f>
        <v>0</v>
      </c>
      <c r="G68" s="109">
        <f>IF(ISNA(VLOOKUP($B68,'[2]MENGENLS1 27-07-2000'!$AD$7:$AE$38,2,0)),0,VLOOKUP($B68,'[2]MENGENLS1 27-07-2000'!$AD$7:$AE$38,2,0))</f>
        <v>0</v>
      </c>
      <c r="H68" s="109">
        <f>IF(ISNA(VLOOKUP($B68,'[2]MENGENLS1 27-07-2000'!$AG$7:$AH$20,2,0)),0,VLOOKUP($B68,'[2]MENGENLS1 27-07-2000'!$AG$7:$AH$20,2,0))</f>
        <v>0</v>
      </c>
      <c r="I68" s="109">
        <f>IF(ISNA(VLOOKUP($B68,'[2]MENGENLS1 27-07-2000'!$AJ$7:$AK$38,2,0)),0,VLOOKUP($B68,'[2]MENGENLS1 27-07-2000'!$AJ$7:$AK$38,2,0))</f>
        <v>0</v>
      </c>
      <c r="J68" s="109">
        <f>IF(ISNA(VLOOKUP($B68,'[2]MENGENLS1 27-07-2000'!$AM$7:$AN$38,2,0)),0,VLOOKUP($B68,'[2]MENGENLS1 27-07-2000'!$AM$7:$AN$38,2,0))</f>
        <v>0</v>
      </c>
      <c r="K68" s="109">
        <f>IF(ISNA(VLOOKUP($B68,'[2]MENGENLS1 27-07-2000'!$AP$7:$AQ$12,2,0)),0,VLOOKUP($B68,'[2]MENGENLS1 27-07-2000'!$AP$7:$AQ$12,2,0))</f>
        <v>0</v>
      </c>
      <c r="M68" s="12">
        <v>0</v>
      </c>
      <c r="N68" s="101">
        <v>0</v>
      </c>
      <c r="O68" s="101">
        <v>0</v>
      </c>
      <c r="P68" s="101">
        <v>0</v>
      </c>
      <c r="Q68" s="102">
        <f>R68*((1+S68/2)^(-2*(B68-Inputs!$K$7)/365.25))</f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13"/>
      <c r="X68" s="113"/>
      <c r="Y68" s="111"/>
      <c r="Z68" s="114"/>
      <c r="AA68" s="114"/>
      <c r="AB68" s="115"/>
      <c r="AC68" s="105"/>
      <c r="AD68" s="106"/>
    </row>
    <row r="69" spans="2:30" x14ac:dyDescent="0.2">
      <c r="B69" s="107">
        <f t="shared" si="4"/>
        <v>38749</v>
      </c>
      <c r="C69" s="108">
        <f>IF(ISNA(VLOOKUP($B69,'[2]MENGENLS1 27-07-2000'!$R$7:$S$71,2,0)),0,VLOOKUP($B69,'[2]MENGENLS1 27-07-2000'!$R$7:$S$71,2,0))</f>
        <v>-25</v>
      </c>
      <c r="D69" s="109">
        <f>IF(ISNA(VLOOKUP($B69,'[2]MENGENLS1 27-07-2000'!$U$7:$V$60,2,0)),0,VLOOKUP($B69,'[2]MENGENLS1 27-07-2000'!$U$7:$V$60,2,0))</f>
        <v>0</v>
      </c>
      <c r="E69" s="109">
        <f>IF(ISNA(VLOOKUP($B69,'[2]MENGENLS1 27-07-2000'!$X$7:$Y$27,2,0)),0,VLOOKUP($B69,'[2]MENGENLS1 27-07-2000'!$X$7:$Y$27,2,0))</f>
        <v>0</v>
      </c>
      <c r="F69" s="109">
        <f>IF(ISNA(VLOOKUP($B69,'[2]MENGENLS1 27-07-2000'!$AA$7:$AB$35,2,0)),0,VLOOKUP($B69,'[2]MENGENLS1 27-07-2000'!$AA$7:$AB$35,2,0))</f>
        <v>0</v>
      </c>
      <c r="G69" s="109">
        <f>IF(ISNA(VLOOKUP($B69,'[2]MENGENLS1 27-07-2000'!$AD$7:$AE$38,2,0)),0,VLOOKUP($B69,'[2]MENGENLS1 27-07-2000'!$AD$7:$AE$38,2,0))</f>
        <v>0</v>
      </c>
      <c r="H69" s="109">
        <f>IF(ISNA(VLOOKUP($B69,'[2]MENGENLS1 27-07-2000'!$AG$7:$AH$20,2,0)),0,VLOOKUP($B69,'[2]MENGENLS1 27-07-2000'!$AG$7:$AH$20,2,0))</f>
        <v>0</v>
      </c>
      <c r="I69" s="109">
        <f>IF(ISNA(VLOOKUP($B69,'[2]MENGENLS1 27-07-2000'!$AJ$7:$AK$38,2,0)),0,VLOOKUP($B69,'[2]MENGENLS1 27-07-2000'!$AJ$7:$AK$38,2,0))</f>
        <v>0</v>
      </c>
      <c r="J69" s="109">
        <f>IF(ISNA(VLOOKUP($B69,'[2]MENGENLS1 27-07-2000'!$AM$7:$AN$38,2,0)),0,VLOOKUP($B69,'[2]MENGENLS1 27-07-2000'!$AM$7:$AN$38,2,0))</f>
        <v>0</v>
      </c>
      <c r="K69" s="109">
        <f>IF(ISNA(VLOOKUP($B69,'[2]MENGENLS1 27-07-2000'!$AP$7:$AQ$12,2,0)),0,VLOOKUP($B69,'[2]MENGENLS1 27-07-2000'!$AP$7:$AQ$12,2,0))</f>
        <v>0</v>
      </c>
      <c r="M69" s="12">
        <v>0</v>
      </c>
      <c r="N69" s="111">
        <v>0</v>
      </c>
      <c r="O69" s="101">
        <v>0</v>
      </c>
      <c r="P69" s="101">
        <v>0</v>
      </c>
      <c r="Q69" s="102">
        <f>R69*((1+S69/2)^(-2*(B69-Inputs!$K$7)/365.25))</f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13"/>
      <c r="X69" s="113"/>
      <c r="Y69" s="111"/>
      <c r="Z69" s="114"/>
      <c r="AA69" s="114"/>
      <c r="AB69" s="115"/>
      <c r="AC69" s="105"/>
      <c r="AD69" s="106"/>
    </row>
    <row r="70" spans="2:30" x14ac:dyDescent="0.2">
      <c r="B70" s="107">
        <f t="shared" si="4"/>
        <v>38777</v>
      </c>
      <c r="C70" s="108">
        <f>IF(ISNA(VLOOKUP($B70,'[2]MENGENLS1 27-07-2000'!$R$7:$S$71,2,0)),0,VLOOKUP($B70,'[2]MENGENLS1 27-07-2000'!$R$7:$S$71,2,0))</f>
        <v>0</v>
      </c>
      <c r="D70" s="109">
        <f>IF(ISNA(VLOOKUP($B70,'[2]MENGENLS1 27-07-2000'!$U$7:$V$60,2,0)),0,VLOOKUP($B70,'[2]MENGENLS1 27-07-2000'!$U$7:$V$60,2,0))</f>
        <v>0</v>
      </c>
      <c r="E70" s="109">
        <f>IF(ISNA(VLOOKUP($B70,'[2]MENGENLS1 27-07-2000'!$X$7:$Y$27,2,0)),0,VLOOKUP($B70,'[2]MENGENLS1 27-07-2000'!$X$7:$Y$27,2,0))</f>
        <v>0</v>
      </c>
      <c r="F70" s="109">
        <f>IF(ISNA(VLOOKUP($B70,'[2]MENGENLS1 27-07-2000'!$AA$7:$AB$35,2,0)),0,VLOOKUP($B70,'[2]MENGENLS1 27-07-2000'!$AA$7:$AB$35,2,0))</f>
        <v>0</v>
      </c>
      <c r="G70" s="109">
        <f>IF(ISNA(VLOOKUP($B70,'[2]MENGENLS1 27-07-2000'!$AD$7:$AE$38,2,0)),0,VLOOKUP($B70,'[2]MENGENLS1 27-07-2000'!$AD$7:$AE$38,2,0))</f>
        <v>0</v>
      </c>
      <c r="H70" s="109">
        <f>IF(ISNA(VLOOKUP($B70,'[2]MENGENLS1 27-07-2000'!$AG$7:$AH$20,2,0)),0,VLOOKUP($B70,'[2]MENGENLS1 27-07-2000'!$AG$7:$AH$20,2,0))</f>
        <v>0</v>
      </c>
      <c r="I70" s="109">
        <f>IF(ISNA(VLOOKUP($B70,'[2]MENGENLS1 27-07-2000'!$AJ$7:$AK$38,2,0)),0,VLOOKUP($B70,'[2]MENGENLS1 27-07-2000'!$AJ$7:$AK$38,2,0))</f>
        <v>0</v>
      </c>
      <c r="J70" s="109">
        <f>IF(ISNA(VLOOKUP($B70,'[2]MENGENLS1 27-07-2000'!$AM$7:$AN$38,2,0)),0,VLOOKUP($B70,'[2]MENGENLS1 27-07-2000'!$AM$7:$AN$38,2,0))</f>
        <v>0</v>
      </c>
      <c r="K70" s="109">
        <f>IF(ISNA(VLOOKUP($B70,'[2]MENGENLS1 27-07-2000'!$AP$7:$AQ$12,2,0)),0,VLOOKUP($B70,'[2]MENGENLS1 27-07-2000'!$AP$7:$AQ$12,2,0))</f>
        <v>0</v>
      </c>
      <c r="M70" s="12">
        <v>0</v>
      </c>
      <c r="N70" s="101">
        <v>0</v>
      </c>
      <c r="O70" s="101">
        <v>0</v>
      </c>
      <c r="P70" s="101">
        <v>0</v>
      </c>
      <c r="Q70" s="102">
        <f>R70*((1+S70/2)^(-2*(B70-Inputs!$K$7)/365.25))</f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13"/>
      <c r="X70" s="113"/>
      <c r="Y70" s="111"/>
      <c r="Z70" s="114"/>
      <c r="AA70" s="114"/>
      <c r="AB70" s="115"/>
      <c r="AC70" s="105"/>
      <c r="AD70" s="106"/>
    </row>
    <row r="71" spans="2:30" x14ac:dyDescent="0.2">
      <c r="B71" s="107">
        <f t="shared" si="4"/>
        <v>38808</v>
      </c>
      <c r="C71" s="108">
        <f>IF(ISNA(VLOOKUP($B71,'[2]MENGENLS1 27-07-2000'!$R$7:$S$71,2,0)),0,VLOOKUP($B71,'[2]MENGENLS1 27-07-2000'!$R$7:$S$71,2,0))</f>
        <v>-25</v>
      </c>
      <c r="D71" s="109">
        <f>IF(ISNA(VLOOKUP($B71,'[2]MENGENLS1 27-07-2000'!$U$7:$V$60,2,0)),0,VLOOKUP($B71,'[2]MENGENLS1 27-07-2000'!$U$7:$V$60,2,0))</f>
        <v>0</v>
      </c>
      <c r="E71" s="109">
        <f>IF(ISNA(VLOOKUP($B71,'[2]MENGENLS1 27-07-2000'!$X$7:$Y$27,2,0)),0,VLOOKUP($B71,'[2]MENGENLS1 27-07-2000'!$X$7:$Y$27,2,0))</f>
        <v>0</v>
      </c>
      <c r="F71" s="109">
        <f>IF(ISNA(VLOOKUP($B71,'[2]MENGENLS1 27-07-2000'!$AA$7:$AB$35,2,0)),0,VLOOKUP($B71,'[2]MENGENLS1 27-07-2000'!$AA$7:$AB$35,2,0))</f>
        <v>0</v>
      </c>
      <c r="G71" s="109">
        <f>IF(ISNA(VLOOKUP($B71,'[2]MENGENLS1 27-07-2000'!$AD$7:$AE$38,2,0)),0,VLOOKUP($B71,'[2]MENGENLS1 27-07-2000'!$AD$7:$AE$38,2,0))</f>
        <v>0</v>
      </c>
      <c r="H71" s="109">
        <f>IF(ISNA(VLOOKUP($B71,'[2]MENGENLS1 27-07-2000'!$AG$7:$AH$20,2,0)),0,VLOOKUP($B71,'[2]MENGENLS1 27-07-2000'!$AG$7:$AH$20,2,0))</f>
        <v>0</v>
      </c>
      <c r="I71" s="109">
        <f>IF(ISNA(VLOOKUP($B71,'[2]MENGENLS1 27-07-2000'!$AJ$7:$AK$38,2,0)),0,VLOOKUP($B71,'[2]MENGENLS1 27-07-2000'!$AJ$7:$AK$38,2,0))</f>
        <v>0</v>
      </c>
      <c r="J71" s="109">
        <f>IF(ISNA(VLOOKUP($B71,'[2]MENGENLS1 27-07-2000'!$AM$7:$AN$38,2,0)),0,VLOOKUP($B71,'[2]MENGENLS1 27-07-2000'!$AM$7:$AN$38,2,0))</f>
        <v>0</v>
      </c>
      <c r="K71" s="109">
        <f>IF(ISNA(VLOOKUP($B71,'[2]MENGENLS1 27-07-2000'!$AP$7:$AQ$12,2,0)),0,VLOOKUP($B71,'[2]MENGENLS1 27-07-2000'!$AP$7:$AQ$12,2,0))</f>
        <v>0</v>
      </c>
      <c r="M71" s="12">
        <v>0</v>
      </c>
      <c r="N71" s="111">
        <v>0</v>
      </c>
      <c r="O71" s="101">
        <v>0</v>
      </c>
      <c r="P71" s="101">
        <v>0</v>
      </c>
      <c r="Q71" s="102">
        <f>R71*((1+S71/2)^(-2*(B71-Inputs!$K$7)/365.25))</f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13"/>
      <c r="X71" s="113"/>
      <c r="Y71" s="111"/>
      <c r="Z71" s="114"/>
      <c r="AA71" s="114"/>
      <c r="AB71" s="115"/>
      <c r="AC71" s="105"/>
      <c r="AD71" s="106"/>
    </row>
    <row r="72" spans="2:30" x14ac:dyDescent="0.2">
      <c r="B72" s="107">
        <f t="shared" si="4"/>
        <v>38838</v>
      </c>
      <c r="C72" s="108">
        <f>IF(ISNA(VLOOKUP($B72,'[2]MENGENLS1 27-07-2000'!$R$7:$S$71,2,0)),0,VLOOKUP($B72,'[2]MENGENLS1 27-07-2000'!$R$7:$S$71,2,0))</f>
        <v>0</v>
      </c>
      <c r="D72" s="109">
        <f>IF(ISNA(VLOOKUP($B72,'[2]MENGENLS1 27-07-2000'!$U$7:$V$60,2,0)),0,VLOOKUP($B72,'[2]MENGENLS1 27-07-2000'!$U$7:$V$60,2,0))</f>
        <v>0</v>
      </c>
      <c r="E72" s="109">
        <f>IF(ISNA(VLOOKUP($B72,'[2]MENGENLS1 27-07-2000'!$X$7:$Y$27,2,0)),0,VLOOKUP($B72,'[2]MENGENLS1 27-07-2000'!$X$7:$Y$27,2,0))</f>
        <v>0</v>
      </c>
      <c r="F72" s="109">
        <f>IF(ISNA(VLOOKUP($B72,'[2]MENGENLS1 27-07-2000'!$AA$7:$AB$35,2,0)),0,VLOOKUP($B72,'[2]MENGENLS1 27-07-2000'!$AA$7:$AB$35,2,0))</f>
        <v>0</v>
      </c>
      <c r="G72" s="109">
        <f>IF(ISNA(VLOOKUP($B72,'[2]MENGENLS1 27-07-2000'!$AD$7:$AE$38,2,0)),0,VLOOKUP($B72,'[2]MENGENLS1 27-07-2000'!$AD$7:$AE$38,2,0))</f>
        <v>0</v>
      </c>
      <c r="H72" s="109">
        <f>IF(ISNA(VLOOKUP($B72,'[2]MENGENLS1 27-07-2000'!$AG$7:$AH$20,2,0)),0,VLOOKUP($B72,'[2]MENGENLS1 27-07-2000'!$AG$7:$AH$20,2,0))</f>
        <v>0</v>
      </c>
      <c r="I72" s="109">
        <f>IF(ISNA(VLOOKUP($B72,'[2]MENGENLS1 27-07-2000'!$AJ$7:$AK$38,2,0)),0,VLOOKUP($B72,'[2]MENGENLS1 27-07-2000'!$AJ$7:$AK$38,2,0))</f>
        <v>0</v>
      </c>
      <c r="J72" s="109">
        <f>IF(ISNA(VLOOKUP($B72,'[2]MENGENLS1 27-07-2000'!$AM$7:$AN$38,2,0)),0,VLOOKUP($B72,'[2]MENGENLS1 27-07-2000'!$AM$7:$AN$38,2,0))</f>
        <v>0</v>
      </c>
      <c r="K72" s="109">
        <f>IF(ISNA(VLOOKUP($B72,'[2]MENGENLS1 27-07-2000'!$AP$7:$AQ$12,2,0)),0,VLOOKUP($B72,'[2]MENGENLS1 27-07-2000'!$AP$7:$AQ$12,2,0))</f>
        <v>0</v>
      </c>
      <c r="M72" s="12">
        <v>0</v>
      </c>
      <c r="N72" s="101">
        <v>0</v>
      </c>
      <c r="O72" s="101">
        <v>0</v>
      </c>
      <c r="P72" s="101">
        <v>0</v>
      </c>
      <c r="Q72" s="102">
        <f>R72*((1+S72/2)^(-2*(B72-Inputs!$K$7)/365.25))</f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13"/>
      <c r="X72" s="113"/>
      <c r="Y72" s="111"/>
      <c r="Z72" s="114"/>
      <c r="AA72" s="114"/>
      <c r="AB72" s="115"/>
      <c r="AC72" s="105"/>
      <c r="AD72" s="106"/>
    </row>
    <row r="73" spans="2:30" x14ac:dyDescent="0.2">
      <c r="B73" s="107">
        <f t="shared" si="4"/>
        <v>38869</v>
      </c>
      <c r="C73" s="108">
        <f>IF(ISNA(VLOOKUP($B73,'[2]MENGENLS1 27-07-2000'!$R$7:$S$71,2,0)),0,VLOOKUP($B73,'[2]MENGENLS1 27-07-2000'!$R$7:$S$71,2,0))</f>
        <v>-25</v>
      </c>
      <c r="D73" s="109">
        <f>IF(ISNA(VLOOKUP($B73,'[2]MENGENLS1 27-07-2000'!$U$7:$V$60,2,0)),0,VLOOKUP($B73,'[2]MENGENLS1 27-07-2000'!$U$7:$V$60,2,0))</f>
        <v>0</v>
      </c>
      <c r="E73" s="109">
        <f>IF(ISNA(VLOOKUP($B73,'[2]MENGENLS1 27-07-2000'!$X$7:$Y$27,2,0)),0,VLOOKUP($B73,'[2]MENGENLS1 27-07-2000'!$X$7:$Y$27,2,0))</f>
        <v>0</v>
      </c>
      <c r="F73" s="109">
        <f>IF(ISNA(VLOOKUP($B73,'[2]MENGENLS1 27-07-2000'!$AA$7:$AB$35,2,0)),0,VLOOKUP($B73,'[2]MENGENLS1 27-07-2000'!$AA$7:$AB$35,2,0))</f>
        <v>0</v>
      </c>
      <c r="G73" s="109">
        <f>IF(ISNA(VLOOKUP($B73,'[2]MENGENLS1 27-07-2000'!$AD$7:$AE$38,2,0)),0,VLOOKUP($B73,'[2]MENGENLS1 27-07-2000'!$AD$7:$AE$38,2,0))</f>
        <v>0</v>
      </c>
      <c r="H73" s="109">
        <f>IF(ISNA(VLOOKUP($B73,'[2]MENGENLS1 27-07-2000'!$AG$7:$AH$20,2,0)),0,VLOOKUP($B73,'[2]MENGENLS1 27-07-2000'!$AG$7:$AH$20,2,0))</f>
        <v>0</v>
      </c>
      <c r="I73" s="109">
        <f>IF(ISNA(VLOOKUP($B73,'[2]MENGENLS1 27-07-2000'!$AJ$7:$AK$38,2,0)),0,VLOOKUP($B73,'[2]MENGENLS1 27-07-2000'!$AJ$7:$AK$38,2,0))</f>
        <v>0</v>
      </c>
      <c r="J73" s="109">
        <f>IF(ISNA(VLOOKUP($B73,'[2]MENGENLS1 27-07-2000'!$AM$7:$AN$38,2,0)),0,VLOOKUP($B73,'[2]MENGENLS1 27-07-2000'!$AM$7:$AN$38,2,0))</f>
        <v>0</v>
      </c>
      <c r="K73" s="109">
        <f>IF(ISNA(VLOOKUP($B73,'[2]MENGENLS1 27-07-2000'!$AP$7:$AQ$12,2,0)),0,VLOOKUP($B73,'[2]MENGENLS1 27-07-2000'!$AP$7:$AQ$12,2,0))</f>
        <v>0</v>
      </c>
      <c r="M73" s="12">
        <v>0</v>
      </c>
      <c r="N73" s="111">
        <v>0</v>
      </c>
      <c r="O73" s="101">
        <v>0</v>
      </c>
      <c r="P73" s="101">
        <v>0</v>
      </c>
      <c r="Q73" s="102">
        <f>R73*((1+S73/2)^(-2*(B73-Inputs!$K$7)/365.25))</f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13"/>
      <c r="X73" s="113"/>
      <c r="Y73" s="111"/>
      <c r="Z73" s="114"/>
      <c r="AA73" s="114"/>
      <c r="AB73" s="115"/>
      <c r="AC73" s="105"/>
      <c r="AD73" s="106"/>
    </row>
    <row r="74" spans="2:30" x14ac:dyDescent="0.2">
      <c r="B74" s="107">
        <f t="shared" si="4"/>
        <v>38899</v>
      </c>
      <c r="C74" s="108">
        <f>IF(ISNA(VLOOKUP($B74,'[2]MENGENLS1 27-07-2000'!$R$7:$S$71,2,0)),0,VLOOKUP($B74,'[2]MENGENLS1 27-07-2000'!$R$7:$S$71,2,0))</f>
        <v>0</v>
      </c>
      <c r="D74" s="109">
        <f>IF(ISNA(VLOOKUP($B74,'[2]MENGENLS1 27-07-2000'!$U$7:$V$60,2,0)),0,VLOOKUP($B74,'[2]MENGENLS1 27-07-2000'!$U$7:$V$60,2,0))</f>
        <v>0</v>
      </c>
      <c r="E74" s="109">
        <f>IF(ISNA(VLOOKUP($B74,'[2]MENGENLS1 27-07-2000'!$X$7:$Y$27,2,0)),0,VLOOKUP($B74,'[2]MENGENLS1 27-07-2000'!$X$7:$Y$27,2,0))</f>
        <v>0</v>
      </c>
      <c r="F74" s="109">
        <f>IF(ISNA(VLOOKUP($B74,'[2]MENGENLS1 27-07-2000'!$AA$7:$AB$35,2,0)),0,VLOOKUP($B74,'[2]MENGENLS1 27-07-2000'!$AA$7:$AB$35,2,0))</f>
        <v>0</v>
      </c>
      <c r="G74" s="109">
        <f>IF(ISNA(VLOOKUP($B74,'[2]MENGENLS1 27-07-2000'!$AD$7:$AE$38,2,0)),0,VLOOKUP($B74,'[2]MENGENLS1 27-07-2000'!$AD$7:$AE$38,2,0))</f>
        <v>0</v>
      </c>
      <c r="H74" s="109">
        <f>IF(ISNA(VLOOKUP($B74,'[2]MENGENLS1 27-07-2000'!$AG$7:$AH$20,2,0)),0,VLOOKUP($B74,'[2]MENGENLS1 27-07-2000'!$AG$7:$AH$20,2,0))</f>
        <v>0</v>
      </c>
      <c r="I74" s="109">
        <f>IF(ISNA(VLOOKUP($B74,'[2]MENGENLS1 27-07-2000'!$AJ$7:$AK$38,2,0)),0,VLOOKUP($B74,'[2]MENGENLS1 27-07-2000'!$AJ$7:$AK$38,2,0))</f>
        <v>0</v>
      </c>
      <c r="J74" s="109">
        <f>IF(ISNA(VLOOKUP($B74,'[2]MENGENLS1 27-07-2000'!$AM$7:$AN$38,2,0)),0,VLOOKUP($B74,'[2]MENGENLS1 27-07-2000'!$AM$7:$AN$38,2,0))</f>
        <v>0</v>
      </c>
      <c r="K74" s="109">
        <f>IF(ISNA(VLOOKUP($B74,'[2]MENGENLS1 27-07-2000'!$AP$7:$AQ$12,2,0)),0,VLOOKUP($B74,'[2]MENGENLS1 27-07-2000'!$AP$7:$AQ$12,2,0))</f>
        <v>0</v>
      </c>
      <c r="M74" s="12">
        <v>0</v>
      </c>
      <c r="N74" s="101">
        <v>0</v>
      </c>
      <c r="O74" s="101">
        <v>0</v>
      </c>
      <c r="P74" s="101">
        <v>0</v>
      </c>
      <c r="Q74" s="102">
        <f>R74*((1+S74/2)^(-2*(B74-Inputs!$K$7)/365.25))</f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13"/>
      <c r="X74" s="113"/>
      <c r="Y74" s="111"/>
      <c r="Z74" s="114"/>
      <c r="AA74" s="114"/>
      <c r="AB74" s="115"/>
      <c r="AC74" s="105"/>
      <c r="AD74" s="106"/>
    </row>
    <row r="75" spans="2:30" x14ac:dyDescent="0.2">
      <c r="B75" s="107">
        <f t="shared" si="4"/>
        <v>38930</v>
      </c>
      <c r="C75" s="108">
        <f>IF(ISNA(VLOOKUP($B75,'[2]MENGENLS1 27-07-2000'!$R$7:$S$71,2,0)),0,VLOOKUP($B75,'[2]MENGENLS1 27-07-2000'!$R$7:$S$71,2,0))</f>
        <v>0</v>
      </c>
      <c r="D75" s="109">
        <f>IF(ISNA(VLOOKUP($B75,'[2]MENGENLS1 27-07-2000'!$U$7:$V$60,2,0)),0,VLOOKUP($B75,'[2]MENGENLS1 27-07-2000'!$U$7:$V$60,2,0))</f>
        <v>0</v>
      </c>
      <c r="E75" s="109">
        <f>IF(ISNA(VLOOKUP($B75,'[2]MENGENLS1 27-07-2000'!$X$7:$Y$27,2,0)),0,VLOOKUP($B75,'[2]MENGENLS1 27-07-2000'!$X$7:$Y$27,2,0))</f>
        <v>0</v>
      </c>
      <c r="F75" s="109">
        <f>IF(ISNA(VLOOKUP($B75,'[2]MENGENLS1 27-07-2000'!$AA$7:$AB$35,2,0)),0,VLOOKUP($B75,'[2]MENGENLS1 27-07-2000'!$AA$7:$AB$35,2,0))</f>
        <v>0</v>
      </c>
      <c r="G75" s="109">
        <f>IF(ISNA(VLOOKUP($B75,'[2]MENGENLS1 27-07-2000'!$AD$7:$AE$38,2,0)),0,VLOOKUP($B75,'[2]MENGENLS1 27-07-2000'!$AD$7:$AE$38,2,0))</f>
        <v>0</v>
      </c>
      <c r="H75" s="109">
        <f>IF(ISNA(VLOOKUP($B75,'[2]MENGENLS1 27-07-2000'!$AG$7:$AH$20,2,0)),0,VLOOKUP($B75,'[2]MENGENLS1 27-07-2000'!$AG$7:$AH$20,2,0))</f>
        <v>0</v>
      </c>
      <c r="I75" s="109">
        <f>IF(ISNA(VLOOKUP($B75,'[2]MENGENLS1 27-07-2000'!$AJ$7:$AK$38,2,0)),0,VLOOKUP($B75,'[2]MENGENLS1 27-07-2000'!$AJ$7:$AK$38,2,0))</f>
        <v>0</v>
      </c>
      <c r="J75" s="109">
        <f>IF(ISNA(VLOOKUP($B75,'[2]MENGENLS1 27-07-2000'!$AM$7:$AN$38,2,0)),0,VLOOKUP($B75,'[2]MENGENLS1 27-07-2000'!$AM$7:$AN$38,2,0))</f>
        <v>0</v>
      </c>
      <c r="K75" s="109">
        <f>IF(ISNA(VLOOKUP($B75,'[2]MENGENLS1 27-07-2000'!$AP$7:$AQ$12,2,0)),0,VLOOKUP($B75,'[2]MENGENLS1 27-07-2000'!$AP$7:$AQ$12,2,0))</f>
        <v>0</v>
      </c>
      <c r="M75" s="12">
        <v>0</v>
      </c>
      <c r="N75" s="111">
        <v>0</v>
      </c>
      <c r="O75" s="101">
        <v>0</v>
      </c>
      <c r="P75" s="101">
        <v>0</v>
      </c>
      <c r="Q75" s="102">
        <f>R75*((1+S75/2)^(-2*(B75-Inputs!$K$7)/365.25))</f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13"/>
      <c r="X75" s="113"/>
      <c r="Y75" s="111"/>
      <c r="Z75" s="114"/>
      <c r="AA75" s="114"/>
      <c r="AB75" s="115"/>
      <c r="AC75" s="105"/>
      <c r="AD75" s="106"/>
    </row>
    <row r="76" spans="2:30" x14ac:dyDescent="0.2">
      <c r="B76" s="107">
        <f t="shared" si="4"/>
        <v>38961</v>
      </c>
      <c r="C76" s="108">
        <f>IF(ISNA(VLOOKUP($B76,'[2]MENGENLS1 27-07-2000'!$R$7:$S$71,2,0)),0,VLOOKUP($B76,'[2]MENGENLS1 27-07-2000'!$R$7:$S$71,2,0))</f>
        <v>0</v>
      </c>
      <c r="D76" s="109">
        <f>IF(ISNA(VLOOKUP($B76,'[2]MENGENLS1 27-07-2000'!$U$7:$V$60,2,0)),0,VLOOKUP($B76,'[2]MENGENLS1 27-07-2000'!$U$7:$V$60,2,0))</f>
        <v>0</v>
      </c>
      <c r="E76" s="109">
        <f>IF(ISNA(VLOOKUP($B76,'[2]MENGENLS1 27-07-2000'!$X$7:$Y$27,2,0)),0,VLOOKUP($B76,'[2]MENGENLS1 27-07-2000'!$X$7:$Y$27,2,0))</f>
        <v>0</v>
      </c>
      <c r="F76" s="109">
        <f>IF(ISNA(VLOOKUP($B76,'[2]MENGENLS1 27-07-2000'!$AA$7:$AB$35,2,0)),0,VLOOKUP($B76,'[2]MENGENLS1 27-07-2000'!$AA$7:$AB$35,2,0))</f>
        <v>0</v>
      </c>
      <c r="G76" s="109">
        <f>IF(ISNA(VLOOKUP($B76,'[2]MENGENLS1 27-07-2000'!$AD$7:$AE$38,2,0)),0,VLOOKUP($B76,'[2]MENGENLS1 27-07-2000'!$AD$7:$AE$38,2,0))</f>
        <v>0</v>
      </c>
      <c r="H76" s="109">
        <f>IF(ISNA(VLOOKUP($B76,'[2]MENGENLS1 27-07-2000'!$AG$7:$AH$20,2,0)),0,VLOOKUP($B76,'[2]MENGENLS1 27-07-2000'!$AG$7:$AH$20,2,0))</f>
        <v>0</v>
      </c>
      <c r="I76" s="109">
        <f>IF(ISNA(VLOOKUP($B76,'[2]MENGENLS1 27-07-2000'!$AJ$7:$AK$38,2,0)),0,VLOOKUP($B76,'[2]MENGENLS1 27-07-2000'!$AJ$7:$AK$38,2,0))</f>
        <v>0</v>
      </c>
      <c r="J76" s="109">
        <f>IF(ISNA(VLOOKUP($B76,'[2]MENGENLS1 27-07-2000'!$AM$7:$AN$38,2,0)),0,VLOOKUP($B76,'[2]MENGENLS1 27-07-2000'!$AM$7:$AN$38,2,0))</f>
        <v>0</v>
      </c>
      <c r="K76" s="109">
        <f>IF(ISNA(VLOOKUP($B76,'[2]MENGENLS1 27-07-2000'!$AP$7:$AQ$12,2,0)),0,VLOOKUP($B76,'[2]MENGENLS1 27-07-2000'!$AP$7:$AQ$12,2,0))</f>
        <v>0</v>
      </c>
      <c r="M76" s="12">
        <v>0</v>
      </c>
      <c r="N76" s="101">
        <v>0</v>
      </c>
      <c r="O76" s="101">
        <v>0</v>
      </c>
      <c r="P76" s="101">
        <v>0</v>
      </c>
      <c r="Q76" s="102">
        <f>R76*((1+S76/2)^(-2*(B76-Inputs!$K$7)/365.25))</f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13"/>
      <c r="X76" s="113"/>
      <c r="Y76" s="111"/>
      <c r="Z76" s="114"/>
      <c r="AA76" s="114"/>
      <c r="AB76" s="115"/>
      <c r="AC76" s="105"/>
      <c r="AD76" s="106"/>
    </row>
    <row r="77" spans="2:30" x14ac:dyDescent="0.2">
      <c r="B77" s="107">
        <f t="shared" si="4"/>
        <v>38991</v>
      </c>
      <c r="C77" s="108">
        <f>IF(ISNA(VLOOKUP($B77,'[2]MENGENLS1 27-07-2000'!$R$7:$S$71,2,0)),0,VLOOKUP($B77,'[2]MENGENLS1 27-07-2000'!$R$7:$S$71,2,0))</f>
        <v>-25</v>
      </c>
      <c r="D77" s="109">
        <f>IF(ISNA(VLOOKUP($B77,'[2]MENGENLS1 27-07-2000'!$U$7:$V$60,2,0)),0,VLOOKUP($B77,'[2]MENGENLS1 27-07-2000'!$U$7:$V$60,2,0))</f>
        <v>0</v>
      </c>
      <c r="E77" s="109">
        <f>IF(ISNA(VLOOKUP($B77,'[2]MENGENLS1 27-07-2000'!$X$7:$Y$27,2,0)),0,VLOOKUP($B77,'[2]MENGENLS1 27-07-2000'!$X$7:$Y$27,2,0))</f>
        <v>0</v>
      </c>
      <c r="F77" s="109">
        <f>IF(ISNA(VLOOKUP($B77,'[2]MENGENLS1 27-07-2000'!$AA$7:$AB$35,2,0)),0,VLOOKUP($B77,'[2]MENGENLS1 27-07-2000'!$AA$7:$AB$35,2,0))</f>
        <v>0</v>
      </c>
      <c r="G77" s="109">
        <f>IF(ISNA(VLOOKUP($B77,'[2]MENGENLS1 27-07-2000'!$AD$7:$AE$38,2,0)),0,VLOOKUP($B77,'[2]MENGENLS1 27-07-2000'!$AD$7:$AE$38,2,0))</f>
        <v>0</v>
      </c>
      <c r="H77" s="109">
        <f>IF(ISNA(VLOOKUP($B77,'[2]MENGENLS1 27-07-2000'!$AG$7:$AH$20,2,0)),0,VLOOKUP($B77,'[2]MENGENLS1 27-07-2000'!$AG$7:$AH$20,2,0))</f>
        <v>0</v>
      </c>
      <c r="I77" s="109">
        <f>IF(ISNA(VLOOKUP($B77,'[2]MENGENLS1 27-07-2000'!$AJ$7:$AK$38,2,0)),0,VLOOKUP($B77,'[2]MENGENLS1 27-07-2000'!$AJ$7:$AK$38,2,0))</f>
        <v>0</v>
      </c>
      <c r="J77" s="109">
        <f>IF(ISNA(VLOOKUP($B77,'[2]MENGENLS1 27-07-2000'!$AM$7:$AN$38,2,0)),0,VLOOKUP($B77,'[2]MENGENLS1 27-07-2000'!$AM$7:$AN$38,2,0))</f>
        <v>0</v>
      </c>
      <c r="K77" s="109">
        <f>IF(ISNA(VLOOKUP($B77,'[2]MENGENLS1 27-07-2000'!$AP$7:$AQ$12,2,0)),0,VLOOKUP($B77,'[2]MENGENLS1 27-07-2000'!$AP$7:$AQ$12,2,0))</f>
        <v>0</v>
      </c>
      <c r="M77" s="12">
        <v>0</v>
      </c>
      <c r="N77" s="111">
        <v>0</v>
      </c>
      <c r="O77" s="101">
        <v>0</v>
      </c>
      <c r="P77" s="101">
        <v>0</v>
      </c>
      <c r="Q77" s="102">
        <f>R77*((1+S77/2)^(-2*(B77-Inputs!$K$7)/365.25))</f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13"/>
      <c r="X77" s="113"/>
      <c r="Y77" s="111"/>
      <c r="Z77" s="114"/>
      <c r="AA77" s="114"/>
      <c r="AB77" s="115"/>
      <c r="AC77" s="105"/>
      <c r="AD77" s="106"/>
    </row>
    <row r="78" spans="2:30" x14ac:dyDescent="0.2">
      <c r="B78" s="107">
        <f t="shared" si="4"/>
        <v>39022</v>
      </c>
      <c r="C78" s="108">
        <f>IF(ISNA(VLOOKUP($B78,'[2]MENGENLS1 27-07-2000'!$R$7:$S$71,2,0)),0,VLOOKUP($B78,'[2]MENGENLS1 27-07-2000'!$R$7:$S$71,2,0))</f>
        <v>0</v>
      </c>
      <c r="D78" s="109">
        <f>IF(ISNA(VLOOKUP($B78,'[2]MENGENLS1 27-07-2000'!$U$7:$V$60,2,0)),0,VLOOKUP($B78,'[2]MENGENLS1 27-07-2000'!$U$7:$V$60,2,0))</f>
        <v>0</v>
      </c>
      <c r="E78" s="109">
        <f>IF(ISNA(VLOOKUP($B78,'[2]MENGENLS1 27-07-2000'!$X$7:$Y$27,2,0)),0,VLOOKUP($B78,'[2]MENGENLS1 27-07-2000'!$X$7:$Y$27,2,0))</f>
        <v>0</v>
      </c>
      <c r="F78" s="109">
        <f>IF(ISNA(VLOOKUP($B78,'[2]MENGENLS1 27-07-2000'!$AA$7:$AB$35,2,0)),0,VLOOKUP($B78,'[2]MENGENLS1 27-07-2000'!$AA$7:$AB$35,2,0))</f>
        <v>0</v>
      </c>
      <c r="G78" s="109">
        <f>IF(ISNA(VLOOKUP($B78,'[2]MENGENLS1 27-07-2000'!$AD$7:$AE$38,2,0)),0,VLOOKUP($B78,'[2]MENGENLS1 27-07-2000'!$AD$7:$AE$38,2,0))</f>
        <v>0</v>
      </c>
      <c r="H78" s="109">
        <f>IF(ISNA(VLOOKUP($B78,'[2]MENGENLS1 27-07-2000'!$AG$7:$AH$20,2,0)),0,VLOOKUP($B78,'[2]MENGENLS1 27-07-2000'!$AG$7:$AH$20,2,0))</f>
        <v>0</v>
      </c>
      <c r="I78" s="109">
        <f>IF(ISNA(VLOOKUP($B78,'[2]MENGENLS1 27-07-2000'!$AJ$7:$AK$38,2,0)),0,VLOOKUP($B78,'[2]MENGENLS1 27-07-2000'!$AJ$7:$AK$38,2,0))</f>
        <v>0</v>
      </c>
      <c r="J78" s="109">
        <f>IF(ISNA(VLOOKUP($B78,'[2]MENGENLS1 27-07-2000'!$AM$7:$AN$38,2,0)),0,VLOOKUP($B78,'[2]MENGENLS1 27-07-2000'!$AM$7:$AN$38,2,0))</f>
        <v>0</v>
      </c>
      <c r="K78" s="109">
        <f>IF(ISNA(VLOOKUP($B78,'[2]MENGENLS1 27-07-2000'!$AP$7:$AQ$12,2,0)),0,VLOOKUP($B78,'[2]MENGENLS1 27-07-2000'!$AP$7:$AQ$12,2,0))</f>
        <v>0</v>
      </c>
      <c r="M78" s="12">
        <v>0</v>
      </c>
      <c r="N78" s="101">
        <v>0</v>
      </c>
      <c r="O78" s="101">
        <v>0</v>
      </c>
      <c r="P78" s="101">
        <v>0</v>
      </c>
      <c r="Q78" s="102">
        <f>R78*((1+S78/2)^(-2*(B78-Inputs!$K$7)/365.25))</f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13"/>
      <c r="X78" s="113"/>
      <c r="Y78" s="111"/>
      <c r="Z78" s="114"/>
      <c r="AA78" s="114"/>
      <c r="AB78" s="115"/>
      <c r="AC78" s="105"/>
      <c r="AD78" s="106"/>
    </row>
    <row r="79" spans="2:30" x14ac:dyDescent="0.2">
      <c r="B79" s="107">
        <f t="shared" si="4"/>
        <v>39052</v>
      </c>
      <c r="C79" s="108">
        <f>IF(ISNA(VLOOKUP($B79,'[2]MENGENLS1 27-07-2000'!$R$7:$S$71,2,0)),0,VLOOKUP($B79,'[2]MENGENLS1 27-07-2000'!$R$7:$S$71,2,0))</f>
        <v>-25</v>
      </c>
      <c r="D79" s="109">
        <f>IF(ISNA(VLOOKUP($B79,'[2]MENGENLS1 27-07-2000'!$U$7:$V$60,2,0)),0,VLOOKUP($B79,'[2]MENGENLS1 27-07-2000'!$U$7:$V$60,2,0))</f>
        <v>0</v>
      </c>
      <c r="E79" s="109">
        <f>IF(ISNA(VLOOKUP($B79,'[2]MENGENLS1 27-07-2000'!$X$7:$Y$27,2,0)),0,VLOOKUP($B79,'[2]MENGENLS1 27-07-2000'!$X$7:$Y$27,2,0))</f>
        <v>0</v>
      </c>
      <c r="F79" s="109">
        <f>IF(ISNA(VLOOKUP($B79,'[2]MENGENLS1 27-07-2000'!$AA$7:$AB$35,2,0)),0,VLOOKUP($B79,'[2]MENGENLS1 27-07-2000'!$AA$7:$AB$35,2,0))</f>
        <v>0</v>
      </c>
      <c r="G79" s="109">
        <f>IF(ISNA(VLOOKUP($B79,'[2]MENGENLS1 27-07-2000'!$AD$7:$AE$38,2,0)),0,VLOOKUP($B79,'[2]MENGENLS1 27-07-2000'!$AD$7:$AE$38,2,0))</f>
        <v>0</v>
      </c>
      <c r="H79" s="109">
        <f>IF(ISNA(VLOOKUP($B79,'[2]MENGENLS1 27-07-2000'!$AG$7:$AH$20,2,0)),0,VLOOKUP($B79,'[2]MENGENLS1 27-07-2000'!$AG$7:$AH$20,2,0))</f>
        <v>0</v>
      </c>
      <c r="I79" s="109">
        <f>IF(ISNA(VLOOKUP($B79,'[2]MENGENLS1 27-07-2000'!$AJ$7:$AK$38,2,0)),0,VLOOKUP($B79,'[2]MENGENLS1 27-07-2000'!$AJ$7:$AK$38,2,0))</f>
        <v>0</v>
      </c>
      <c r="J79" s="109">
        <f>IF(ISNA(VLOOKUP($B79,'[2]MENGENLS1 27-07-2000'!$AM$7:$AN$38,2,0)),0,VLOOKUP($B79,'[2]MENGENLS1 27-07-2000'!$AM$7:$AN$38,2,0))</f>
        <v>0</v>
      </c>
      <c r="K79" s="109">
        <f>IF(ISNA(VLOOKUP($B79,'[2]MENGENLS1 27-07-2000'!$AP$7:$AQ$12,2,0)),0,VLOOKUP($B79,'[2]MENGENLS1 27-07-2000'!$AP$7:$AQ$12,2,0))</f>
        <v>0</v>
      </c>
      <c r="M79" s="12">
        <v>0</v>
      </c>
      <c r="N79" s="111">
        <v>0</v>
      </c>
      <c r="O79" s="101">
        <v>0</v>
      </c>
      <c r="P79" s="101">
        <v>0</v>
      </c>
      <c r="Q79" s="102">
        <f>R79*((1+S79/2)^(-2*(B79-Inputs!$K$7)/365.25))</f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13"/>
      <c r="X79" s="113"/>
      <c r="Y79" s="111"/>
      <c r="Z79" s="114"/>
      <c r="AA79" s="114"/>
      <c r="AB79" s="115"/>
      <c r="AC79" s="105"/>
      <c r="AD79" s="106"/>
    </row>
    <row r="80" spans="2:30" x14ac:dyDescent="0.2">
      <c r="B80" s="107">
        <f t="shared" si="4"/>
        <v>39083</v>
      </c>
      <c r="C80" s="108">
        <f>IF(ISNA(VLOOKUP($B80,'[2]MENGENLS1 27-07-2000'!$R$7:$S$71,2,0)),0,VLOOKUP($B80,'[2]MENGENLS1 27-07-2000'!$R$7:$S$71,2,0))</f>
        <v>0</v>
      </c>
      <c r="D80" s="109">
        <f>IF(ISNA(VLOOKUP($B80,'[2]MENGENLS1 27-07-2000'!$U$7:$V$60,2,0)),0,VLOOKUP($B80,'[2]MENGENLS1 27-07-2000'!$U$7:$V$60,2,0))</f>
        <v>0</v>
      </c>
      <c r="E80" s="109">
        <f>IF(ISNA(VLOOKUP($B80,'[2]MENGENLS1 27-07-2000'!$X$7:$Y$27,2,0)),0,VLOOKUP($B80,'[2]MENGENLS1 27-07-2000'!$X$7:$Y$27,2,0))</f>
        <v>0</v>
      </c>
      <c r="F80" s="109">
        <f>IF(ISNA(VLOOKUP($B80,'[2]MENGENLS1 27-07-2000'!$AA$7:$AB$35,2,0)),0,VLOOKUP($B80,'[2]MENGENLS1 27-07-2000'!$AA$7:$AB$35,2,0))</f>
        <v>0</v>
      </c>
      <c r="G80" s="109">
        <f>IF(ISNA(VLOOKUP($B80,'[2]MENGENLS1 27-07-2000'!$AD$7:$AE$38,2,0)),0,VLOOKUP($B80,'[2]MENGENLS1 27-07-2000'!$AD$7:$AE$38,2,0))</f>
        <v>0</v>
      </c>
      <c r="H80" s="109">
        <f>IF(ISNA(VLOOKUP($B80,'[2]MENGENLS1 27-07-2000'!$AG$7:$AH$20,2,0)),0,VLOOKUP($B80,'[2]MENGENLS1 27-07-2000'!$AG$7:$AH$20,2,0))</f>
        <v>0</v>
      </c>
      <c r="I80" s="109">
        <f>IF(ISNA(VLOOKUP($B80,'[2]MENGENLS1 27-07-2000'!$AJ$7:$AK$38,2,0)),0,VLOOKUP($B80,'[2]MENGENLS1 27-07-2000'!$AJ$7:$AK$38,2,0))</f>
        <v>0</v>
      </c>
      <c r="J80" s="109">
        <f>IF(ISNA(VLOOKUP($B80,'[2]MENGENLS1 27-07-2000'!$AM$7:$AN$38,2,0)),0,VLOOKUP($B80,'[2]MENGENLS1 27-07-2000'!$AM$7:$AN$38,2,0))</f>
        <v>0</v>
      </c>
      <c r="K80" s="109">
        <f>IF(ISNA(VLOOKUP($B80,'[2]MENGENLS1 27-07-2000'!$AP$7:$AQ$12,2,0)),0,VLOOKUP($B80,'[2]MENGENLS1 27-07-2000'!$AP$7:$AQ$12,2,0))</f>
        <v>0</v>
      </c>
      <c r="M80" s="12">
        <v>0</v>
      </c>
      <c r="N80" s="101">
        <v>0</v>
      </c>
      <c r="O80" s="101">
        <v>0</v>
      </c>
      <c r="P80" s="101">
        <v>0</v>
      </c>
      <c r="Q80" s="102">
        <f>R80*((1+S80/2)^(-2*(B80-Inputs!$K$7)/365.25))</f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13"/>
      <c r="X80" s="113"/>
      <c r="Y80" s="111"/>
      <c r="Z80" s="114"/>
      <c r="AA80" s="114"/>
      <c r="AB80" s="115"/>
      <c r="AC80" s="105"/>
      <c r="AD80" s="106"/>
    </row>
    <row r="82" spans="2:30" x14ac:dyDescent="0.2">
      <c r="B82" s="107" t="s">
        <v>42</v>
      </c>
      <c r="C82" s="116">
        <f t="shared" ref="C82:N82" si="5">SUM(C2:C80)</f>
        <v>5372</v>
      </c>
      <c r="D82" s="116">
        <f t="shared" si="5"/>
        <v>21120</v>
      </c>
      <c r="E82" s="116">
        <f t="shared" si="5"/>
        <v>21563</v>
      </c>
      <c r="F82" s="116">
        <f t="shared" si="5"/>
        <v>2597</v>
      </c>
      <c r="G82" s="116">
        <f t="shared" si="5"/>
        <v>48612</v>
      </c>
      <c r="H82" s="116">
        <f t="shared" si="5"/>
        <v>1240</v>
      </c>
      <c r="I82" s="116">
        <f t="shared" si="5"/>
        <v>10892</v>
      </c>
      <c r="J82" s="116">
        <f t="shared" si="5"/>
        <v>-23440</v>
      </c>
      <c r="K82" s="116">
        <f t="shared" si="5"/>
        <v>1865</v>
      </c>
      <c r="L82" s="100">
        <f t="shared" si="5"/>
        <v>4319</v>
      </c>
      <c r="M82" s="116">
        <f t="shared" si="5"/>
        <v>0</v>
      </c>
      <c r="N82" s="116">
        <f t="shared" si="5"/>
        <v>0</v>
      </c>
      <c r="O82" s="111"/>
      <c r="P82" s="116"/>
      <c r="S82" s="117"/>
      <c r="T82" s="113"/>
      <c r="U82" s="111"/>
      <c r="V82" s="111"/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">
      <c r="C649" s="116"/>
    </row>
    <row r="650" spans="3:25" x14ac:dyDescent="0.2">
      <c r="C650" s="116"/>
    </row>
    <row r="651" spans="3:25" x14ac:dyDescent="0.2">
      <c r="C651" s="116"/>
    </row>
    <row r="652" spans="3:25" x14ac:dyDescent="0.2">
      <c r="C652" s="116"/>
    </row>
    <row r="653" spans="3:25" x14ac:dyDescent="0.2">
      <c r="C653" s="116"/>
    </row>
    <row r="654" spans="3:25" x14ac:dyDescent="0.2">
      <c r="C654" s="116"/>
    </row>
    <row r="655" spans="3:25" x14ac:dyDescent="0.2">
      <c r="C655" s="116"/>
    </row>
    <row r="656" spans="3:25" x14ac:dyDescent="0.2">
      <c r="C656" s="116"/>
    </row>
    <row r="657" spans="3:3" x14ac:dyDescent="0.2">
      <c r="C657" s="116"/>
    </row>
    <row r="658" spans="3:3" x14ac:dyDescent="0.2">
      <c r="C658" s="116"/>
    </row>
    <row r="659" spans="3:3" x14ac:dyDescent="0.2">
      <c r="C659" s="116"/>
    </row>
    <row r="660" spans="3:3" x14ac:dyDescent="0.2">
      <c r="C660" s="116"/>
    </row>
    <row r="661" spans="3:3" x14ac:dyDescent="0.2">
      <c r="C661" s="116"/>
    </row>
    <row r="662" spans="3:3" x14ac:dyDescent="0.2">
      <c r="C662" s="116"/>
    </row>
    <row r="663" spans="3:3" x14ac:dyDescent="0.2">
      <c r="C663" s="116"/>
    </row>
    <row r="664" spans="3:3" x14ac:dyDescent="0.2">
      <c r="C664" s="116"/>
    </row>
    <row r="665" spans="3:3" x14ac:dyDescent="0.2">
      <c r="C665" s="116"/>
    </row>
    <row r="666" spans="3:3" x14ac:dyDescent="0.2">
      <c r="C666" s="116"/>
    </row>
    <row r="667" spans="3:3" x14ac:dyDescent="0.2">
      <c r="C667" s="116"/>
    </row>
    <row r="668" spans="3:3" x14ac:dyDescent="0.2">
      <c r="C668" s="116"/>
    </row>
    <row r="669" spans="3:3" x14ac:dyDescent="0.2">
      <c r="C669" s="116"/>
    </row>
    <row r="670" spans="3:3" x14ac:dyDescent="0.2">
      <c r="C670" s="116"/>
    </row>
    <row r="671" spans="3:3" x14ac:dyDescent="0.2">
      <c r="C671" s="116"/>
    </row>
    <row r="672" spans="3:3" x14ac:dyDescent="0.2">
      <c r="C672" s="116"/>
    </row>
    <row r="673" spans="3:3" x14ac:dyDescent="0.2">
      <c r="C673" s="116"/>
    </row>
    <row r="674" spans="3:3" x14ac:dyDescent="0.2">
      <c r="C674" s="116"/>
    </row>
    <row r="675" spans="3:3" x14ac:dyDescent="0.2">
      <c r="C675" s="116"/>
    </row>
    <row r="676" spans="3:3" x14ac:dyDescent="0.2">
      <c r="C676" s="116"/>
    </row>
    <row r="677" spans="3:3" x14ac:dyDescent="0.2">
      <c r="C677" s="116"/>
    </row>
    <row r="678" spans="3:3" x14ac:dyDescent="0.2">
      <c r="C678" s="116"/>
    </row>
    <row r="679" spans="3:3" x14ac:dyDescent="0.2">
      <c r="C679" s="116"/>
    </row>
    <row r="680" spans="3:3" x14ac:dyDescent="0.2">
      <c r="C680" s="116"/>
    </row>
    <row r="681" spans="3:3" x14ac:dyDescent="0.2">
      <c r="C681" s="116"/>
    </row>
    <row r="682" spans="3:3" x14ac:dyDescent="0.2">
      <c r="C682" s="116"/>
    </row>
    <row r="683" spans="3:3" x14ac:dyDescent="0.2">
      <c r="C683" s="116"/>
    </row>
    <row r="684" spans="3:3" x14ac:dyDescent="0.2">
      <c r="C684" s="116"/>
    </row>
    <row r="685" spans="3:3" x14ac:dyDescent="0.2">
      <c r="C685" s="116"/>
    </row>
    <row r="686" spans="3:3" x14ac:dyDescent="0.2">
      <c r="C686" s="116"/>
    </row>
    <row r="687" spans="3:3" x14ac:dyDescent="0.2">
      <c r="C687" s="116"/>
    </row>
    <row r="688" spans="3:3" x14ac:dyDescent="0.2">
      <c r="C688" s="116"/>
    </row>
    <row r="689" spans="3:3" x14ac:dyDescent="0.2">
      <c r="C689" s="116"/>
    </row>
    <row r="690" spans="3:3" x14ac:dyDescent="0.2">
      <c r="C690" s="116"/>
    </row>
    <row r="691" spans="3:3" x14ac:dyDescent="0.2">
      <c r="C691" s="116"/>
    </row>
    <row r="692" spans="3:3" x14ac:dyDescent="0.2">
      <c r="C692" s="116"/>
    </row>
    <row r="693" spans="3:3" x14ac:dyDescent="0.2">
      <c r="C693" s="116"/>
    </row>
    <row r="694" spans="3:3" x14ac:dyDescent="0.2">
      <c r="C694" s="116"/>
    </row>
    <row r="695" spans="3:3" x14ac:dyDescent="0.2">
      <c r="C695" s="116"/>
    </row>
    <row r="696" spans="3:3" x14ac:dyDescent="0.2">
      <c r="C696" s="116"/>
    </row>
    <row r="697" spans="3:3" x14ac:dyDescent="0.2">
      <c r="C697" s="116"/>
    </row>
    <row r="698" spans="3:3" x14ac:dyDescent="0.2">
      <c r="C698" s="116"/>
    </row>
    <row r="699" spans="3:3" x14ac:dyDescent="0.2">
      <c r="C699" s="116"/>
    </row>
    <row r="700" spans="3:3" x14ac:dyDescent="0.2">
      <c r="C700" s="116"/>
    </row>
    <row r="701" spans="3:3" x14ac:dyDescent="0.2">
      <c r="C701" s="116"/>
    </row>
    <row r="702" spans="3:3" x14ac:dyDescent="0.2">
      <c r="C702" s="116"/>
    </row>
    <row r="703" spans="3:3" x14ac:dyDescent="0.2">
      <c r="C703" s="116"/>
    </row>
    <row r="704" spans="3:3" x14ac:dyDescent="0.2">
      <c r="C704" s="116"/>
    </row>
    <row r="705" spans="3:3" x14ac:dyDescent="0.2">
      <c r="C705" s="116"/>
    </row>
    <row r="706" spans="3:3" x14ac:dyDescent="0.2">
      <c r="C706" s="116"/>
    </row>
    <row r="707" spans="3:3" x14ac:dyDescent="0.2">
      <c r="C707" s="116"/>
    </row>
    <row r="708" spans="3:3" x14ac:dyDescent="0.2">
      <c r="C708" s="116"/>
    </row>
    <row r="709" spans="3:3" x14ac:dyDescent="0.2">
      <c r="C709" s="116"/>
    </row>
    <row r="710" spans="3:3" x14ac:dyDescent="0.2">
      <c r="C710" s="116"/>
    </row>
    <row r="711" spans="3:3" x14ac:dyDescent="0.2">
      <c r="C711" s="116"/>
    </row>
    <row r="712" spans="3:3" x14ac:dyDescent="0.2">
      <c r="C712" s="116"/>
    </row>
    <row r="713" spans="3:3" x14ac:dyDescent="0.2">
      <c r="C713" s="116"/>
    </row>
    <row r="714" spans="3:3" x14ac:dyDescent="0.2">
      <c r="C714" s="116"/>
    </row>
    <row r="715" spans="3:3" x14ac:dyDescent="0.2">
      <c r="C715" s="116"/>
    </row>
    <row r="716" spans="3:3" x14ac:dyDescent="0.2">
      <c r="C716" s="116"/>
    </row>
    <row r="717" spans="3:3" x14ac:dyDescent="0.2">
      <c r="C717" s="116"/>
    </row>
    <row r="718" spans="3:3" x14ac:dyDescent="0.2">
      <c r="C718" s="116"/>
    </row>
    <row r="719" spans="3:3" x14ac:dyDescent="0.2">
      <c r="C719" s="116"/>
    </row>
    <row r="720" spans="3:3" x14ac:dyDescent="0.2">
      <c r="C720" s="116"/>
    </row>
    <row r="721" spans="3:3" x14ac:dyDescent="0.2">
      <c r="C721" s="116"/>
    </row>
    <row r="722" spans="3:3" x14ac:dyDescent="0.2">
      <c r="C722" s="116"/>
    </row>
    <row r="723" spans="3:3" x14ac:dyDescent="0.2">
      <c r="C723" s="116"/>
    </row>
    <row r="724" spans="3:3" x14ac:dyDescent="0.2">
      <c r="C724" s="116"/>
    </row>
    <row r="725" spans="3:3" x14ac:dyDescent="0.2">
      <c r="C725" s="116"/>
    </row>
    <row r="726" spans="3:3" x14ac:dyDescent="0.2">
      <c r="C726" s="116"/>
    </row>
    <row r="727" spans="3:3" x14ac:dyDescent="0.2">
      <c r="C727" s="116"/>
    </row>
    <row r="728" spans="3:3" x14ac:dyDescent="0.2">
      <c r="C728" s="116"/>
    </row>
    <row r="729" spans="3:3" x14ac:dyDescent="0.2">
      <c r="C729" s="116"/>
    </row>
    <row r="730" spans="3:3" x14ac:dyDescent="0.2">
      <c r="C730" s="116"/>
    </row>
    <row r="731" spans="3:3" x14ac:dyDescent="0.2">
      <c r="C731" s="116"/>
    </row>
    <row r="732" spans="3:3" x14ac:dyDescent="0.2">
      <c r="C732" s="116"/>
    </row>
    <row r="733" spans="3:3" x14ac:dyDescent="0.2">
      <c r="C733" s="116"/>
    </row>
    <row r="734" spans="3:3" x14ac:dyDescent="0.2">
      <c r="C734" s="116"/>
    </row>
    <row r="735" spans="3:3" x14ac:dyDescent="0.2">
      <c r="C735" s="116"/>
    </row>
    <row r="736" spans="3:3" x14ac:dyDescent="0.2">
      <c r="C736" s="116"/>
    </row>
    <row r="737" spans="3:3" x14ac:dyDescent="0.2">
      <c r="C737" s="116"/>
    </row>
    <row r="738" spans="3:3" x14ac:dyDescent="0.2">
      <c r="C738" s="116"/>
    </row>
    <row r="739" spans="3:3" x14ac:dyDescent="0.2">
      <c r="C739" s="116"/>
    </row>
    <row r="740" spans="3:3" x14ac:dyDescent="0.2">
      <c r="C740" s="116"/>
    </row>
    <row r="741" spans="3:3" x14ac:dyDescent="0.2">
      <c r="C741" s="116"/>
    </row>
    <row r="742" spans="3:3" x14ac:dyDescent="0.2">
      <c r="C742" s="116"/>
    </row>
    <row r="743" spans="3:3" x14ac:dyDescent="0.2">
      <c r="C743" s="116"/>
    </row>
    <row r="744" spans="3:3" x14ac:dyDescent="0.2">
      <c r="C744" s="116"/>
    </row>
    <row r="745" spans="3:3" x14ac:dyDescent="0.2">
      <c r="C745" s="116"/>
    </row>
    <row r="746" spans="3:3" x14ac:dyDescent="0.2">
      <c r="C746" s="116"/>
    </row>
    <row r="747" spans="3:3" x14ac:dyDescent="0.2">
      <c r="C747" s="116"/>
    </row>
    <row r="748" spans="3:3" x14ac:dyDescent="0.2">
      <c r="C748" s="116"/>
    </row>
    <row r="749" spans="3:3" x14ac:dyDescent="0.2">
      <c r="C749" s="116"/>
    </row>
    <row r="750" spans="3:3" x14ac:dyDescent="0.2">
      <c r="C750" s="116"/>
    </row>
    <row r="751" spans="3:3" x14ac:dyDescent="0.2">
      <c r="C751" s="116"/>
    </row>
    <row r="752" spans="3:3" x14ac:dyDescent="0.2">
      <c r="C752" s="116"/>
    </row>
    <row r="753" spans="3:3" x14ac:dyDescent="0.2">
      <c r="C753" s="116"/>
    </row>
    <row r="754" spans="3:3" x14ac:dyDescent="0.2">
      <c r="C754" s="116"/>
    </row>
    <row r="755" spans="3:3" x14ac:dyDescent="0.2">
      <c r="C755" s="116"/>
    </row>
    <row r="756" spans="3:3" x14ac:dyDescent="0.2">
      <c r="C756" s="116"/>
    </row>
    <row r="757" spans="3:3" x14ac:dyDescent="0.2">
      <c r="C757" s="116"/>
    </row>
    <row r="758" spans="3:3" x14ac:dyDescent="0.2">
      <c r="C758" s="116"/>
    </row>
    <row r="759" spans="3:3" x14ac:dyDescent="0.2">
      <c r="C759" s="116"/>
    </row>
    <row r="760" spans="3:3" x14ac:dyDescent="0.2">
      <c r="C760" s="116"/>
    </row>
    <row r="761" spans="3:3" x14ac:dyDescent="0.2">
      <c r="C761" s="116"/>
    </row>
    <row r="762" spans="3:3" x14ac:dyDescent="0.2">
      <c r="C762" s="116"/>
    </row>
    <row r="763" spans="3:3" x14ac:dyDescent="0.2">
      <c r="C763" s="116"/>
    </row>
    <row r="764" spans="3:3" x14ac:dyDescent="0.2">
      <c r="C764" s="116"/>
    </row>
    <row r="765" spans="3:3" x14ac:dyDescent="0.2">
      <c r="C765" s="116"/>
    </row>
    <row r="766" spans="3:3" x14ac:dyDescent="0.2">
      <c r="C766" s="116"/>
    </row>
    <row r="767" spans="3:3" x14ac:dyDescent="0.2">
      <c r="C767" s="116"/>
    </row>
    <row r="768" spans="3:3" x14ac:dyDescent="0.2">
      <c r="C768" s="116"/>
    </row>
  </sheetData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showGridLines="0" zoomScale="75" workbookViewId="0">
      <selection activeCell="F25" sqref="F25"/>
    </sheetView>
  </sheetViews>
  <sheetFormatPr defaultRowHeight="14.25" x14ac:dyDescent="0.2"/>
  <cols>
    <col min="1" max="1" width="14" style="160" customWidth="1"/>
    <col min="2" max="2" width="13.28515625" style="160" customWidth="1"/>
    <col min="3" max="9" width="9.140625" style="160"/>
    <col min="10" max="10" width="14.42578125" style="160" bestFit="1" customWidth="1"/>
    <col min="11" max="16384" width="9.140625" style="160"/>
  </cols>
  <sheetData>
    <row r="1" spans="1:11" ht="15" x14ac:dyDescent="0.25">
      <c r="A1" s="156"/>
      <c r="B1" s="157" t="str">
        <f t="array" ref="B1:K1">TRANSPOSE(A2:A11)</f>
        <v>Aluminium</v>
      </c>
      <c r="C1" s="158" t="str">
        <v>Copper</v>
      </c>
      <c r="D1" s="158" t="str">
        <v>Lead</v>
      </c>
      <c r="E1" s="158" t="str">
        <v>Nickel</v>
      </c>
      <c r="F1" s="158" t="str">
        <v>Silver</v>
      </c>
      <c r="G1" s="158" t="str">
        <v>Tin</v>
      </c>
      <c r="H1" s="158" t="str">
        <v>Zinc</v>
      </c>
      <c r="I1" s="158" t="str">
        <v>Gold</v>
      </c>
      <c r="J1" s="158" t="str">
        <v>Cocoa Beans</v>
      </c>
      <c r="K1" s="159" t="str">
        <v>TC</v>
      </c>
    </row>
    <row r="2" spans="1:11" ht="15" x14ac:dyDescent="0.25">
      <c r="A2" s="133" t="s">
        <v>30</v>
      </c>
      <c r="B2" s="161">
        <v>1</v>
      </c>
      <c r="C2" s="162">
        <v>0.6711109953270743</v>
      </c>
      <c r="D2" s="162">
        <v>0.28655806016148383</v>
      </c>
      <c r="E2" s="246">
        <v>0.40379903930465227</v>
      </c>
      <c r="F2" s="253">
        <v>4.6829800371317939E-2</v>
      </c>
      <c r="G2" s="162">
        <v>0.1986449532859651</v>
      </c>
      <c r="H2" s="162">
        <v>0.47104556383663637</v>
      </c>
      <c r="I2" s="253">
        <v>-0.18624996163394342</v>
      </c>
      <c r="J2" s="162">
        <v>-4.2270721098616043E-2</v>
      </c>
      <c r="K2" s="163">
        <v>0</v>
      </c>
    </row>
    <row r="3" spans="1:11" ht="15" x14ac:dyDescent="0.25">
      <c r="A3" s="134" t="s">
        <v>31</v>
      </c>
      <c r="B3" s="164">
        <v>0.6711109953270743</v>
      </c>
      <c r="C3" s="165">
        <v>1</v>
      </c>
      <c r="D3" s="165">
        <v>0.41996929882546907</v>
      </c>
      <c r="E3" s="171">
        <v>0.51904223514856596</v>
      </c>
      <c r="F3" s="251">
        <v>4.193157614700882E-2</v>
      </c>
      <c r="G3" s="165">
        <v>0.19732576096367146</v>
      </c>
      <c r="H3" s="165">
        <v>0.64119953092836424</v>
      </c>
      <c r="I3" s="251">
        <v>-2.7036817186568467E-2</v>
      </c>
      <c r="J3" s="165">
        <v>9.6360298905930952E-2</v>
      </c>
      <c r="K3" s="166">
        <v>0</v>
      </c>
    </row>
    <row r="4" spans="1:11" ht="15" x14ac:dyDescent="0.25">
      <c r="A4" s="134" t="s">
        <v>32</v>
      </c>
      <c r="B4" s="164">
        <v>0.28655806016148383</v>
      </c>
      <c r="C4" s="165">
        <v>0.41996929882546907</v>
      </c>
      <c r="D4" s="165">
        <v>1</v>
      </c>
      <c r="E4" s="171">
        <v>0.21699068102191291</v>
      </c>
      <c r="F4" s="251">
        <v>7.699487970468108E-2</v>
      </c>
      <c r="G4" s="165">
        <v>0.13015278062652874</v>
      </c>
      <c r="H4" s="165">
        <v>0.38808344562275271</v>
      </c>
      <c r="I4" s="251">
        <v>-0.12093460259339175</v>
      </c>
      <c r="J4" s="165">
        <v>8.7647285781055073E-2</v>
      </c>
      <c r="K4" s="166">
        <v>0</v>
      </c>
    </row>
    <row r="5" spans="1:11" ht="15" x14ac:dyDescent="0.25">
      <c r="A5" s="135" t="s">
        <v>33</v>
      </c>
      <c r="B5" s="244">
        <v>0.40379903930465227</v>
      </c>
      <c r="C5" s="171">
        <v>0.51904223514856596</v>
      </c>
      <c r="D5" s="171">
        <v>0.21699068102191291</v>
      </c>
      <c r="E5" s="171">
        <v>1</v>
      </c>
      <c r="F5" s="251">
        <v>0.12363766048676755</v>
      </c>
      <c r="G5" s="171">
        <v>7.9376725776002771E-2</v>
      </c>
      <c r="H5" s="171">
        <v>0.45980277107964018</v>
      </c>
      <c r="I5" s="251">
        <v>-3.0204581220616891E-2</v>
      </c>
      <c r="J5" s="171">
        <v>0.12243156886072581</v>
      </c>
      <c r="K5" s="245">
        <v>0</v>
      </c>
    </row>
    <row r="6" spans="1:11" ht="15" x14ac:dyDescent="0.25">
      <c r="A6" s="135" t="s">
        <v>34</v>
      </c>
      <c r="B6" s="250">
        <v>4.6829800371317939E-2</v>
      </c>
      <c r="C6" s="251">
        <v>4.193157614700882E-2</v>
      </c>
      <c r="D6" s="251">
        <v>7.699487970468108E-2</v>
      </c>
      <c r="E6" s="251">
        <v>0.12363766048676755</v>
      </c>
      <c r="F6" s="251">
        <v>1</v>
      </c>
      <c r="G6" s="251">
        <v>-0.14728478816218041</v>
      </c>
      <c r="H6" s="251">
        <v>2.5756733153962832E-4</v>
      </c>
      <c r="I6" s="251">
        <v>7.2857340817198218E-2</v>
      </c>
      <c r="J6" s="251">
        <v>-0.12246516889944413</v>
      </c>
      <c r="K6" s="252">
        <v>0</v>
      </c>
    </row>
    <row r="7" spans="1:11" ht="15" x14ac:dyDescent="0.25">
      <c r="A7" s="135" t="s">
        <v>35</v>
      </c>
      <c r="B7" s="164">
        <v>0.1986449532859651</v>
      </c>
      <c r="C7" s="165">
        <v>0.19732576096367146</v>
      </c>
      <c r="D7" s="165">
        <v>0.13015278062652874</v>
      </c>
      <c r="E7" s="171">
        <v>7.9376725776002771E-2</v>
      </c>
      <c r="F7" s="251">
        <v>-0.14728478816218041</v>
      </c>
      <c r="G7" s="165">
        <v>1</v>
      </c>
      <c r="H7" s="165">
        <v>0.30200707050755526</v>
      </c>
      <c r="I7" s="251">
        <v>-3.6845302907041501E-2</v>
      </c>
      <c r="J7" s="165">
        <v>0.18188519810930046</v>
      </c>
      <c r="K7" s="166">
        <v>0</v>
      </c>
    </row>
    <row r="8" spans="1:11" ht="15" x14ac:dyDescent="0.25">
      <c r="A8" s="135" t="s">
        <v>36</v>
      </c>
      <c r="B8" s="164">
        <v>0.47104556383663637</v>
      </c>
      <c r="C8" s="165">
        <v>0.64119953092836424</v>
      </c>
      <c r="D8" s="165">
        <v>0.38808344562275271</v>
      </c>
      <c r="E8" s="171">
        <v>0.45980277107964018</v>
      </c>
      <c r="F8" s="251">
        <v>2.5756733153962832E-4</v>
      </c>
      <c r="G8" s="165">
        <v>0.30200707050755526</v>
      </c>
      <c r="H8" s="165">
        <v>1</v>
      </c>
      <c r="I8" s="251">
        <v>-0.10103893809158705</v>
      </c>
      <c r="J8" s="165">
        <v>0.15507220448160922</v>
      </c>
      <c r="K8" s="166">
        <v>0</v>
      </c>
    </row>
    <row r="9" spans="1:11" ht="15" x14ac:dyDescent="0.25">
      <c r="A9" s="135" t="s">
        <v>37</v>
      </c>
      <c r="B9" s="250">
        <v>-0.18624996163394342</v>
      </c>
      <c r="C9" s="251">
        <v>-2.7036817186568467E-2</v>
      </c>
      <c r="D9" s="251">
        <v>-0.12093460259339175</v>
      </c>
      <c r="E9" s="251">
        <v>-3.0204581220616891E-2</v>
      </c>
      <c r="F9" s="251">
        <v>7.2857340817198218E-2</v>
      </c>
      <c r="G9" s="251">
        <v>-3.6845302907041501E-2</v>
      </c>
      <c r="H9" s="251">
        <v>-0.10103893809158705</v>
      </c>
      <c r="I9" s="251">
        <v>1</v>
      </c>
      <c r="J9" s="251">
        <v>-6.3328094246427491E-2</v>
      </c>
      <c r="K9" s="252">
        <v>0</v>
      </c>
    </row>
    <row r="10" spans="1:11" ht="15" x14ac:dyDescent="0.25">
      <c r="A10" s="135" t="s">
        <v>38</v>
      </c>
      <c r="B10" s="164">
        <v>-4.2270721098616043E-2</v>
      </c>
      <c r="C10" s="165">
        <v>9.6360298905930952E-2</v>
      </c>
      <c r="D10" s="165">
        <v>8.7647285781055073E-2</v>
      </c>
      <c r="E10" s="171">
        <v>0.12243156886072581</v>
      </c>
      <c r="F10" s="251">
        <v>-0.12246516889944413</v>
      </c>
      <c r="G10" s="165">
        <v>0.18188519810930046</v>
      </c>
      <c r="H10" s="165">
        <v>0.15507220448160922</v>
      </c>
      <c r="I10" s="251">
        <v>-6.3328094246427491E-2</v>
      </c>
      <c r="J10" s="165">
        <v>1</v>
      </c>
      <c r="K10" s="166">
        <v>0</v>
      </c>
    </row>
    <row r="11" spans="1:11" ht="15" x14ac:dyDescent="0.25">
      <c r="A11" s="136" t="s">
        <v>39</v>
      </c>
      <c r="B11" s="167">
        <v>0</v>
      </c>
      <c r="C11" s="168">
        <v>0</v>
      </c>
      <c r="D11" s="168">
        <v>0</v>
      </c>
      <c r="E11" s="247">
        <v>0</v>
      </c>
      <c r="F11" s="254">
        <v>0</v>
      </c>
      <c r="G11" s="168">
        <v>0</v>
      </c>
      <c r="H11" s="168">
        <v>0</v>
      </c>
      <c r="I11" s="254">
        <v>0</v>
      </c>
      <c r="J11" s="168">
        <v>0</v>
      </c>
      <c r="K11" s="169">
        <v>1</v>
      </c>
    </row>
    <row r="12" spans="1:11" x14ac:dyDescent="0.2">
      <c r="A12" s="170"/>
    </row>
    <row r="13" spans="1:11" ht="15" x14ac:dyDescent="0.2">
      <c r="A13" s="256" t="s">
        <v>49</v>
      </c>
      <c r="B13" s="255"/>
      <c r="C13" s="251"/>
      <c r="D13" s="171"/>
      <c r="E13" s="171"/>
      <c r="F13" s="171"/>
      <c r="G13" s="171"/>
      <c r="H13" s="171"/>
      <c r="I13" s="171"/>
      <c r="J13" s="171"/>
      <c r="K13" s="171"/>
    </row>
    <row r="14" spans="1:11" x14ac:dyDescent="0.2">
      <c r="C14" s="171"/>
      <c r="D14" s="171"/>
      <c r="E14" s="171"/>
      <c r="F14" s="171"/>
      <c r="G14" s="171"/>
      <c r="H14" s="171"/>
      <c r="I14" s="171"/>
      <c r="J14" s="171"/>
      <c r="K14" s="171"/>
    </row>
    <row r="15" spans="1:11" x14ac:dyDescent="0.2">
      <c r="C15" s="171"/>
      <c r="D15" s="171"/>
      <c r="E15" s="171"/>
      <c r="F15" s="171"/>
      <c r="G15" s="171"/>
      <c r="H15" s="171"/>
      <c r="I15" s="171"/>
      <c r="J15" s="171"/>
      <c r="K15" s="171"/>
    </row>
    <row r="16" spans="1:11" x14ac:dyDescent="0.2">
      <c r="C16" s="171"/>
      <c r="D16" s="171"/>
      <c r="E16" s="171"/>
      <c r="F16" s="171"/>
      <c r="G16" s="171"/>
      <c r="H16" s="171"/>
      <c r="I16" s="171"/>
      <c r="J16" s="171"/>
      <c r="K16" s="171"/>
    </row>
    <row r="17" spans="3:11" x14ac:dyDescent="0.2">
      <c r="C17" s="171"/>
      <c r="D17" s="171"/>
      <c r="E17" s="171"/>
      <c r="F17" s="171"/>
      <c r="G17" s="171"/>
      <c r="H17" s="171"/>
      <c r="I17" s="171"/>
      <c r="J17" s="171"/>
      <c r="K17" s="171"/>
    </row>
    <row r="18" spans="3:11" x14ac:dyDescent="0.2">
      <c r="C18" s="171"/>
      <c r="D18" s="171"/>
      <c r="E18" s="171"/>
      <c r="F18" s="171"/>
      <c r="G18" s="171"/>
      <c r="H18" s="171"/>
      <c r="I18" s="171"/>
      <c r="J18" s="171"/>
      <c r="K18" s="171"/>
    </row>
    <row r="19" spans="3:11" x14ac:dyDescent="0.2">
      <c r="C19" s="171"/>
      <c r="D19" s="171"/>
      <c r="E19" s="171"/>
      <c r="F19" s="171"/>
      <c r="G19" s="171"/>
      <c r="H19" s="171"/>
      <c r="I19" s="171"/>
      <c r="J19" s="171"/>
      <c r="K19" s="171"/>
    </row>
    <row r="20" spans="3:11" x14ac:dyDescent="0.2">
      <c r="C20" s="171"/>
      <c r="D20" s="171"/>
      <c r="E20" s="171"/>
      <c r="F20" s="171"/>
      <c r="G20" s="171"/>
      <c r="H20" s="171"/>
      <c r="I20" s="171"/>
      <c r="J20" s="171"/>
      <c r="K20" s="171"/>
    </row>
    <row r="21" spans="3:11" x14ac:dyDescent="0.2">
      <c r="C21" s="171"/>
      <c r="D21" s="171"/>
      <c r="E21" s="171"/>
      <c r="F21" s="171"/>
      <c r="G21" s="171"/>
      <c r="H21" s="171"/>
      <c r="I21" s="171"/>
      <c r="J21" s="171"/>
      <c r="K21" s="171"/>
    </row>
    <row r="22" spans="3:11" x14ac:dyDescent="0.2">
      <c r="C22" s="171"/>
      <c r="D22" s="171"/>
      <c r="E22" s="171"/>
      <c r="F22" s="171"/>
      <c r="G22" s="171"/>
      <c r="H22" s="171"/>
      <c r="I22" s="171"/>
      <c r="J22" s="171"/>
      <c r="K22" s="171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>
      <selection activeCell="G7" sqref="G7"/>
    </sheetView>
  </sheetViews>
  <sheetFormatPr defaultRowHeight="12.75" x14ac:dyDescent="0.2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40625" style="12"/>
    <col min="70" max="70" width="9.140625" style="5"/>
    <col min="80" max="80" width="9.140625" style="5"/>
    <col min="85" max="85" width="9.140625" style="5"/>
    <col min="90" max="90" width="9.140625" style="5"/>
    <col min="95" max="95" width="9.140625" style="5"/>
    <col min="100" max="100" width="9.140625" style="5"/>
    <col min="105" max="105" width="9.140625" style="5"/>
    <col min="110" max="110" width="9.140625" style="5"/>
    <col min="115" max="115" width="9.140625" style="5"/>
  </cols>
  <sheetData>
    <row r="1" spans="1:115" x14ac:dyDescent="0.2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1.7085945317696874E-2</v>
      </c>
      <c r="V3" s="129">
        <v>-4.0120245968168298E-3</v>
      </c>
      <c r="W3" s="129">
        <v>-3.4179998341133952E-3</v>
      </c>
      <c r="X3" s="129">
        <v>1.0454493318186511E-3</v>
      </c>
      <c r="Y3" s="129">
        <v>3.3426711728124631E-4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1.7935075771652757E-2</v>
      </c>
      <c r="AK3" s="2">
        <v>-1.1758442043343664E-3</v>
      </c>
      <c r="AL3" s="2">
        <v>8.9865120546831737E-4</v>
      </c>
      <c r="AM3" s="2">
        <v>-5.3399711337446613E-6</v>
      </c>
      <c r="AN3" s="2">
        <v>-2.4464198459520764E-5</v>
      </c>
      <c r="AO3" s="2">
        <v>0.15099363940461097</v>
      </c>
      <c r="AP3" s="2">
        <v>-2.7922086930354514E-2</v>
      </c>
      <c r="AQ3" s="2">
        <v>1.1807177024905722E-3</v>
      </c>
      <c r="AR3" s="2">
        <v>-3.8372226507341534E-4</v>
      </c>
      <c r="AS3" s="2">
        <v>-2.6944585951634725E-4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1.7085945317696881E-2</v>
      </c>
      <c r="V4" s="129">
        <v>-4.0120245968168298E-3</v>
      </c>
      <c r="W4" s="129">
        <v>-3.4179998341134013E-3</v>
      </c>
      <c r="X4" s="129">
        <v>1.0454493318186448E-3</v>
      </c>
      <c r="Y4" s="129">
        <v>3.3426711728124761E-4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1.7935075771652757E-2</v>
      </c>
      <c r="AK4" s="2">
        <v>-1.175844204334377E-3</v>
      </c>
      <c r="AL4" s="2">
        <v>8.9865120546834848E-4</v>
      </c>
      <c r="AM4" s="2">
        <v>-5.3399711337455371E-6</v>
      </c>
      <c r="AN4" s="2">
        <v>-2.446419845952748E-5</v>
      </c>
      <c r="AO4" s="2">
        <v>0.15099363940461097</v>
      </c>
      <c r="AP4" s="2">
        <v>-2.7922086930354608E-2</v>
      </c>
      <c r="AQ4" s="2">
        <v>1.1807177024905915E-3</v>
      </c>
      <c r="AR4" s="2">
        <v>-3.8372226507342531E-4</v>
      </c>
      <c r="AS4" s="2">
        <v>-2.6944585951636866E-4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1.7708012138342322E-2</v>
      </c>
      <c r="V5" s="129">
        <v>-2.8279695008549478E-3</v>
      </c>
      <c r="W5" s="129">
        <v>1.2106429440265677E-3</v>
      </c>
      <c r="X5" s="129">
        <v>-2.5863672127834241E-3</v>
      </c>
      <c r="Y5" s="129">
        <v>-3.382547790648207E-4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1.7897505712674042E-2</v>
      </c>
      <c r="AK5" s="2">
        <v>-8.5458689740350237E-4</v>
      </c>
      <c r="AL5" s="2">
        <v>-3.2960858834894054E-4</v>
      </c>
      <c r="AM5" s="2">
        <v>2.5447740256166713E-4</v>
      </c>
      <c r="AN5" s="2">
        <v>-7.0558982216861282E-5</v>
      </c>
      <c r="AO5" s="2">
        <v>0.14409837109289733</v>
      </c>
      <c r="AP5" s="2">
        <v>1.4955102871397289E-3</v>
      </c>
      <c r="AQ5" s="2">
        <v>-8.2465192282224486E-3</v>
      </c>
      <c r="AR5" s="2">
        <v>5.3479927016083654E-3</v>
      </c>
      <c r="AS5" s="2">
        <v>1.1278839893612625E-3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1.7708012138342333E-2</v>
      </c>
      <c r="V6" s="129">
        <v>-2.8279695008549574E-3</v>
      </c>
      <c r="W6" s="129">
        <v>1.2106429440265712E-3</v>
      </c>
      <c r="X6" s="129">
        <v>-2.5863672127834181E-3</v>
      </c>
      <c r="Y6" s="129">
        <v>-3.3825477906481328E-4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1.7897505712674039E-2</v>
      </c>
      <c r="AK6" s="2">
        <v>-8.5458689740349131E-4</v>
      </c>
      <c r="AL6" s="2">
        <v>-3.2960858834898043E-4</v>
      </c>
      <c r="AM6" s="2">
        <v>2.5447740256163412E-4</v>
      </c>
      <c r="AN6" s="2">
        <v>-7.0558982216879199E-5</v>
      </c>
      <c r="AO6" s="2">
        <v>0.14409837109289714</v>
      </c>
      <c r="AP6" s="2">
        <v>1.495510287139733E-3</v>
      </c>
      <c r="AQ6" s="2">
        <v>-8.2465192282224504E-3</v>
      </c>
      <c r="AR6" s="2">
        <v>5.3479927016084495E-3</v>
      </c>
      <c r="AS6" s="2">
        <v>1.127883989361169E-3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1.8945095694482959E-2</v>
      </c>
      <c r="V7" s="129">
        <v>-1.2362568623249281E-3</v>
      </c>
      <c r="W7" s="129">
        <v>4.3511966928410657E-3</v>
      </c>
      <c r="X7" s="129">
        <v>1.5716736615957354E-3</v>
      </c>
      <c r="Y7" s="129">
        <v>8.2114378951469427E-4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1.7528344693767076E-2</v>
      </c>
      <c r="AK7" s="2">
        <v>-6.0668407115197691E-4</v>
      </c>
      <c r="AL7" s="2">
        <v>-3.2856842215116944E-4</v>
      </c>
      <c r="AM7" s="2">
        <v>1.3051842031539099E-4</v>
      </c>
      <c r="AN7" s="2">
        <v>-2.2258842533443965E-5</v>
      </c>
      <c r="AO7" s="2">
        <v>0.13251336613033526</v>
      </c>
      <c r="AP7" s="2">
        <v>3.6453403915022173E-3</v>
      </c>
      <c r="AQ7" s="2">
        <v>-6.4040445572053325E-3</v>
      </c>
      <c r="AR7" s="2">
        <v>-2.2136210513494887E-3</v>
      </c>
      <c r="AS7" s="2">
        <v>-2.9871235818493594E-3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1.8945095694482956E-2</v>
      </c>
      <c r="V8" s="129">
        <v>-1.2362568623249003E-3</v>
      </c>
      <c r="W8" s="129">
        <v>4.3511966928410639E-3</v>
      </c>
      <c r="X8" s="129">
        <v>1.5716736615957454E-3</v>
      </c>
      <c r="Y8" s="129">
        <v>8.2114378951468853E-4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1.7528344693767076E-2</v>
      </c>
      <c r="AK8" s="2">
        <v>-6.0668407115196E-4</v>
      </c>
      <c r="AL8" s="2">
        <v>-3.285684221511857E-4</v>
      </c>
      <c r="AM8" s="2">
        <v>1.3051842031534344E-4</v>
      </c>
      <c r="AN8" s="2">
        <v>-2.2258842533372923E-5</v>
      </c>
      <c r="AO8" s="2">
        <v>0.13251336613033529</v>
      </c>
      <c r="AP8" s="2">
        <v>3.645340391502272E-3</v>
      </c>
      <c r="AQ8" s="2">
        <v>-6.4040445572051989E-3</v>
      </c>
      <c r="AR8" s="2">
        <v>-2.2136210513495585E-3</v>
      </c>
      <c r="AS8" s="2">
        <v>-2.9871235818491725E-3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1.8032704156439615E-2</v>
      </c>
      <c r="V9" s="129">
        <v>1.7387832919158709E-3</v>
      </c>
      <c r="W9" s="129">
        <v>-4.55413317304102E-5</v>
      </c>
      <c r="X9" s="129">
        <v>9.1277677584964236E-4</v>
      </c>
      <c r="Y9" s="129">
        <v>-1.4376437598833734E-3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1.7481835955551799E-2</v>
      </c>
      <c r="AK9" s="2">
        <v>-3.8719191021063608E-4</v>
      </c>
      <c r="AL9" s="2">
        <v>-3.5479389875047297E-4</v>
      </c>
      <c r="AM9" s="2">
        <v>-4.5847185944832804E-6</v>
      </c>
      <c r="AN9" s="2">
        <v>7.7414692960075593E-5</v>
      </c>
      <c r="AO9" s="2">
        <v>0.11981834202229144</v>
      </c>
      <c r="AP9" s="2">
        <v>3.3613889348754061E-3</v>
      </c>
      <c r="AQ9" s="2">
        <v>-7.0215823172689552E-4</v>
      </c>
      <c r="AR9" s="2">
        <v>-6.8084928606501338E-3</v>
      </c>
      <c r="AS9" s="2">
        <v>1.9230198013281696E-3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1.8032704156439625E-2</v>
      </c>
      <c r="V10" s="129">
        <v>1.7387832919158661E-3</v>
      </c>
      <c r="W10" s="129">
        <v>-4.5541331730408723E-5</v>
      </c>
      <c r="X10" s="129">
        <v>9.1277677584964269E-4</v>
      </c>
      <c r="Y10" s="129">
        <v>-1.4376437598833673E-3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1.7481835955551802E-2</v>
      </c>
      <c r="AK10" s="2">
        <v>-3.8719191021067858E-4</v>
      </c>
      <c r="AL10" s="2">
        <v>-3.5479389875048533E-4</v>
      </c>
      <c r="AM10" s="2">
        <v>-4.5847185943964527E-6</v>
      </c>
      <c r="AN10" s="2">
        <v>7.7414692960078589E-5</v>
      </c>
      <c r="AO10" s="2">
        <v>0.11981834202229144</v>
      </c>
      <c r="AP10" s="2">
        <v>3.3613889348754105E-3</v>
      </c>
      <c r="AQ10" s="2">
        <v>-7.0215823172683589E-4</v>
      </c>
      <c r="AR10" s="2">
        <v>-6.8084928606500462E-3</v>
      </c>
      <c r="AS10" s="2">
        <v>1.9230198013278756E-3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1.7703172181257616E-2</v>
      </c>
      <c r="V11" s="129">
        <v>2.4428095993463566E-3</v>
      </c>
      <c r="W11" s="129">
        <v>-5.257683248202315E-4</v>
      </c>
      <c r="X11" s="129">
        <v>-1.1780300213935588E-4</v>
      </c>
      <c r="Y11" s="129">
        <v>-9.0015042561669559E-4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1.7083396154745037E-2</v>
      </c>
      <c r="AK11" s="2">
        <v>-2.2080115836112848E-4</v>
      </c>
      <c r="AL11" s="2">
        <v>-3.9150188300591356E-5</v>
      </c>
      <c r="AM11" s="2">
        <v>-1.9415270566210509E-4</v>
      </c>
      <c r="AN11" s="2">
        <v>2.2492143633912797E-4</v>
      </c>
      <c r="AO11" s="2">
        <v>0.10608320448854421</v>
      </c>
      <c r="AP11" s="2">
        <v>3.369451252177599E-3</v>
      </c>
      <c r="AQ11" s="2">
        <v>1.9588065523764011E-3</v>
      </c>
      <c r="AR11" s="2">
        <v>1.7906303261626462E-3</v>
      </c>
      <c r="AS11" s="2">
        <v>1.5429669923840905E-3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1.7703172181257616E-2</v>
      </c>
      <c r="V12" s="129">
        <v>2.4428095993463462E-3</v>
      </c>
      <c r="W12" s="129">
        <v>-5.2576832482022716E-4</v>
      </c>
      <c r="X12" s="129">
        <v>-1.1780300213934921E-4</v>
      </c>
      <c r="Y12" s="129">
        <v>-9.001504256167189E-4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1.7083396154745037E-2</v>
      </c>
      <c r="AK12" s="2">
        <v>-2.2080115836114718E-4</v>
      </c>
      <c r="AL12" s="2">
        <v>-3.9150188300592813E-5</v>
      </c>
      <c r="AM12" s="2">
        <v>-1.9415270566206232E-4</v>
      </c>
      <c r="AN12" s="2">
        <v>2.2492143633914602E-4</v>
      </c>
      <c r="AO12" s="2">
        <v>0.10608320448854411</v>
      </c>
      <c r="AP12" s="2">
        <v>3.3694512521775222E-3</v>
      </c>
      <c r="AQ12" s="2">
        <v>1.9588065523760646E-3</v>
      </c>
      <c r="AR12" s="2">
        <v>1.7906303261625029E-3</v>
      </c>
      <c r="AS12" s="2">
        <v>1.5429669923843986E-3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1.714530086070995E-2</v>
      </c>
      <c r="V13" s="129">
        <v>3.5929049311814736E-3</v>
      </c>
      <c r="W13" s="129">
        <v>-1.2187689045677988E-3</v>
      </c>
      <c r="X13" s="129">
        <v>-6.8567929134747297E-4</v>
      </c>
      <c r="Y13" s="129">
        <v>1.585842935128246E-3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1.6989084102691399E-2</v>
      </c>
      <c r="AK13" s="2">
        <v>7.1499891920733987E-6</v>
      </c>
      <c r="AL13" s="2">
        <v>-1.5831306838822942E-4</v>
      </c>
      <c r="AM13" s="2">
        <v>-1.8124685563570254E-4</v>
      </c>
      <c r="AN13" s="2">
        <v>6.8338139055895361E-5</v>
      </c>
      <c r="AO13" s="2">
        <v>0.10139149953180163</v>
      </c>
      <c r="AP13" s="2">
        <v>2.5913650290401938E-3</v>
      </c>
      <c r="AQ13" s="2">
        <v>2.4541401887827681E-3</v>
      </c>
      <c r="AR13" s="2">
        <v>1.2615011100009694E-3</v>
      </c>
      <c r="AS13" s="2">
        <v>1.400333416921165E-3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1.714530086070995E-2</v>
      </c>
      <c r="V14" s="129">
        <v>3.5929049311814753E-3</v>
      </c>
      <c r="W14" s="129">
        <v>-1.2187689045677996E-3</v>
      </c>
      <c r="X14" s="129">
        <v>-6.856792913474721E-4</v>
      </c>
      <c r="Y14" s="129">
        <v>1.5858429351282438E-3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1.6989084102691412E-2</v>
      </c>
      <c r="AK14" s="2">
        <v>7.1499891921007426E-6</v>
      </c>
      <c r="AL14" s="2">
        <v>-1.5831306838821866E-4</v>
      </c>
      <c r="AM14" s="2">
        <v>-1.8124685563570691E-4</v>
      </c>
      <c r="AN14" s="2">
        <v>6.8338139055815943E-5</v>
      </c>
      <c r="AO14" s="2">
        <v>0.10139149953180163</v>
      </c>
      <c r="AP14" s="2">
        <v>2.5913650290402416E-3</v>
      </c>
      <c r="AQ14" s="2">
        <v>2.454140188782975E-3</v>
      </c>
      <c r="AR14" s="2">
        <v>1.261501110001034E-3</v>
      </c>
      <c r="AS14" s="2">
        <v>1.4003334169207546E-3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1.714530086070995E-2</v>
      </c>
      <c r="V15" s="129">
        <v>3.5929049311814753E-3</v>
      </c>
      <c r="W15" s="129">
        <v>-1.2187689045677996E-3</v>
      </c>
      <c r="X15" s="129">
        <v>-6.856792913474721E-4</v>
      </c>
      <c r="Y15" s="129">
        <v>1.5858429351282438E-3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1.6660831259651235E-2</v>
      </c>
      <c r="AK15" s="2">
        <v>2.3083485841233762E-4</v>
      </c>
      <c r="AL15" s="2">
        <v>-8.4573056472877716E-5</v>
      </c>
      <c r="AM15" s="2">
        <v>-1.6611903210577602E-4</v>
      </c>
      <c r="AN15" s="2">
        <v>-8.6352649553119316E-5</v>
      </c>
      <c r="AO15" s="2">
        <v>9.6270702598875005E-2</v>
      </c>
      <c r="AP15" s="2">
        <v>3.6032290618645897E-3</v>
      </c>
      <c r="AQ15" s="2">
        <v>3.9133709571110209E-3</v>
      </c>
      <c r="AR15" s="2">
        <v>6.1063930891935424E-4</v>
      </c>
      <c r="AS15" s="2">
        <v>-1.7963634529483464E-3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1.714530086070995E-2</v>
      </c>
      <c r="V16" s="129">
        <v>3.5929049311814753E-3</v>
      </c>
      <c r="W16" s="129">
        <v>-1.2187689045677996E-3</v>
      </c>
      <c r="X16" s="129">
        <v>-6.856792913474721E-4</v>
      </c>
      <c r="Y16" s="129">
        <v>1.5858429351282438E-3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1.6660831259651222E-2</v>
      </c>
      <c r="AK16" s="2">
        <v>2.308348584123093E-4</v>
      </c>
      <c r="AL16" s="2">
        <v>-8.4573056472892191E-5</v>
      </c>
      <c r="AM16" s="2">
        <v>-1.6611903210579E-4</v>
      </c>
      <c r="AN16" s="2">
        <v>-8.6352649553031794E-5</v>
      </c>
      <c r="AO16" s="2">
        <v>9.6270702598875005E-2</v>
      </c>
      <c r="AP16" s="2">
        <v>3.6032290618645949E-3</v>
      </c>
      <c r="AQ16" s="2">
        <v>3.9133709571110295E-3</v>
      </c>
      <c r="AR16" s="2">
        <v>6.1063930891935478E-4</v>
      </c>
      <c r="AS16" s="2">
        <v>-1.7963634529483668E-3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1.714530086070995E-2</v>
      </c>
      <c r="V17" s="129">
        <v>3.5929049311814753E-3</v>
      </c>
      <c r="W17" s="129">
        <v>-1.2187689045677996E-3</v>
      </c>
      <c r="X17" s="129">
        <v>-6.856792913474721E-4</v>
      </c>
      <c r="Y17" s="129">
        <v>1.5858429351282438E-3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1.6380714016481675E-2</v>
      </c>
      <c r="AK17" s="2">
        <v>3.7682234702272627E-4</v>
      </c>
      <c r="AL17" s="2">
        <v>-2.3034118621034314E-5</v>
      </c>
      <c r="AM17" s="2">
        <v>-1.2094737420337116E-4</v>
      </c>
      <c r="AN17" s="2">
        <v>-1.9454006137317205E-4</v>
      </c>
      <c r="AO17" s="2">
        <v>9.6270702598875005E-2</v>
      </c>
      <c r="AP17" s="2">
        <v>3.6032290618645949E-3</v>
      </c>
      <c r="AQ17" s="2">
        <v>3.9133709571110295E-3</v>
      </c>
      <c r="AR17" s="2">
        <v>6.1063930891935478E-4</v>
      </c>
      <c r="AS17" s="2">
        <v>-1.7963634529483668E-3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1.714530086070995E-2</v>
      </c>
      <c r="V18" s="129">
        <v>3.5929049311814753E-3</v>
      </c>
      <c r="W18" s="129">
        <v>-1.2187689045677996E-3</v>
      </c>
      <c r="X18" s="129">
        <v>-6.856792913474721E-4</v>
      </c>
      <c r="Y18" s="129">
        <v>1.5858429351282438E-3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1.6380714016481685E-2</v>
      </c>
      <c r="AK18" s="2">
        <v>3.7682234702273446E-4</v>
      </c>
      <c r="AL18" s="2">
        <v>-2.3034118621027158E-5</v>
      </c>
      <c r="AM18" s="2">
        <v>-1.2094737420334005E-4</v>
      </c>
      <c r="AN18" s="2">
        <v>-1.9454006137314809E-4</v>
      </c>
      <c r="AO18" s="2">
        <v>9.6270702598875005E-2</v>
      </c>
      <c r="AP18" s="2">
        <v>3.6032290618645949E-3</v>
      </c>
      <c r="AQ18" s="2">
        <v>3.9133709571110295E-3</v>
      </c>
      <c r="AR18" s="2">
        <v>6.1063930891935478E-4</v>
      </c>
      <c r="AS18" s="2">
        <v>-1.7963634529483668E-3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1.714530086070995E-2</v>
      </c>
      <c r="V19" s="129">
        <v>3.5929049311814753E-3</v>
      </c>
      <c r="W19" s="129">
        <v>-1.2187689045677996E-3</v>
      </c>
      <c r="X19" s="129">
        <v>-6.856792913474721E-4</v>
      </c>
      <c r="Y19" s="129">
        <v>1.5858429351282438E-3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1.6201314042448248E-2</v>
      </c>
      <c r="AK19" s="2">
        <v>5.6245720001906797E-4</v>
      </c>
      <c r="AL19" s="2">
        <v>5.9800124478950825E-5</v>
      </c>
      <c r="AM19" s="2">
        <v>-1.2898587589591665E-5</v>
      </c>
      <c r="AN19" s="2">
        <v>-1.1266750841870831E-4</v>
      </c>
      <c r="AO19" s="2">
        <v>9.6270702598875005E-2</v>
      </c>
      <c r="AP19" s="2">
        <v>3.6032290618645949E-3</v>
      </c>
      <c r="AQ19" s="2">
        <v>3.9133709571110295E-3</v>
      </c>
      <c r="AR19" s="2">
        <v>6.1063930891935478E-4</v>
      </c>
      <c r="AS19" s="2">
        <v>-1.7963634529483668E-3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1.714530086070995E-2</v>
      </c>
      <c r="V20" s="129">
        <v>3.5929049311814753E-3</v>
      </c>
      <c r="W20" s="129">
        <v>-1.2187689045677996E-3</v>
      </c>
      <c r="X20" s="129">
        <v>-6.856792913474721E-4</v>
      </c>
      <c r="Y20" s="129">
        <v>1.5858429351282438E-3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1.6201314042448255E-2</v>
      </c>
      <c r="AK20" s="2">
        <v>5.6245720001905138E-4</v>
      </c>
      <c r="AL20" s="2">
        <v>5.9800124478938425E-5</v>
      </c>
      <c r="AM20" s="2">
        <v>-1.2898587589628887E-5</v>
      </c>
      <c r="AN20" s="2">
        <v>-1.1266750841871366E-4</v>
      </c>
      <c r="AO20" s="2">
        <v>9.6270702598875005E-2</v>
      </c>
      <c r="AP20" s="2">
        <v>3.6032290618645949E-3</v>
      </c>
      <c r="AQ20" s="2">
        <v>3.9133709571110295E-3</v>
      </c>
      <c r="AR20" s="2">
        <v>6.1063930891935478E-4</v>
      </c>
      <c r="AS20" s="2">
        <v>-1.7963634529483668E-3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1.714530086070995E-2</v>
      </c>
      <c r="V21" s="129">
        <v>3.5929049311814753E-3</v>
      </c>
      <c r="W21" s="129">
        <v>-1.2187689045677996E-3</v>
      </c>
      <c r="X21" s="129">
        <v>-6.856792913474721E-4</v>
      </c>
      <c r="Y21" s="129">
        <v>1.5858429351282438E-3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1.595401406879992E-2</v>
      </c>
      <c r="AK21" s="2">
        <v>7.9837918742903192E-4</v>
      </c>
      <c r="AL21" s="2">
        <v>1.4527955714329182E-4</v>
      </c>
      <c r="AM21" s="2">
        <v>8.763703860732002E-5</v>
      </c>
      <c r="AN21" s="2">
        <v>1.6926561581274356E-5</v>
      </c>
      <c r="AO21" s="2">
        <v>9.6270702598875005E-2</v>
      </c>
      <c r="AP21" s="2">
        <v>3.6032290618645949E-3</v>
      </c>
      <c r="AQ21" s="2">
        <v>3.9133709571110295E-3</v>
      </c>
      <c r="AR21" s="2">
        <v>6.1063930891935478E-4</v>
      </c>
      <c r="AS21" s="2">
        <v>-1.7963634529483668E-3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1.714530086070995E-2</v>
      </c>
      <c r="V22" s="129">
        <v>3.5929049311814753E-3</v>
      </c>
      <c r="W22" s="129">
        <v>-1.2187689045677996E-3</v>
      </c>
      <c r="X22" s="129">
        <v>-6.856792913474721E-4</v>
      </c>
      <c r="Y22" s="129">
        <v>1.5858429351282438E-3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1.595401406879993E-2</v>
      </c>
      <c r="AK22" s="2">
        <v>7.9837918742903442E-4</v>
      </c>
      <c r="AL22" s="2">
        <v>1.4527955714329372E-4</v>
      </c>
      <c r="AM22" s="2">
        <v>8.7637038607331783E-5</v>
      </c>
      <c r="AN22" s="2">
        <v>1.6926561581287166E-5</v>
      </c>
      <c r="AO22" s="2">
        <v>9.6270702598875005E-2</v>
      </c>
      <c r="AP22" s="2">
        <v>3.6032290618645949E-3</v>
      </c>
      <c r="AQ22" s="2">
        <v>3.9133709571110295E-3</v>
      </c>
      <c r="AR22" s="2">
        <v>6.1063930891935478E-4</v>
      </c>
      <c r="AS22" s="2">
        <v>-1.7963634529483668E-3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1.714530086070995E-2</v>
      </c>
      <c r="V23" s="129">
        <v>3.5929049311814753E-3</v>
      </c>
      <c r="W23" s="129">
        <v>-1.2187689045677996E-3</v>
      </c>
      <c r="X23" s="129">
        <v>-6.856792913474721E-4</v>
      </c>
      <c r="Y23" s="129">
        <v>1.5858429351282438E-3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1.5762840140690435E-2</v>
      </c>
      <c r="AK23" s="2">
        <v>9.5742586917003209E-4</v>
      </c>
      <c r="AL23" s="2">
        <v>2.0421536250272794E-4</v>
      </c>
      <c r="AM23" s="2">
        <v>2.1576832723977884E-4</v>
      </c>
      <c r="AN23" s="2">
        <v>1.247944313587297E-4</v>
      </c>
      <c r="AO23" s="2">
        <v>9.6270702598875005E-2</v>
      </c>
      <c r="AP23" s="2">
        <v>3.6032290618645949E-3</v>
      </c>
      <c r="AQ23" s="2">
        <v>3.9133709571110295E-3</v>
      </c>
      <c r="AR23" s="2">
        <v>6.1063930891935478E-4</v>
      </c>
      <c r="AS23" s="2">
        <v>-1.7963634529483668E-3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1.714530086070995E-2</v>
      </c>
      <c r="V24" s="129">
        <v>3.5929049311814753E-3</v>
      </c>
      <c r="W24" s="129">
        <v>-1.2187689045677996E-3</v>
      </c>
      <c r="X24" s="129">
        <v>-6.856792913474721E-4</v>
      </c>
      <c r="Y24" s="129">
        <v>1.5858429351282438E-3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1.5762840140690442E-2</v>
      </c>
      <c r="AK24" s="2">
        <v>9.5742586917002645E-4</v>
      </c>
      <c r="AL24" s="2">
        <v>2.0421536250272288E-4</v>
      </c>
      <c r="AM24" s="2">
        <v>2.1576832723975325E-4</v>
      </c>
      <c r="AN24" s="2">
        <v>1.2479443135870438E-4</v>
      </c>
      <c r="AO24" s="2">
        <v>9.6270702598875005E-2</v>
      </c>
      <c r="AP24" s="2">
        <v>3.6032290618645949E-3</v>
      </c>
      <c r="AQ24" s="2">
        <v>3.9133709571110295E-3</v>
      </c>
      <c r="AR24" s="2">
        <v>6.1063930891935478E-4</v>
      </c>
      <c r="AS24" s="2">
        <v>-1.7963634529483668E-3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1.714530086070995E-2</v>
      </c>
      <c r="V25" s="129">
        <v>3.5929049311814753E-3</v>
      </c>
      <c r="W25" s="129">
        <v>-1.2187689045677996E-3</v>
      </c>
      <c r="X25" s="129">
        <v>-6.856792913474721E-4</v>
      </c>
      <c r="Y25" s="129">
        <v>1.5858429351282438E-3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1.5762840140690442E-2</v>
      </c>
      <c r="AK25" s="2">
        <v>9.5742586917002645E-4</v>
      </c>
      <c r="AL25" s="2">
        <v>2.0421536250272288E-4</v>
      </c>
      <c r="AM25" s="2">
        <v>2.1576832723975325E-4</v>
      </c>
      <c r="AN25" s="2">
        <v>1.2479443135870438E-4</v>
      </c>
      <c r="AO25" s="2">
        <v>9.6270702598875005E-2</v>
      </c>
      <c r="AP25" s="2">
        <v>3.6032290618645949E-3</v>
      </c>
      <c r="AQ25" s="2">
        <v>3.9133709571110295E-3</v>
      </c>
      <c r="AR25" s="2">
        <v>6.1063930891935478E-4</v>
      </c>
      <c r="AS25" s="2">
        <v>-1.7963634529483668E-3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1.714530086070995E-2</v>
      </c>
      <c r="V26" s="129">
        <v>3.5929049311814753E-3</v>
      </c>
      <c r="W26" s="129">
        <v>-1.2187689045677996E-3</v>
      </c>
      <c r="X26" s="129">
        <v>-6.856792913474721E-4</v>
      </c>
      <c r="Y26" s="129">
        <v>1.5858429351282438E-3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1.5762840140690442E-2</v>
      </c>
      <c r="AK26" s="2">
        <v>9.5742586917002645E-4</v>
      </c>
      <c r="AL26" s="2">
        <v>2.0421536250272288E-4</v>
      </c>
      <c r="AM26" s="2">
        <v>2.1576832723975325E-4</v>
      </c>
      <c r="AN26" s="2">
        <v>1.2479443135870438E-4</v>
      </c>
      <c r="AO26" s="2">
        <v>9.6270702598875005E-2</v>
      </c>
      <c r="AP26" s="2">
        <v>3.6032290618645949E-3</v>
      </c>
      <c r="AQ26" s="2">
        <v>3.9133709571110295E-3</v>
      </c>
      <c r="AR26" s="2">
        <v>6.1063930891935478E-4</v>
      </c>
      <c r="AS26" s="2">
        <v>-1.7963634529483668E-3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1.714530086070995E-2</v>
      </c>
      <c r="V27" s="129">
        <v>3.5929049311814753E-3</v>
      </c>
      <c r="W27" s="129">
        <v>-1.2187689045677996E-3</v>
      </c>
      <c r="X27" s="129">
        <v>-6.856792913474721E-4</v>
      </c>
      <c r="Y27" s="129">
        <v>1.5858429351282438E-3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1.5762840140690442E-2</v>
      </c>
      <c r="AK27" s="2">
        <v>9.5742586917002645E-4</v>
      </c>
      <c r="AL27" s="2">
        <v>2.0421536250272288E-4</v>
      </c>
      <c r="AM27" s="2">
        <v>2.1576832723975325E-4</v>
      </c>
      <c r="AN27" s="2">
        <v>1.2479443135870438E-4</v>
      </c>
      <c r="AO27" s="2">
        <v>9.6270702598875005E-2</v>
      </c>
      <c r="AP27" s="2">
        <v>3.6032290618645949E-3</v>
      </c>
      <c r="AQ27" s="2">
        <v>3.9133709571110295E-3</v>
      </c>
      <c r="AR27" s="2">
        <v>6.1063930891935478E-4</v>
      </c>
      <c r="AS27" s="2">
        <v>-1.7963634529483668E-3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1.714530086070995E-2</v>
      </c>
      <c r="V28" s="129">
        <v>3.5929049311814753E-3</v>
      </c>
      <c r="W28" s="129">
        <v>-1.2187689045677996E-3</v>
      </c>
      <c r="X28" s="129">
        <v>-6.856792913474721E-4</v>
      </c>
      <c r="Y28" s="129">
        <v>1.5858429351282438E-3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1.5762840140690442E-2</v>
      </c>
      <c r="AK28" s="2">
        <v>9.5742586917002645E-4</v>
      </c>
      <c r="AL28" s="2">
        <v>2.0421536250272288E-4</v>
      </c>
      <c r="AM28" s="2">
        <v>2.1576832723975325E-4</v>
      </c>
      <c r="AN28" s="2">
        <v>1.2479443135870438E-4</v>
      </c>
      <c r="AO28" s="2">
        <v>9.6270702598875005E-2</v>
      </c>
      <c r="AP28" s="2">
        <v>3.6032290618645949E-3</v>
      </c>
      <c r="AQ28" s="2">
        <v>3.9133709571110295E-3</v>
      </c>
      <c r="AR28" s="2">
        <v>6.1063930891935478E-4</v>
      </c>
      <c r="AS28" s="2">
        <v>-1.7963634529483668E-3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1.714530086070995E-2</v>
      </c>
      <c r="V29" s="129">
        <v>3.5929049311814753E-3</v>
      </c>
      <c r="W29" s="129">
        <v>-1.2187689045677996E-3</v>
      </c>
      <c r="X29" s="129">
        <v>-6.856792913474721E-4</v>
      </c>
      <c r="Y29" s="129">
        <v>1.5858429351282438E-3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1.5762840140690442E-2</v>
      </c>
      <c r="AK29" s="2">
        <v>9.5742586917002645E-4</v>
      </c>
      <c r="AL29" s="2">
        <v>2.0421536250272288E-4</v>
      </c>
      <c r="AM29" s="2">
        <v>2.1576832723975325E-4</v>
      </c>
      <c r="AN29" s="2">
        <v>1.2479443135870438E-4</v>
      </c>
      <c r="AO29" s="2">
        <v>9.6270702598875005E-2</v>
      </c>
      <c r="AP29" s="2">
        <v>3.6032290618645949E-3</v>
      </c>
      <c r="AQ29" s="2">
        <v>3.9133709571110295E-3</v>
      </c>
      <c r="AR29" s="2">
        <v>6.1063930891935478E-4</v>
      </c>
      <c r="AS29" s="2">
        <v>-1.7963634529483668E-3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1.714530086070995E-2</v>
      </c>
      <c r="V30" s="129">
        <v>3.5929049311814753E-3</v>
      </c>
      <c r="W30" s="129">
        <v>-1.2187689045677996E-3</v>
      </c>
      <c r="X30" s="129">
        <v>-6.856792913474721E-4</v>
      </c>
      <c r="Y30" s="129">
        <v>1.5858429351282438E-3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1.5762840140690442E-2</v>
      </c>
      <c r="AK30" s="2">
        <v>9.5742586917002645E-4</v>
      </c>
      <c r="AL30" s="2">
        <v>2.0421536250272288E-4</v>
      </c>
      <c r="AM30" s="2">
        <v>2.1576832723975325E-4</v>
      </c>
      <c r="AN30" s="2">
        <v>1.2479443135870438E-4</v>
      </c>
      <c r="AO30" s="2">
        <v>9.6270702598875005E-2</v>
      </c>
      <c r="AP30" s="2">
        <v>3.6032290618645949E-3</v>
      </c>
      <c r="AQ30" s="2">
        <v>3.9133709571110295E-3</v>
      </c>
      <c r="AR30" s="2">
        <v>6.1063930891935478E-4</v>
      </c>
      <c r="AS30" s="2">
        <v>-1.7963634529483668E-3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1.714530086070995E-2</v>
      </c>
      <c r="V31" s="129">
        <v>3.5929049311814753E-3</v>
      </c>
      <c r="W31" s="129">
        <v>-1.2187689045677996E-3</v>
      </c>
      <c r="X31" s="129">
        <v>-6.856792913474721E-4</v>
      </c>
      <c r="Y31" s="129">
        <v>1.5858429351282438E-3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1.5762840140690442E-2</v>
      </c>
      <c r="AK31" s="2">
        <v>9.5742586917002645E-4</v>
      </c>
      <c r="AL31" s="2">
        <v>2.0421536250272288E-4</v>
      </c>
      <c r="AM31" s="2">
        <v>2.1576832723975325E-4</v>
      </c>
      <c r="AN31" s="2">
        <v>1.2479443135870438E-4</v>
      </c>
      <c r="AO31" s="2">
        <v>9.6270702598875005E-2</v>
      </c>
      <c r="AP31" s="2">
        <v>3.6032290618645949E-3</v>
      </c>
      <c r="AQ31" s="2">
        <v>3.9133709571110295E-3</v>
      </c>
      <c r="AR31" s="2">
        <v>6.1063930891935478E-4</v>
      </c>
      <c r="AS31" s="2">
        <v>-1.7963634529483668E-3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1.714530086070995E-2</v>
      </c>
      <c r="V32" s="129">
        <v>3.5929049311814753E-3</v>
      </c>
      <c r="W32" s="129">
        <v>-1.2187689045677996E-3</v>
      </c>
      <c r="X32" s="129">
        <v>-6.856792913474721E-4</v>
      </c>
      <c r="Y32" s="129">
        <v>1.5858429351282438E-3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1.5762840140690442E-2</v>
      </c>
      <c r="AK32" s="2">
        <v>9.5742586917002645E-4</v>
      </c>
      <c r="AL32" s="2">
        <v>2.0421536250272288E-4</v>
      </c>
      <c r="AM32" s="2">
        <v>2.1576832723975325E-4</v>
      </c>
      <c r="AN32" s="2">
        <v>1.2479443135870438E-4</v>
      </c>
      <c r="AO32" s="2">
        <v>9.6270702598875005E-2</v>
      </c>
      <c r="AP32" s="2">
        <v>3.6032290618645949E-3</v>
      </c>
      <c r="AQ32" s="2">
        <v>3.9133709571110295E-3</v>
      </c>
      <c r="AR32" s="2">
        <v>6.1063930891935478E-4</v>
      </c>
      <c r="AS32" s="2">
        <v>-1.7963634529483668E-3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1.714530086070995E-2</v>
      </c>
      <c r="V33" s="129">
        <v>3.5929049311814753E-3</v>
      </c>
      <c r="W33" s="129">
        <v>-1.2187689045677996E-3</v>
      </c>
      <c r="X33" s="129">
        <v>-6.856792913474721E-4</v>
      </c>
      <c r="Y33" s="129">
        <v>1.5858429351282438E-3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1.5762840140690442E-2</v>
      </c>
      <c r="AK33" s="2">
        <v>9.5742586917002645E-4</v>
      </c>
      <c r="AL33" s="2">
        <v>2.0421536250272288E-4</v>
      </c>
      <c r="AM33" s="2">
        <v>2.1576832723975325E-4</v>
      </c>
      <c r="AN33" s="2">
        <v>1.2479443135870438E-4</v>
      </c>
      <c r="AO33" s="2">
        <v>9.6270702598875005E-2</v>
      </c>
      <c r="AP33" s="2">
        <v>3.6032290618645949E-3</v>
      </c>
      <c r="AQ33" s="2">
        <v>3.9133709571110295E-3</v>
      </c>
      <c r="AR33" s="2">
        <v>6.1063930891935478E-4</v>
      </c>
      <c r="AS33" s="2">
        <v>-1.7963634529483668E-3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1.714530086070995E-2</v>
      </c>
      <c r="V34" s="129">
        <v>3.5929049311814753E-3</v>
      </c>
      <c r="W34" s="129">
        <v>-1.2187689045677996E-3</v>
      </c>
      <c r="X34" s="129">
        <v>-6.856792913474721E-4</v>
      </c>
      <c r="Y34" s="129">
        <v>1.5858429351282438E-3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1.5762840140690442E-2</v>
      </c>
      <c r="AK34" s="2">
        <v>9.5742586917002645E-4</v>
      </c>
      <c r="AL34" s="2">
        <v>2.0421536250272288E-4</v>
      </c>
      <c r="AM34" s="2">
        <v>2.1576832723975325E-4</v>
      </c>
      <c r="AN34" s="2">
        <v>1.2479443135870438E-4</v>
      </c>
      <c r="AO34" s="2">
        <v>9.6270702598875005E-2</v>
      </c>
      <c r="AP34" s="2">
        <v>3.6032290618645949E-3</v>
      </c>
      <c r="AQ34" s="2">
        <v>3.9133709571110295E-3</v>
      </c>
      <c r="AR34" s="2">
        <v>6.1063930891935478E-4</v>
      </c>
      <c r="AS34" s="2">
        <v>-1.7963634529483668E-3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1.714530086070995E-2</v>
      </c>
      <c r="V35" s="129">
        <v>3.5929049311814753E-3</v>
      </c>
      <c r="W35" s="129">
        <v>-1.2187689045677996E-3</v>
      </c>
      <c r="X35" s="129">
        <v>-6.856792913474721E-4</v>
      </c>
      <c r="Y35" s="129">
        <v>1.5858429351282438E-3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1.5762840140690442E-2</v>
      </c>
      <c r="AK35" s="2">
        <v>9.5742586917002645E-4</v>
      </c>
      <c r="AL35" s="2">
        <v>2.0421536250272288E-4</v>
      </c>
      <c r="AM35" s="2">
        <v>2.1576832723975325E-4</v>
      </c>
      <c r="AN35" s="2">
        <v>1.2479443135870438E-4</v>
      </c>
      <c r="AO35" s="2">
        <v>9.6270702598875005E-2</v>
      </c>
      <c r="AP35" s="2">
        <v>3.6032290618645949E-3</v>
      </c>
      <c r="AQ35" s="2">
        <v>3.9133709571110295E-3</v>
      </c>
      <c r="AR35" s="2">
        <v>6.1063930891935478E-4</v>
      </c>
      <c r="AS35" s="2">
        <v>-1.7963634529483668E-3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1.714530086070995E-2</v>
      </c>
      <c r="V36" s="129">
        <v>3.5929049311814753E-3</v>
      </c>
      <c r="W36" s="129">
        <v>-1.2187689045677996E-3</v>
      </c>
      <c r="X36" s="129">
        <v>-6.856792913474721E-4</v>
      </c>
      <c r="Y36" s="129">
        <v>1.5858429351282438E-3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1.5762840140690442E-2</v>
      </c>
      <c r="AK36" s="2">
        <v>9.5742586917002645E-4</v>
      </c>
      <c r="AL36" s="2">
        <v>2.0421536250272288E-4</v>
      </c>
      <c r="AM36" s="2">
        <v>2.1576832723975325E-4</v>
      </c>
      <c r="AN36" s="2">
        <v>1.2479443135870438E-4</v>
      </c>
      <c r="AO36" s="2">
        <v>9.6270702598875005E-2</v>
      </c>
      <c r="AP36" s="2">
        <v>3.6032290618645949E-3</v>
      </c>
      <c r="AQ36" s="2">
        <v>3.9133709571110295E-3</v>
      </c>
      <c r="AR36" s="2">
        <v>6.1063930891935478E-4</v>
      </c>
      <c r="AS36" s="2">
        <v>-1.7963634529483668E-3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1.714530086070995E-2</v>
      </c>
      <c r="V37" s="129">
        <v>3.5929049311814753E-3</v>
      </c>
      <c r="W37" s="129">
        <v>-1.2187689045677996E-3</v>
      </c>
      <c r="X37" s="129">
        <v>-6.856792913474721E-4</v>
      </c>
      <c r="Y37" s="129">
        <v>1.5858429351282438E-3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1.5762840140690442E-2</v>
      </c>
      <c r="AK37" s="2">
        <v>9.5742586917002645E-4</v>
      </c>
      <c r="AL37" s="2">
        <v>2.0421536250272288E-4</v>
      </c>
      <c r="AM37" s="2">
        <v>2.1576832723975325E-4</v>
      </c>
      <c r="AN37" s="2">
        <v>1.2479443135870438E-4</v>
      </c>
      <c r="AO37" s="2">
        <v>9.6270702598875005E-2</v>
      </c>
      <c r="AP37" s="2">
        <v>3.6032290618645949E-3</v>
      </c>
      <c r="AQ37" s="2">
        <v>3.9133709571110295E-3</v>
      </c>
      <c r="AR37" s="2">
        <v>6.1063930891935478E-4</v>
      </c>
      <c r="AS37" s="2">
        <v>-1.7963634529483668E-3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1.714530086070995E-2</v>
      </c>
      <c r="V38" s="129">
        <v>3.5929049311814753E-3</v>
      </c>
      <c r="W38" s="129">
        <v>-1.2187689045677996E-3</v>
      </c>
      <c r="X38" s="129">
        <v>-6.856792913474721E-4</v>
      </c>
      <c r="Y38" s="129">
        <v>1.5858429351282438E-3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1.5762840140690442E-2</v>
      </c>
      <c r="AK38" s="2">
        <v>9.5742586917002645E-4</v>
      </c>
      <c r="AL38" s="2">
        <v>2.0421536250272288E-4</v>
      </c>
      <c r="AM38" s="2">
        <v>2.1576832723975325E-4</v>
      </c>
      <c r="AN38" s="2">
        <v>1.2479443135870438E-4</v>
      </c>
      <c r="AO38" s="2">
        <v>9.6270702598875005E-2</v>
      </c>
      <c r="AP38" s="2">
        <v>3.6032290618645949E-3</v>
      </c>
      <c r="AQ38" s="2">
        <v>3.9133709571110295E-3</v>
      </c>
      <c r="AR38" s="2">
        <v>6.1063930891935478E-4</v>
      </c>
      <c r="AS38" s="2">
        <v>-1.7963634529483668E-3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1.714530086070995E-2</v>
      </c>
      <c r="V39" s="129">
        <v>3.5929049311814753E-3</v>
      </c>
      <c r="W39" s="129">
        <v>-1.2187689045677996E-3</v>
      </c>
      <c r="X39" s="129">
        <v>-6.856792913474721E-4</v>
      </c>
      <c r="Y39" s="129">
        <v>1.5858429351282438E-3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1.5762840140690442E-2</v>
      </c>
      <c r="AK39" s="2">
        <v>9.5742586917002645E-4</v>
      </c>
      <c r="AL39" s="2">
        <v>2.0421536250272288E-4</v>
      </c>
      <c r="AM39" s="2">
        <v>2.1576832723975325E-4</v>
      </c>
      <c r="AN39" s="2">
        <v>1.2479443135870438E-4</v>
      </c>
      <c r="AO39" s="2">
        <v>9.6270702598875005E-2</v>
      </c>
      <c r="AP39" s="2">
        <v>3.6032290618645949E-3</v>
      </c>
      <c r="AQ39" s="2">
        <v>3.9133709571110295E-3</v>
      </c>
      <c r="AR39" s="2">
        <v>6.1063930891935478E-4</v>
      </c>
      <c r="AS39" s="2">
        <v>-1.7963634529483668E-3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1.714530086070995E-2</v>
      </c>
      <c r="V40" s="129">
        <v>3.5929049311814753E-3</v>
      </c>
      <c r="W40" s="129">
        <v>-1.2187689045677996E-3</v>
      </c>
      <c r="X40" s="129">
        <v>-6.856792913474721E-4</v>
      </c>
      <c r="Y40" s="129">
        <v>1.5858429351282438E-3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1.5762840140690442E-2</v>
      </c>
      <c r="AK40" s="2">
        <v>9.5742586917002645E-4</v>
      </c>
      <c r="AL40" s="2">
        <v>2.0421536250272288E-4</v>
      </c>
      <c r="AM40" s="2">
        <v>2.1576832723975325E-4</v>
      </c>
      <c r="AN40" s="2">
        <v>1.2479443135870438E-4</v>
      </c>
      <c r="AO40" s="2">
        <v>9.6270702598875005E-2</v>
      </c>
      <c r="AP40" s="2">
        <v>3.6032290618645949E-3</v>
      </c>
      <c r="AQ40" s="2">
        <v>3.9133709571110295E-3</v>
      </c>
      <c r="AR40" s="2">
        <v>6.1063930891935478E-4</v>
      </c>
      <c r="AS40" s="2">
        <v>-1.7963634529483668E-3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1.714530086070995E-2</v>
      </c>
      <c r="V41" s="129">
        <v>3.5929049311814753E-3</v>
      </c>
      <c r="W41" s="129">
        <v>-1.2187689045677996E-3</v>
      </c>
      <c r="X41" s="129">
        <v>-6.856792913474721E-4</v>
      </c>
      <c r="Y41" s="129">
        <v>1.5858429351282438E-3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1.5762840140690442E-2</v>
      </c>
      <c r="AK41" s="2">
        <v>9.5742586917002645E-4</v>
      </c>
      <c r="AL41" s="2">
        <v>2.0421536250272288E-4</v>
      </c>
      <c r="AM41" s="2">
        <v>2.1576832723975325E-4</v>
      </c>
      <c r="AN41" s="2">
        <v>1.2479443135870438E-4</v>
      </c>
      <c r="AO41" s="2">
        <v>9.6270702598875005E-2</v>
      </c>
      <c r="AP41" s="2">
        <v>3.6032290618645949E-3</v>
      </c>
      <c r="AQ41" s="2">
        <v>3.9133709571110295E-3</v>
      </c>
      <c r="AR41" s="2">
        <v>6.1063930891935478E-4</v>
      </c>
      <c r="AS41" s="2">
        <v>-1.7963634529483668E-3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1.714530086070995E-2</v>
      </c>
      <c r="V42" s="129">
        <v>3.5929049311814753E-3</v>
      </c>
      <c r="W42" s="129">
        <v>-1.2187689045677996E-3</v>
      </c>
      <c r="X42" s="129">
        <v>-6.856792913474721E-4</v>
      </c>
      <c r="Y42" s="129">
        <v>1.5858429351282438E-3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1.5762840140690442E-2</v>
      </c>
      <c r="AK42" s="2">
        <v>9.5742586917002645E-4</v>
      </c>
      <c r="AL42" s="2">
        <v>2.0421536250272288E-4</v>
      </c>
      <c r="AM42" s="2">
        <v>2.1576832723975325E-4</v>
      </c>
      <c r="AN42" s="2">
        <v>1.2479443135870438E-4</v>
      </c>
      <c r="AO42" s="2">
        <v>9.6270702598875005E-2</v>
      </c>
      <c r="AP42" s="2">
        <v>3.6032290618645949E-3</v>
      </c>
      <c r="AQ42" s="2">
        <v>3.9133709571110295E-3</v>
      </c>
      <c r="AR42" s="2">
        <v>6.1063930891935478E-4</v>
      </c>
      <c r="AS42" s="2">
        <v>-1.7963634529483668E-3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1.714530086070995E-2</v>
      </c>
      <c r="V43" s="129">
        <v>3.5929049311814753E-3</v>
      </c>
      <c r="W43" s="129">
        <v>-1.2187689045677996E-3</v>
      </c>
      <c r="X43" s="129">
        <v>-6.856792913474721E-4</v>
      </c>
      <c r="Y43" s="129">
        <v>1.5858429351282438E-3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1.5762840140690442E-2</v>
      </c>
      <c r="AK43" s="2">
        <v>9.5742586917002645E-4</v>
      </c>
      <c r="AL43" s="2">
        <v>2.0421536250272288E-4</v>
      </c>
      <c r="AM43" s="2">
        <v>2.1576832723975325E-4</v>
      </c>
      <c r="AN43" s="2">
        <v>1.2479443135870438E-4</v>
      </c>
      <c r="AO43" s="2">
        <v>9.6270702598875005E-2</v>
      </c>
      <c r="AP43" s="2">
        <v>3.6032290618645949E-3</v>
      </c>
      <c r="AQ43" s="2">
        <v>3.9133709571110295E-3</v>
      </c>
      <c r="AR43" s="2">
        <v>6.1063930891935478E-4</v>
      </c>
      <c r="AS43" s="2">
        <v>-1.7963634529483668E-3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1.714530086070995E-2</v>
      </c>
      <c r="V44" s="129">
        <v>3.5929049311814753E-3</v>
      </c>
      <c r="W44" s="129">
        <v>-1.2187689045677996E-3</v>
      </c>
      <c r="X44" s="129">
        <v>-6.856792913474721E-4</v>
      </c>
      <c r="Y44" s="129">
        <v>1.5858429351282438E-3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1.5762840140690442E-2</v>
      </c>
      <c r="AK44" s="2">
        <v>9.5742586917002645E-4</v>
      </c>
      <c r="AL44" s="2">
        <v>2.0421536250272288E-4</v>
      </c>
      <c r="AM44" s="2">
        <v>2.1576832723975325E-4</v>
      </c>
      <c r="AN44" s="2">
        <v>1.2479443135870438E-4</v>
      </c>
      <c r="AO44" s="2">
        <v>9.6270702598875005E-2</v>
      </c>
      <c r="AP44" s="2">
        <v>3.6032290618645949E-3</v>
      </c>
      <c r="AQ44" s="2">
        <v>3.9133709571110295E-3</v>
      </c>
      <c r="AR44" s="2">
        <v>6.1063930891935478E-4</v>
      </c>
      <c r="AS44" s="2">
        <v>-1.7963634529483668E-3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1.714530086070995E-2</v>
      </c>
      <c r="V45" s="129">
        <v>3.5929049311814753E-3</v>
      </c>
      <c r="W45" s="129">
        <v>-1.2187689045677996E-3</v>
      </c>
      <c r="X45" s="129">
        <v>-6.856792913474721E-4</v>
      </c>
      <c r="Y45" s="129">
        <v>1.5858429351282438E-3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1.5762840140690442E-2</v>
      </c>
      <c r="AK45" s="2">
        <v>9.5742586917002645E-4</v>
      </c>
      <c r="AL45" s="2">
        <v>2.0421536250272288E-4</v>
      </c>
      <c r="AM45" s="2">
        <v>2.1576832723975325E-4</v>
      </c>
      <c r="AN45" s="2">
        <v>1.2479443135870438E-4</v>
      </c>
      <c r="AO45" s="2">
        <v>9.6270702598875005E-2</v>
      </c>
      <c r="AP45" s="2">
        <v>3.6032290618645949E-3</v>
      </c>
      <c r="AQ45" s="2">
        <v>3.9133709571110295E-3</v>
      </c>
      <c r="AR45" s="2">
        <v>6.1063930891935478E-4</v>
      </c>
      <c r="AS45" s="2">
        <v>-1.7963634529483668E-3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1.714530086070995E-2</v>
      </c>
      <c r="V46" s="129">
        <v>3.5929049311814753E-3</v>
      </c>
      <c r="W46" s="129">
        <v>-1.2187689045677996E-3</v>
      </c>
      <c r="X46" s="129">
        <v>-6.856792913474721E-4</v>
      </c>
      <c r="Y46" s="129">
        <v>1.5858429351282438E-3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1.5762840140690442E-2</v>
      </c>
      <c r="AK46" s="2">
        <v>9.5742586917002645E-4</v>
      </c>
      <c r="AL46" s="2">
        <v>2.0421536250272288E-4</v>
      </c>
      <c r="AM46" s="2">
        <v>2.1576832723975325E-4</v>
      </c>
      <c r="AN46" s="2">
        <v>1.2479443135870438E-4</v>
      </c>
      <c r="AO46" s="2">
        <v>9.6270702598875005E-2</v>
      </c>
      <c r="AP46" s="2">
        <v>3.6032290618645949E-3</v>
      </c>
      <c r="AQ46" s="2">
        <v>3.9133709571110295E-3</v>
      </c>
      <c r="AR46" s="2">
        <v>6.1063930891935478E-4</v>
      </c>
      <c r="AS46" s="2">
        <v>-1.7963634529483668E-3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1.714530086070995E-2</v>
      </c>
      <c r="V47" s="129">
        <v>3.5929049311814753E-3</v>
      </c>
      <c r="W47" s="129">
        <v>-1.2187689045677996E-3</v>
      </c>
      <c r="X47" s="129">
        <v>-6.856792913474721E-4</v>
      </c>
      <c r="Y47" s="129">
        <v>1.5858429351282438E-3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1.5762840140690442E-2</v>
      </c>
      <c r="AK47" s="2">
        <v>9.5742586917002645E-4</v>
      </c>
      <c r="AL47" s="2">
        <v>2.0421536250272288E-4</v>
      </c>
      <c r="AM47" s="2">
        <v>2.1576832723975325E-4</v>
      </c>
      <c r="AN47" s="2">
        <v>1.2479443135870438E-4</v>
      </c>
      <c r="AO47" s="2">
        <v>9.6270702598875005E-2</v>
      </c>
      <c r="AP47" s="2">
        <v>3.6032290618645949E-3</v>
      </c>
      <c r="AQ47" s="2">
        <v>3.9133709571110295E-3</v>
      </c>
      <c r="AR47" s="2">
        <v>6.1063930891935478E-4</v>
      </c>
      <c r="AS47" s="2">
        <v>-1.7963634529483668E-3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1.714530086070995E-2</v>
      </c>
      <c r="V48" s="129">
        <v>3.5929049311814753E-3</v>
      </c>
      <c r="W48" s="129">
        <v>-1.2187689045677996E-3</v>
      </c>
      <c r="X48" s="129">
        <v>-6.856792913474721E-4</v>
      </c>
      <c r="Y48" s="129">
        <v>1.5858429351282438E-3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1.5762840140690442E-2</v>
      </c>
      <c r="AK48" s="2">
        <v>9.5742586917002645E-4</v>
      </c>
      <c r="AL48" s="2">
        <v>2.0421536250272288E-4</v>
      </c>
      <c r="AM48" s="2">
        <v>2.1576832723975325E-4</v>
      </c>
      <c r="AN48" s="2">
        <v>1.2479443135870438E-4</v>
      </c>
      <c r="AO48" s="2">
        <v>9.6270702598875005E-2</v>
      </c>
      <c r="AP48" s="2">
        <v>3.6032290618645949E-3</v>
      </c>
      <c r="AQ48" s="2">
        <v>3.9133709571110295E-3</v>
      </c>
      <c r="AR48" s="2">
        <v>6.1063930891935478E-4</v>
      </c>
      <c r="AS48" s="2">
        <v>-1.7963634529483668E-3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1.714530086070995E-2</v>
      </c>
      <c r="V49" s="129">
        <v>3.5929049311814753E-3</v>
      </c>
      <c r="W49" s="129">
        <v>-1.2187689045677996E-3</v>
      </c>
      <c r="X49" s="129">
        <v>-6.856792913474721E-4</v>
      </c>
      <c r="Y49" s="129">
        <v>1.5858429351282438E-3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1.5762840140690442E-2</v>
      </c>
      <c r="AK49" s="2">
        <v>9.5742586917002645E-4</v>
      </c>
      <c r="AL49" s="2">
        <v>2.0421536250272288E-4</v>
      </c>
      <c r="AM49" s="2">
        <v>2.1576832723975325E-4</v>
      </c>
      <c r="AN49" s="2">
        <v>1.2479443135870438E-4</v>
      </c>
      <c r="AO49" s="2">
        <v>9.6270702598875005E-2</v>
      </c>
      <c r="AP49" s="2">
        <v>3.6032290618645949E-3</v>
      </c>
      <c r="AQ49" s="2">
        <v>3.9133709571110295E-3</v>
      </c>
      <c r="AR49" s="2">
        <v>6.1063930891935478E-4</v>
      </c>
      <c r="AS49" s="2">
        <v>-1.7963634529483668E-3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1.714530086070995E-2</v>
      </c>
      <c r="V50" s="129">
        <v>3.5929049311814753E-3</v>
      </c>
      <c r="W50" s="129">
        <v>-1.2187689045677996E-3</v>
      </c>
      <c r="X50" s="129">
        <v>-6.856792913474721E-4</v>
      </c>
      <c r="Y50" s="129">
        <v>1.5858429351282438E-3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1.5762840140690442E-2</v>
      </c>
      <c r="AK50" s="2">
        <v>9.5742586917002645E-4</v>
      </c>
      <c r="AL50" s="2">
        <v>2.0421536250272288E-4</v>
      </c>
      <c r="AM50" s="2">
        <v>2.1576832723975325E-4</v>
      </c>
      <c r="AN50" s="2">
        <v>1.2479443135870438E-4</v>
      </c>
      <c r="AO50" s="2">
        <v>9.6270702598875005E-2</v>
      </c>
      <c r="AP50" s="2">
        <v>3.6032290618645949E-3</v>
      </c>
      <c r="AQ50" s="2">
        <v>3.9133709571110295E-3</v>
      </c>
      <c r="AR50" s="2">
        <v>6.1063930891935478E-4</v>
      </c>
      <c r="AS50" s="2">
        <v>-1.7963634529483668E-3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1.714530086070995E-2</v>
      </c>
      <c r="V51" s="129">
        <v>3.5929049311814753E-3</v>
      </c>
      <c r="W51" s="129">
        <v>-1.2187689045677996E-3</v>
      </c>
      <c r="X51" s="129">
        <v>-6.856792913474721E-4</v>
      </c>
      <c r="Y51" s="129">
        <v>1.5858429351282438E-3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1.5762840140690442E-2</v>
      </c>
      <c r="AK51" s="2">
        <v>9.5742586917002645E-4</v>
      </c>
      <c r="AL51" s="2">
        <v>2.0421536250272288E-4</v>
      </c>
      <c r="AM51" s="2">
        <v>2.1576832723975325E-4</v>
      </c>
      <c r="AN51" s="2">
        <v>1.2479443135870438E-4</v>
      </c>
      <c r="AO51" s="2">
        <v>9.6270702598875005E-2</v>
      </c>
      <c r="AP51" s="2">
        <v>3.6032290618645949E-3</v>
      </c>
      <c r="AQ51" s="2">
        <v>3.9133709571110295E-3</v>
      </c>
      <c r="AR51" s="2">
        <v>6.1063930891935478E-4</v>
      </c>
      <c r="AS51" s="2">
        <v>-1.7963634529483668E-3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1.714530086070995E-2</v>
      </c>
      <c r="V52" s="129">
        <v>3.5929049311814753E-3</v>
      </c>
      <c r="W52" s="129">
        <v>-1.2187689045677996E-3</v>
      </c>
      <c r="X52" s="129">
        <v>-6.856792913474721E-4</v>
      </c>
      <c r="Y52" s="129">
        <v>1.5858429351282438E-3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1.5762840140690442E-2</v>
      </c>
      <c r="AK52" s="2">
        <v>9.5742586917002645E-4</v>
      </c>
      <c r="AL52" s="2">
        <v>2.0421536250272288E-4</v>
      </c>
      <c r="AM52" s="2">
        <v>2.1576832723975325E-4</v>
      </c>
      <c r="AN52" s="2">
        <v>1.2479443135870438E-4</v>
      </c>
      <c r="AO52" s="2">
        <v>9.6270702598875005E-2</v>
      </c>
      <c r="AP52" s="2">
        <v>3.6032290618645949E-3</v>
      </c>
      <c r="AQ52" s="2">
        <v>3.9133709571110295E-3</v>
      </c>
      <c r="AR52" s="2">
        <v>6.1063930891935478E-4</v>
      </c>
      <c r="AS52" s="2">
        <v>-1.7963634529483668E-3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1.714530086070995E-2</v>
      </c>
      <c r="V53" s="129">
        <v>3.5929049311814753E-3</v>
      </c>
      <c r="W53" s="129">
        <v>-1.2187689045677996E-3</v>
      </c>
      <c r="X53" s="129">
        <v>-6.856792913474721E-4</v>
      </c>
      <c r="Y53" s="129">
        <v>1.5858429351282438E-3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1.5762840140690442E-2</v>
      </c>
      <c r="AK53" s="2">
        <v>9.5742586917002645E-4</v>
      </c>
      <c r="AL53" s="2">
        <v>2.0421536250272288E-4</v>
      </c>
      <c r="AM53" s="2">
        <v>2.1576832723975325E-4</v>
      </c>
      <c r="AN53" s="2">
        <v>1.2479443135870438E-4</v>
      </c>
      <c r="AO53" s="2">
        <v>9.6270702598875005E-2</v>
      </c>
      <c r="AP53" s="2">
        <v>3.6032290618645949E-3</v>
      </c>
      <c r="AQ53" s="2">
        <v>3.9133709571110295E-3</v>
      </c>
      <c r="AR53" s="2">
        <v>6.1063930891935478E-4</v>
      </c>
      <c r="AS53" s="2">
        <v>-1.7963634529483668E-3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1.714530086070995E-2</v>
      </c>
      <c r="V54" s="129">
        <v>3.5929049311814753E-3</v>
      </c>
      <c r="W54" s="129">
        <v>-1.2187689045677996E-3</v>
      </c>
      <c r="X54" s="129">
        <v>-6.856792913474721E-4</v>
      </c>
      <c r="Y54" s="129">
        <v>1.5858429351282438E-3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1.5762840140690442E-2</v>
      </c>
      <c r="AK54" s="2">
        <v>9.5742586917002645E-4</v>
      </c>
      <c r="AL54" s="2">
        <v>2.0421536250272288E-4</v>
      </c>
      <c r="AM54" s="2">
        <v>2.1576832723975325E-4</v>
      </c>
      <c r="AN54" s="2">
        <v>1.2479443135870438E-4</v>
      </c>
      <c r="AO54" s="2">
        <v>9.6270702598875005E-2</v>
      </c>
      <c r="AP54" s="2">
        <v>3.6032290618645949E-3</v>
      </c>
      <c r="AQ54" s="2">
        <v>3.9133709571110295E-3</v>
      </c>
      <c r="AR54" s="2">
        <v>6.1063930891935478E-4</v>
      </c>
      <c r="AS54" s="2">
        <v>-1.7963634529483668E-3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1.714530086070995E-2</v>
      </c>
      <c r="V55" s="129">
        <v>3.5929049311814753E-3</v>
      </c>
      <c r="W55" s="129">
        <v>-1.2187689045677996E-3</v>
      </c>
      <c r="X55" s="129">
        <v>-6.856792913474721E-4</v>
      </c>
      <c r="Y55" s="129">
        <v>1.5858429351282438E-3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1.5762840140690442E-2</v>
      </c>
      <c r="AK55" s="2">
        <v>9.5742586917002645E-4</v>
      </c>
      <c r="AL55" s="2">
        <v>2.0421536250272288E-4</v>
      </c>
      <c r="AM55" s="2">
        <v>2.1576832723975325E-4</v>
      </c>
      <c r="AN55" s="2">
        <v>1.2479443135870438E-4</v>
      </c>
      <c r="AO55" s="2">
        <v>9.6270702598875005E-2</v>
      </c>
      <c r="AP55" s="2">
        <v>3.6032290618645949E-3</v>
      </c>
      <c r="AQ55" s="2">
        <v>3.9133709571110295E-3</v>
      </c>
      <c r="AR55" s="2">
        <v>6.1063930891935478E-4</v>
      </c>
      <c r="AS55" s="2">
        <v>-1.7963634529483668E-3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1.714530086070995E-2</v>
      </c>
      <c r="V56" s="129">
        <v>3.5929049311814753E-3</v>
      </c>
      <c r="W56" s="129">
        <v>-1.2187689045677996E-3</v>
      </c>
      <c r="X56" s="129">
        <v>-6.856792913474721E-4</v>
      </c>
      <c r="Y56" s="129">
        <v>1.5858429351282438E-3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1.5762840140690442E-2</v>
      </c>
      <c r="AK56" s="2">
        <v>9.5742586917002645E-4</v>
      </c>
      <c r="AL56" s="2">
        <v>2.0421536250272288E-4</v>
      </c>
      <c r="AM56" s="2">
        <v>2.1576832723975325E-4</v>
      </c>
      <c r="AN56" s="2">
        <v>1.2479443135870438E-4</v>
      </c>
      <c r="AO56" s="2">
        <v>9.6270702598875005E-2</v>
      </c>
      <c r="AP56" s="2">
        <v>3.6032290618645949E-3</v>
      </c>
      <c r="AQ56" s="2">
        <v>3.9133709571110295E-3</v>
      </c>
      <c r="AR56" s="2">
        <v>6.1063930891935478E-4</v>
      </c>
      <c r="AS56" s="2">
        <v>-1.7963634529483668E-3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1.714530086070995E-2</v>
      </c>
      <c r="V57" s="129">
        <v>3.5929049311814753E-3</v>
      </c>
      <c r="W57" s="129">
        <v>-1.2187689045677996E-3</v>
      </c>
      <c r="X57" s="129">
        <v>-6.856792913474721E-4</v>
      </c>
      <c r="Y57" s="129">
        <v>1.5858429351282438E-3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1.5762840140690442E-2</v>
      </c>
      <c r="AK57" s="2">
        <v>9.5742586917002645E-4</v>
      </c>
      <c r="AL57" s="2">
        <v>2.0421536250272288E-4</v>
      </c>
      <c r="AM57" s="2">
        <v>2.1576832723975325E-4</v>
      </c>
      <c r="AN57" s="2">
        <v>1.2479443135870438E-4</v>
      </c>
      <c r="AO57" s="2">
        <v>9.6270702598875005E-2</v>
      </c>
      <c r="AP57" s="2">
        <v>3.6032290618645949E-3</v>
      </c>
      <c r="AQ57" s="2">
        <v>3.9133709571110295E-3</v>
      </c>
      <c r="AR57" s="2">
        <v>6.1063930891935478E-4</v>
      </c>
      <c r="AS57" s="2">
        <v>-1.7963634529483668E-3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1.714530086070995E-2</v>
      </c>
      <c r="V58" s="129">
        <v>3.5929049311814753E-3</v>
      </c>
      <c r="W58" s="129">
        <v>-1.2187689045677996E-3</v>
      </c>
      <c r="X58" s="129">
        <v>-6.856792913474721E-4</v>
      </c>
      <c r="Y58" s="129">
        <v>1.5858429351282438E-3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1.5762840140690442E-2</v>
      </c>
      <c r="AK58" s="2">
        <v>9.5742586917002645E-4</v>
      </c>
      <c r="AL58" s="2">
        <v>2.0421536250272288E-4</v>
      </c>
      <c r="AM58" s="2">
        <v>2.1576832723975325E-4</v>
      </c>
      <c r="AN58" s="2">
        <v>1.2479443135870438E-4</v>
      </c>
      <c r="AO58" s="2">
        <v>9.6270702598875005E-2</v>
      </c>
      <c r="AP58" s="2">
        <v>3.6032290618645949E-3</v>
      </c>
      <c r="AQ58" s="2">
        <v>3.9133709571110295E-3</v>
      </c>
      <c r="AR58" s="2">
        <v>6.1063930891935478E-4</v>
      </c>
      <c r="AS58" s="2">
        <v>-1.7963634529483668E-3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1.714530086070995E-2</v>
      </c>
      <c r="V59" s="129">
        <v>3.5929049311814753E-3</v>
      </c>
      <c r="W59" s="129">
        <v>-1.2187689045677996E-3</v>
      </c>
      <c r="X59" s="129">
        <v>-6.856792913474721E-4</v>
      </c>
      <c r="Y59" s="129">
        <v>1.5858429351282438E-3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1.5762840140690442E-2</v>
      </c>
      <c r="AK59" s="2">
        <v>9.5742586917002645E-4</v>
      </c>
      <c r="AL59" s="2">
        <v>2.0421536250272288E-4</v>
      </c>
      <c r="AM59" s="2">
        <v>2.1576832723975325E-4</v>
      </c>
      <c r="AN59" s="2">
        <v>1.2479443135870438E-4</v>
      </c>
      <c r="AO59" s="2">
        <v>9.6270702598875005E-2</v>
      </c>
      <c r="AP59" s="2">
        <v>3.6032290618645949E-3</v>
      </c>
      <c r="AQ59" s="2">
        <v>3.9133709571110295E-3</v>
      </c>
      <c r="AR59" s="2">
        <v>6.1063930891935478E-4</v>
      </c>
      <c r="AS59" s="2">
        <v>-1.7963634529483668E-3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1.714530086070995E-2</v>
      </c>
      <c r="V60" s="129">
        <v>3.5929049311814753E-3</v>
      </c>
      <c r="W60" s="129">
        <v>-1.2187689045677996E-3</v>
      </c>
      <c r="X60" s="129">
        <v>-6.856792913474721E-4</v>
      </c>
      <c r="Y60" s="129">
        <v>1.5858429351282438E-3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1.5762840140690442E-2</v>
      </c>
      <c r="AK60" s="2">
        <v>9.5742586917002645E-4</v>
      </c>
      <c r="AL60" s="2">
        <v>2.0421536250272288E-4</v>
      </c>
      <c r="AM60" s="2">
        <v>2.1576832723975325E-4</v>
      </c>
      <c r="AN60" s="2">
        <v>1.2479443135870438E-4</v>
      </c>
      <c r="AO60" s="2">
        <v>9.6270702598875005E-2</v>
      </c>
      <c r="AP60" s="2">
        <v>3.6032290618645949E-3</v>
      </c>
      <c r="AQ60" s="2">
        <v>3.9133709571110295E-3</v>
      </c>
      <c r="AR60" s="2">
        <v>6.1063930891935478E-4</v>
      </c>
      <c r="AS60" s="2">
        <v>-1.7963634529483668E-3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1.714530086070995E-2</v>
      </c>
      <c r="V61" s="129">
        <v>3.5929049311814753E-3</v>
      </c>
      <c r="W61" s="129">
        <v>-1.2187689045677996E-3</v>
      </c>
      <c r="X61" s="129">
        <v>-6.856792913474721E-4</v>
      </c>
      <c r="Y61" s="129">
        <v>1.5858429351282438E-3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1.5762840140690442E-2</v>
      </c>
      <c r="AK61" s="2">
        <v>9.5742586917002645E-4</v>
      </c>
      <c r="AL61" s="2">
        <v>2.0421536250272288E-4</v>
      </c>
      <c r="AM61" s="2">
        <v>2.1576832723975325E-4</v>
      </c>
      <c r="AN61" s="2">
        <v>1.2479443135870438E-4</v>
      </c>
      <c r="AO61" s="2">
        <v>9.6270702598875005E-2</v>
      </c>
      <c r="AP61" s="2">
        <v>3.6032290618645949E-3</v>
      </c>
      <c r="AQ61" s="2">
        <v>3.9133709571110295E-3</v>
      </c>
      <c r="AR61" s="2">
        <v>6.1063930891935478E-4</v>
      </c>
      <c r="AS61" s="2">
        <v>-1.7963634529483668E-3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1.714530086070995E-2</v>
      </c>
      <c r="V62" s="129">
        <v>3.5929049311814753E-3</v>
      </c>
      <c r="W62" s="129">
        <v>-1.2187689045677996E-3</v>
      </c>
      <c r="X62" s="129">
        <v>-6.856792913474721E-4</v>
      </c>
      <c r="Y62" s="129">
        <v>1.5858429351282438E-3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1.5762840140690442E-2</v>
      </c>
      <c r="AK62" s="2">
        <v>9.5742586917002645E-4</v>
      </c>
      <c r="AL62" s="2">
        <v>2.0421536250272288E-4</v>
      </c>
      <c r="AM62" s="2">
        <v>2.1576832723975325E-4</v>
      </c>
      <c r="AN62" s="2">
        <v>1.2479443135870438E-4</v>
      </c>
      <c r="AO62" s="2">
        <v>9.6270702598875005E-2</v>
      </c>
      <c r="AP62" s="2">
        <v>3.6032290618645949E-3</v>
      </c>
      <c r="AQ62" s="2">
        <v>3.9133709571110295E-3</v>
      </c>
      <c r="AR62" s="2">
        <v>6.1063930891935478E-4</v>
      </c>
      <c r="AS62" s="2">
        <v>-1.7963634529483668E-3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1.714530086070995E-2</v>
      </c>
      <c r="V63" s="129">
        <v>3.5929049311814753E-3</v>
      </c>
      <c r="W63" s="129">
        <v>-1.2187689045677996E-3</v>
      </c>
      <c r="X63" s="129">
        <v>-6.856792913474721E-4</v>
      </c>
      <c r="Y63" s="129">
        <v>1.5858429351282438E-3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1.5762840140690442E-2</v>
      </c>
      <c r="AK63" s="2">
        <v>9.5742586917002645E-4</v>
      </c>
      <c r="AL63" s="2">
        <v>2.0421536250272288E-4</v>
      </c>
      <c r="AM63" s="2">
        <v>2.1576832723975325E-4</v>
      </c>
      <c r="AN63" s="2">
        <v>1.2479443135870438E-4</v>
      </c>
      <c r="AO63" s="2">
        <v>9.6270702598875005E-2</v>
      </c>
      <c r="AP63" s="2">
        <v>3.6032290618645949E-3</v>
      </c>
      <c r="AQ63" s="2">
        <v>3.9133709571110295E-3</v>
      </c>
      <c r="AR63" s="2">
        <v>6.1063930891935478E-4</v>
      </c>
      <c r="AS63" s="2">
        <v>-1.7963634529483668E-3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1.714530086070995E-2</v>
      </c>
      <c r="V64" s="129">
        <v>3.5929049311814753E-3</v>
      </c>
      <c r="W64" s="129">
        <v>-1.2187689045677996E-3</v>
      </c>
      <c r="X64" s="129">
        <v>-6.856792913474721E-4</v>
      </c>
      <c r="Y64" s="129">
        <v>1.5858429351282438E-3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1.5762840140690442E-2</v>
      </c>
      <c r="AK64" s="2">
        <v>9.5742586917002645E-4</v>
      </c>
      <c r="AL64" s="2">
        <v>2.0421536250272288E-4</v>
      </c>
      <c r="AM64" s="2">
        <v>2.1576832723975325E-4</v>
      </c>
      <c r="AN64" s="2">
        <v>1.2479443135870438E-4</v>
      </c>
      <c r="AO64" s="2">
        <v>9.6270702598875005E-2</v>
      </c>
      <c r="AP64" s="2">
        <v>3.6032290618645949E-3</v>
      </c>
      <c r="AQ64" s="2">
        <v>3.9133709571110295E-3</v>
      </c>
      <c r="AR64" s="2">
        <v>6.1063930891935478E-4</v>
      </c>
      <c r="AS64" s="2">
        <v>-1.7963634529483668E-3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1.714530086070995E-2</v>
      </c>
      <c r="V65" s="129">
        <v>3.5929049311814753E-3</v>
      </c>
      <c r="W65" s="129">
        <v>-1.2187689045677996E-3</v>
      </c>
      <c r="X65" s="129">
        <v>-6.856792913474721E-4</v>
      </c>
      <c r="Y65" s="129">
        <v>1.5858429351282438E-3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1.5762840140690442E-2</v>
      </c>
      <c r="AK65" s="2">
        <v>9.5742586917002645E-4</v>
      </c>
      <c r="AL65" s="2">
        <v>2.0421536250272288E-4</v>
      </c>
      <c r="AM65" s="2">
        <v>2.1576832723975325E-4</v>
      </c>
      <c r="AN65" s="2">
        <v>1.2479443135870438E-4</v>
      </c>
      <c r="AO65" s="2">
        <v>9.6270702598875005E-2</v>
      </c>
      <c r="AP65" s="2">
        <v>3.6032290618645949E-3</v>
      </c>
      <c r="AQ65" s="2">
        <v>3.9133709571110295E-3</v>
      </c>
      <c r="AR65" s="2">
        <v>6.1063930891935478E-4</v>
      </c>
      <c r="AS65" s="2">
        <v>-1.7963634529483668E-3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1.714530086070995E-2</v>
      </c>
      <c r="V66" s="129">
        <v>3.5929049311814753E-3</v>
      </c>
      <c r="W66" s="129">
        <v>-1.2187689045677996E-3</v>
      </c>
      <c r="X66" s="129">
        <v>-6.856792913474721E-4</v>
      </c>
      <c r="Y66" s="129">
        <v>1.5858429351282438E-3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1.5762840140690442E-2</v>
      </c>
      <c r="AK66" s="2">
        <v>9.5742586917002645E-4</v>
      </c>
      <c r="AL66" s="2">
        <v>2.0421536250272288E-4</v>
      </c>
      <c r="AM66" s="2">
        <v>2.1576832723975325E-4</v>
      </c>
      <c r="AN66" s="2">
        <v>1.2479443135870438E-4</v>
      </c>
      <c r="AO66" s="2">
        <v>9.6270702598875005E-2</v>
      </c>
      <c r="AP66" s="2">
        <v>3.6032290618645949E-3</v>
      </c>
      <c r="AQ66" s="2">
        <v>3.9133709571110295E-3</v>
      </c>
      <c r="AR66" s="2">
        <v>6.1063930891935478E-4</v>
      </c>
      <c r="AS66" s="2">
        <v>-1.7963634529483668E-3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1.714530086070995E-2</v>
      </c>
      <c r="V67" s="129">
        <v>3.5929049311814753E-3</v>
      </c>
      <c r="W67" s="129">
        <v>-1.2187689045677996E-3</v>
      </c>
      <c r="X67" s="129">
        <v>-6.856792913474721E-4</v>
      </c>
      <c r="Y67" s="129">
        <v>1.5858429351282438E-3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1.5762840140690442E-2</v>
      </c>
      <c r="AK67" s="2">
        <v>9.5742586917002645E-4</v>
      </c>
      <c r="AL67" s="2">
        <v>2.0421536250272288E-4</v>
      </c>
      <c r="AM67" s="2">
        <v>2.1576832723975325E-4</v>
      </c>
      <c r="AN67" s="2">
        <v>1.2479443135870438E-4</v>
      </c>
      <c r="AO67" s="2">
        <v>9.6270702598875005E-2</v>
      </c>
      <c r="AP67" s="2">
        <v>3.6032290618645949E-3</v>
      </c>
      <c r="AQ67" s="2">
        <v>3.9133709571110295E-3</v>
      </c>
      <c r="AR67" s="2">
        <v>6.1063930891935478E-4</v>
      </c>
      <c r="AS67" s="2">
        <v>-1.7963634529483668E-3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1.714530086070995E-2</v>
      </c>
      <c r="V68" s="129">
        <v>3.5929049311814753E-3</v>
      </c>
      <c r="W68" s="129">
        <v>-1.2187689045677996E-3</v>
      </c>
      <c r="X68" s="129">
        <v>-6.856792913474721E-4</v>
      </c>
      <c r="Y68" s="129">
        <v>1.5858429351282438E-3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1.5762840140690442E-2</v>
      </c>
      <c r="AK68" s="2">
        <v>9.5742586917002645E-4</v>
      </c>
      <c r="AL68" s="2">
        <v>2.0421536250272288E-4</v>
      </c>
      <c r="AM68" s="2">
        <v>2.1576832723975325E-4</v>
      </c>
      <c r="AN68" s="2">
        <v>1.2479443135870438E-4</v>
      </c>
      <c r="AO68" s="2">
        <v>9.6270702598875005E-2</v>
      </c>
      <c r="AP68" s="2">
        <v>3.6032290618645949E-3</v>
      </c>
      <c r="AQ68" s="2">
        <v>3.9133709571110295E-3</v>
      </c>
      <c r="AR68" s="2">
        <v>6.1063930891935478E-4</v>
      </c>
      <c r="AS68" s="2">
        <v>-1.7963634529483668E-3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1.714530086070995E-2</v>
      </c>
      <c r="V69" s="129">
        <v>3.5929049311814753E-3</v>
      </c>
      <c r="W69" s="129">
        <v>-1.2187689045677996E-3</v>
      </c>
      <c r="X69" s="129">
        <v>-6.856792913474721E-4</v>
      </c>
      <c r="Y69" s="129">
        <v>1.5858429351282438E-3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1.5762840140690442E-2</v>
      </c>
      <c r="AK69" s="2">
        <v>9.5742586917002645E-4</v>
      </c>
      <c r="AL69" s="2">
        <v>2.0421536250272288E-4</v>
      </c>
      <c r="AM69" s="2">
        <v>2.1576832723975325E-4</v>
      </c>
      <c r="AN69" s="2">
        <v>1.2479443135870438E-4</v>
      </c>
      <c r="AO69" s="2">
        <v>9.6270702598875005E-2</v>
      </c>
      <c r="AP69" s="2">
        <v>3.6032290618645949E-3</v>
      </c>
      <c r="AQ69" s="2">
        <v>3.9133709571110295E-3</v>
      </c>
      <c r="AR69" s="2">
        <v>6.1063930891935478E-4</v>
      </c>
      <c r="AS69" s="2">
        <v>-1.7963634529483668E-3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1.714530086070995E-2</v>
      </c>
      <c r="V70" s="129">
        <v>3.5929049311814753E-3</v>
      </c>
      <c r="W70" s="129">
        <v>-1.2187689045677996E-3</v>
      </c>
      <c r="X70" s="129">
        <v>-6.856792913474721E-4</v>
      </c>
      <c r="Y70" s="129">
        <v>1.5858429351282438E-3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1.5762840140690442E-2</v>
      </c>
      <c r="AK70" s="2">
        <v>9.5742586917002645E-4</v>
      </c>
      <c r="AL70" s="2">
        <v>2.0421536250272288E-4</v>
      </c>
      <c r="AM70" s="2">
        <v>2.1576832723975325E-4</v>
      </c>
      <c r="AN70" s="2">
        <v>1.2479443135870438E-4</v>
      </c>
      <c r="AO70" s="2">
        <v>9.6270702598875005E-2</v>
      </c>
      <c r="AP70" s="2">
        <v>3.6032290618645949E-3</v>
      </c>
      <c r="AQ70" s="2">
        <v>3.9133709571110295E-3</v>
      </c>
      <c r="AR70" s="2">
        <v>6.1063930891935478E-4</v>
      </c>
      <c r="AS70" s="2">
        <v>-1.7963634529483668E-3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1.714530086070995E-2</v>
      </c>
      <c r="V71" s="129">
        <v>3.5929049311814753E-3</v>
      </c>
      <c r="W71" s="129">
        <v>-1.2187689045677996E-3</v>
      </c>
      <c r="X71" s="129">
        <v>-6.856792913474721E-4</v>
      </c>
      <c r="Y71" s="129">
        <v>1.5858429351282438E-3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1.5762840140690442E-2</v>
      </c>
      <c r="AK71" s="2">
        <v>9.5742586917002645E-4</v>
      </c>
      <c r="AL71" s="2">
        <v>2.0421536250272288E-4</v>
      </c>
      <c r="AM71" s="2">
        <v>2.1576832723975325E-4</v>
      </c>
      <c r="AN71" s="2">
        <v>1.2479443135870438E-4</v>
      </c>
      <c r="AO71" s="2">
        <v>9.6270702598875005E-2</v>
      </c>
      <c r="AP71" s="2">
        <v>3.6032290618645949E-3</v>
      </c>
      <c r="AQ71" s="2">
        <v>3.9133709571110295E-3</v>
      </c>
      <c r="AR71" s="2">
        <v>6.1063930891935478E-4</v>
      </c>
      <c r="AS71" s="2">
        <v>-1.7963634529483668E-3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1.714530086070995E-2</v>
      </c>
      <c r="V72" s="129">
        <v>3.5929049311814753E-3</v>
      </c>
      <c r="W72" s="129">
        <v>-1.2187689045677996E-3</v>
      </c>
      <c r="X72" s="129">
        <v>-6.856792913474721E-4</v>
      </c>
      <c r="Y72" s="129">
        <v>1.5858429351282438E-3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1.5762840140690442E-2</v>
      </c>
      <c r="AK72" s="2">
        <v>9.5742586917002645E-4</v>
      </c>
      <c r="AL72" s="2">
        <v>2.0421536250272288E-4</v>
      </c>
      <c r="AM72" s="2">
        <v>2.1576832723975325E-4</v>
      </c>
      <c r="AN72" s="2">
        <v>1.2479443135870438E-4</v>
      </c>
      <c r="AO72" s="2">
        <v>9.6270702598875005E-2</v>
      </c>
      <c r="AP72" s="2">
        <v>3.6032290618645949E-3</v>
      </c>
      <c r="AQ72" s="2">
        <v>3.9133709571110295E-3</v>
      </c>
      <c r="AR72" s="2">
        <v>6.1063930891935478E-4</v>
      </c>
      <c r="AS72" s="2">
        <v>-1.7963634529483668E-3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1.714530086070995E-2</v>
      </c>
      <c r="V73" s="129">
        <v>3.5929049311814753E-3</v>
      </c>
      <c r="W73" s="129">
        <v>-1.2187689045677996E-3</v>
      </c>
      <c r="X73" s="129">
        <v>-6.856792913474721E-4</v>
      </c>
      <c r="Y73" s="129">
        <v>1.5858429351282438E-3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1.5762840140690442E-2</v>
      </c>
      <c r="AK73" s="2">
        <v>9.5742586917002645E-4</v>
      </c>
      <c r="AL73" s="2">
        <v>2.0421536250272288E-4</v>
      </c>
      <c r="AM73" s="2">
        <v>2.1576832723975325E-4</v>
      </c>
      <c r="AN73" s="2">
        <v>1.2479443135870438E-4</v>
      </c>
      <c r="AO73" s="2">
        <v>9.6270702598875005E-2</v>
      </c>
      <c r="AP73" s="2">
        <v>3.6032290618645949E-3</v>
      </c>
      <c r="AQ73" s="2">
        <v>3.9133709571110295E-3</v>
      </c>
      <c r="AR73" s="2">
        <v>6.1063930891935478E-4</v>
      </c>
      <c r="AS73" s="2">
        <v>-1.7963634529483668E-3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1.714530086070995E-2</v>
      </c>
      <c r="V74" s="129">
        <v>3.5929049311814753E-3</v>
      </c>
      <c r="W74" s="129">
        <v>-1.2187689045677996E-3</v>
      </c>
      <c r="X74" s="129">
        <v>-6.856792913474721E-4</v>
      </c>
      <c r="Y74" s="129">
        <v>1.5858429351282438E-3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1.5762840140690442E-2</v>
      </c>
      <c r="AK74" s="2">
        <v>9.5742586917002645E-4</v>
      </c>
      <c r="AL74" s="2">
        <v>2.0421536250272288E-4</v>
      </c>
      <c r="AM74" s="2">
        <v>2.1576832723975325E-4</v>
      </c>
      <c r="AN74" s="2">
        <v>1.2479443135870438E-4</v>
      </c>
      <c r="AO74" s="2">
        <v>9.6270702598875005E-2</v>
      </c>
      <c r="AP74" s="2">
        <v>3.6032290618645949E-3</v>
      </c>
      <c r="AQ74" s="2">
        <v>3.9133709571110295E-3</v>
      </c>
      <c r="AR74" s="2">
        <v>6.1063930891935478E-4</v>
      </c>
      <c r="AS74" s="2">
        <v>-1.7963634529483668E-3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1.714530086070995E-2</v>
      </c>
      <c r="V75" s="129">
        <v>3.5929049311814753E-3</v>
      </c>
      <c r="W75" s="129">
        <v>-1.2187689045677996E-3</v>
      </c>
      <c r="X75" s="129">
        <v>-6.856792913474721E-4</v>
      </c>
      <c r="Y75" s="129">
        <v>1.5858429351282438E-3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1.5762840140690442E-2</v>
      </c>
      <c r="AK75" s="2">
        <v>9.5742586917002645E-4</v>
      </c>
      <c r="AL75" s="2">
        <v>2.0421536250272288E-4</v>
      </c>
      <c r="AM75" s="2">
        <v>2.1576832723975325E-4</v>
      </c>
      <c r="AN75" s="2">
        <v>1.2479443135870438E-4</v>
      </c>
      <c r="AO75" s="2">
        <v>9.6270702598875005E-2</v>
      </c>
      <c r="AP75" s="2">
        <v>3.6032290618645949E-3</v>
      </c>
      <c r="AQ75" s="2">
        <v>3.9133709571110295E-3</v>
      </c>
      <c r="AR75" s="2">
        <v>6.1063930891935478E-4</v>
      </c>
      <c r="AS75" s="2">
        <v>-1.7963634529483668E-3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1.714530086070995E-2</v>
      </c>
      <c r="V76" s="129">
        <v>3.5929049311814753E-3</v>
      </c>
      <c r="W76" s="129">
        <v>-1.2187689045677996E-3</v>
      </c>
      <c r="X76" s="129">
        <v>-6.856792913474721E-4</v>
      </c>
      <c r="Y76" s="129">
        <v>1.5858429351282438E-3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1.5762840140690442E-2</v>
      </c>
      <c r="AK76" s="2">
        <v>9.5742586917002645E-4</v>
      </c>
      <c r="AL76" s="2">
        <v>2.0421536250272288E-4</v>
      </c>
      <c r="AM76" s="2">
        <v>2.1576832723975325E-4</v>
      </c>
      <c r="AN76" s="2">
        <v>1.2479443135870438E-4</v>
      </c>
      <c r="AO76" s="2">
        <v>9.6270702598875005E-2</v>
      </c>
      <c r="AP76" s="2">
        <v>3.6032290618645949E-3</v>
      </c>
      <c r="AQ76" s="2">
        <v>3.9133709571110295E-3</v>
      </c>
      <c r="AR76" s="2">
        <v>6.1063930891935478E-4</v>
      </c>
      <c r="AS76" s="2">
        <v>-1.7963634529483668E-3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1.714530086070995E-2</v>
      </c>
      <c r="V77" s="129">
        <v>3.5929049311814753E-3</v>
      </c>
      <c r="W77" s="129">
        <v>-1.2187689045677996E-3</v>
      </c>
      <c r="X77" s="129">
        <v>-6.856792913474721E-4</v>
      </c>
      <c r="Y77" s="129">
        <v>1.5858429351282438E-3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1.5762840140690442E-2</v>
      </c>
      <c r="AK77" s="2">
        <v>9.5742586917002645E-4</v>
      </c>
      <c r="AL77" s="2">
        <v>2.0421536250272288E-4</v>
      </c>
      <c r="AM77" s="2">
        <v>2.1576832723975325E-4</v>
      </c>
      <c r="AN77" s="2">
        <v>1.2479443135870438E-4</v>
      </c>
      <c r="AO77" s="2">
        <v>9.6270702598875005E-2</v>
      </c>
      <c r="AP77" s="2">
        <v>3.6032290618645949E-3</v>
      </c>
      <c r="AQ77" s="2">
        <v>3.9133709571110295E-3</v>
      </c>
      <c r="AR77" s="2">
        <v>6.1063930891935478E-4</v>
      </c>
      <c r="AS77" s="2">
        <v>-1.7963634529483668E-3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1.714530086070995E-2</v>
      </c>
      <c r="V78" s="129">
        <v>3.5929049311814753E-3</v>
      </c>
      <c r="W78" s="129">
        <v>-1.2187689045677996E-3</v>
      </c>
      <c r="X78" s="129">
        <v>-6.856792913474721E-4</v>
      </c>
      <c r="Y78" s="129">
        <v>1.5858429351282438E-3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1.5762840140690442E-2</v>
      </c>
      <c r="AK78" s="2">
        <v>9.5742586917002645E-4</v>
      </c>
      <c r="AL78" s="2">
        <v>2.0421536250272288E-4</v>
      </c>
      <c r="AM78" s="2">
        <v>2.1576832723975325E-4</v>
      </c>
      <c r="AN78" s="2">
        <v>1.2479443135870438E-4</v>
      </c>
      <c r="AO78" s="2">
        <v>9.6270702598875005E-2</v>
      </c>
      <c r="AP78" s="2">
        <v>3.6032290618645949E-3</v>
      </c>
      <c r="AQ78" s="2">
        <v>3.9133709571110295E-3</v>
      </c>
      <c r="AR78" s="2">
        <v>6.1063930891935478E-4</v>
      </c>
      <c r="AS78" s="2">
        <v>-1.7963634529483668E-3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1.714530086070995E-2</v>
      </c>
      <c r="V79" s="129">
        <v>3.5929049311814753E-3</v>
      </c>
      <c r="W79" s="129">
        <v>-1.2187689045677996E-3</v>
      </c>
      <c r="X79" s="129">
        <v>-6.856792913474721E-4</v>
      </c>
      <c r="Y79" s="129">
        <v>1.5858429351282438E-3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1.5762840140690442E-2</v>
      </c>
      <c r="AK79" s="2">
        <v>9.5742586917002645E-4</v>
      </c>
      <c r="AL79" s="2">
        <v>2.0421536250272288E-4</v>
      </c>
      <c r="AM79" s="2">
        <v>2.1576832723975325E-4</v>
      </c>
      <c r="AN79" s="2">
        <v>1.2479443135870438E-4</v>
      </c>
      <c r="AO79" s="2">
        <v>9.6270702598875005E-2</v>
      </c>
      <c r="AP79" s="2">
        <v>3.6032290618645949E-3</v>
      </c>
      <c r="AQ79" s="2">
        <v>3.9133709571110295E-3</v>
      </c>
      <c r="AR79" s="2">
        <v>6.1063930891935478E-4</v>
      </c>
      <c r="AS79" s="2">
        <v>-1.7963634529483668E-3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1.714530086070995E-2</v>
      </c>
      <c r="V80" s="129">
        <v>3.5929049311814753E-3</v>
      </c>
      <c r="W80" s="129">
        <v>-1.2187689045677996E-3</v>
      </c>
      <c r="X80" s="129">
        <v>-6.856792913474721E-4</v>
      </c>
      <c r="Y80" s="129">
        <v>1.5858429351282438E-3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1.5762840140690442E-2</v>
      </c>
      <c r="AK80" s="2">
        <v>9.5742586917002645E-4</v>
      </c>
      <c r="AL80" s="2">
        <v>2.0421536250272288E-4</v>
      </c>
      <c r="AM80" s="2">
        <v>2.1576832723975325E-4</v>
      </c>
      <c r="AN80" s="2">
        <v>1.2479443135870438E-4</v>
      </c>
      <c r="AO80" s="2">
        <v>9.6270702598875005E-2</v>
      </c>
      <c r="AP80" s="2">
        <v>3.6032290618645949E-3</v>
      </c>
      <c r="AQ80" s="2">
        <v>3.9133709571110295E-3</v>
      </c>
      <c r="AR80" s="2">
        <v>6.1063930891935478E-4</v>
      </c>
      <c r="AS80" s="2">
        <v>-1.7963634529483668E-3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1.714530086070995E-2</v>
      </c>
      <c r="V81" s="129">
        <v>3.5929049311814753E-3</v>
      </c>
      <c r="W81" s="129">
        <v>-1.2187689045677996E-3</v>
      </c>
      <c r="X81" s="129">
        <v>-6.856792913474721E-4</v>
      </c>
      <c r="Y81" s="129">
        <v>1.5858429351282438E-3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1.5762840140690442E-2</v>
      </c>
      <c r="AK81" s="2">
        <v>9.5742586917002645E-4</v>
      </c>
      <c r="AL81" s="2">
        <v>2.0421536250272288E-4</v>
      </c>
      <c r="AM81" s="2">
        <v>2.1576832723975325E-4</v>
      </c>
      <c r="AN81" s="2">
        <v>1.2479443135870438E-4</v>
      </c>
      <c r="AO81" s="2">
        <v>9.6270702598875005E-2</v>
      </c>
      <c r="AP81" s="2">
        <v>3.6032290618645949E-3</v>
      </c>
      <c r="AQ81" s="2">
        <v>3.9133709571110295E-3</v>
      </c>
      <c r="AR81" s="2">
        <v>6.1063930891935478E-4</v>
      </c>
      <c r="AS81" s="2">
        <v>-1.7963634529483668E-3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1.714530086070995E-2</v>
      </c>
      <c r="V82" s="129">
        <v>3.5929049311814753E-3</v>
      </c>
      <c r="W82" s="129">
        <v>-1.2187689045677996E-3</v>
      </c>
      <c r="X82" s="129">
        <v>-6.856792913474721E-4</v>
      </c>
      <c r="Y82" s="129">
        <v>1.5858429351282438E-3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1.5762840140690442E-2</v>
      </c>
      <c r="AK82" s="2">
        <v>9.5742586917002645E-4</v>
      </c>
      <c r="AL82" s="2">
        <v>2.0421536250272288E-4</v>
      </c>
      <c r="AM82" s="2">
        <v>2.1576832723975325E-4</v>
      </c>
      <c r="AN82" s="2">
        <v>1.2479443135870438E-4</v>
      </c>
      <c r="AO82" s="2">
        <v>9.6270702598875005E-2</v>
      </c>
      <c r="AP82" s="2">
        <v>3.6032290618645949E-3</v>
      </c>
      <c r="AQ82" s="2">
        <v>3.9133709571110295E-3</v>
      </c>
      <c r="AR82" s="2">
        <v>6.1063930891935478E-4</v>
      </c>
      <c r="AS82" s="2">
        <v>-1.7963634529483668E-3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1.714530086070995E-2</v>
      </c>
      <c r="V83" s="129">
        <v>3.5929049311814753E-3</v>
      </c>
      <c r="W83" s="129">
        <v>-1.2187689045677996E-3</v>
      </c>
      <c r="X83" s="129">
        <v>-6.856792913474721E-4</v>
      </c>
      <c r="Y83" s="129">
        <v>1.5858429351282438E-3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1.5762840140690442E-2</v>
      </c>
      <c r="AK83" s="2">
        <v>9.5742586917002645E-4</v>
      </c>
      <c r="AL83" s="2">
        <v>2.0421536250272288E-4</v>
      </c>
      <c r="AM83" s="2">
        <v>2.1576832723975325E-4</v>
      </c>
      <c r="AN83" s="2">
        <v>1.2479443135870438E-4</v>
      </c>
      <c r="AO83" s="2">
        <v>9.6270702598875005E-2</v>
      </c>
      <c r="AP83" s="2">
        <v>3.6032290618645949E-3</v>
      </c>
      <c r="AQ83" s="2">
        <v>3.9133709571110295E-3</v>
      </c>
      <c r="AR83" s="2">
        <v>6.1063930891935478E-4</v>
      </c>
      <c r="AS83" s="2">
        <v>-1.7963634529483668E-3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1.714530086070995E-2</v>
      </c>
      <c r="V84" s="129">
        <v>3.5929049311814753E-3</v>
      </c>
      <c r="W84" s="129">
        <v>-1.2187689045677996E-3</v>
      </c>
      <c r="X84" s="129">
        <v>-6.856792913474721E-4</v>
      </c>
      <c r="Y84" s="129">
        <v>1.5858429351282438E-3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1.5762840140690442E-2</v>
      </c>
      <c r="AK84" s="2">
        <v>9.5742586917002645E-4</v>
      </c>
      <c r="AL84" s="2">
        <v>2.0421536250272288E-4</v>
      </c>
      <c r="AM84" s="2">
        <v>2.1576832723975325E-4</v>
      </c>
      <c r="AN84" s="2">
        <v>1.2479443135870438E-4</v>
      </c>
      <c r="AO84" s="2">
        <v>9.6270702598875005E-2</v>
      </c>
      <c r="AP84" s="2">
        <v>3.6032290618645949E-3</v>
      </c>
      <c r="AQ84" s="2">
        <v>3.9133709571110295E-3</v>
      </c>
      <c r="AR84" s="2">
        <v>6.1063930891935478E-4</v>
      </c>
      <c r="AS84" s="2">
        <v>-1.7963634529483668E-3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1.714530086070995E-2</v>
      </c>
      <c r="V85" s="129">
        <v>3.5929049311814753E-3</v>
      </c>
      <c r="W85" s="129">
        <v>-1.2187689045677996E-3</v>
      </c>
      <c r="X85" s="129">
        <v>-6.856792913474721E-4</v>
      </c>
      <c r="Y85" s="129">
        <v>1.5858429351282438E-3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1.5762840140690442E-2</v>
      </c>
      <c r="AK85" s="2">
        <v>9.5742586917002645E-4</v>
      </c>
      <c r="AL85" s="2">
        <v>2.0421536250272288E-4</v>
      </c>
      <c r="AM85" s="2">
        <v>2.1576832723975325E-4</v>
      </c>
      <c r="AN85" s="2">
        <v>1.2479443135870438E-4</v>
      </c>
      <c r="AO85" s="2">
        <v>9.6270702598875005E-2</v>
      </c>
      <c r="AP85" s="2">
        <v>3.6032290618645949E-3</v>
      </c>
      <c r="AQ85" s="2">
        <v>3.9133709571110295E-3</v>
      </c>
      <c r="AR85" s="2">
        <v>6.1063930891935478E-4</v>
      </c>
      <c r="AS85" s="2">
        <v>-1.7963634529483668E-3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1.714530086070995E-2</v>
      </c>
      <c r="V86" s="129">
        <v>3.5929049311814753E-3</v>
      </c>
      <c r="W86" s="129">
        <v>-1.2187689045677996E-3</v>
      </c>
      <c r="X86" s="129">
        <v>-6.856792913474721E-4</v>
      </c>
      <c r="Y86" s="129">
        <v>1.5858429351282438E-3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1.5762840140690442E-2</v>
      </c>
      <c r="AK86" s="2">
        <v>9.5742586917002645E-4</v>
      </c>
      <c r="AL86" s="2">
        <v>2.0421536250272288E-4</v>
      </c>
      <c r="AM86" s="2">
        <v>2.1576832723975325E-4</v>
      </c>
      <c r="AN86" s="2">
        <v>1.2479443135870438E-4</v>
      </c>
      <c r="AO86" s="2">
        <v>9.6270702598875005E-2</v>
      </c>
      <c r="AP86" s="2">
        <v>3.6032290618645949E-3</v>
      </c>
      <c r="AQ86" s="2">
        <v>3.9133709571110295E-3</v>
      </c>
      <c r="AR86" s="2">
        <v>6.1063930891935478E-4</v>
      </c>
      <c r="AS86" s="2">
        <v>-1.7963634529483668E-3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1.714530086070995E-2</v>
      </c>
      <c r="V87" s="129">
        <v>3.5929049311814753E-3</v>
      </c>
      <c r="W87" s="129">
        <v>-1.2187689045677996E-3</v>
      </c>
      <c r="X87" s="129">
        <v>-6.856792913474721E-4</v>
      </c>
      <c r="Y87" s="129">
        <v>1.5858429351282438E-3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1.5762840140690442E-2</v>
      </c>
      <c r="AK87" s="2">
        <v>9.5742586917002645E-4</v>
      </c>
      <c r="AL87" s="2">
        <v>2.0421536250272288E-4</v>
      </c>
      <c r="AM87" s="2">
        <v>2.1576832723975325E-4</v>
      </c>
      <c r="AN87" s="2">
        <v>1.2479443135870438E-4</v>
      </c>
      <c r="AO87" s="2">
        <v>9.6270702598875005E-2</v>
      </c>
      <c r="AP87" s="2">
        <v>3.6032290618645949E-3</v>
      </c>
      <c r="AQ87" s="2">
        <v>3.9133709571110295E-3</v>
      </c>
      <c r="AR87" s="2">
        <v>6.1063930891935478E-4</v>
      </c>
      <c r="AS87" s="2">
        <v>-1.7963634529483668E-3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1.714530086070995E-2</v>
      </c>
      <c r="V88" s="129">
        <v>3.5929049311814753E-3</v>
      </c>
      <c r="W88" s="129">
        <v>-1.2187689045677996E-3</v>
      </c>
      <c r="X88" s="129">
        <v>-6.856792913474721E-4</v>
      </c>
      <c r="Y88" s="129">
        <v>1.5858429351282438E-3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1.5762840140690442E-2</v>
      </c>
      <c r="AK88" s="2">
        <v>9.5742586917002645E-4</v>
      </c>
      <c r="AL88" s="2">
        <v>2.0421536250272288E-4</v>
      </c>
      <c r="AM88" s="2">
        <v>2.1576832723975325E-4</v>
      </c>
      <c r="AN88" s="2">
        <v>1.2479443135870438E-4</v>
      </c>
      <c r="AO88" s="2">
        <v>9.6270702598875005E-2</v>
      </c>
      <c r="AP88" s="2">
        <v>3.6032290618645949E-3</v>
      </c>
      <c r="AQ88" s="2">
        <v>3.9133709571110295E-3</v>
      </c>
      <c r="AR88" s="2">
        <v>6.1063930891935478E-4</v>
      </c>
      <c r="AS88" s="2">
        <v>-1.7963634529483668E-3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1.714530086070995E-2</v>
      </c>
      <c r="V89" s="129">
        <v>3.5929049311814753E-3</v>
      </c>
      <c r="W89" s="129">
        <v>-1.2187689045677996E-3</v>
      </c>
      <c r="X89" s="129">
        <v>-6.856792913474721E-4</v>
      </c>
      <c r="Y89" s="129">
        <v>1.5858429351282438E-3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1.5762840140690442E-2</v>
      </c>
      <c r="AK89" s="2">
        <v>9.5742586917002645E-4</v>
      </c>
      <c r="AL89" s="2">
        <v>2.0421536250272288E-4</v>
      </c>
      <c r="AM89" s="2">
        <v>2.1576832723975325E-4</v>
      </c>
      <c r="AN89" s="2">
        <v>1.2479443135870438E-4</v>
      </c>
      <c r="AO89" s="2">
        <v>9.6270702598875005E-2</v>
      </c>
      <c r="AP89" s="2">
        <v>3.6032290618645949E-3</v>
      </c>
      <c r="AQ89" s="2">
        <v>3.9133709571110295E-3</v>
      </c>
      <c r="AR89" s="2">
        <v>6.1063930891935478E-4</v>
      </c>
      <c r="AS89" s="2">
        <v>-1.7963634529483668E-3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1.714530086070995E-2</v>
      </c>
      <c r="V90" s="129">
        <v>3.5929049311814753E-3</v>
      </c>
      <c r="W90" s="129">
        <v>-1.2187689045677996E-3</v>
      </c>
      <c r="X90" s="129">
        <v>-6.856792913474721E-4</v>
      </c>
      <c r="Y90" s="129">
        <v>1.5858429351282438E-3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1.5762840140690442E-2</v>
      </c>
      <c r="AK90" s="2">
        <v>9.5742586917002645E-4</v>
      </c>
      <c r="AL90" s="2">
        <v>2.0421536250272288E-4</v>
      </c>
      <c r="AM90" s="2">
        <v>2.1576832723975325E-4</v>
      </c>
      <c r="AN90" s="2">
        <v>1.2479443135870438E-4</v>
      </c>
      <c r="AO90" s="2">
        <v>9.6270702598875005E-2</v>
      </c>
      <c r="AP90" s="2">
        <v>3.6032290618645949E-3</v>
      </c>
      <c r="AQ90" s="2">
        <v>3.9133709571110295E-3</v>
      </c>
      <c r="AR90" s="2">
        <v>6.1063930891935478E-4</v>
      </c>
      <c r="AS90" s="2">
        <v>-1.7963634529483668E-3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1.714530086070995E-2</v>
      </c>
      <c r="V91" s="129">
        <v>3.5929049311814753E-3</v>
      </c>
      <c r="W91" s="129">
        <v>-1.2187689045677996E-3</v>
      </c>
      <c r="X91" s="129">
        <v>-6.856792913474721E-4</v>
      </c>
      <c r="Y91" s="129">
        <v>1.5858429351282438E-3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1.5762840140690442E-2</v>
      </c>
      <c r="AK91" s="2">
        <v>9.5742586917002645E-4</v>
      </c>
      <c r="AL91" s="2">
        <v>2.0421536250272288E-4</v>
      </c>
      <c r="AM91" s="2">
        <v>2.1576832723975325E-4</v>
      </c>
      <c r="AN91" s="2">
        <v>1.2479443135870438E-4</v>
      </c>
      <c r="AO91" s="2">
        <v>9.6270702598875005E-2</v>
      </c>
      <c r="AP91" s="2">
        <v>3.6032290618645949E-3</v>
      </c>
      <c r="AQ91" s="2">
        <v>3.9133709571110295E-3</v>
      </c>
      <c r="AR91" s="2">
        <v>6.1063930891935478E-4</v>
      </c>
      <c r="AS91" s="2">
        <v>-1.7963634529483668E-3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1.714530086070995E-2</v>
      </c>
      <c r="V92" s="129">
        <v>3.5929049311814753E-3</v>
      </c>
      <c r="W92" s="129">
        <v>-1.2187689045677996E-3</v>
      </c>
      <c r="X92" s="129">
        <v>-6.856792913474721E-4</v>
      </c>
      <c r="Y92" s="129">
        <v>1.5858429351282438E-3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1.5762840140690442E-2</v>
      </c>
      <c r="AK92" s="2">
        <v>9.5742586917002645E-4</v>
      </c>
      <c r="AL92" s="2">
        <v>2.0421536250272288E-4</v>
      </c>
      <c r="AM92" s="2">
        <v>2.1576832723975325E-4</v>
      </c>
      <c r="AN92" s="2">
        <v>1.2479443135870438E-4</v>
      </c>
      <c r="AO92" s="2">
        <v>9.6270702598875005E-2</v>
      </c>
      <c r="AP92" s="2">
        <v>3.6032290618645949E-3</v>
      </c>
      <c r="AQ92" s="2">
        <v>3.9133709571110295E-3</v>
      </c>
      <c r="AR92" s="2">
        <v>6.1063930891935478E-4</v>
      </c>
      <c r="AS92" s="2">
        <v>-1.7963634529483668E-3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1.714530086070995E-2</v>
      </c>
      <c r="V93" s="129">
        <v>3.5929049311814753E-3</v>
      </c>
      <c r="W93" s="129">
        <v>-1.2187689045677996E-3</v>
      </c>
      <c r="X93" s="129">
        <v>-6.856792913474721E-4</v>
      </c>
      <c r="Y93" s="129">
        <v>1.5858429351282438E-3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1.5762840140690442E-2</v>
      </c>
      <c r="AK93" s="2">
        <v>9.5742586917002645E-4</v>
      </c>
      <c r="AL93" s="2">
        <v>2.0421536250272288E-4</v>
      </c>
      <c r="AM93" s="2">
        <v>2.1576832723975325E-4</v>
      </c>
      <c r="AN93" s="2">
        <v>1.2479443135870438E-4</v>
      </c>
      <c r="AO93" s="2">
        <v>9.6270702598875005E-2</v>
      </c>
      <c r="AP93" s="2">
        <v>3.6032290618645949E-3</v>
      </c>
      <c r="AQ93" s="2">
        <v>3.9133709571110295E-3</v>
      </c>
      <c r="AR93" s="2">
        <v>6.1063930891935478E-4</v>
      </c>
      <c r="AS93" s="2">
        <v>-1.7963634529483668E-3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1.714530086070995E-2</v>
      </c>
      <c r="V94" s="129">
        <v>3.5929049311814753E-3</v>
      </c>
      <c r="W94" s="129">
        <v>-1.2187689045677996E-3</v>
      </c>
      <c r="X94" s="129">
        <v>-6.856792913474721E-4</v>
      </c>
      <c r="Y94" s="129">
        <v>1.5858429351282438E-3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1.5762840140690442E-2</v>
      </c>
      <c r="AK94" s="2">
        <v>9.5742586917002645E-4</v>
      </c>
      <c r="AL94" s="2">
        <v>2.0421536250272288E-4</v>
      </c>
      <c r="AM94" s="2">
        <v>2.1576832723975325E-4</v>
      </c>
      <c r="AN94" s="2">
        <v>1.2479443135870438E-4</v>
      </c>
      <c r="AO94" s="2">
        <v>9.6270702598875005E-2</v>
      </c>
      <c r="AP94" s="2">
        <v>3.6032290618645949E-3</v>
      </c>
      <c r="AQ94" s="2">
        <v>3.9133709571110295E-3</v>
      </c>
      <c r="AR94" s="2">
        <v>6.1063930891935478E-4</v>
      </c>
      <c r="AS94" s="2">
        <v>-1.7963634529483668E-3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1.714530086070995E-2</v>
      </c>
      <c r="V95" s="129">
        <v>3.5929049311814753E-3</v>
      </c>
      <c r="W95" s="129">
        <v>-1.2187689045677996E-3</v>
      </c>
      <c r="X95" s="129">
        <v>-6.856792913474721E-4</v>
      </c>
      <c r="Y95" s="129">
        <v>1.5858429351282438E-3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1.5762840140690442E-2</v>
      </c>
      <c r="AK95" s="2">
        <v>9.5742586917002645E-4</v>
      </c>
      <c r="AL95" s="2">
        <v>2.0421536250272288E-4</v>
      </c>
      <c r="AM95" s="2">
        <v>2.1576832723975325E-4</v>
      </c>
      <c r="AN95" s="2">
        <v>1.2479443135870438E-4</v>
      </c>
      <c r="AO95" s="2">
        <v>9.6270702598875005E-2</v>
      </c>
      <c r="AP95" s="2">
        <v>3.6032290618645949E-3</v>
      </c>
      <c r="AQ95" s="2">
        <v>3.9133709571110295E-3</v>
      </c>
      <c r="AR95" s="2">
        <v>6.1063930891935478E-4</v>
      </c>
      <c r="AS95" s="2">
        <v>-1.7963634529483668E-3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1.714530086070995E-2</v>
      </c>
      <c r="V96" s="129">
        <v>3.5929049311814753E-3</v>
      </c>
      <c r="W96" s="129">
        <v>-1.2187689045677996E-3</v>
      </c>
      <c r="X96" s="129">
        <v>-6.856792913474721E-4</v>
      </c>
      <c r="Y96" s="129">
        <v>1.5858429351282438E-3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1.5762840140690442E-2</v>
      </c>
      <c r="AK96" s="2">
        <v>9.5742586917002645E-4</v>
      </c>
      <c r="AL96" s="2">
        <v>2.0421536250272288E-4</v>
      </c>
      <c r="AM96" s="2">
        <v>2.1576832723975325E-4</v>
      </c>
      <c r="AN96" s="2">
        <v>1.2479443135870438E-4</v>
      </c>
      <c r="AO96" s="2">
        <v>9.6270702598875005E-2</v>
      </c>
      <c r="AP96" s="2">
        <v>3.6032290618645949E-3</v>
      </c>
      <c r="AQ96" s="2">
        <v>3.9133709571110295E-3</v>
      </c>
      <c r="AR96" s="2">
        <v>6.1063930891935478E-4</v>
      </c>
      <c r="AS96" s="2">
        <v>-1.7963634529483668E-3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1.714530086070995E-2</v>
      </c>
      <c r="V97" s="129">
        <v>3.5929049311814753E-3</v>
      </c>
      <c r="W97" s="129">
        <v>-1.2187689045677996E-3</v>
      </c>
      <c r="X97" s="129">
        <v>-6.856792913474721E-4</v>
      </c>
      <c r="Y97" s="129">
        <v>1.5858429351282438E-3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1.5762840140690442E-2</v>
      </c>
      <c r="AK97" s="2">
        <v>9.5742586917002645E-4</v>
      </c>
      <c r="AL97" s="2">
        <v>2.0421536250272288E-4</v>
      </c>
      <c r="AM97" s="2">
        <v>2.1576832723975325E-4</v>
      </c>
      <c r="AN97" s="2">
        <v>1.2479443135870438E-4</v>
      </c>
      <c r="AO97" s="2">
        <v>9.6270702598875005E-2</v>
      </c>
      <c r="AP97" s="2">
        <v>3.6032290618645949E-3</v>
      </c>
      <c r="AQ97" s="2">
        <v>3.9133709571110295E-3</v>
      </c>
      <c r="AR97" s="2">
        <v>6.1063930891935478E-4</v>
      </c>
      <c r="AS97" s="2">
        <v>-1.7963634529483668E-3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1.714530086070995E-2</v>
      </c>
      <c r="V98" s="129">
        <v>3.5929049311814753E-3</v>
      </c>
      <c r="W98" s="129">
        <v>-1.2187689045677996E-3</v>
      </c>
      <c r="X98" s="129">
        <v>-6.856792913474721E-4</v>
      </c>
      <c r="Y98" s="129">
        <v>1.5858429351282438E-3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1.5762840140690442E-2</v>
      </c>
      <c r="AK98" s="2">
        <v>9.5742586917002645E-4</v>
      </c>
      <c r="AL98" s="2">
        <v>2.0421536250272288E-4</v>
      </c>
      <c r="AM98" s="2">
        <v>2.1576832723975325E-4</v>
      </c>
      <c r="AN98" s="2">
        <v>1.2479443135870438E-4</v>
      </c>
      <c r="AO98" s="2">
        <v>9.6270702598875005E-2</v>
      </c>
      <c r="AP98" s="2">
        <v>3.6032290618645949E-3</v>
      </c>
      <c r="AQ98" s="2">
        <v>3.9133709571110295E-3</v>
      </c>
      <c r="AR98" s="2">
        <v>6.1063930891935478E-4</v>
      </c>
      <c r="AS98" s="2">
        <v>-1.7963634529483668E-3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1.714530086070995E-2</v>
      </c>
      <c r="V99" s="129">
        <v>3.5929049311814753E-3</v>
      </c>
      <c r="W99" s="129">
        <v>-1.2187689045677996E-3</v>
      </c>
      <c r="X99" s="129">
        <v>-6.856792913474721E-4</v>
      </c>
      <c r="Y99" s="129">
        <v>1.5858429351282438E-3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1.5762840140690442E-2</v>
      </c>
      <c r="AK99" s="2">
        <v>9.5742586917002645E-4</v>
      </c>
      <c r="AL99" s="2">
        <v>2.0421536250272288E-4</v>
      </c>
      <c r="AM99" s="2">
        <v>2.1576832723975325E-4</v>
      </c>
      <c r="AN99" s="2">
        <v>1.2479443135870438E-4</v>
      </c>
      <c r="AO99" s="2">
        <v>9.6270702598875005E-2</v>
      </c>
      <c r="AP99" s="2">
        <v>3.6032290618645949E-3</v>
      </c>
      <c r="AQ99" s="2">
        <v>3.9133709571110295E-3</v>
      </c>
      <c r="AR99" s="2">
        <v>6.1063930891935478E-4</v>
      </c>
      <c r="AS99" s="2">
        <v>-1.7963634529483668E-3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1.714530086070995E-2</v>
      </c>
      <c r="V100" s="129">
        <v>3.5929049311814753E-3</v>
      </c>
      <c r="W100" s="129">
        <v>-1.2187689045677996E-3</v>
      </c>
      <c r="X100" s="129">
        <v>-6.856792913474721E-4</v>
      </c>
      <c r="Y100" s="129">
        <v>1.5858429351282438E-3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1.5762840140690442E-2</v>
      </c>
      <c r="AK100" s="2">
        <v>9.5742586917002645E-4</v>
      </c>
      <c r="AL100" s="2">
        <v>2.0421536250272288E-4</v>
      </c>
      <c r="AM100" s="2">
        <v>2.1576832723975325E-4</v>
      </c>
      <c r="AN100" s="2">
        <v>1.2479443135870438E-4</v>
      </c>
      <c r="AO100" s="2">
        <v>9.6270702598875005E-2</v>
      </c>
      <c r="AP100" s="2">
        <v>3.6032290618645949E-3</v>
      </c>
      <c r="AQ100" s="2">
        <v>3.9133709571110295E-3</v>
      </c>
      <c r="AR100" s="2">
        <v>6.1063930891935478E-4</v>
      </c>
      <c r="AS100" s="2">
        <v>-1.7963634529483668E-3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1.714530086070995E-2</v>
      </c>
      <c r="V101" s="129">
        <v>3.5929049311814753E-3</v>
      </c>
      <c r="W101" s="129">
        <v>-1.2187689045677996E-3</v>
      </c>
      <c r="X101" s="129">
        <v>-6.856792913474721E-4</v>
      </c>
      <c r="Y101" s="129">
        <v>1.5858429351282438E-3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1.5762840140690442E-2</v>
      </c>
      <c r="AK101" s="2">
        <v>9.5742586917002645E-4</v>
      </c>
      <c r="AL101" s="2">
        <v>2.0421536250272288E-4</v>
      </c>
      <c r="AM101" s="2">
        <v>2.1576832723975325E-4</v>
      </c>
      <c r="AN101" s="2">
        <v>1.2479443135870438E-4</v>
      </c>
      <c r="AO101" s="2">
        <v>9.6270702598875005E-2</v>
      </c>
      <c r="AP101" s="2">
        <v>3.6032290618645949E-3</v>
      </c>
      <c r="AQ101" s="2">
        <v>3.9133709571110295E-3</v>
      </c>
      <c r="AR101" s="2">
        <v>6.1063930891935478E-4</v>
      </c>
      <c r="AS101" s="2">
        <v>-1.7963634529483668E-3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1.714530086070995E-2</v>
      </c>
      <c r="V102" s="129">
        <v>3.5929049311814753E-3</v>
      </c>
      <c r="W102" s="129">
        <v>-1.2187689045677996E-3</v>
      </c>
      <c r="X102" s="129">
        <v>-6.856792913474721E-4</v>
      </c>
      <c r="Y102" s="129">
        <v>1.5858429351282438E-3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1.5762840140690442E-2</v>
      </c>
      <c r="AK102" s="2">
        <v>9.5742586917002645E-4</v>
      </c>
      <c r="AL102" s="2">
        <v>2.0421536250272288E-4</v>
      </c>
      <c r="AM102" s="2">
        <v>2.1576832723975325E-4</v>
      </c>
      <c r="AN102" s="2">
        <v>1.2479443135870438E-4</v>
      </c>
      <c r="AO102" s="2">
        <v>9.6270702598875005E-2</v>
      </c>
      <c r="AP102" s="2">
        <v>3.6032290618645949E-3</v>
      </c>
      <c r="AQ102" s="2">
        <v>3.9133709571110295E-3</v>
      </c>
      <c r="AR102" s="2">
        <v>6.1063930891935478E-4</v>
      </c>
      <c r="AS102" s="2">
        <v>-1.7963634529483668E-3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1.714530086070995E-2</v>
      </c>
      <c r="V103" s="129">
        <v>3.5929049311814753E-3</v>
      </c>
      <c r="W103" s="129">
        <v>-1.2187689045677996E-3</v>
      </c>
      <c r="X103" s="129">
        <v>-6.856792913474721E-4</v>
      </c>
      <c r="Y103" s="129">
        <v>1.5858429351282438E-3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1.5762840140690442E-2</v>
      </c>
      <c r="AK103" s="2">
        <v>9.5742586917002645E-4</v>
      </c>
      <c r="AL103" s="2">
        <v>2.0421536250272288E-4</v>
      </c>
      <c r="AM103" s="2">
        <v>2.1576832723975325E-4</v>
      </c>
      <c r="AN103" s="2">
        <v>1.2479443135870438E-4</v>
      </c>
      <c r="AO103" s="2">
        <v>9.6270702598875005E-2</v>
      </c>
      <c r="AP103" s="2">
        <v>3.6032290618645949E-3</v>
      </c>
      <c r="AQ103" s="2">
        <v>3.9133709571110295E-3</v>
      </c>
      <c r="AR103" s="2">
        <v>6.1063930891935478E-4</v>
      </c>
      <c r="AS103" s="2">
        <v>-1.7963634529483668E-3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1.714530086070995E-2</v>
      </c>
      <c r="V104" s="129">
        <v>3.5929049311814753E-3</v>
      </c>
      <c r="W104" s="129">
        <v>-1.2187689045677996E-3</v>
      </c>
      <c r="X104" s="129">
        <v>-6.856792913474721E-4</v>
      </c>
      <c r="Y104" s="129">
        <v>1.5858429351282438E-3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1.5762840140690442E-2</v>
      </c>
      <c r="AK104" s="2">
        <v>9.5742586917002645E-4</v>
      </c>
      <c r="AL104" s="2">
        <v>2.0421536250272288E-4</v>
      </c>
      <c r="AM104" s="2">
        <v>2.1576832723975325E-4</v>
      </c>
      <c r="AN104" s="2">
        <v>1.2479443135870438E-4</v>
      </c>
      <c r="AO104" s="2">
        <v>9.6270702598875005E-2</v>
      </c>
      <c r="AP104" s="2">
        <v>3.6032290618645949E-3</v>
      </c>
      <c r="AQ104" s="2">
        <v>3.9133709571110295E-3</v>
      </c>
      <c r="AR104" s="2">
        <v>6.1063930891935478E-4</v>
      </c>
      <c r="AS104" s="2">
        <v>-1.7963634529483668E-3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1.714530086070995E-2</v>
      </c>
      <c r="V105" s="129">
        <v>3.5929049311814753E-3</v>
      </c>
      <c r="W105" s="129">
        <v>-1.2187689045677996E-3</v>
      </c>
      <c r="X105" s="129">
        <v>-6.856792913474721E-4</v>
      </c>
      <c r="Y105" s="129">
        <v>1.5858429351282438E-3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1.5762840140690442E-2</v>
      </c>
      <c r="AK105" s="2">
        <v>9.5742586917002645E-4</v>
      </c>
      <c r="AL105" s="2">
        <v>2.0421536250272288E-4</v>
      </c>
      <c r="AM105" s="2">
        <v>2.1576832723975325E-4</v>
      </c>
      <c r="AN105" s="2">
        <v>1.2479443135870438E-4</v>
      </c>
      <c r="AO105" s="2">
        <v>9.6270702598875005E-2</v>
      </c>
      <c r="AP105" s="2">
        <v>3.6032290618645949E-3</v>
      </c>
      <c r="AQ105" s="2">
        <v>3.9133709571110295E-3</v>
      </c>
      <c r="AR105" s="2">
        <v>6.1063930891935478E-4</v>
      </c>
      <c r="AS105" s="2">
        <v>-1.7963634529483668E-3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1.714530086070995E-2</v>
      </c>
      <c r="V106" s="129">
        <v>3.5929049311814753E-3</v>
      </c>
      <c r="W106" s="129">
        <v>-1.2187689045677996E-3</v>
      </c>
      <c r="X106" s="129">
        <v>-6.856792913474721E-4</v>
      </c>
      <c r="Y106" s="129">
        <v>1.5858429351282438E-3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1.5762840140690442E-2</v>
      </c>
      <c r="AK106" s="2">
        <v>9.5742586917002645E-4</v>
      </c>
      <c r="AL106" s="2">
        <v>2.0421536250272288E-4</v>
      </c>
      <c r="AM106" s="2">
        <v>2.1576832723975325E-4</v>
      </c>
      <c r="AN106" s="2">
        <v>1.2479443135870438E-4</v>
      </c>
      <c r="AO106" s="2">
        <v>9.6270702598875005E-2</v>
      </c>
      <c r="AP106" s="2">
        <v>3.6032290618645949E-3</v>
      </c>
      <c r="AQ106" s="2">
        <v>3.9133709571110295E-3</v>
      </c>
      <c r="AR106" s="2">
        <v>6.1063930891935478E-4</v>
      </c>
      <c r="AS106" s="2">
        <v>-1.7963634529483668E-3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1.714530086070995E-2</v>
      </c>
      <c r="V107" s="129">
        <v>3.5929049311814753E-3</v>
      </c>
      <c r="W107" s="129">
        <v>-1.2187689045677996E-3</v>
      </c>
      <c r="X107" s="129">
        <v>-6.856792913474721E-4</v>
      </c>
      <c r="Y107" s="129">
        <v>1.5858429351282438E-3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1.5762840140690442E-2</v>
      </c>
      <c r="AK107" s="2">
        <v>9.5742586917002645E-4</v>
      </c>
      <c r="AL107" s="2">
        <v>2.0421536250272288E-4</v>
      </c>
      <c r="AM107" s="2">
        <v>2.1576832723975325E-4</v>
      </c>
      <c r="AN107" s="2">
        <v>1.2479443135870438E-4</v>
      </c>
      <c r="AO107" s="2">
        <v>9.6270702598875005E-2</v>
      </c>
      <c r="AP107" s="2">
        <v>3.6032290618645949E-3</v>
      </c>
      <c r="AQ107" s="2">
        <v>3.9133709571110295E-3</v>
      </c>
      <c r="AR107" s="2">
        <v>6.1063930891935478E-4</v>
      </c>
      <c r="AS107" s="2">
        <v>-1.7963634529483668E-3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1.714530086070995E-2</v>
      </c>
      <c r="V108" s="129">
        <v>3.5929049311814753E-3</v>
      </c>
      <c r="W108" s="129">
        <v>-1.2187689045677996E-3</v>
      </c>
      <c r="X108" s="129">
        <v>-6.856792913474721E-4</v>
      </c>
      <c r="Y108" s="129">
        <v>1.5858429351282438E-3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1.5762840140690442E-2</v>
      </c>
      <c r="AK108" s="2">
        <v>9.5742586917002645E-4</v>
      </c>
      <c r="AL108" s="2">
        <v>2.0421536250272288E-4</v>
      </c>
      <c r="AM108" s="2">
        <v>2.1576832723975325E-4</v>
      </c>
      <c r="AN108" s="2">
        <v>1.2479443135870438E-4</v>
      </c>
      <c r="AO108" s="2">
        <v>9.6270702598875005E-2</v>
      </c>
      <c r="AP108" s="2">
        <v>3.6032290618645949E-3</v>
      </c>
      <c r="AQ108" s="2">
        <v>3.9133709571110295E-3</v>
      </c>
      <c r="AR108" s="2">
        <v>6.1063930891935478E-4</v>
      </c>
      <c r="AS108" s="2">
        <v>-1.7963634529483668E-3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1.714530086070995E-2</v>
      </c>
      <c r="V109" s="129">
        <v>3.5929049311814753E-3</v>
      </c>
      <c r="W109" s="129">
        <v>-1.2187689045677996E-3</v>
      </c>
      <c r="X109" s="129">
        <v>-6.856792913474721E-4</v>
      </c>
      <c r="Y109" s="129">
        <v>1.5858429351282438E-3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1.5762840140690442E-2</v>
      </c>
      <c r="AK109" s="2">
        <v>9.5742586917002645E-4</v>
      </c>
      <c r="AL109" s="2">
        <v>2.0421536250272288E-4</v>
      </c>
      <c r="AM109" s="2">
        <v>2.1576832723975325E-4</v>
      </c>
      <c r="AN109" s="2">
        <v>1.2479443135870438E-4</v>
      </c>
      <c r="AO109" s="2">
        <v>9.6270702598875005E-2</v>
      </c>
      <c r="AP109" s="2">
        <v>3.6032290618645949E-3</v>
      </c>
      <c r="AQ109" s="2">
        <v>3.9133709571110295E-3</v>
      </c>
      <c r="AR109" s="2">
        <v>6.1063930891935478E-4</v>
      </c>
      <c r="AS109" s="2">
        <v>-1.7963634529483668E-3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1.714530086070995E-2</v>
      </c>
      <c r="V110" s="129">
        <v>3.5929049311814753E-3</v>
      </c>
      <c r="W110" s="129">
        <v>-1.2187689045677996E-3</v>
      </c>
      <c r="X110" s="129">
        <v>-6.856792913474721E-4</v>
      </c>
      <c r="Y110" s="129">
        <v>1.5858429351282438E-3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1.5762840140690442E-2</v>
      </c>
      <c r="AK110" s="2">
        <v>9.5742586917002645E-4</v>
      </c>
      <c r="AL110" s="2">
        <v>2.0421536250272288E-4</v>
      </c>
      <c r="AM110" s="2">
        <v>2.1576832723975325E-4</v>
      </c>
      <c r="AN110" s="2">
        <v>1.2479443135870438E-4</v>
      </c>
      <c r="AO110" s="2">
        <v>9.6270702598875005E-2</v>
      </c>
      <c r="AP110" s="2">
        <v>3.6032290618645949E-3</v>
      </c>
      <c r="AQ110" s="2">
        <v>3.9133709571110295E-3</v>
      </c>
      <c r="AR110" s="2">
        <v>6.1063930891935478E-4</v>
      </c>
      <c r="AS110" s="2">
        <v>-1.7963634529483668E-3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1.714530086070995E-2</v>
      </c>
      <c r="V111" s="129">
        <v>3.5929049311814753E-3</v>
      </c>
      <c r="W111" s="129">
        <v>-1.2187689045677996E-3</v>
      </c>
      <c r="X111" s="129">
        <v>-6.856792913474721E-4</v>
      </c>
      <c r="Y111" s="129">
        <v>1.5858429351282438E-3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1.5762840140690442E-2</v>
      </c>
      <c r="AK111" s="2">
        <v>9.5742586917002645E-4</v>
      </c>
      <c r="AL111" s="2">
        <v>2.0421536250272288E-4</v>
      </c>
      <c r="AM111" s="2">
        <v>2.1576832723975325E-4</v>
      </c>
      <c r="AN111" s="2">
        <v>1.2479443135870438E-4</v>
      </c>
      <c r="AO111" s="2">
        <v>9.6270702598875005E-2</v>
      </c>
      <c r="AP111" s="2">
        <v>3.6032290618645949E-3</v>
      </c>
      <c r="AQ111" s="2">
        <v>3.9133709571110295E-3</v>
      </c>
      <c r="AR111" s="2">
        <v>6.1063930891935478E-4</v>
      </c>
      <c r="AS111" s="2">
        <v>-1.7963634529483668E-3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1.714530086070995E-2</v>
      </c>
      <c r="V112" s="129">
        <v>3.5929049311814753E-3</v>
      </c>
      <c r="W112" s="129">
        <v>-1.2187689045677996E-3</v>
      </c>
      <c r="X112" s="129">
        <v>-6.856792913474721E-4</v>
      </c>
      <c r="Y112" s="129">
        <v>1.5858429351282438E-3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1.5762840140690442E-2</v>
      </c>
      <c r="AK112" s="2">
        <v>9.5742586917002645E-4</v>
      </c>
      <c r="AL112" s="2">
        <v>2.0421536250272288E-4</v>
      </c>
      <c r="AM112" s="2">
        <v>2.1576832723975325E-4</v>
      </c>
      <c r="AN112" s="2">
        <v>1.2479443135870438E-4</v>
      </c>
      <c r="AO112" s="2">
        <v>9.6270702598875005E-2</v>
      </c>
      <c r="AP112" s="2">
        <v>3.6032290618645949E-3</v>
      </c>
      <c r="AQ112" s="2">
        <v>3.9133709571110295E-3</v>
      </c>
      <c r="AR112" s="2">
        <v>6.1063930891935478E-4</v>
      </c>
      <c r="AS112" s="2">
        <v>-1.7963634529483668E-3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1.714530086070995E-2</v>
      </c>
      <c r="V113" s="129">
        <v>3.5929049311814753E-3</v>
      </c>
      <c r="W113" s="129">
        <v>-1.2187689045677996E-3</v>
      </c>
      <c r="X113" s="129">
        <v>-6.856792913474721E-4</v>
      </c>
      <c r="Y113" s="129">
        <v>1.5858429351282438E-3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1.5762840140690442E-2</v>
      </c>
      <c r="AK113" s="2">
        <v>9.5742586917002645E-4</v>
      </c>
      <c r="AL113" s="2">
        <v>2.0421536250272288E-4</v>
      </c>
      <c r="AM113" s="2">
        <v>2.1576832723975325E-4</v>
      </c>
      <c r="AN113" s="2">
        <v>1.2479443135870438E-4</v>
      </c>
      <c r="AO113" s="2">
        <v>9.6270702598875005E-2</v>
      </c>
      <c r="AP113" s="2">
        <v>3.6032290618645949E-3</v>
      </c>
      <c r="AQ113" s="2">
        <v>3.9133709571110295E-3</v>
      </c>
      <c r="AR113" s="2">
        <v>6.1063930891935478E-4</v>
      </c>
      <c r="AS113" s="2">
        <v>-1.7963634529483668E-3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1.714530086070995E-2</v>
      </c>
      <c r="V114" s="129">
        <v>3.5929049311814753E-3</v>
      </c>
      <c r="W114" s="129">
        <v>-1.2187689045677996E-3</v>
      </c>
      <c r="X114" s="129">
        <v>-6.856792913474721E-4</v>
      </c>
      <c r="Y114" s="129">
        <v>1.5858429351282438E-3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1.5762840140690442E-2</v>
      </c>
      <c r="AK114" s="2">
        <v>9.5742586917002645E-4</v>
      </c>
      <c r="AL114" s="2">
        <v>2.0421536250272288E-4</v>
      </c>
      <c r="AM114" s="2">
        <v>2.1576832723975325E-4</v>
      </c>
      <c r="AN114" s="2">
        <v>1.2479443135870438E-4</v>
      </c>
      <c r="AO114" s="2">
        <v>9.6270702598875005E-2</v>
      </c>
      <c r="AP114" s="2">
        <v>3.6032290618645949E-3</v>
      </c>
      <c r="AQ114" s="2">
        <v>3.9133709571110295E-3</v>
      </c>
      <c r="AR114" s="2">
        <v>6.1063930891935478E-4</v>
      </c>
      <c r="AS114" s="2">
        <v>-1.7963634529483668E-3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1.714530086070995E-2</v>
      </c>
      <c r="V115" s="129">
        <v>3.5929049311814753E-3</v>
      </c>
      <c r="W115" s="129">
        <v>-1.2187689045677996E-3</v>
      </c>
      <c r="X115" s="129">
        <v>-6.856792913474721E-4</v>
      </c>
      <c r="Y115" s="129">
        <v>1.5858429351282438E-3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1.5762840140690442E-2</v>
      </c>
      <c r="AK115" s="2">
        <v>9.5742586917002645E-4</v>
      </c>
      <c r="AL115" s="2">
        <v>2.0421536250272288E-4</v>
      </c>
      <c r="AM115" s="2">
        <v>2.1576832723975325E-4</v>
      </c>
      <c r="AN115" s="2">
        <v>1.2479443135870438E-4</v>
      </c>
      <c r="AO115" s="2">
        <v>9.6270702598875005E-2</v>
      </c>
      <c r="AP115" s="2">
        <v>3.6032290618645949E-3</v>
      </c>
      <c r="AQ115" s="2">
        <v>3.9133709571110295E-3</v>
      </c>
      <c r="AR115" s="2">
        <v>6.1063930891935478E-4</v>
      </c>
      <c r="AS115" s="2">
        <v>-1.7963634529483668E-3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1.714530086070995E-2</v>
      </c>
      <c r="V116" s="129">
        <v>3.5929049311814753E-3</v>
      </c>
      <c r="W116" s="129">
        <v>-1.2187689045677996E-3</v>
      </c>
      <c r="X116" s="129">
        <v>-6.856792913474721E-4</v>
      </c>
      <c r="Y116" s="129">
        <v>1.5858429351282438E-3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1.5762840140690442E-2</v>
      </c>
      <c r="AK116" s="2">
        <v>9.5742586917002645E-4</v>
      </c>
      <c r="AL116" s="2">
        <v>2.0421536250272288E-4</v>
      </c>
      <c r="AM116" s="2">
        <v>2.1576832723975325E-4</v>
      </c>
      <c r="AN116" s="2">
        <v>1.2479443135870438E-4</v>
      </c>
      <c r="AO116" s="2">
        <v>9.6270702598875005E-2</v>
      </c>
      <c r="AP116" s="2">
        <v>3.6032290618645949E-3</v>
      </c>
      <c r="AQ116" s="2">
        <v>3.9133709571110295E-3</v>
      </c>
      <c r="AR116" s="2">
        <v>6.1063930891935478E-4</v>
      </c>
      <c r="AS116" s="2">
        <v>-1.7963634529483668E-3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1.714530086070995E-2</v>
      </c>
      <c r="V117" s="129">
        <v>3.5929049311814753E-3</v>
      </c>
      <c r="W117" s="129">
        <v>-1.2187689045677996E-3</v>
      </c>
      <c r="X117" s="129">
        <v>-6.856792913474721E-4</v>
      </c>
      <c r="Y117" s="129">
        <v>1.5858429351282438E-3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1.5762840140690442E-2</v>
      </c>
      <c r="AK117" s="2">
        <v>9.5742586917002645E-4</v>
      </c>
      <c r="AL117" s="2">
        <v>2.0421536250272288E-4</v>
      </c>
      <c r="AM117" s="2">
        <v>2.1576832723975325E-4</v>
      </c>
      <c r="AN117" s="2">
        <v>1.2479443135870438E-4</v>
      </c>
      <c r="AO117" s="2">
        <v>9.6270702598875005E-2</v>
      </c>
      <c r="AP117" s="2">
        <v>3.6032290618645949E-3</v>
      </c>
      <c r="AQ117" s="2">
        <v>3.9133709571110295E-3</v>
      </c>
      <c r="AR117" s="2">
        <v>6.1063930891935478E-4</v>
      </c>
      <c r="AS117" s="2">
        <v>-1.7963634529483668E-3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1.714530086070995E-2</v>
      </c>
      <c r="V118" s="129">
        <v>3.5929049311814753E-3</v>
      </c>
      <c r="W118" s="129">
        <v>-1.2187689045677996E-3</v>
      </c>
      <c r="X118" s="129">
        <v>-6.856792913474721E-4</v>
      </c>
      <c r="Y118" s="129">
        <v>1.5858429351282438E-3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1.5762840140690442E-2</v>
      </c>
      <c r="AK118" s="2">
        <v>9.5742586917002645E-4</v>
      </c>
      <c r="AL118" s="2">
        <v>2.0421536250272288E-4</v>
      </c>
      <c r="AM118" s="2">
        <v>2.1576832723975325E-4</v>
      </c>
      <c r="AN118" s="2">
        <v>1.2479443135870438E-4</v>
      </c>
      <c r="AO118" s="2">
        <v>9.6270702598875005E-2</v>
      </c>
      <c r="AP118" s="2">
        <v>3.6032290618645949E-3</v>
      </c>
      <c r="AQ118" s="2">
        <v>3.9133709571110295E-3</v>
      </c>
      <c r="AR118" s="2">
        <v>6.1063930891935478E-4</v>
      </c>
      <c r="AS118" s="2">
        <v>-1.7963634529483668E-3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1.714530086070995E-2</v>
      </c>
      <c r="V119" s="129">
        <v>3.5929049311814753E-3</v>
      </c>
      <c r="W119" s="129">
        <v>-1.2187689045677996E-3</v>
      </c>
      <c r="X119" s="129">
        <v>-6.856792913474721E-4</v>
      </c>
      <c r="Y119" s="129">
        <v>1.5858429351282438E-3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1.5762840140690442E-2</v>
      </c>
      <c r="AK119" s="2">
        <v>9.5742586917002645E-4</v>
      </c>
      <c r="AL119" s="2">
        <v>2.0421536250272288E-4</v>
      </c>
      <c r="AM119" s="2">
        <v>2.1576832723975325E-4</v>
      </c>
      <c r="AN119" s="2">
        <v>1.2479443135870438E-4</v>
      </c>
      <c r="AO119" s="2">
        <v>9.6270702598875005E-2</v>
      </c>
      <c r="AP119" s="2">
        <v>3.6032290618645949E-3</v>
      </c>
      <c r="AQ119" s="2">
        <v>3.9133709571110295E-3</v>
      </c>
      <c r="AR119" s="2">
        <v>6.1063930891935478E-4</v>
      </c>
      <c r="AS119" s="2">
        <v>-1.7963634529483668E-3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1.714530086070995E-2</v>
      </c>
      <c r="V120" s="129">
        <v>3.5929049311814753E-3</v>
      </c>
      <c r="W120" s="129">
        <v>-1.2187689045677996E-3</v>
      </c>
      <c r="X120" s="129">
        <v>-6.856792913474721E-4</v>
      </c>
      <c r="Y120" s="129">
        <v>1.5858429351282438E-3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1.5762840140690442E-2</v>
      </c>
      <c r="AK120" s="2">
        <v>9.5742586917002645E-4</v>
      </c>
      <c r="AL120" s="2">
        <v>2.0421536250272288E-4</v>
      </c>
      <c r="AM120" s="2">
        <v>2.1576832723975325E-4</v>
      </c>
      <c r="AN120" s="2">
        <v>1.2479443135870438E-4</v>
      </c>
      <c r="AO120" s="2">
        <v>9.6270702598875005E-2</v>
      </c>
      <c r="AP120" s="2">
        <v>3.6032290618645949E-3</v>
      </c>
      <c r="AQ120" s="2">
        <v>3.9133709571110295E-3</v>
      </c>
      <c r="AR120" s="2">
        <v>6.1063930891935478E-4</v>
      </c>
      <c r="AS120" s="2">
        <v>-1.7963634529483668E-3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1.714530086070995E-2</v>
      </c>
      <c r="V121" s="129">
        <v>3.5929049311814753E-3</v>
      </c>
      <c r="W121" s="129">
        <v>-1.2187689045677996E-3</v>
      </c>
      <c r="X121" s="129">
        <v>-6.856792913474721E-4</v>
      </c>
      <c r="Y121" s="129">
        <v>1.5858429351282438E-3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1.5762840140690442E-2</v>
      </c>
      <c r="AK121" s="2">
        <v>9.5742586917002645E-4</v>
      </c>
      <c r="AL121" s="2">
        <v>2.0421536250272288E-4</v>
      </c>
      <c r="AM121" s="2">
        <v>2.1576832723975325E-4</v>
      </c>
      <c r="AN121" s="2">
        <v>1.2479443135870438E-4</v>
      </c>
      <c r="AO121" s="2">
        <v>9.6270702598875005E-2</v>
      </c>
      <c r="AP121" s="2">
        <v>3.6032290618645949E-3</v>
      </c>
      <c r="AQ121" s="2">
        <v>3.9133709571110295E-3</v>
      </c>
      <c r="AR121" s="2">
        <v>6.1063930891935478E-4</v>
      </c>
      <c r="AS121" s="2">
        <v>-1.7963634529483668E-3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1.714530086070995E-2</v>
      </c>
      <c r="V122" s="129">
        <v>3.5929049311814753E-3</v>
      </c>
      <c r="W122" s="129">
        <v>-1.2187689045677996E-3</v>
      </c>
      <c r="X122" s="129">
        <v>-6.856792913474721E-4</v>
      </c>
      <c r="Y122" s="129">
        <v>1.5858429351282438E-3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1.5762840140690442E-2</v>
      </c>
      <c r="AK122" s="2">
        <v>9.5742586917002645E-4</v>
      </c>
      <c r="AL122" s="2">
        <v>2.0421536250272288E-4</v>
      </c>
      <c r="AM122" s="2">
        <v>2.1576832723975325E-4</v>
      </c>
      <c r="AN122" s="2">
        <v>1.2479443135870438E-4</v>
      </c>
      <c r="AO122" s="2">
        <v>9.6270702598875005E-2</v>
      </c>
      <c r="AP122" s="2">
        <v>3.6032290618645949E-3</v>
      </c>
      <c r="AQ122" s="2">
        <v>3.9133709571110295E-3</v>
      </c>
      <c r="AR122" s="2">
        <v>6.1063930891935478E-4</v>
      </c>
      <c r="AS122" s="2">
        <v>-1.7963634529483668E-3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1.714530086070995E-2</v>
      </c>
      <c r="V123" s="129">
        <v>3.5929049311814753E-3</v>
      </c>
      <c r="W123" s="129">
        <v>-1.2187689045677996E-3</v>
      </c>
      <c r="X123" s="129">
        <v>-6.856792913474721E-4</v>
      </c>
      <c r="Y123" s="129">
        <v>1.5858429351282438E-3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1.5762840140690442E-2</v>
      </c>
      <c r="AK123" s="2">
        <v>9.5742586917002645E-4</v>
      </c>
      <c r="AL123" s="2">
        <v>2.0421536250272288E-4</v>
      </c>
      <c r="AM123" s="2">
        <v>2.1576832723975325E-4</v>
      </c>
      <c r="AN123" s="2">
        <v>1.2479443135870438E-4</v>
      </c>
      <c r="AO123" s="2">
        <v>9.6270702598875005E-2</v>
      </c>
      <c r="AP123" s="2">
        <v>3.6032290618645949E-3</v>
      </c>
      <c r="AQ123" s="2">
        <v>3.9133709571110295E-3</v>
      </c>
      <c r="AR123" s="2">
        <v>6.1063930891935478E-4</v>
      </c>
      <c r="AS123" s="2">
        <v>-1.7963634529483668E-3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1.714530086070995E-2</v>
      </c>
      <c r="V124" s="129">
        <v>3.5929049311814753E-3</v>
      </c>
      <c r="W124" s="129">
        <v>-1.2187689045677996E-3</v>
      </c>
      <c r="X124" s="129">
        <v>-6.856792913474721E-4</v>
      </c>
      <c r="Y124" s="129">
        <v>1.5858429351282438E-3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1.5762840140690442E-2</v>
      </c>
      <c r="AK124" s="2">
        <v>9.5742586917002645E-4</v>
      </c>
      <c r="AL124" s="2">
        <v>2.0421536250272288E-4</v>
      </c>
      <c r="AM124" s="2">
        <v>2.1576832723975325E-4</v>
      </c>
      <c r="AN124" s="2">
        <v>1.2479443135870438E-4</v>
      </c>
      <c r="AO124" s="2">
        <v>9.6270702598875005E-2</v>
      </c>
      <c r="AP124" s="2">
        <v>3.6032290618645949E-3</v>
      </c>
      <c r="AQ124" s="2">
        <v>3.9133709571110295E-3</v>
      </c>
      <c r="AR124" s="2">
        <v>6.1063930891935478E-4</v>
      </c>
      <c r="AS124" s="2">
        <v>-1.7963634529483668E-3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1.714530086070995E-2</v>
      </c>
      <c r="V125" s="129">
        <v>3.5929049311814753E-3</v>
      </c>
      <c r="W125" s="129">
        <v>-1.2187689045677996E-3</v>
      </c>
      <c r="X125" s="129">
        <v>-6.856792913474721E-4</v>
      </c>
      <c r="Y125" s="129">
        <v>1.5858429351282438E-3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1.5762840140690442E-2</v>
      </c>
      <c r="AK125" s="2">
        <v>9.5742586917002645E-4</v>
      </c>
      <c r="AL125" s="2">
        <v>2.0421536250272288E-4</v>
      </c>
      <c r="AM125" s="2">
        <v>2.1576832723975325E-4</v>
      </c>
      <c r="AN125" s="2">
        <v>1.2479443135870438E-4</v>
      </c>
      <c r="AO125" s="2">
        <v>9.6270702598875005E-2</v>
      </c>
      <c r="AP125" s="2">
        <v>3.6032290618645949E-3</v>
      </c>
      <c r="AQ125" s="2">
        <v>3.9133709571110295E-3</v>
      </c>
      <c r="AR125" s="2">
        <v>6.1063930891935478E-4</v>
      </c>
      <c r="AS125" s="2">
        <v>-1.7963634529483668E-3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1.714530086070995E-2</v>
      </c>
      <c r="V126" s="129">
        <v>3.5929049311814753E-3</v>
      </c>
      <c r="W126" s="129">
        <v>-1.2187689045677996E-3</v>
      </c>
      <c r="X126" s="129">
        <v>-6.856792913474721E-4</v>
      </c>
      <c r="Y126" s="129">
        <v>1.5858429351282438E-3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1.5762840140690442E-2</v>
      </c>
      <c r="AK126" s="2">
        <v>9.5742586917002645E-4</v>
      </c>
      <c r="AL126" s="2">
        <v>2.0421536250272288E-4</v>
      </c>
      <c r="AM126" s="2">
        <v>2.1576832723975325E-4</v>
      </c>
      <c r="AN126" s="2">
        <v>1.2479443135870438E-4</v>
      </c>
      <c r="AO126" s="2">
        <v>9.6270702598875005E-2</v>
      </c>
      <c r="AP126" s="2">
        <v>3.6032290618645949E-3</v>
      </c>
      <c r="AQ126" s="2">
        <v>3.9133709571110295E-3</v>
      </c>
      <c r="AR126" s="2">
        <v>6.1063930891935478E-4</v>
      </c>
      <c r="AS126" s="2">
        <v>-1.7963634529483668E-3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1.714530086070995E-2</v>
      </c>
      <c r="V127" s="129">
        <v>3.5929049311814753E-3</v>
      </c>
      <c r="W127" s="129">
        <v>-1.2187689045677996E-3</v>
      </c>
      <c r="X127" s="129">
        <v>-6.856792913474721E-4</v>
      </c>
      <c r="Y127" s="129">
        <v>1.5858429351282438E-3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1.5762840140690442E-2</v>
      </c>
      <c r="AK127" s="2">
        <v>9.5742586917002645E-4</v>
      </c>
      <c r="AL127" s="2">
        <v>2.0421536250272288E-4</v>
      </c>
      <c r="AM127" s="2">
        <v>2.1576832723975325E-4</v>
      </c>
      <c r="AN127" s="2">
        <v>1.2479443135870438E-4</v>
      </c>
      <c r="AO127" s="2">
        <v>9.6270702598875005E-2</v>
      </c>
      <c r="AP127" s="2">
        <v>3.6032290618645949E-3</v>
      </c>
      <c r="AQ127" s="2">
        <v>3.9133709571110295E-3</v>
      </c>
      <c r="AR127" s="2">
        <v>6.1063930891935478E-4</v>
      </c>
      <c r="AS127" s="2">
        <v>-1.7963634529483668E-3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1.714530086070995E-2</v>
      </c>
      <c r="V128" s="129">
        <v>3.5929049311814753E-3</v>
      </c>
      <c r="W128" s="129">
        <v>-1.2187689045677996E-3</v>
      </c>
      <c r="X128" s="129">
        <v>-6.856792913474721E-4</v>
      </c>
      <c r="Y128" s="129">
        <v>1.5858429351282438E-3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1.5762840140690442E-2</v>
      </c>
      <c r="AK128" s="2">
        <v>9.5742586917002645E-4</v>
      </c>
      <c r="AL128" s="2">
        <v>2.0421536250272288E-4</v>
      </c>
      <c r="AM128" s="2">
        <v>2.1576832723975325E-4</v>
      </c>
      <c r="AN128" s="2">
        <v>1.2479443135870438E-4</v>
      </c>
      <c r="AO128" s="2">
        <v>9.6270702598875005E-2</v>
      </c>
      <c r="AP128" s="2">
        <v>3.6032290618645949E-3</v>
      </c>
      <c r="AQ128" s="2">
        <v>3.9133709571110295E-3</v>
      </c>
      <c r="AR128" s="2">
        <v>6.1063930891935478E-4</v>
      </c>
      <c r="AS128" s="2">
        <v>-1.7963634529483668E-3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1.714530086070995E-2</v>
      </c>
      <c r="V129" s="129">
        <v>3.5929049311814753E-3</v>
      </c>
      <c r="W129" s="129">
        <v>-1.2187689045677996E-3</v>
      </c>
      <c r="X129" s="129">
        <v>-6.856792913474721E-4</v>
      </c>
      <c r="Y129" s="129">
        <v>1.5858429351282438E-3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1.5762840140690442E-2</v>
      </c>
      <c r="AK129" s="2">
        <v>9.5742586917002645E-4</v>
      </c>
      <c r="AL129" s="2">
        <v>2.0421536250272288E-4</v>
      </c>
      <c r="AM129" s="2">
        <v>2.1576832723975325E-4</v>
      </c>
      <c r="AN129" s="2">
        <v>1.2479443135870438E-4</v>
      </c>
      <c r="AO129" s="2">
        <v>9.6270702598875005E-2</v>
      </c>
      <c r="AP129" s="2">
        <v>3.6032290618645949E-3</v>
      </c>
      <c r="AQ129" s="2">
        <v>3.9133709571110295E-3</v>
      </c>
      <c r="AR129" s="2">
        <v>6.1063930891935478E-4</v>
      </c>
      <c r="AS129" s="2">
        <v>-1.7963634529483668E-3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1.714530086070995E-2</v>
      </c>
      <c r="V130" s="129">
        <v>3.5929049311814753E-3</v>
      </c>
      <c r="W130" s="129">
        <v>-1.2187689045677996E-3</v>
      </c>
      <c r="X130" s="129">
        <v>-6.856792913474721E-4</v>
      </c>
      <c r="Y130" s="129">
        <v>1.5858429351282438E-3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1.5762840140690442E-2</v>
      </c>
      <c r="AK130" s="2">
        <v>9.5742586917002645E-4</v>
      </c>
      <c r="AL130" s="2">
        <v>2.0421536250272288E-4</v>
      </c>
      <c r="AM130" s="2">
        <v>2.1576832723975325E-4</v>
      </c>
      <c r="AN130" s="2">
        <v>1.2479443135870438E-4</v>
      </c>
      <c r="AO130" s="2">
        <v>9.6270702598875005E-2</v>
      </c>
      <c r="AP130" s="2">
        <v>3.6032290618645949E-3</v>
      </c>
      <c r="AQ130" s="2">
        <v>3.9133709571110295E-3</v>
      </c>
      <c r="AR130" s="2">
        <v>6.1063930891935478E-4</v>
      </c>
      <c r="AS130" s="2">
        <v>-1.7963634529483668E-3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1.714530086070995E-2</v>
      </c>
      <c r="V131" s="129">
        <v>3.5929049311814753E-3</v>
      </c>
      <c r="W131" s="129">
        <v>-1.2187689045677996E-3</v>
      </c>
      <c r="X131" s="129">
        <v>-6.856792913474721E-4</v>
      </c>
      <c r="Y131" s="129">
        <v>1.5858429351282438E-3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1.5762840140690442E-2</v>
      </c>
      <c r="AK131" s="2">
        <v>9.5742586917002645E-4</v>
      </c>
      <c r="AL131" s="2">
        <v>2.0421536250272288E-4</v>
      </c>
      <c r="AM131" s="2">
        <v>2.1576832723975325E-4</v>
      </c>
      <c r="AN131" s="2">
        <v>1.2479443135870438E-4</v>
      </c>
      <c r="AO131" s="2">
        <v>9.6270702598875005E-2</v>
      </c>
      <c r="AP131" s="2">
        <v>3.6032290618645949E-3</v>
      </c>
      <c r="AQ131" s="2">
        <v>3.9133709571110295E-3</v>
      </c>
      <c r="AR131" s="2">
        <v>6.1063930891935478E-4</v>
      </c>
      <c r="AS131" s="2">
        <v>-1.7963634529483668E-3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1.714530086070995E-2</v>
      </c>
      <c r="V132" s="129">
        <v>3.5929049311814753E-3</v>
      </c>
      <c r="W132" s="129">
        <v>-1.2187689045677996E-3</v>
      </c>
      <c r="X132" s="129">
        <v>-6.856792913474721E-4</v>
      </c>
      <c r="Y132" s="129">
        <v>1.5858429351282438E-3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1.5762840140690442E-2</v>
      </c>
      <c r="AK132" s="2">
        <v>9.5742586917002645E-4</v>
      </c>
      <c r="AL132" s="2">
        <v>2.0421536250272288E-4</v>
      </c>
      <c r="AM132" s="2">
        <v>2.1576832723975325E-4</v>
      </c>
      <c r="AN132" s="2">
        <v>1.2479443135870438E-4</v>
      </c>
      <c r="AO132" s="2">
        <v>9.6270702598875005E-2</v>
      </c>
      <c r="AP132" s="2">
        <v>3.6032290618645949E-3</v>
      </c>
      <c r="AQ132" s="2">
        <v>3.9133709571110295E-3</v>
      </c>
      <c r="AR132" s="2">
        <v>6.1063930891935478E-4</v>
      </c>
      <c r="AS132" s="2">
        <v>-1.7963634529483668E-3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1.714530086070995E-2</v>
      </c>
      <c r="V133" s="129">
        <v>3.5929049311814753E-3</v>
      </c>
      <c r="W133" s="129">
        <v>-1.2187689045677996E-3</v>
      </c>
      <c r="X133" s="129">
        <v>-6.856792913474721E-4</v>
      </c>
      <c r="Y133" s="129">
        <v>1.5858429351282438E-3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1.5762840140690442E-2</v>
      </c>
      <c r="AK133" s="2">
        <v>9.5742586917002645E-4</v>
      </c>
      <c r="AL133" s="2">
        <v>2.0421536250272288E-4</v>
      </c>
      <c r="AM133" s="2">
        <v>2.1576832723975325E-4</v>
      </c>
      <c r="AN133" s="2">
        <v>1.2479443135870438E-4</v>
      </c>
      <c r="AO133" s="2">
        <v>9.6270702598875005E-2</v>
      </c>
      <c r="AP133" s="2">
        <v>3.6032290618645949E-3</v>
      </c>
      <c r="AQ133" s="2">
        <v>3.9133709571110295E-3</v>
      </c>
      <c r="AR133" s="2">
        <v>6.1063930891935478E-4</v>
      </c>
      <c r="AS133" s="2">
        <v>-1.7963634529483668E-3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1.714530086070995E-2</v>
      </c>
      <c r="V134" s="129">
        <v>3.5929049311814753E-3</v>
      </c>
      <c r="W134" s="129">
        <v>-1.2187689045677996E-3</v>
      </c>
      <c r="X134" s="129">
        <v>-6.856792913474721E-4</v>
      </c>
      <c r="Y134" s="129">
        <v>1.5858429351282438E-3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1.5762840140690442E-2</v>
      </c>
      <c r="AK134" s="2">
        <v>9.5742586917002645E-4</v>
      </c>
      <c r="AL134" s="2">
        <v>2.0421536250272288E-4</v>
      </c>
      <c r="AM134" s="2">
        <v>2.1576832723975325E-4</v>
      </c>
      <c r="AN134" s="2">
        <v>1.2479443135870438E-4</v>
      </c>
      <c r="AO134" s="2">
        <v>9.6270702598875005E-2</v>
      </c>
      <c r="AP134" s="2">
        <v>3.6032290618645949E-3</v>
      </c>
      <c r="AQ134" s="2">
        <v>3.9133709571110295E-3</v>
      </c>
      <c r="AR134" s="2">
        <v>6.1063930891935478E-4</v>
      </c>
      <c r="AS134" s="2">
        <v>-1.7963634529483668E-3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1.714530086070995E-2</v>
      </c>
      <c r="V135" s="129">
        <v>3.5929049311814753E-3</v>
      </c>
      <c r="W135" s="129">
        <v>-1.2187689045677996E-3</v>
      </c>
      <c r="X135" s="129">
        <v>-6.856792913474721E-4</v>
      </c>
      <c r="Y135" s="129">
        <v>1.5858429351282438E-3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1.5762840140690442E-2</v>
      </c>
      <c r="AK135" s="2">
        <v>9.5742586917002645E-4</v>
      </c>
      <c r="AL135" s="2">
        <v>2.0421536250272288E-4</v>
      </c>
      <c r="AM135" s="2">
        <v>2.1576832723975325E-4</v>
      </c>
      <c r="AN135" s="2">
        <v>1.2479443135870438E-4</v>
      </c>
      <c r="AO135" s="2">
        <v>9.6270702598875005E-2</v>
      </c>
      <c r="AP135" s="2">
        <v>3.6032290618645949E-3</v>
      </c>
      <c r="AQ135" s="2">
        <v>3.9133709571110295E-3</v>
      </c>
      <c r="AR135" s="2">
        <v>6.1063930891935478E-4</v>
      </c>
      <c r="AS135" s="2">
        <v>-1.7963634529483668E-3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1.714530086070995E-2</v>
      </c>
      <c r="V136" s="129">
        <v>3.5929049311814753E-3</v>
      </c>
      <c r="W136" s="129">
        <v>-1.2187689045677996E-3</v>
      </c>
      <c r="X136" s="129">
        <v>-6.856792913474721E-4</v>
      </c>
      <c r="Y136" s="129">
        <v>1.5858429351282438E-3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1.5762840140690442E-2</v>
      </c>
      <c r="AK136" s="2">
        <v>9.5742586917002645E-4</v>
      </c>
      <c r="AL136" s="2">
        <v>2.0421536250272288E-4</v>
      </c>
      <c r="AM136" s="2">
        <v>2.1576832723975325E-4</v>
      </c>
      <c r="AN136" s="2">
        <v>1.2479443135870438E-4</v>
      </c>
      <c r="AO136" s="2">
        <v>9.6270702598875005E-2</v>
      </c>
      <c r="AP136" s="2">
        <v>3.6032290618645949E-3</v>
      </c>
      <c r="AQ136" s="2">
        <v>3.9133709571110295E-3</v>
      </c>
      <c r="AR136" s="2">
        <v>6.1063930891935478E-4</v>
      </c>
      <c r="AS136" s="2">
        <v>-1.7963634529483668E-3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1.714530086070995E-2</v>
      </c>
      <c r="V137" s="129">
        <v>3.5929049311814753E-3</v>
      </c>
      <c r="W137" s="129">
        <v>-1.2187689045677996E-3</v>
      </c>
      <c r="X137" s="129">
        <v>-6.856792913474721E-4</v>
      </c>
      <c r="Y137" s="129">
        <v>1.5858429351282438E-3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1.5762840140690442E-2</v>
      </c>
      <c r="AK137" s="2">
        <v>9.5742586917002645E-4</v>
      </c>
      <c r="AL137" s="2">
        <v>2.0421536250272288E-4</v>
      </c>
      <c r="AM137" s="2">
        <v>2.1576832723975325E-4</v>
      </c>
      <c r="AN137" s="2">
        <v>1.2479443135870438E-4</v>
      </c>
      <c r="AO137" s="2">
        <v>9.6270702598875005E-2</v>
      </c>
      <c r="AP137" s="2">
        <v>3.6032290618645949E-3</v>
      </c>
      <c r="AQ137" s="2">
        <v>3.9133709571110295E-3</v>
      </c>
      <c r="AR137" s="2">
        <v>6.1063930891935478E-4</v>
      </c>
      <c r="AS137" s="2">
        <v>-1.7963634529483668E-3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1.714530086070995E-2</v>
      </c>
      <c r="V138" s="129">
        <v>3.5929049311814753E-3</v>
      </c>
      <c r="W138" s="129">
        <v>-1.2187689045677996E-3</v>
      </c>
      <c r="X138" s="129">
        <v>-6.856792913474721E-4</v>
      </c>
      <c r="Y138" s="129">
        <v>1.5858429351282438E-3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1.5762840140690442E-2</v>
      </c>
      <c r="AK138" s="2">
        <v>9.5742586917002645E-4</v>
      </c>
      <c r="AL138" s="2">
        <v>2.0421536250272288E-4</v>
      </c>
      <c r="AM138" s="2">
        <v>2.1576832723975325E-4</v>
      </c>
      <c r="AN138" s="2">
        <v>1.2479443135870438E-4</v>
      </c>
      <c r="AO138" s="2">
        <v>9.6270702598875005E-2</v>
      </c>
      <c r="AP138" s="2">
        <v>3.6032290618645949E-3</v>
      </c>
      <c r="AQ138" s="2">
        <v>3.9133709571110295E-3</v>
      </c>
      <c r="AR138" s="2">
        <v>6.1063930891935478E-4</v>
      </c>
      <c r="AS138" s="2">
        <v>-1.7963634529483668E-3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1.714530086070995E-2</v>
      </c>
      <c r="V139" s="129">
        <v>3.5929049311814753E-3</v>
      </c>
      <c r="W139" s="129">
        <v>-1.2187689045677996E-3</v>
      </c>
      <c r="X139" s="129">
        <v>-6.856792913474721E-4</v>
      </c>
      <c r="Y139" s="129">
        <v>1.5858429351282438E-3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1.5762840140690442E-2</v>
      </c>
      <c r="AK139" s="2">
        <v>9.5742586917002645E-4</v>
      </c>
      <c r="AL139" s="2">
        <v>2.0421536250272288E-4</v>
      </c>
      <c r="AM139" s="2">
        <v>2.1576832723975325E-4</v>
      </c>
      <c r="AN139" s="2">
        <v>1.2479443135870438E-4</v>
      </c>
      <c r="AO139" s="2">
        <v>9.6270702598875005E-2</v>
      </c>
      <c r="AP139" s="2">
        <v>3.6032290618645949E-3</v>
      </c>
      <c r="AQ139" s="2">
        <v>3.9133709571110295E-3</v>
      </c>
      <c r="AR139" s="2">
        <v>6.1063930891935478E-4</v>
      </c>
      <c r="AS139" s="2">
        <v>-1.7963634529483668E-3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1.714530086070995E-2</v>
      </c>
      <c r="V140" s="129">
        <v>3.5929049311814753E-3</v>
      </c>
      <c r="W140" s="129">
        <v>-1.2187689045677996E-3</v>
      </c>
      <c r="X140" s="129">
        <v>-6.856792913474721E-4</v>
      </c>
      <c r="Y140" s="129">
        <v>1.5858429351282438E-3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1.5762840140690442E-2</v>
      </c>
      <c r="AK140" s="2">
        <v>9.5742586917002645E-4</v>
      </c>
      <c r="AL140" s="2">
        <v>2.0421536250272288E-4</v>
      </c>
      <c r="AM140" s="2">
        <v>2.1576832723975325E-4</v>
      </c>
      <c r="AN140" s="2">
        <v>1.2479443135870438E-4</v>
      </c>
      <c r="AO140" s="2">
        <v>9.6270702598875005E-2</v>
      </c>
      <c r="AP140" s="2">
        <v>3.6032290618645949E-3</v>
      </c>
      <c r="AQ140" s="2">
        <v>3.9133709571110295E-3</v>
      </c>
      <c r="AR140" s="2">
        <v>6.1063930891935478E-4</v>
      </c>
      <c r="AS140" s="2">
        <v>-1.7963634529483668E-3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1.714530086070995E-2</v>
      </c>
      <c r="V141" s="129">
        <v>3.5929049311814753E-3</v>
      </c>
      <c r="W141" s="129">
        <v>-1.2187689045677996E-3</v>
      </c>
      <c r="X141" s="129">
        <v>-6.856792913474721E-4</v>
      </c>
      <c r="Y141" s="129">
        <v>1.5858429351282438E-3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1.5762840140690442E-2</v>
      </c>
      <c r="AK141" s="2">
        <v>9.5742586917002645E-4</v>
      </c>
      <c r="AL141" s="2">
        <v>2.0421536250272288E-4</v>
      </c>
      <c r="AM141" s="2">
        <v>2.1576832723975325E-4</v>
      </c>
      <c r="AN141" s="2">
        <v>1.2479443135870438E-4</v>
      </c>
      <c r="AO141" s="2">
        <v>9.6270702598875005E-2</v>
      </c>
      <c r="AP141" s="2">
        <v>3.6032290618645949E-3</v>
      </c>
      <c r="AQ141" s="2">
        <v>3.9133709571110295E-3</v>
      </c>
      <c r="AR141" s="2">
        <v>6.1063930891935478E-4</v>
      </c>
      <c r="AS141" s="2">
        <v>-1.7963634529483668E-3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1.714530086070995E-2</v>
      </c>
      <c r="V142" s="129">
        <v>3.5929049311814753E-3</v>
      </c>
      <c r="W142" s="129">
        <v>-1.2187689045677996E-3</v>
      </c>
      <c r="X142" s="129">
        <v>-6.856792913474721E-4</v>
      </c>
      <c r="Y142" s="129">
        <v>1.5858429351282438E-3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1.5762840140690442E-2</v>
      </c>
      <c r="AK142" s="2">
        <v>9.5742586917002645E-4</v>
      </c>
      <c r="AL142" s="2">
        <v>2.0421536250272288E-4</v>
      </c>
      <c r="AM142" s="2">
        <v>2.1576832723975325E-4</v>
      </c>
      <c r="AN142" s="2">
        <v>1.2479443135870438E-4</v>
      </c>
      <c r="AO142" s="2">
        <v>9.6270702598875005E-2</v>
      </c>
      <c r="AP142" s="2">
        <v>3.6032290618645949E-3</v>
      </c>
      <c r="AQ142" s="2">
        <v>3.9133709571110295E-3</v>
      </c>
      <c r="AR142" s="2">
        <v>6.1063930891935478E-4</v>
      </c>
      <c r="AS142" s="2">
        <v>-1.7963634529483668E-3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1.714530086070995E-2</v>
      </c>
      <c r="V143" s="129">
        <v>3.5929049311814753E-3</v>
      </c>
      <c r="W143" s="129">
        <v>-1.2187689045677996E-3</v>
      </c>
      <c r="X143" s="129">
        <v>-6.856792913474721E-4</v>
      </c>
      <c r="Y143" s="129">
        <v>1.5858429351282438E-3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1.5762840140690442E-2</v>
      </c>
      <c r="AK143" s="2">
        <v>9.5742586917002645E-4</v>
      </c>
      <c r="AL143" s="2">
        <v>2.0421536250272288E-4</v>
      </c>
      <c r="AM143" s="2">
        <v>2.1576832723975325E-4</v>
      </c>
      <c r="AN143" s="2">
        <v>1.2479443135870438E-4</v>
      </c>
      <c r="AO143" s="2">
        <v>9.6270702598875005E-2</v>
      </c>
      <c r="AP143" s="2">
        <v>3.6032290618645949E-3</v>
      </c>
      <c r="AQ143" s="2">
        <v>3.9133709571110295E-3</v>
      </c>
      <c r="AR143" s="2">
        <v>6.1063930891935478E-4</v>
      </c>
      <c r="AS143" s="2">
        <v>-1.7963634529483668E-3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1.714530086070995E-2</v>
      </c>
      <c r="V144" s="129">
        <v>3.5929049311814753E-3</v>
      </c>
      <c r="W144" s="129">
        <v>-1.2187689045677996E-3</v>
      </c>
      <c r="X144" s="129">
        <v>-6.856792913474721E-4</v>
      </c>
      <c r="Y144" s="129">
        <v>1.5858429351282438E-3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1.5762840140690442E-2</v>
      </c>
      <c r="AK144" s="2">
        <v>9.5742586917002645E-4</v>
      </c>
      <c r="AL144" s="2">
        <v>2.0421536250272288E-4</v>
      </c>
      <c r="AM144" s="2">
        <v>2.1576832723975325E-4</v>
      </c>
      <c r="AN144" s="2">
        <v>1.2479443135870438E-4</v>
      </c>
      <c r="AO144" s="2">
        <v>9.6270702598875005E-2</v>
      </c>
      <c r="AP144" s="2">
        <v>3.6032290618645949E-3</v>
      </c>
      <c r="AQ144" s="2">
        <v>3.9133709571110295E-3</v>
      </c>
      <c r="AR144" s="2">
        <v>6.1063930891935478E-4</v>
      </c>
      <c r="AS144" s="2">
        <v>-1.7963634529483668E-3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1.714530086070995E-2</v>
      </c>
      <c r="V145" s="129">
        <v>3.5929049311814753E-3</v>
      </c>
      <c r="W145" s="129">
        <v>-1.2187689045677996E-3</v>
      </c>
      <c r="X145" s="129">
        <v>-6.856792913474721E-4</v>
      </c>
      <c r="Y145" s="129">
        <v>1.5858429351282438E-3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1.5762840140690442E-2</v>
      </c>
      <c r="AK145" s="2">
        <v>9.5742586917002645E-4</v>
      </c>
      <c r="AL145" s="2">
        <v>2.0421536250272288E-4</v>
      </c>
      <c r="AM145" s="2">
        <v>2.1576832723975325E-4</v>
      </c>
      <c r="AN145" s="2">
        <v>1.2479443135870438E-4</v>
      </c>
      <c r="AO145" s="2">
        <v>9.6270702598875005E-2</v>
      </c>
      <c r="AP145" s="2">
        <v>3.6032290618645949E-3</v>
      </c>
      <c r="AQ145" s="2">
        <v>3.9133709571110295E-3</v>
      </c>
      <c r="AR145" s="2">
        <v>6.1063930891935478E-4</v>
      </c>
      <c r="AS145" s="2">
        <v>-1.7963634529483668E-3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1.714530086070995E-2</v>
      </c>
      <c r="V146" s="129">
        <v>3.5929049311814753E-3</v>
      </c>
      <c r="W146" s="129">
        <v>-1.2187689045677996E-3</v>
      </c>
      <c r="X146" s="129">
        <v>-6.856792913474721E-4</v>
      </c>
      <c r="Y146" s="129">
        <v>1.5858429351282438E-3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1.5762840140690442E-2</v>
      </c>
      <c r="AK146" s="2">
        <v>9.5742586917002645E-4</v>
      </c>
      <c r="AL146" s="2">
        <v>2.0421536250272288E-4</v>
      </c>
      <c r="AM146" s="2">
        <v>2.1576832723975325E-4</v>
      </c>
      <c r="AN146" s="2">
        <v>1.2479443135870438E-4</v>
      </c>
      <c r="AO146" s="2">
        <v>9.6270702598875005E-2</v>
      </c>
      <c r="AP146" s="2">
        <v>3.6032290618645949E-3</v>
      </c>
      <c r="AQ146" s="2">
        <v>3.9133709571110295E-3</v>
      </c>
      <c r="AR146" s="2">
        <v>6.1063930891935478E-4</v>
      </c>
      <c r="AS146" s="2">
        <v>-1.7963634529483668E-3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1.714530086070995E-2</v>
      </c>
      <c r="V147" s="129">
        <v>3.5929049311814753E-3</v>
      </c>
      <c r="W147" s="129">
        <v>-1.2187689045677996E-3</v>
      </c>
      <c r="X147" s="129">
        <v>-6.856792913474721E-4</v>
      </c>
      <c r="Y147" s="129">
        <v>1.5858429351282438E-3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1.5762840140690442E-2</v>
      </c>
      <c r="AK147" s="2">
        <v>9.5742586917002645E-4</v>
      </c>
      <c r="AL147" s="2">
        <v>2.0421536250272288E-4</v>
      </c>
      <c r="AM147" s="2">
        <v>2.1576832723975325E-4</v>
      </c>
      <c r="AN147" s="2">
        <v>1.2479443135870438E-4</v>
      </c>
      <c r="AO147" s="2">
        <v>9.6270702598875005E-2</v>
      </c>
      <c r="AP147" s="2">
        <v>3.6032290618645949E-3</v>
      </c>
      <c r="AQ147" s="2">
        <v>3.9133709571110295E-3</v>
      </c>
      <c r="AR147" s="2">
        <v>6.1063930891935478E-4</v>
      </c>
      <c r="AS147" s="2">
        <v>-1.7963634529483668E-3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1.714530086070995E-2</v>
      </c>
      <c r="V148" s="129">
        <v>3.5929049311814753E-3</v>
      </c>
      <c r="W148" s="129">
        <v>-1.2187689045677996E-3</v>
      </c>
      <c r="X148" s="129">
        <v>-6.856792913474721E-4</v>
      </c>
      <c r="Y148" s="129">
        <v>1.5858429351282438E-3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1.5762840140690442E-2</v>
      </c>
      <c r="AK148" s="2">
        <v>9.5742586917002645E-4</v>
      </c>
      <c r="AL148" s="2">
        <v>2.0421536250272288E-4</v>
      </c>
      <c r="AM148" s="2">
        <v>2.1576832723975325E-4</v>
      </c>
      <c r="AN148" s="2">
        <v>1.2479443135870438E-4</v>
      </c>
      <c r="AO148" s="2">
        <v>9.6270702598875005E-2</v>
      </c>
      <c r="AP148" s="2">
        <v>3.6032290618645949E-3</v>
      </c>
      <c r="AQ148" s="2">
        <v>3.9133709571110295E-3</v>
      </c>
      <c r="AR148" s="2">
        <v>6.1063930891935478E-4</v>
      </c>
      <c r="AS148" s="2">
        <v>-1.7963634529483668E-3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1.714530086070995E-2</v>
      </c>
      <c r="V149" s="129">
        <v>3.5929049311814753E-3</v>
      </c>
      <c r="W149" s="129">
        <v>-1.2187689045677996E-3</v>
      </c>
      <c r="X149" s="129">
        <v>-6.856792913474721E-4</v>
      </c>
      <c r="Y149" s="129">
        <v>1.5858429351282438E-3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1.5762840140690442E-2</v>
      </c>
      <c r="AK149" s="2">
        <v>9.5742586917002645E-4</v>
      </c>
      <c r="AL149" s="2">
        <v>2.0421536250272288E-4</v>
      </c>
      <c r="AM149" s="2">
        <v>2.1576832723975325E-4</v>
      </c>
      <c r="AN149" s="2">
        <v>1.2479443135870438E-4</v>
      </c>
      <c r="AO149" s="2">
        <v>9.6270702598875005E-2</v>
      </c>
      <c r="AP149" s="2">
        <v>3.6032290618645949E-3</v>
      </c>
      <c r="AQ149" s="2">
        <v>3.9133709571110295E-3</v>
      </c>
      <c r="AR149" s="2">
        <v>6.1063930891935478E-4</v>
      </c>
      <c r="AS149" s="2">
        <v>-1.7963634529483668E-3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1.714530086070995E-2</v>
      </c>
      <c r="V150" s="129">
        <v>3.5929049311814753E-3</v>
      </c>
      <c r="W150" s="129">
        <v>-1.2187689045677996E-3</v>
      </c>
      <c r="X150" s="129">
        <v>-6.856792913474721E-4</v>
      </c>
      <c r="Y150" s="129">
        <v>1.5858429351282438E-3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1.5762840140690442E-2</v>
      </c>
      <c r="AK150" s="2">
        <v>9.5742586917002645E-4</v>
      </c>
      <c r="AL150" s="2">
        <v>2.0421536250272288E-4</v>
      </c>
      <c r="AM150" s="2">
        <v>2.1576832723975325E-4</v>
      </c>
      <c r="AN150" s="2">
        <v>1.2479443135870438E-4</v>
      </c>
      <c r="AO150" s="2">
        <v>9.6270702598875005E-2</v>
      </c>
      <c r="AP150" s="2">
        <v>3.6032290618645949E-3</v>
      </c>
      <c r="AQ150" s="2">
        <v>3.9133709571110295E-3</v>
      </c>
      <c r="AR150" s="2">
        <v>6.1063930891935478E-4</v>
      </c>
      <c r="AS150" s="2">
        <v>-1.7963634529483668E-3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1.714530086070995E-2</v>
      </c>
      <c r="V151" s="129">
        <v>3.5929049311814753E-3</v>
      </c>
      <c r="W151" s="129">
        <v>-1.2187689045677996E-3</v>
      </c>
      <c r="X151" s="129">
        <v>-6.856792913474721E-4</v>
      </c>
      <c r="Y151" s="129">
        <v>1.5858429351282438E-3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1.5762840140690442E-2</v>
      </c>
      <c r="AK151" s="2">
        <v>9.5742586917002645E-4</v>
      </c>
      <c r="AL151" s="2">
        <v>2.0421536250272288E-4</v>
      </c>
      <c r="AM151" s="2">
        <v>2.1576832723975325E-4</v>
      </c>
      <c r="AN151" s="2">
        <v>1.2479443135870438E-4</v>
      </c>
      <c r="AO151" s="2">
        <v>9.6270702598875005E-2</v>
      </c>
      <c r="AP151" s="2">
        <v>3.6032290618645949E-3</v>
      </c>
      <c r="AQ151" s="2">
        <v>3.9133709571110295E-3</v>
      </c>
      <c r="AR151" s="2">
        <v>6.1063930891935478E-4</v>
      </c>
      <c r="AS151" s="2">
        <v>-1.7963634529483668E-3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1.714530086070995E-2</v>
      </c>
      <c r="V152" s="129">
        <v>3.5929049311814753E-3</v>
      </c>
      <c r="W152" s="129">
        <v>-1.2187689045677996E-3</v>
      </c>
      <c r="X152" s="129">
        <v>-6.856792913474721E-4</v>
      </c>
      <c r="Y152" s="129">
        <v>1.5858429351282438E-3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1.5762840140690442E-2</v>
      </c>
      <c r="AK152" s="2">
        <v>9.5742586917002645E-4</v>
      </c>
      <c r="AL152" s="2">
        <v>2.0421536250272288E-4</v>
      </c>
      <c r="AM152" s="2">
        <v>2.1576832723975325E-4</v>
      </c>
      <c r="AN152" s="2">
        <v>1.2479443135870438E-4</v>
      </c>
      <c r="AO152" s="2">
        <v>9.6270702598875005E-2</v>
      </c>
      <c r="AP152" s="2">
        <v>3.6032290618645949E-3</v>
      </c>
      <c r="AQ152" s="2">
        <v>3.9133709571110295E-3</v>
      </c>
      <c r="AR152" s="2">
        <v>6.1063930891935478E-4</v>
      </c>
      <c r="AS152" s="2">
        <v>-1.7963634529483668E-3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1.714530086070995E-2</v>
      </c>
      <c r="V153" s="129">
        <v>3.5929049311814753E-3</v>
      </c>
      <c r="W153" s="129">
        <v>-1.2187689045677996E-3</v>
      </c>
      <c r="X153" s="129">
        <v>-6.856792913474721E-4</v>
      </c>
      <c r="Y153" s="129">
        <v>1.5858429351282438E-3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1.5762840140690442E-2</v>
      </c>
      <c r="AK153" s="2">
        <v>9.5742586917002645E-4</v>
      </c>
      <c r="AL153" s="2">
        <v>2.0421536250272288E-4</v>
      </c>
      <c r="AM153" s="2">
        <v>2.1576832723975325E-4</v>
      </c>
      <c r="AN153" s="2">
        <v>1.2479443135870438E-4</v>
      </c>
      <c r="AO153" s="2">
        <v>9.6270702598875005E-2</v>
      </c>
      <c r="AP153" s="2">
        <v>3.6032290618645949E-3</v>
      </c>
      <c r="AQ153" s="2">
        <v>3.9133709571110295E-3</v>
      </c>
      <c r="AR153" s="2">
        <v>6.1063930891935478E-4</v>
      </c>
      <c r="AS153" s="2">
        <v>-1.7963634529483668E-3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1.714530086070995E-2</v>
      </c>
      <c r="V154" s="129">
        <v>3.5929049311814753E-3</v>
      </c>
      <c r="W154" s="129">
        <v>-1.2187689045677996E-3</v>
      </c>
      <c r="X154" s="129">
        <v>-6.856792913474721E-4</v>
      </c>
      <c r="Y154" s="129">
        <v>1.5858429351282438E-3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1.5762840140690442E-2</v>
      </c>
      <c r="AK154" s="2">
        <v>9.5742586917002645E-4</v>
      </c>
      <c r="AL154" s="2">
        <v>2.0421536250272288E-4</v>
      </c>
      <c r="AM154" s="2">
        <v>2.1576832723975325E-4</v>
      </c>
      <c r="AN154" s="2">
        <v>1.2479443135870438E-4</v>
      </c>
      <c r="AO154" s="2">
        <v>9.6270702598875005E-2</v>
      </c>
      <c r="AP154" s="2">
        <v>3.6032290618645949E-3</v>
      </c>
      <c r="AQ154" s="2">
        <v>3.9133709571110295E-3</v>
      </c>
      <c r="AR154" s="2">
        <v>6.1063930891935478E-4</v>
      </c>
      <c r="AS154" s="2">
        <v>-1.7963634529483668E-3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1.714530086070995E-2</v>
      </c>
      <c r="V155" s="129">
        <v>3.5929049311814753E-3</v>
      </c>
      <c r="W155" s="129">
        <v>-1.2187689045677996E-3</v>
      </c>
      <c r="X155" s="129">
        <v>-6.856792913474721E-4</v>
      </c>
      <c r="Y155" s="129">
        <v>1.5858429351282438E-3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1.5762840140690442E-2</v>
      </c>
      <c r="AK155" s="2">
        <v>9.5742586917002645E-4</v>
      </c>
      <c r="AL155" s="2">
        <v>2.0421536250272288E-4</v>
      </c>
      <c r="AM155" s="2">
        <v>2.1576832723975325E-4</v>
      </c>
      <c r="AN155" s="2">
        <v>1.2479443135870438E-4</v>
      </c>
      <c r="AO155" s="2">
        <v>9.6270702598875005E-2</v>
      </c>
      <c r="AP155" s="2">
        <v>3.6032290618645949E-3</v>
      </c>
      <c r="AQ155" s="2">
        <v>3.9133709571110295E-3</v>
      </c>
      <c r="AR155" s="2">
        <v>6.1063930891935478E-4</v>
      </c>
      <c r="AS155" s="2">
        <v>-1.7963634529483668E-3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1.714530086070995E-2</v>
      </c>
      <c r="V156" s="129">
        <v>3.5929049311814753E-3</v>
      </c>
      <c r="W156" s="129">
        <v>-1.2187689045677996E-3</v>
      </c>
      <c r="X156" s="129">
        <v>-6.856792913474721E-4</v>
      </c>
      <c r="Y156" s="129">
        <v>1.5858429351282438E-3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1.5762840140690442E-2</v>
      </c>
      <c r="AK156" s="2">
        <v>9.5742586917002645E-4</v>
      </c>
      <c r="AL156" s="2">
        <v>2.0421536250272288E-4</v>
      </c>
      <c r="AM156" s="2">
        <v>2.1576832723975325E-4</v>
      </c>
      <c r="AN156" s="2">
        <v>1.2479443135870438E-4</v>
      </c>
      <c r="AO156" s="2">
        <v>9.6270702598875005E-2</v>
      </c>
      <c r="AP156" s="2">
        <v>3.6032290618645949E-3</v>
      </c>
      <c r="AQ156" s="2">
        <v>3.9133709571110295E-3</v>
      </c>
      <c r="AR156" s="2">
        <v>6.1063930891935478E-4</v>
      </c>
      <c r="AS156" s="2">
        <v>-1.7963634529483668E-3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1.714530086070995E-2</v>
      </c>
      <c r="V157" s="129">
        <v>3.5929049311814753E-3</v>
      </c>
      <c r="W157" s="129">
        <v>-1.2187689045677996E-3</v>
      </c>
      <c r="X157" s="129">
        <v>-6.856792913474721E-4</v>
      </c>
      <c r="Y157" s="129">
        <v>1.5858429351282438E-3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1.5762840140690442E-2</v>
      </c>
      <c r="AK157" s="2">
        <v>9.5742586917002645E-4</v>
      </c>
      <c r="AL157" s="2">
        <v>2.0421536250272288E-4</v>
      </c>
      <c r="AM157" s="2">
        <v>2.1576832723975325E-4</v>
      </c>
      <c r="AN157" s="2">
        <v>1.2479443135870438E-4</v>
      </c>
      <c r="AO157" s="2">
        <v>9.6270702598875005E-2</v>
      </c>
      <c r="AP157" s="2">
        <v>3.6032290618645949E-3</v>
      </c>
      <c r="AQ157" s="2">
        <v>3.9133709571110295E-3</v>
      </c>
      <c r="AR157" s="2">
        <v>6.1063930891935478E-4</v>
      </c>
      <c r="AS157" s="2">
        <v>-1.7963634529483668E-3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1.714530086070995E-2</v>
      </c>
      <c r="V158" s="129">
        <v>3.5929049311814753E-3</v>
      </c>
      <c r="W158" s="129">
        <v>-1.2187689045677996E-3</v>
      </c>
      <c r="X158" s="129">
        <v>-6.856792913474721E-4</v>
      </c>
      <c r="Y158" s="129">
        <v>1.5858429351282438E-3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1.5762840140690442E-2</v>
      </c>
      <c r="AK158" s="2">
        <v>9.5742586917002645E-4</v>
      </c>
      <c r="AL158" s="2">
        <v>2.0421536250272288E-4</v>
      </c>
      <c r="AM158" s="2">
        <v>2.1576832723975325E-4</v>
      </c>
      <c r="AN158" s="2">
        <v>1.2479443135870438E-4</v>
      </c>
      <c r="AO158" s="2">
        <v>9.6270702598875005E-2</v>
      </c>
      <c r="AP158" s="2">
        <v>3.6032290618645949E-3</v>
      </c>
      <c r="AQ158" s="2">
        <v>3.9133709571110295E-3</v>
      </c>
      <c r="AR158" s="2">
        <v>6.1063930891935478E-4</v>
      </c>
      <c r="AS158" s="2">
        <v>-1.7963634529483668E-3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1.714530086070995E-2</v>
      </c>
      <c r="V159" s="129">
        <v>3.5929049311814753E-3</v>
      </c>
      <c r="W159" s="129">
        <v>-1.2187689045677996E-3</v>
      </c>
      <c r="X159" s="129">
        <v>-6.856792913474721E-4</v>
      </c>
      <c r="Y159" s="129">
        <v>1.5858429351282438E-3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1.5762840140690442E-2</v>
      </c>
      <c r="AK159" s="2">
        <v>9.5742586917002645E-4</v>
      </c>
      <c r="AL159" s="2">
        <v>2.0421536250272288E-4</v>
      </c>
      <c r="AM159" s="2">
        <v>2.1576832723975325E-4</v>
      </c>
      <c r="AN159" s="2">
        <v>1.2479443135870438E-4</v>
      </c>
      <c r="AO159" s="2">
        <v>9.6270702598875005E-2</v>
      </c>
      <c r="AP159" s="2">
        <v>3.6032290618645949E-3</v>
      </c>
      <c r="AQ159" s="2">
        <v>3.9133709571110295E-3</v>
      </c>
      <c r="AR159" s="2">
        <v>6.1063930891935478E-4</v>
      </c>
      <c r="AS159" s="2">
        <v>-1.7963634529483668E-3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1.714530086070995E-2</v>
      </c>
      <c r="V160" s="129">
        <v>3.5929049311814753E-3</v>
      </c>
      <c r="W160" s="129">
        <v>-1.2187689045677996E-3</v>
      </c>
      <c r="X160" s="129">
        <v>-6.856792913474721E-4</v>
      </c>
      <c r="Y160" s="129">
        <v>1.5858429351282438E-3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1.5762840140690442E-2</v>
      </c>
      <c r="AK160" s="2">
        <v>9.5742586917002645E-4</v>
      </c>
      <c r="AL160" s="2">
        <v>2.0421536250272288E-4</v>
      </c>
      <c r="AM160" s="2">
        <v>2.1576832723975325E-4</v>
      </c>
      <c r="AN160" s="2">
        <v>1.2479443135870438E-4</v>
      </c>
      <c r="AO160" s="2">
        <v>9.6270702598875005E-2</v>
      </c>
      <c r="AP160" s="2">
        <v>3.6032290618645949E-3</v>
      </c>
      <c r="AQ160" s="2">
        <v>3.9133709571110295E-3</v>
      </c>
      <c r="AR160" s="2">
        <v>6.1063930891935478E-4</v>
      </c>
      <c r="AS160" s="2">
        <v>-1.7963634529483668E-3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1.714530086070995E-2</v>
      </c>
      <c r="V161" s="129">
        <v>3.5929049311814753E-3</v>
      </c>
      <c r="W161" s="129">
        <v>-1.2187689045677996E-3</v>
      </c>
      <c r="X161" s="129">
        <v>-6.856792913474721E-4</v>
      </c>
      <c r="Y161" s="129">
        <v>1.5858429351282438E-3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1.5762840140690442E-2</v>
      </c>
      <c r="AK161" s="2">
        <v>9.5742586917002645E-4</v>
      </c>
      <c r="AL161" s="2">
        <v>2.0421536250272288E-4</v>
      </c>
      <c r="AM161" s="2">
        <v>2.1576832723975325E-4</v>
      </c>
      <c r="AN161" s="2">
        <v>1.2479443135870438E-4</v>
      </c>
      <c r="AO161" s="2">
        <v>9.6270702598875005E-2</v>
      </c>
      <c r="AP161" s="2">
        <v>3.6032290618645949E-3</v>
      </c>
      <c r="AQ161" s="2">
        <v>3.9133709571110295E-3</v>
      </c>
      <c r="AR161" s="2">
        <v>6.1063930891935478E-4</v>
      </c>
      <c r="AS161" s="2">
        <v>-1.7963634529483668E-3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1.714530086070995E-2</v>
      </c>
      <c r="V162" s="129">
        <v>3.5929049311814753E-3</v>
      </c>
      <c r="W162" s="129">
        <v>-1.2187689045677996E-3</v>
      </c>
      <c r="X162" s="129">
        <v>-6.856792913474721E-4</v>
      </c>
      <c r="Y162" s="129">
        <v>1.5858429351282438E-3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1.5762840140690442E-2</v>
      </c>
      <c r="AK162" s="2">
        <v>9.5742586917002645E-4</v>
      </c>
      <c r="AL162" s="2">
        <v>2.0421536250272288E-4</v>
      </c>
      <c r="AM162" s="2">
        <v>2.1576832723975325E-4</v>
      </c>
      <c r="AN162" s="2">
        <v>1.2479443135870438E-4</v>
      </c>
      <c r="AO162" s="2">
        <v>9.6270702598875005E-2</v>
      </c>
      <c r="AP162" s="2">
        <v>3.6032290618645949E-3</v>
      </c>
      <c r="AQ162" s="2">
        <v>3.9133709571110295E-3</v>
      </c>
      <c r="AR162" s="2">
        <v>6.1063930891935478E-4</v>
      </c>
      <c r="AS162" s="2">
        <v>-1.7963634529483668E-3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1.714530086070995E-2</v>
      </c>
      <c r="V163" s="129">
        <v>3.5929049311814753E-3</v>
      </c>
      <c r="W163" s="129">
        <v>-1.2187689045677996E-3</v>
      </c>
      <c r="X163" s="129">
        <v>-6.856792913474721E-4</v>
      </c>
      <c r="Y163" s="129">
        <v>1.5858429351282438E-3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1.5762840140690442E-2</v>
      </c>
      <c r="AK163" s="2">
        <v>9.5742586917002645E-4</v>
      </c>
      <c r="AL163" s="2">
        <v>2.0421536250272288E-4</v>
      </c>
      <c r="AM163" s="2">
        <v>2.1576832723975325E-4</v>
      </c>
      <c r="AN163" s="2">
        <v>1.2479443135870438E-4</v>
      </c>
      <c r="AO163" s="2">
        <v>9.6270702598875005E-2</v>
      </c>
      <c r="AP163" s="2">
        <v>3.6032290618645949E-3</v>
      </c>
      <c r="AQ163" s="2">
        <v>3.9133709571110295E-3</v>
      </c>
      <c r="AR163" s="2">
        <v>6.1063930891935478E-4</v>
      </c>
      <c r="AS163" s="2">
        <v>-1.7963634529483668E-3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1.714530086070995E-2</v>
      </c>
      <c r="V164" s="129">
        <v>3.5929049311814753E-3</v>
      </c>
      <c r="W164" s="129">
        <v>-1.2187689045677996E-3</v>
      </c>
      <c r="X164" s="129">
        <v>-6.856792913474721E-4</v>
      </c>
      <c r="Y164" s="129">
        <v>1.5858429351282438E-3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1.5762840140690442E-2</v>
      </c>
      <c r="AK164" s="2">
        <v>9.5742586917002645E-4</v>
      </c>
      <c r="AL164" s="2">
        <v>2.0421536250272288E-4</v>
      </c>
      <c r="AM164" s="2">
        <v>2.1576832723975325E-4</v>
      </c>
      <c r="AN164" s="2">
        <v>1.2479443135870438E-4</v>
      </c>
      <c r="AO164" s="2">
        <v>9.6270702598875005E-2</v>
      </c>
      <c r="AP164" s="2">
        <v>3.6032290618645949E-3</v>
      </c>
      <c r="AQ164" s="2">
        <v>3.9133709571110295E-3</v>
      </c>
      <c r="AR164" s="2">
        <v>6.1063930891935478E-4</v>
      </c>
      <c r="AS164" s="2">
        <v>-1.7963634529483668E-3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1.714530086070995E-2</v>
      </c>
      <c r="V165" s="129">
        <v>3.5929049311814753E-3</v>
      </c>
      <c r="W165" s="129">
        <v>-1.2187689045677996E-3</v>
      </c>
      <c r="X165" s="129">
        <v>-6.856792913474721E-4</v>
      </c>
      <c r="Y165" s="129">
        <v>1.5858429351282438E-3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1.5762840140690442E-2</v>
      </c>
      <c r="AK165" s="2">
        <v>9.5742586917002645E-4</v>
      </c>
      <c r="AL165" s="2">
        <v>2.0421536250272288E-4</v>
      </c>
      <c r="AM165" s="2">
        <v>2.1576832723975325E-4</v>
      </c>
      <c r="AN165" s="2">
        <v>1.2479443135870438E-4</v>
      </c>
      <c r="AO165" s="2">
        <v>9.6270702598875005E-2</v>
      </c>
      <c r="AP165" s="2">
        <v>3.6032290618645949E-3</v>
      </c>
      <c r="AQ165" s="2">
        <v>3.9133709571110295E-3</v>
      </c>
      <c r="AR165" s="2">
        <v>6.1063930891935478E-4</v>
      </c>
      <c r="AS165" s="2">
        <v>-1.7963634529483668E-3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1.714530086070995E-2</v>
      </c>
      <c r="V166" s="129">
        <v>3.5929049311814753E-3</v>
      </c>
      <c r="W166" s="129">
        <v>-1.2187689045677996E-3</v>
      </c>
      <c r="X166" s="129">
        <v>-6.856792913474721E-4</v>
      </c>
      <c r="Y166" s="129">
        <v>1.5858429351282438E-3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1.5762840140690442E-2</v>
      </c>
      <c r="AK166" s="2">
        <v>9.5742586917002645E-4</v>
      </c>
      <c r="AL166" s="2">
        <v>2.0421536250272288E-4</v>
      </c>
      <c r="AM166" s="2">
        <v>2.1576832723975325E-4</v>
      </c>
      <c r="AN166" s="2">
        <v>1.2479443135870438E-4</v>
      </c>
      <c r="AO166" s="2">
        <v>9.6270702598875005E-2</v>
      </c>
      <c r="AP166" s="2">
        <v>3.6032290618645949E-3</v>
      </c>
      <c r="AQ166" s="2">
        <v>3.9133709571110295E-3</v>
      </c>
      <c r="AR166" s="2">
        <v>6.1063930891935478E-4</v>
      </c>
      <c r="AS166" s="2">
        <v>-1.7963634529483668E-3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1.714530086070995E-2</v>
      </c>
      <c r="V167" s="129">
        <v>3.5929049311814753E-3</v>
      </c>
      <c r="W167" s="129">
        <v>-1.2187689045677996E-3</v>
      </c>
      <c r="X167" s="129">
        <v>-6.856792913474721E-4</v>
      </c>
      <c r="Y167" s="129">
        <v>1.5858429351282438E-3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1.5762840140690442E-2</v>
      </c>
      <c r="AK167" s="2">
        <v>9.5742586917002645E-4</v>
      </c>
      <c r="AL167" s="2">
        <v>2.0421536250272288E-4</v>
      </c>
      <c r="AM167" s="2">
        <v>2.1576832723975325E-4</v>
      </c>
      <c r="AN167" s="2">
        <v>1.2479443135870438E-4</v>
      </c>
      <c r="AO167" s="2">
        <v>9.6270702598875005E-2</v>
      </c>
      <c r="AP167" s="2">
        <v>3.6032290618645949E-3</v>
      </c>
      <c r="AQ167" s="2">
        <v>3.9133709571110295E-3</v>
      </c>
      <c r="AR167" s="2">
        <v>6.1063930891935478E-4</v>
      </c>
      <c r="AS167" s="2">
        <v>-1.7963634529483668E-3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1.714530086070995E-2</v>
      </c>
      <c r="V168" s="129">
        <v>3.5929049311814753E-3</v>
      </c>
      <c r="W168" s="129">
        <v>-1.2187689045677996E-3</v>
      </c>
      <c r="X168" s="129">
        <v>-6.856792913474721E-4</v>
      </c>
      <c r="Y168" s="129">
        <v>1.5858429351282438E-3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1.5762840140690442E-2</v>
      </c>
      <c r="AK168" s="2">
        <v>9.5742586917002645E-4</v>
      </c>
      <c r="AL168" s="2">
        <v>2.0421536250272288E-4</v>
      </c>
      <c r="AM168" s="2">
        <v>2.1576832723975325E-4</v>
      </c>
      <c r="AN168" s="2">
        <v>1.2479443135870438E-4</v>
      </c>
      <c r="AO168" s="2">
        <v>9.6270702598875005E-2</v>
      </c>
      <c r="AP168" s="2">
        <v>3.6032290618645949E-3</v>
      </c>
      <c r="AQ168" s="2">
        <v>3.9133709571110295E-3</v>
      </c>
      <c r="AR168" s="2">
        <v>6.1063930891935478E-4</v>
      </c>
      <c r="AS168" s="2">
        <v>-1.7963634529483668E-3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1.714530086070995E-2</v>
      </c>
      <c r="V169" s="129">
        <v>3.5929049311814753E-3</v>
      </c>
      <c r="W169" s="129">
        <v>-1.2187689045677996E-3</v>
      </c>
      <c r="X169" s="129">
        <v>-6.856792913474721E-4</v>
      </c>
      <c r="Y169" s="129">
        <v>1.5858429351282438E-3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1.5762840140690442E-2</v>
      </c>
      <c r="AK169" s="2">
        <v>9.5742586917002645E-4</v>
      </c>
      <c r="AL169" s="2">
        <v>2.0421536250272288E-4</v>
      </c>
      <c r="AM169" s="2">
        <v>2.1576832723975325E-4</v>
      </c>
      <c r="AN169" s="2">
        <v>1.2479443135870438E-4</v>
      </c>
      <c r="AO169" s="2">
        <v>9.6270702598875005E-2</v>
      </c>
      <c r="AP169" s="2">
        <v>3.6032290618645949E-3</v>
      </c>
      <c r="AQ169" s="2">
        <v>3.9133709571110295E-3</v>
      </c>
      <c r="AR169" s="2">
        <v>6.1063930891935478E-4</v>
      </c>
      <c r="AS169" s="2">
        <v>-1.7963634529483668E-3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1.714530086070995E-2</v>
      </c>
      <c r="V170" s="129">
        <v>3.5929049311814753E-3</v>
      </c>
      <c r="W170" s="129">
        <v>-1.2187689045677996E-3</v>
      </c>
      <c r="X170" s="129">
        <v>-6.856792913474721E-4</v>
      </c>
      <c r="Y170" s="129">
        <v>1.5858429351282438E-3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1.5762840140690442E-2</v>
      </c>
      <c r="AK170" s="2">
        <v>9.5742586917002645E-4</v>
      </c>
      <c r="AL170" s="2">
        <v>2.0421536250272288E-4</v>
      </c>
      <c r="AM170" s="2">
        <v>2.1576832723975325E-4</v>
      </c>
      <c r="AN170" s="2">
        <v>1.2479443135870438E-4</v>
      </c>
      <c r="AO170" s="2">
        <v>9.6270702598875005E-2</v>
      </c>
      <c r="AP170" s="2">
        <v>3.6032290618645949E-3</v>
      </c>
      <c r="AQ170" s="2">
        <v>3.9133709571110295E-3</v>
      </c>
      <c r="AR170" s="2">
        <v>6.1063930891935478E-4</v>
      </c>
      <c r="AS170" s="2">
        <v>-1.7963634529483668E-3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1.714530086070995E-2</v>
      </c>
      <c r="V171" s="129">
        <v>3.5929049311814753E-3</v>
      </c>
      <c r="W171" s="129">
        <v>-1.2187689045677996E-3</v>
      </c>
      <c r="X171" s="129">
        <v>-6.856792913474721E-4</v>
      </c>
      <c r="Y171" s="129">
        <v>1.5858429351282438E-3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1.5762840140690442E-2</v>
      </c>
      <c r="AK171" s="2">
        <v>9.5742586917002645E-4</v>
      </c>
      <c r="AL171" s="2">
        <v>2.0421536250272288E-4</v>
      </c>
      <c r="AM171" s="2">
        <v>2.1576832723975325E-4</v>
      </c>
      <c r="AN171" s="2">
        <v>1.2479443135870438E-4</v>
      </c>
      <c r="AO171" s="2">
        <v>9.6270702598875005E-2</v>
      </c>
      <c r="AP171" s="2">
        <v>3.6032290618645949E-3</v>
      </c>
      <c r="AQ171" s="2">
        <v>3.9133709571110295E-3</v>
      </c>
      <c r="AR171" s="2">
        <v>6.1063930891935478E-4</v>
      </c>
      <c r="AS171" s="2">
        <v>-1.7963634529483668E-3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1.714530086070995E-2</v>
      </c>
      <c r="V172" s="129">
        <v>3.5929049311814753E-3</v>
      </c>
      <c r="W172" s="129">
        <v>-1.2187689045677996E-3</v>
      </c>
      <c r="X172" s="129">
        <v>-6.856792913474721E-4</v>
      </c>
      <c r="Y172" s="129">
        <v>1.5858429351282438E-3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1.5762840140690442E-2</v>
      </c>
      <c r="AK172" s="2">
        <v>9.5742586917002645E-4</v>
      </c>
      <c r="AL172" s="2">
        <v>2.0421536250272288E-4</v>
      </c>
      <c r="AM172" s="2">
        <v>2.1576832723975325E-4</v>
      </c>
      <c r="AN172" s="2">
        <v>1.2479443135870438E-4</v>
      </c>
      <c r="AO172" s="2">
        <v>9.6270702598875005E-2</v>
      </c>
      <c r="AP172" s="2">
        <v>3.6032290618645949E-3</v>
      </c>
      <c r="AQ172" s="2">
        <v>3.9133709571110295E-3</v>
      </c>
      <c r="AR172" s="2">
        <v>6.1063930891935478E-4</v>
      </c>
      <c r="AS172" s="2">
        <v>-1.7963634529483668E-3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1.714530086070995E-2</v>
      </c>
      <c r="V173" s="129">
        <v>3.5929049311814753E-3</v>
      </c>
      <c r="W173" s="129">
        <v>-1.2187689045677996E-3</v>
      </c>
      <c r="X173" s="129">
        <v>-6.856792913474721E-4</v>
      </c>
      <c r="Y173" s="129">
        <v>1.5858429351282438E-3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1.5762840140690442E-2</v>
      </c>
      <c r="AK173" s="2">
        <v>9.5742586917002645E-4</v>
      </c>
      <c r="AL173" s="2">
        <v>2.0421536250272288E-4</v>
      </c>
      <c r="AM173" s="2">
        <v>2.1576832723975325E-4</v>
      </c>
      <c r="AN173" s="2">
        <v>1.2479443135870438E-4</v>
      </c>
      <c r="AO173" s="2">
        <v>9.6270702598875005E-2</v>
      </c>
      <c r="AP173" s="2">
        <v>3.6032290618645949E-3</v>
      </c>
      <c r="AQ173" s="2">
        <v>3.9133709571110295E-3</v>
      </c>
      <c r="AR173" s="2">
        <v>6.1063930891935478E-4</v>
      </c>
      <c r="AS173" s="2">
        <v>-1.7963634529483668E-3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1.714530086070995E-2</v>
      </c>
      <c r="V174" s="129">
        <v>3.5929049311814753E-3</v>
      </c>
      <c r="W174" s="129">
        <v>-1.2187689045677996E-3</v>
      </c>
      <c r="X174" s="129">
        <v>-6.856792913474721E-4</v>
      </c>
      <c r="Y174" s="129">
        <v>1.5858429351282438E-3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1.5762840140690442E-2</v>
      </c>
      <c r="AK174" s="2">
        <v>9.5742586917002645E-4</v>
      </c>
      <c r="AL174" s="2">
        <v>2.0421536250272288E-4</v>
      </c>
      <c r="AM174" s="2">
        <v>2.1576832723975325E-4</v>
      </c>
      <c r="AN174" s="2">
        <v>1.2479443135870438E-4</v>
      </c>
      <c r="AO174" s="2">
        <v>9.6270702598875005E-2</v>
      </c>
      <c r="AP174" s="2">
        <v>3.6032290618645949E-3</v>
      </c>
      <c r="AQ174" s="2">
        <v>3.9133709571110295E-3</v>
      </c>
      <c r="AR174" s="2">
        <v>6.1063930891935478E-4</v>
      </c>
      <c r="AS174" s="2">
        <v>-1.7963634529483668E-3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1.714530086070995E-2</v>
      </c>
      <c r="V175" s="129">
        <v>3.5929049311814753E-3</v>
      </c>
      <c r="W175" s="129">
        <v>-1.2187689045677996E-3</v>
      </c>
      <c r="X175" s="129">
        <v>-6.856792913474721E-4</v>
      </c>
      <c r="Y175" s="129">
        <v>1.5858429351282438E-3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1.5762840140690442E-2</v>
      </c>
      <c r="AK175" s="2">
        <v>9.5742586917002645E-4</v>
      </c>
      <c r="AL175" s="2">
        <v>2.0421536250272288E-4</v>
      </c>
      <c r="AM175" s="2">
        <v>2.1576832723975325E-4</v>
      </c>
      <c r="AN175" s="2">
        <v>1.2479443135870438E-4</v>
      </c>
      <c r="AO175" s="2">
        <v>9.6270702598875005E-2</v>
      </c>
      <c r="AP175" s="2">
        <v>3.6032290618645949E-3</v>
      </c>
      <c r="AQ175" s="2">
        <v>3.9133709571110295E-3</v>
      </c>
      <c r="AR175" s="2">
        <v>6.1063930891935478E-4</v>
      </c>
      <c r="AS175" s="2">
        <v>-1.7963634529483668E-3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1.714530086070995E-2</v>
      </c>
      <c r="V176" s="129">
        <v>3.5929049311814753E-3</v>
      </c>
      <c r="W176" s="129">
        <v>-1.2187689045677996E-3</v>
      </c>
      <c r="X176" s="129">
        <v>-6.856792913474721E-4</v>
      </c>
      <c r="Y176" s="129">
        <v>1.5858429351282438E-3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1.5762840140690442E-2</v>
      </c>
      <c r="AK176" s="2">
        <v>9.5742586917002645E-4</v>
      </c>
      <c r="AL176" s="2">
        <v>2.0421536250272288E-4</v>
      </c>
      <c r="AM176" s="2">
        <v>2.1576832723975325E-4</v>
      </c>
      <c r="AN176" s="2">
        <v>1.2479443135870438E-4</v>
      </c>
      <c r="AO176" s="2">
        <v>9.6270702598875005E-2</v>
      </c>
      <c r="AP176" s="2">
        <v>3.6032290618645949E-3</v>
      </c>
      <c r="AQ176" s="2">
        <v>3.9133709571110295E-3</v>
      </c>
      <c r="AR176" s="2">
        <v>6.1063930891935478E-4</v>
      </c>
      <c r="AS176" s="2">
        <v>-1.7963634529483668E-3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1.714530086070995E-2</v>
      </c>
      <c r="V177" s="129">
        <v>3.5929049311814753E-3</v>
      </c>
      <c r="W177" s="129">
        <v>-1.2187689045677996E-3</v>
      </c>
      <c r="X177" s="129">
        <v>-6.856792913474721E-4</v>
      </c>
      <c r="Y177" s="129">
        <v>1.5858429351282438E-3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1.5762840140690442E-2</v>
      </c>
      <c r="AK177" s="2">
        <v>9.5742586917002645E-4</v>
      </c>
      <c r="AL177" s="2">
        <v>2.0421536250272288E-4</v>
      </c>
      <c r="AM177" s="2">
        <v>2.1576832723975325E-4</v>
      </c>
      <c r="AN177" s="2">
        <v>1.2479443135870438E-4</v>
      </c>
      <c r="AO177" s="2">
        <v>9.6270702598875005E-2</v>
      </c>
      <c r="AP177" s="2">
        <v>3.6032290618645949E-3</v>
      </c>
      <c r="AQ177" s="2">
        <v>3.9133709571110295E-3</v>
      </c>
      <c r="AR177" s="2">
        <v>6.1063930891935478E-4</v>
      </c>
      <c r="AS177" s="2">
        <v>-1.7963634529483668E-3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1.714530086070995E-2</v>
      </c>
      <c r="V178" s="129">
        <v>3.5929049311814753E-3</v>
      </c>
      <c r="W178" s="129">
        <v>-1.2187689045677996E-3</v>
      </c>
      <c r="X178" s="129">
        <v>-6.856792913474721E-4</v>
      </c>
      <c r="Y178" s="129">
        <v>1.5858429351282438E-3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1.5762840140690442E-2</v>
      </c>
      <c r="AK178" s="2">
        <v>9.5742586917002645E-4</v>
      </c>
      <c r="AL178" s="2">
        <v>2.0421536250272288E-4</v>
      </c>
      <c r="AM178" s="2">
        <v>2.1576832723975325E-4</v>
      </c>
      <c r="AN178" s="2">
        <v>1.2479443135870438E-4</v>
      </c>
      <c r="AO178" s="2">
        <v>9.6270702598875005E-2</v>
      </c>
      <c r="AP178" s="2">
        <v>3.6032290618645949E-3</v>
      </c>
      <c r="AQ178" s="2">
        <v>3.9133709571110295E-3</v>
      </c>
      <c r="AR178" s="2">
        <v>6.1063930891935478E-4</v>
      </c>
      <c r="AS178" s="2">
        <v>-1.7963634529483668E-3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1.714530086070995E-2</v>
      </c>
      <c r="V179" s="129">
        <v>3.5929049311814753E-3</v>
      </c>
      <c r="W179" s="129">
        <v>-1.2187689045677996E-3</v>
      </c>
      <c r="X179" s="129">
        <v>-6.856792913474721E-4</v>
      </c>
      <c r="Y179" s="129">
        <v>1.5858429351282438E-3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1.5762840140690442E-2</v>
      </c>
      <c r="AK179" s="2">
        <v>9.5742586917002645E-4</v>
      </c>
      <c r="AL179" s="2">
        <v>2.0421536250272288E-4</v>
      </c>
      <c r="AM179" s="2">
        <v>2.1576832723975325E-4</v>
      </c>
      <c r="AN179" s="2">
        <v>1.2479443135870438E-4</v>
      </c>
      <c r="AO179" s="2">
        <v>9.6270702598875005E-2</v>
      </c>
      <c r="AP179" s="2">
        <v>3.6032290618645949E-3</v>
      </c>
      <c r="AQ179" s="2">
        <v>3.9133709571110295E-3</v>
      </c>
      <c r="AR179" s="2">
        <v>6.1063930891935478E-4</v>
      </c>
      <c r="AS179" s="2">
        <v>-1.7963634529483668E-3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1.714530086070995E-2</v>
      </c>
      <c r="V180" s="129">
        <v>3.5929049311814753E-3</v>
      </c>
      <c r="W180" s="129">
        <v>-1.2187689045677996E-3</v>
      </c>
      <c r="X180" s="129">
        <v>-6.856792913474721E-4</v>
      </c>
      <c r="Y180" s="129">
        <v>1.5858429351282438E-3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1.5762840140690442E-2</v>
      </c>
      <c r="AK180" s="2">
        <v>9.5742586917002645E-4</v>
      </c>
      <c r="AL180" s="2">
        <v>2.0421536250272288E-4</v>
      </c>
      <c r="AM180" s="2">
        <v>2.1576832723975325E-4</v>
      </c>
      <c r="AN180" s="2">
        <v>1.2479443135870438E-4</v>
      </c>
      <c r="AO180" s="2">
        <v>9.6270702598875005E-2</v>
      </c>
      <c r="AP180" s="2">
        <v>3.6032290618645949E-3</v>
      </c>
      <c r="AQ180" s="2">
        <v>3.9133709571110295E-3</v>
      </c>
      <c r="AR180" s="2">
        <v>6.1063930891935478E-4</v>
      </c>
      <c r="AS180" s="2">
        <v>-1.7963634529483668E-3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1.714530086070995E-2</v>
      </c>
      <c r="V181" s="129">
        <v>3.5929049311814753E-3</v>
      </c>
      <c r="W181" s="129">
        <v>-1.2187689045677996E-3</v>
      </c>
      <c r="X181" s="129">
        <v>-6.856792913474721E-4</v>
      </c>
      <c r="Y181" s="129">
        <v>1.5858429351282438E-3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1.5762840140690442E-2</v>
      </c>
      <c r="AK181" s="2">
        <v>9.5742586917002645E-4</v>
      </c>
      <c r="AL181" s="2">
        <v>2.0421536250272288E-4</v>
      </c>
      <c r="AM181" s="2">
        <v>2.1576832723975325E-4</v>
      </c>
      <c r="AN181" s="2">
        <v>1.2479443135870438E-4</v>
      </c>
      <c r="AO181" s="2">
        <v>9.6270702598875005E-2</v>
      </c>
      <c r="AP181" s="2">
        <v>3.6032290618645949E-3</v>
      </c>
      <c r="AQ181" s="2">
        <v>3.9133709571110295E-3</v>
      </c>
      <c r="AR181" s="2">
        <v>6.1063930891935478E-4</v>
      </c>
      <c r="AS181" s="2">
        <v>-1.7963634529483668E-3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1.714530086070995E-2</v>
      </c>
      <c r="V182" s="129">
        <v>3.5929049311814753E-3</v>
      </c>
      <c r="W182" s="129">
        <v>-1.2187689045677996E-3</v>
      </c>
      <c r="X182" s="129">
        <v>-6.856792913474721E-4</v>
      </c>
      <c r="Y182" s="129">
        <v>1.5858429351282438E-3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1.5762840140690442E-2</v>
      </c>
      <c r="AK182" s="2">
        <v>9.5742586917002645E-4</v>
      </c>
      <c r="AL182" s="2">
        <v>2.0421536250272288E-4</v>
      </c>
      <c r="AM182" s="2">
        <v>2.1576832723975325E-4</v>
      </c>
      <c r="AN182" s="2">
        <v>1.2479443135870438E-4</v>
      </c>
      <c r="AO182" s="2">
        <v>9.6270702598875005E-2</v>
      </c>
      <c r="AP182" s="2">
        <v>3.6032290618645949E-3</v>
      </c>
      <c r="AQ182" s="2">
        <v>3.9133709571110295E-3</v>
      </c>
      <c r="AR182" s="2">
        <v>6.1063930891935478E-4</v>
      </c>
      <c r="AS182" s="2">
        <v>-1.7963634529483668E-3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1.714530086070995E-2</v>
      </c>
      <c r="V183" s="129">
        <v>3.5929049311814753E-3</v>
      </c>
      <c r="W183" s="129">
        <v>-1.2187689045677996E-3</v>
      </c>
      <c r="X183" s="129">
        <v>-6.856792913474721E-4</v>
      </c>
      <c r="Y183" s="129">
        <v>1.5858429351282438E-3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1.5762840140690442E-2</v>
      </c>
      <c r="AK183" s="2">
        <v>9.5742586917002645E-4</v>
      </c>
      <c r="AL183" s="2">
        <v>2.0421536250272288E-4</v>
      </c>
      <c r="AM183" s="2">
        <v>2.1576832723975325E-4</v>
      </c>
      <c r="AN183" s="2">
        <v>1.2479443135870438E-4</v>
      </c>
      <c r="AO183" s="2">
        <v>9.6270702598875005E-2</v>
      </c>
      <c r="AP183" s="2">
        <v>3.6032290618645949E-3</v>
      </c>
      <c r="AQ183" s="2">
        <v>3.9133709571110295E-3</v>
      </c>
      <c r="AR183" s="2">
        <v>6.1063930891935478E-4</v>
      </c>
      <c r="AS183" s="2">
        <v>-1.7963634529483668E-3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1.714530086070995E-2</v>
      </c>
      <c r="V184" s="129">
        <v>3.5929049311814753E-3</v>
      </c>
      <c r="W184" s="129">
        <v>-1.2187689045677996E-3</v>
      </c>
      <c r="X184" s="129">
        <v>-6.856792913474721E-4</v>
      </c>
      <c r="Y184" s="129">
        <v>1.5858429351282438E-3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1.5762840140690442E-2</v>
      </c>
      <c r="AK184" s="2">
        <v>9.5742586917002645E-4</v>
      </c>
      <c r="AL184" s="2">
        <v>2.0421536250272288E-4</v>
      </c>
      <c r="AM184" s="2">
        <v>2.1576832723975325E-4</v>
      </c>
      <c r="AN184" s="2">
        <v>1.2479443135870438E-4</v>
      </c>
      <c r="AO184" s="2">
        <v>9.6270702598875005E-2</v>
      </c>
      <c r="AP184" s="2">
        <v>3.6032290618645949E-3</v>
      </c>
      <c r="AQ184" s="2">
        <v>3.9133709571110295E-3</v>
      </c>
      <c r="AR184" s="2">
        <v>6.1063930891935478E-4</v>
      </c>
      <c r="AS184" s="2">
        <v>-1.7963634529483668E-3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1.714530086070995E-2</v>
      </c>
      <c r="V185" s="129">
        <v>3.5929049311814753E-3</v>
      </c>
      <c r="W185" s="129">
        <v>-1.2187689045677996E-3</v>
      </c>
      <c r="X185" s="129">
        <v>-6.856792913474721E-4</v>
      </c>
      <c r="Y185" s="129">
        <v>1.5858429351282438E-3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1.5762840140690442E-2</v>
      </c>
      <c r="AK185" s="2">
        <v>9.5742586917002645E-4</v>
      </c>
      <c r="AL185" s="2">
        <v>2.0421536250272288E-4</v>
      </c>
      <c r="AM185" s="2">
        <v>2.1576832723975325E-4</v>
      </c>
      <c r="AN185" s="2">
        <v>1.2479443135870438E-4</v>
      </c>
      <c r="AO185" s="2">
        <v>9.6270702598875005E-2</v>
      </c>
      <c r="AP185" s="2">
        <v>3.6032290618645949E-3</v>
      </c>
      <c r="AQ185" s="2">
        <v>3.9133709571110295E-3</v>
      </c>
      <c r="AR185" s="2">
        <v>6.1063930891935478E-4</v>
      </c>
      <c r="AS185" s="2">
        <v>-1.7963634529483668E-3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1.714530086070995E-2</v>
      </c>
      <c r="V186" s="129">
        <v>3.5929049311814753E-3</v>
      </c>
      <c r="W186" s="129">
        <v>-1.2187689045677996E-3</v>
      </c>
      <c r="X186" s="129">
        <v>-6.856792913474721E-4</v>
      </c>
      <c r="Y186" s="129">
        <v>1.5858429351282438E-3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1.5762840140690442E-2</v>
      </c>
      <c r="AK186" s="2">
        <v>9.5742586917002645E-4</v>
      </c>
      <c r="AL186" s="2">
        <v>2.0421536250272288E-4</v>
      </c>
      <c r="AM186" s="2">
        <v>2.1576832723975325E-4</v>
      </c>
      <c r="AN186" s="2">
        <v>1.2479443135870438E-4</v>
      </c>
      <c r="AO186" s="2">
        <v>9.6270702598875005E-2</v>
      </c>
      <c r="AP186" s="2">
        <v>3.6032290618645949E-3</v>
      </c>
      <c r="AQ186" s="2">
        <v>3.9133709571110295E-3</v>
      </c>
      <c r="AR186" s="2">
        <v>6.1063930891935478E-4</v>
      </c>
      <c r="AS186" s="2">
        <v>-1.7963634529483668E-3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1.714530086070995E-2</v>
      </c>
      <c r="V187" s="129">
        <v>3.5929049311814753E-3</v>
      </c>
      <c r="W187" s="129">
        <v>-1.2187689045677996E-3</v>
      </c>
      <c r="X187" s="129">
        <v>-6.856792913474721E-4</v>
      </c>
      <c r="Y187" s="129">
        <v>1.5858429351282438E-3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1.5762840140690442E-2</v>
      </c>
      <c r="AK187" s="2">
        <v>9.5742586917002645E-4</v>
      </c>
      <c r="AL187" s="2">
        <v>2.0421536250272288E-4</v>
      </c>
      <c r="AM187" s="2">
        <v>2.1576832723975325E-4</v>
      </c>
      <c r="AN187" s="2">
        <v>1.2479443135870438E-4</v>
      </c>
      <c r="AO187" s="2">
        <v>9.6270702598875005E-2</v>
      </c>
      <c r="AP187" s="2">
        <v>3.6032290618645949E-3</v>
      </c>
      <c r="AQ187" s="2">
        <v>3.9133709571110295E-3</v>
      </c>
      <c r="AR187" s="2">
        <v>6.1063930891935478E-4</v>
      </c>
      <c r="AS187" s="2">
        <v>-1.7963634529483668E-3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1.714530086070995E-2</v>
      </c>
      <c r="V188" s="129">
        <v>3.5929049311814753E-3</v>
      </c>
      <c r="W188" s="129">
        <v>-1.2187689045677996E-3</v>
      </c>
      <c r="X188" s="129">
        <v>-6.856792913474721E-4</v>
      </c>
      <c r="Y188" s="129">
        <v>1.5858429351282438E-3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1.5762840140690442E-2</v>
      </c>
      <c r="AK188" s="2">
        <v>9.5742586917002645E-4</v>
      </c>
      <c r="AL188" s="2">
        <v>2.0421536250272288E-4</v>
      </c>
      <c r="AM188" s="2">
        <v>2.1576832723975325E-4</v>
      </c>
      <c r="AN188" s="2">
        <v>1.2479443135870438E-4</v>
      </c>
      <c r="AO188" s="2">
        <v>9.6270702598875005E-2</v>
      </c>
      <c r="AP188" s="2">
        <v>3.6032290618645949E-3</v>
      </c>
      <c r="AQ188" s="2">
        <v>3.9133709571110295E-3</v>
      </c>
      <c r="AR188" s="2">
        <v>6.1063930891935478E-4</v>
      </c>
      <c r="AS188" s="2">
        <v>-1.7963634529483668E-3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1.714530086070995E-2</v>
      </c>
      <c r="V189" s="129">
        <v>3.5929049311814753E-3</v>
      </c>
      <c r="W189" s="129">
        <v>-1.2187689045677996E-3</v>
      </c>
      <c r="X189" s="129">
        <v>-6.856792913474721E-4</v>
      </c>
      <c r="Y189" s="129">
        <v>1.5858429351282438E-3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1.5762840140690442E-2</v>
      </c>
      <c r="AK189" s="2">
        <v>9.5742586917002645E-4</v>
      </c>
      <c r="AL189" s="2">
        <v>2.0421536250272288E-4</v>
      </c>
      <c r="AM189" s="2">
        <v>2.1576832723975325E-4</v>
      </c>
      <c r="AN189" s="2">
        <v>1.2479443135870438E-4</v>
      </c>
      <c r="AO189" s="2">
        <v>9.6270702598875005E-2</v>
      </c>
      <c r="AP189" s="2">
        <v>3.6032290618645949E-3</v>
      </c>
      <c r="AQ189" s="2">
        <v>3.9133709571110295E-3</v>
      </c>
      <c r="AR189" s="2">
        <v>6.1063930891935478E-4</v>
      </c>
      <c r="AS189" s="2">
        <v>-1.7963634529483668E-3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1.714530086070995E-2</v>
      </c>
      <c r="V190" s="129">
        <v>3.5929049311814753E-3</v>
      </c>
      <c r="W190" s="129">
        <v>-1.2187689045677996E-3</v>
      </c>
      <c r="X190" s="129">
        <v>-6.856792913474721E-4</v>
      </c>
      <c r="Y190" s="129">
        <v>1.5858429351282438E-3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1.5762840140690442E-2</v>
      </c>
      <c r="AK190" s="2">
        <v>9.5742586917002645E-4</v>
      </c>
      <c r="AL190" s="2">
        <v>2.0421536250272288E-4</v>
      </c>
      <c r="AM190" s="2">
        <v>2.1576832723975325E-4</v>
      </c>
      <c r="AN190" s="2">
        <v>1.2479443135870438E-4</v>
      </c>
      <c r="AO190" s="2">
        <v>9.6270702598875005E-2</v>
      </c>
      <c r="AP190" s="2">
        <v>3.6032290618645949E-3</v>
      </c>
      <c r="AQ190" s="2">
        <v>3.9133709571110295E-3</v>
      </c>
      <c r="AR190" s="2">
        <v>6.1063930891935478E-4</v>
      </c>
      <c r="AS190" s="2">
        <v>-1.7963634529483668E-3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1.714530086070995E-2</v>
      </c>
      <c r="V191" s="129">
        <v>3.5929049311814753E-3</v>
      </c>
      <c r="W191" s="129">
        <v>-1.2187689045677996E-3</v>
      </c>
      <c r="X191" s="129">
        <v>-6.856792913474721E-4</v>
      </c>
      <c r="Y191" s="129">
        <v>1.5858429351282438E-3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1.5762840140690442E-2</v>
      </c>
      <c r="AK191" s="2">
        <v>9.5742586917002645E-4</v>
      </c>
      <c r="AL191" s="2">
        <v>2.0421536250272288E-4</v>
      </c>
      <c r="AM191" s="2">
        <v>2.1576832723975325E-4</v>
      </c>
      <c r="AN191" s="2">
        <v>1.2479443135870438E-4</v>
      </c>
      <c r="AO191" s="2">
        <v>9.6270702598875005E-2</v>
      </c>
      <c r="AP191" s="2">
        <v>3.6032290618645949E-3</v>
      </c>
      <c r="AQ191" s="2">
        <v>3.9133709571110295E-3</v>
      </c>
      <c r="AR191" s="2">
        <v>6.1063930891935478E-4</v>
      </c>
      <c r="AS191" s="2">
        <v>-1.7963634529483668E-3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1.714530086070995E-2</v>
      </c>
      <c r="V192" s="129">
        <v>3.5929049311814753E-3</v>
      </c>
      <c r="W192" s="129">
        <v>-1.2187689045677996E-3</v>
      </c>
      <c r="X192" s="129">
        <v>-6.856792913474721E-4</v>
      </c>
      <c r="Y192" s="129">
        <v>1.5858429351282438E-3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1.5762840140690442E-2</v>
      </c>
      <c r="AK192" s="2">
        <v>9.5742586917002645E-4</v>
      </c>
      <c r="AL192" s="2">
        <v>2.0421536250272288E-4</v>
      </c>
      <c r="AM192" s="2">
        <v>2.1576832723975325E-4</v>
      </c>
      <c r="AN192" s="2">
        <v>1.2479443135870438E-4</v>
      </c>
      <c r="AO192" s="2">
        <v>9.6270702598875005E-2</v>
      </c>
      <c r="AP192" s="2">
        <v>3.6032290618645949E-3</v>
      </c>
      <c r="AQ192" s="2">
        <v>3.9133709571110295E-3</v>
      </c>
      <c r="AR192" s="2">
        <v>6.1063930891935478E-4</v>
      </c>
      <c r="AS192" s="2">
        <v>-1.7963634529483668E-3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1.714530086070995E-2</v>
      </c>
      <c r="V193" s="129">
        <v>3.5929049311814753E-3</v>
      </c>
      <c r="W193" s="129">
        <v>-1.2187689045677996E-3</v>
      </c>
      <c r="X193" s="129">
        <v>-6.856792913474721E-4</v>
      </c>
      <c r="Y193" s="129">
        <v>1.5858429351282438E-3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1.5762840140690442E-2</v>
      </c>
      <c r="AK193" s="2">
        <v>9.5742586917002645E-4</v>
      </c>
      <c r="AL193" s="2">
        <v>2.0421536250272288E-4</v>
      </c>
      <c r="AM193" s="2">
        <v>2.1576832723975325E-4</v>
      </c>
      <c r="AN193" s="2">
        <v>1.2479443135870438E-4</v>
      </c>
      <c r="AO193" s="2">
        <v>9.6270702598875005E-2</v>
      </c>
      <c r="AP193" s="2">
        <v>3.6032290618645949E-3</v>
      </c>
      <c r="AQ193" s="2">
        <v>3.9133709571110295E-3</v>
      </c>
      <c r="AR193" s="2">
        <v>6.1063930891935478E-4</v>
      </c>
      <c r="AS193" s="2">
        <v>-1.7963634529483668E-3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1.714530086070995E-2</v>
      </c>
      <c r="V194" s="129">
        <v>3.5929049311814753E-3</v>
      </c>
      <c r="W194" s="129">
        <v>-1.2187689045677996E-3</v>
      </c>
      <c r="X194" s="129">
        <v>-6.856792913474721E-4</v>
      </c>
      <c r="Y194" s="129">
        <v>1.5858429351282438E-3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1.5762840140690442E-2</v>
      </c>
      <c r="AK194" s="2">
        <v>9.5742586917002645E-4</v>
      </c>
      <c r="AL194" s="2">
        <v>2.0421536250272288E-4</v>
      </c>
      <c r="AM194" s="2">
        <v>2.1576832723975325E-4</v>
      </c>
      <c r="AN194" s="2">
        <v>1.2479443135870438E-4</v>
      </c>
      <c r="AO194" s="2">
        <v>9.6270702598875005E-2</v>
      </c>
      <c r="AP194" s="2">
        <v>3.6032290618645949E-3</v>
      </c>
      <c r="AQ194" s="2">
        <v>3.9133709571110295E-3</v>
      </c>
      <c r="AR194" s="2">
        <v>6.1063930891935478E-4</v>
      </c>
      <c r="AS194" s="2">
        <v>-1.7963634529483668E-3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1.714530086070995E-2</v>
      </c>
      <c r="V195" s="129">
        <v>3.5929049311814753E-3</v>
      </c>
      <c r="W195" s="129">
        <v>-1.2187689045677996E-3</v>
      </c>
      <c r="X195" s="129">
        <v>-6.856792913474721E-4</v>
      </c>
      <c r="Y195" s="129">
        <v>1.5858429351282438E-3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1.5762840140690442E-2</v>
      </c>
      <c r="AK195" s="2">
        <v>9.5742586917002645E-4</v>
      </c>
      <c r="AL195" s="2">
        <v>2.0421536250272288E-4</v>
      </c>
      <c r="AM195" s="2">
        <v>2.1576832723975325E-4</v>
      </c>
      <c r="AN195" s="2">
        <v>1.2479443135870438E-4</v>
      </c>
      <c r="AO195" s="2">
        <v>9.6270702598875005E-2</v>
      </c>
      <c r="AP195" s="2">
        <v>3.6032290618645949E-3</v>
      </c>
      <c r="AQ195" s="2">
        <v>3.9133709571110295E-3</v>
      </c>
      <c r="AR195" s="2">
        <v>6.1063930891935478E-4</v>
      </c>
      <c r="AS195" s="2">
        <v>-1.7963634529483668E-3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1.714530086070995E-2</v>
      </c>
      <c r="V196" s="129">
        <v>3.5929049311814753E-3</v>
      </c>
      <c r="W196" s="129">
        <v>-1.2187689045677996E-3</v>
      </c>
      <c r="X196" s="129">
        <v>-6.856792913474721E-4</v>
      </c>
      <c r="Y196" s="129">
        <v>1.5858429351282438E-3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1.5762840140690442E-2</v>
      </c>
      <c r="AK196" s="2">
        <v>9.5742586917002645E-4</v>
      </c>
      <c r="AL196" s="2">
        <v>2.0421536250272288E-4</v>
      </c>
      <c r="AM196" s="2">
        <v>2.1576832723975325E-4</v>
      </c>
      <c r="AN196" s="2">
        <v>1.2479443135870438E-4</v>
      </c>
      <c r="AO196" s="2">
        <v>9.6270702598875005E-2</v>
      </c>
      <c r="AP196" s="2">
        <v>3.6032290618645949E-3</v>
      </c>
      <c r="AQ196" s="2">
        <v>3.9133709571110295E-3</v>
      </c>
      <c r="AR196" s="2">
        <v>6.1063930891935478E-4</v>
      </c>
      <c r="AS196" s="2">
        <v>-1.7963634529483668E-3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1.714530086070995E-2</v>
      </c>
      <c r="V197" s="129">
        <v>3.5929049311814753E-3</v>
      </c>
      <c r="W197" s="129">
        <v>-1.2187689045677996E-3</v>
      </c>
      <c r="X197" s="129">
        <v>-6.856792913474721E-4</v>
      </c>
      <c r="Y197" s="129">
        <v>1.5858429351282438E-3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1.5762840140690442E-2</v>
      </c>
      <c r="AK197" s="2">
        <v>9.5742586917002645E-4</v>
      </c>
      <c r="AL197" s="2">
        <v>2.0421536250272288E-4</v>
      </c>
      <c r="AM197" s="2">
        <v>2.1576832723975325E-4</v>
      </c>
      <c r="AN197" s="2">
        <v>1.2479443135870438E-4</v>
      </c>
      <c r="AO197" s="2">
        <v>9.6270702598875005E-2</v>
      </c>
      <c r="AP197" s="2">
        <v>3.6032290618645949E-3</v>
      </c>
      <c r="AQ197" s="2">
        <v>3.9133709571110295E-3</v>
      </c>
      <c r="AR197" s="2">
        <v>6.1063930891935478E-4</v>
      </c>
      <c r="AS197" s="2">
        <v>-1.7963634529483668E-3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1.714530086070995E-2</v>
      </c>
      <c r="V198" s="129">
        <v>3.5929049311814753E-3</v>
      </c>
      <c r="W198" s="129">
        <v>-1.2187689045677996E-3</v>
      </c>
      <c r="X198" s="129">
        <v>-6.856792913474721E-4</v>
      </c>
      <c r="Y198" s="129">
        <v>1.5858429351282438E-3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1.5762840140690442E-2</v>
      </c>
      <c r="AK198" s="2">
        <v>9.5742586917002645E-4</v>
      </c>
      <c r="AL198" s="2">
        <v>2.0421536250272288E-4</v>
      </c>
      <c r="AM198" s="2">
        <v>2.1576832723975325E-4</v>
      </c>
      <c r="AN198" s="2">
        <v>1.2479443135870438E-4</v>
      </c>
      <c r="AO198" s="2">
        <v>9.6270702598875005E-2</v>
      </c>
      <c r="AP198" s="2">
        <v>3.6032290618645949E-3</v>
      </c>
      <c r="AQ198" s="2">
        <v>3.9133709571110295E-3</v>
      </c>
      <c r="AR198" s="2">
        <v>6.1063930891935478E-4</v>
      </c>
      <c r="AS198" s="2">
        <v>-1.7963634529483668E-3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1.714530086070995E-2</v>
      </c>
      <c r="V199" s="129">
        <v>3.5929049311814753E-3</v>
      </c>
      <c r="W199" s="129">
        <v>-1.2187689045677996E-3</v>
      </c>
      <c r="X199" s="129">
        <v>-6.856792913474721E-4</v>
      </c>
      <c r="Y199" s="129">
        <v>1.5858429351282438E-3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1.5762840140690442E-2</v>
      </c>
      <c r="AK199" s="2">
        <v>9.5742586917002645E-4</v>
      </c>
      <c r="AL199" s="2">
        <v>2.0421536250272288E-4</v>
      </c>
      <c r="AM199" s="2">
        <v>2.1576832723975325E-4</v>
      </c>
      <c r="AN199" s="2">
        <v>1.2479443135870438E-4</v>
      </c>
      <c r="AO199" s="2">
        <v>9.6270702598875005E-2</v>
      </c>
      <c r="AP199" s="2">
        <v>3.6032290618645949E-3</v>
      </c>
      <c r="AQ199" s="2">
        <v>3.9133709571110295E-3</v>
      </c>
      <c r="AR199" s="2">
        <v>6.1063930891935478E-4</v>
      </c>
      <c r="AS199" s="2">
        <v>-1.7963634529483668E-3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1.714530086070995E-2</v>
      </c>
      <c r="V200" s="129">
        <v>3.5929049311814753E-3</v>
      </c>
      <c r="W200" s="129">
        <v>-1.2187689045677996E-3</v>
      </c>
      <c r="X200" s="129">
        <v>-6.856792913474721E-4</v>
      </c>
      <c r="Y200" s="129">
        <v>1.5858429351282438E-3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1.5762840140690442E-2</v>
      </c>
      <c r="AK200" s="2">
        <v>9.5742586917002645E-4</v>
      </c>
      <c r="AL200" s="2">
        <v>2.0421536250272288E-4</v>
      </c>
      <c r="AM200" s="2">
        <v>2.1576832723975325E-4</v>
      </c>
      <c r="AN200" s="2">
        <v>1.2479443135870438E-4</v>
      </c>
      <c r="AO200" s="2">
        <v>9.6270702598875005E-2</v>
      </c>
      <c r="AP200" s="2">
        <v>3.6032290618645949E-3</v>
      </c>
      <c r="AQ200" s="2">
        <v>3.9133709571110295E-3</v>
      </c>
      <c r="AR200" s="2">
        <v>6.1063930891935478E-4</v>
      </c>
      <c r="AS200" s="2">
        <v>-1.7963634529483668E-3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1.714530086070995E-2</v>
      </c>
      <c r="V201" s="129">
        <v>3.5929049311814753E-3</v>
      </c>
      <c r="W201" s="129">
        <v>-1.2187689045677996E-3</v>
      </c>
      <c r="X201" s="129">
        <v>-6.856792913474721E-4</v>
      </c>
      <c r="Y201" s="129">
        <v>1.5858429351282438E-3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1.5762840140690442E-2</v>
      </c>
      <c r="AK201" s="2">
        <v>9.5742586917002645E-4</v>
      </c>
      <c r="AL201" s="2">
        <v>2.0421536250272288E-4</v>
      </c>
      <c r="AM201" s="2">
        <v>2.1576832723975325E-4</v>
      </c>
      <c r="AN201" s="2">
        <v>1.2479443135870438E-4</v>
      </c>
      <c r="AO201" s="2">
        <v>9.6270702598875005E-2</v>
      </c>
      <c r="AP201" s="2">
        <v>3.6032290618645949E-3</v>
      </c>
      <c r="AQ201" s="2">
        <v>3.9133709571110295E-3</v>
      </c>
      <c r="AR201" s="2">
        <v>6.1063930891935478E-4</v>
      </c>
      <c r="AS201" s="2">
        <v>-1.7963634529483668E-3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1.714530086070995E-2</v>
      </c>
      <c r="V202" s="129">
        <v>3.5929049311814753E-3</v>
      </c>
      <c r="W202" s="129">
        <v>-1.2187689045677996E-3</v>
      </c>
      <c r="X202" s="129">
        <v>-6.856792913474721E-4</v>
      </c>
      <c r="Y202" s="129">
        <v>1.5858429351282438E-3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1.5762840140690442E-2</v>
      </c>
      <c r="AK202" s="2">
        <v>9.5742586917002645E-4</v>
      </c>
      <c r="AL202" s="2">
        <v>2.0421536250272288E-4</v>
      </c>
      <c r="AM202" s="2">
        <v>2.1576832723975325E-4</v>
      </c>
      <c r="AN202" s="2">
        <v>1.2479443135870438E-4</v>
      </c>
      <c r="AO202" s="2">
        <v>9.6270702598875005E-2</v>
      </c>
      <c r="AP202" s="2">
        <v>3.6032290618645949E-3</v>
      </c>
      <c r="AQ202" s="2">
        <v>3.9133709571110295E-3</v>
      </c>
      <c r="AR202" s="2">
        <v>6.1063930891935478E-4</v>
      </c>
      <c r="AS202" s="2">
        <v>-1.7963634529483668E-3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1.714530086070995E-2</v>
      </c>
      <c r="V203" s="129">
        <v>3.5929049311814753E-3</v>
      </c>
      <c r="W203" s="129">
        <v>-1.2187689045677996E-3</v>
      </c>
      <c r="X203" s="129">
        <v>-6.856792913474721E-4</v>
      </c>
      <c r="Y203" s="129">
        <v>1.5858429351282438E-3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1.5762840140690442E-2</v>
      </c>
      <c r="AK203" s="2">
        <v>9.5742586917002645E-4</v>
      </c>
      <c r="AL203" s="2">
        <v>2.0421536250272288E-4</v>
      </c>
      <c r="AM203" s="2">
        <v>2.1576832723975325E-4</v>
      </c>
      <c r="AN203" s="2">
        <v>1.2479443135870438E-4</v>
      </c>
      <c r="AO203" s="2">
        <v>9.6270702598875005E-2</v>
      </c>
      <c r="AP203" s="2">
        <v>3.6032290618645949E-3</v>
      </c>
      <c r="AQ203" s="2">
        <v>3.9133709571110295E-3</v>
      </c>
      <c r="AR203" s="2">
        <v>6.1063930891935478E-4</v>
      </c>
      <c r="AS203" s="2">
        <v>-1.7963634529483668E-3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1.714530086070995E-2</v>
      </c>
      <c r="V204" s="129">
        <v>3.5929049311814753E-3</v>
      </c>
      <c r="W204" s="129">
        <v>-1.2187689045677996E-3</v>
      </c>
      <c r="X204" s="129">
        <v>-6.856792913474721E-4</v>
      </c>
      <c r="Y204" s="129">
        <v>1.5858429351282438E-3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1.5762840140690442E-2</v>
      </c>
      <c r="AK204" s="2">
        <v>9.5742586917002645E-4</v>
      </c>
      <c r="AL204" s="2">
        <v>2.0421536250272288E-4</v>
      </c>
      <c r="AM204" s="2">
        <v>2.1576832723975325E-4</v>
      </c>
      <c r="AN204" s="2">
        <v>1.2479443135870438E-4</v>
      </c>
      <c r="AO204" s="2">
        <v>9.6270702598875005E-2</v>
      </c>
      <c r="AP204" s="2">
        <v>3.6032290618645949E-3</v>
      </c>
      <c r="AQ204" s="2">
        <v>3.9133709571110295E-3</v>
      </c>
      <c r="AR204" s="2">
        <v>6.1063930891935478E-4</v>
      </c>
      <c r="AS204" s="2">
        <v>-1.7963634529483668E-3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1.714530086070995E-2</v>
      </c>
      <c r="V205" s="129">
        <v>3.5929049311814753E-3</v>
      </c>
      <c r="W205" s="129">
        <v>-1.2187689045677996E-3</v>
      </c>
      <c r="X205" s="129">
        <v>-6.856792913474721E-4</v>
      </c>
      <c r="Y205" s="129">
        <v>1.5858429351282438E-3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1.5762840140690442E-2</v>
      </c>
      <c r="AK205" s="2">
        <v>9.5742586917002645E-4</v>
      </c>
      <c r="AL205" s="2">
        <v>2.0421536250272288E-4</v>
      </c>
      <c r="AM205" s="2">
        <v>2.1576832723975325E-4</v>
      </c>
      <c r="AN205" s="2">
        <v>1.2479443135870438E-4</v>
      </c>
      <c r="AO205" s="2">
        <v>9.6270702598875005E-2</v>
      </c>
      <c r="AP205" s="2">
        <v>3.6032290618645949E-3</v>
      </c>
      <c r="AQ205" s="2">
        <v>3.9133709571110295E-3</v>
      </c>
      <c r="AR205" s="2">
        <v>6.1063930891935478E-4</v>
      </c>
      <c r="AS205" s="2">
        <v>-1.7963634529483668E-3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1.714530086070995E-2</v>
      </c>
      <c r="V206" s="129">
        <v>3.5929049311814753E-3</v>
      </c>
      <c r="W206" s="129">
        <v>-1.2187689045677996E-3</v>
      </c>
      <c r="X206" s="129">
        <v>-6.856792913474721E-4</v>
      </c>
      <c r="Y206" s="129">
        <v>1.5858429351282438E-3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1.5762840140690442E-2</v>
      </c>
      <c r="AK206" s="2">
        <v>9.5742586917002645E-4</v>
      </c>
      <c r="AL206" s="2">
        <v>2.0421536250272288E-4</v>
      </c>
      <c r="AM206" s="2">
        <v>2.1576832723975325E-4</v>
      </c>
      <c r="AN206" s="2">
        <v>1.2479443135870438E-4</v>
      </c>
      <c r="AO206" s="2">
        <v>9.6270702598875005E-2</v>
      </c>
      <c r="AP206" s="2">
        <v>3.6032290618645949E-3</v>
      </c>
      <c r="AQ206" s="2">
        <v>3.9133709571110295E-3</v>
      </c>
      <c r="AR206" s="2">
        <v>6.1063930891935478E-4</v>
      </c>
      <c r="AS206" s="2">
        <v>-1.7963634529483668E-3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1.714530086070995E-2</v>
      </c>
      <c r="V207" s="129">
        <v>3.5929049311814753E-3</v>
      </c>
      <c r="W207" s="129">
        <v>-1.2187689045677996E-3</v>
      </c>
      <c r="X207" s="129">
        <v>-6.856792913474721E-4</v>
      </c>
      <c r="Y207" s="129">
        <v>1.5858429351282438E-3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1.5762840140690442E-2</v>
      </c>
      <c r="AK207" s="2">
        <v>9.5742586917002645E-4</v>
      </c>
      <c r="AL207" s="2">
        <v>2.0421536250272288E-4</v>
      </c>
      <c r="AM207" s="2">
        <v>2.1576832723975325E-4</v>
      </c>
      <c r="AN207" s="2">
        <v>1.2479443135870438E-4</v>
      </c>
      <c r="AO207" s="2">
        <v>9.6270702598875005E-2</v>
      </c>
      <c r="AP207" s="2">
        <v>3.6032290618645949E-3</v>
      </c>
      <c r="AQ207" s="2">
        <v>3.9133709571110295E-3</v>
      </c>
      <c r="AR207" s="2">
        <v>6.1063930891935478E-4</v>
      </c>
      <c r="AS207" s="2">
        <v>-1.7963634529483668E-3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1.714530086070995E-2</v>
      </c>
      <c r="V208" s="129">
        <v>3.5929049311814753E-3</v>
      </c>
      <c r="W208" s="129">
        <v>-1.2187689045677996E-3</v>
      </c>
      <c r="X208" s="129">
        <v>-6.856792913474721E-4</v>
      </c>
      <c r="Y208" s="129">
        <v>1.5858429351282438E-3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1.5762840140690442E-2</v>
      </c>
      <c r="AK208" s="2">
        <v>9.5742586917002645E-4</v>
      </c>
      <c r="AL208" s="2">
        <v>2.0421536250272288E-4</v>
      </c>
      <c r="AM208" s="2">
        <v>2.1576832723975325E-4</v>
      </c>
      <c r="AN208" s="2">
        <v>1.2479443135870438E-4</v>
      </c>
      <c r="AO208" s="2">
        <v>9.6270702598875005E-2</v>
      </c>
      <c r="AP208" s="2">
        <v>3.6032290618645949E-3</v>
      </c>
      <c r="AQ208" s="2">
        <v>3.9133709571110295E-3</v>
      </c>
      <c r="AR208" s="2">
        <v>6.1063930891935478E-4</v>
      </c>
      <c r="AS208" s="2">
        <v>-1.7963634529483668E-3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1.714530086070995E-2</v>
      </c>
      <c r="V209" s="129">
        <v>3.5929049311814753E-3</v>
      </c>
      <c r="W209" s="129">
        <v>-1.2187689045677996E-3</v>
      </c>
      <c r="X209" s="129">
        <v>-6.856792913474721E-4</v>
      </c>
      <c r="Y209" s="129">
        <v>1.5858429351282438E-3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1.5762840140690442E-2</v>
      </c>
      <c r="AK209" s="2">
        <v>9.5742586917002645E-4</v>
      </c>
      <c r="AL209" s="2">
        <v>2.0421536250272288E-4</v>
      </c>
      <c r="AM209" s="2">
        <v>2.1576832723975325E-4</v>
      </c>
      <c r="AN209" s="2">
        <v>1.2479443135870438E-4</v>
      </c>
      <c r="AO209" s="2">
        <v>9.6270702598875005E-2</v>
      </c>
      <c r="AP209" s="2">
        <v>3.6032290618645949E-3</v>
      </c>
      <c r="AQ209" s="2">
        <v>3.9133709571110295E-3</v>
      </c>
      <c r="AR209" s="2">
        <v>6.1063930891935478E-4</v>
      </c>
      <c r="AS209" s="2">
        <v>-1.7963634529483668E-3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1.714530086070995E-2</v>
      </c>
      <c r="V210" s="129">
        <v>3.5929049311814753E-3</v>
      </c>
      <c r="W210" s="129">
        <v>-1.2187689045677996E-3</v>
      </c>
      <c r="X210" s="129">
        <v>-6.856792913474721E-4</v>
      </c>
      <c r="Y210" s="129">
        <v>1.5858429351282438E-3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1.5762840140690442E-2</v>
      </c>
      <c r="AK210" s="2">
        <v>9.5742586917002645E-4</v>
      </c>
      <c r="AL210" s="2">
        <v>2.0421536250272288E-4</v>
      </c>
      <c r="AM210" s="2">
        <v>2.1576832723975325E-4</v>
      </c>
      <c r="AN210" s="2">
        <v>1.2479443135870438E-4</v>
      </c>
      <c r="AO210" s="2">
        <v>9.6270702598875005E-2</v>
      </c>
      <c r="AP210" s="2">
        <v>3.6032290618645949E-3</v>
      </c>
      <c r="AQ210" s="2">
        <v>3.9133709571110295E-3</v>
      </c>
      <c r="AR210" s="2">
        <v>6.1063930891935478E-4</v>
      </c>
      <c r="AS210" s="2">
        <v>-1.7963634529483668E-3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1.714530086070995E-2</v>
      </c>
      <c r="V211" s="129">
        <v>3.5929049311814753E-3</v>
      </c>
      <c r="W211" s="129">
        <v>-1.2187689045677996E-3</v>
      </c>
      <c r="X211" s="129">
        <v>-6.856792913474721E-4</v>
      </c>
      <c r="Y211" s="129">
        <v>1.5858429351282438E-3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1.5762840140690442E-2</v>
      </c>
      <c r="AK211" s="2">
        <v>9.5742586917002645E-4</v>
      </c>
      <c r="AL211" s="2">
        <v>2.0421536250272288E-4</v>
      </c>
      <c r="AM211" s="2">
        <v>2.1576832723975325E-4</v>
      </c>
      <c r="AN211" s="2">
        <v>1.2479443135870438E-4</v>
      </c>
      <c r="AO211" s="2">
        <v>9.6270702598875005E-2</v>
      </c>
      <c r="AP211" s="2">
        <v>3.6032290618645949E-3</v>
      </c>
      <c r="AQ211" s="2">
        <v>3.9133709571110295E-3</v>
      </c>
      <c r="AR211" s="2">
        <v>6.1063930891935478E-4</v>
      </c>
      <c r="AS211" s="2">
        <v>-1.7963634529483668E-3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1.714530086070995E-2</v>
      </c>
      <c r="V212" s="129">
        <v>3.5929049311814753E-3</v>
      </c>
      <c r="W212" s="129">
        <v>-1.2187689045677996E-3</v>
      </c>
      <c r="X212" s="129">
        <v>-6.856792913474721E-4</v>
      </c>
      <c r="Y212" s="129">
        <v>1.5858429351282438E-3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1.5762840140690442E-2</v>
      </c>
      <c r="AK212" s="2">
        <v>9.5742586917002645E-4</v>
      </c>
      <c r="AL212" s="2">
        <v>2.0421536250272288E-4</v>
      </c>
      <c r="AM212" s="2">
        <v>2.1576832723975325E-4</v>
      </c>
      <c r="AN212" s="2">
        <v>1.2479443135870438E-4</v>
      </c>
      <c r="AO212" s="2">
        <v>9.6270702598875005E-2</v>
      </c>
      <c r="AP212" s="2">
        <v>3.6032290618645949E-3</v>
      </c>
      <c r="AQ212" s="2">
        <v>3.9133709571110295E-3</v>
      </c>
      <c r="AR212" s="2">
        <v>6.1063930891935478E-4</v>
      </c>
      <c r="AS212" s="2">
        <v>-1.7963634529483668E-3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1.714530086070995E-2</v>
      </c>
      <c r="V213" s="129">
        <v>3.5929049311814753E-3</v>
      </c>
      <c r="W213" s="129">
        <v>-1.2187689045677996E-3</v>
      </c>
      <c r="X213" s="129">
        <v>-6.856792913474721E-4</v>
      </c>
      <c r="Y213" s="129">
        <v>1.5858429351282438E-3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1.5762840140690442E-2</v>
      </c>
      <c r="AK213" s="2">
        <v>9.5742586917002645E-4</v>
      </c>
      <c r="AL213" s="2">
        <v>2.0421536250272288E-4</v>
      </c>
      <c r="AM213" s="2">
        <v>2.1576832723975325E-4</v>
      </c>
      <c r="AN213" s="2">
        <v>1.2479443135870438E-4</v>
      </c>
      <c r="AO213" s="2">
        <v>9.6270702598875005E-2</v>
      </c>
      <c r="AP213" s="2">
        <v>3.6032290618645949E-3</v>
      </c>
      <c r="AQ213" s="2">
        <v>3.9133709571110295E-3</v>
      </c>
      <c r="AR213" s="2">
        <v>6.1063930891935478E-4</v>
      </c>
      <c r="AS213" s="2">
        <v>-1.7963634529483668E-3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1.714530086070995E-2</v>
      </c>
      <c r="V214" s="129">
        <v>3.5929049311814753E-3</v>
      </c>
      <c r="W214" s="129">
        <v>-1.2187689045677996E-3</v>
      </c>
      <c r="X214" s="129">
        <v>-6.856792913474721E-4</v>
      </c>
      <c r="Y214" s="129">
        <v>1.5858429351282438E-3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1.5762840140690442E-2</v>
      </c>
      <c r="AK214" s="2">
        <v>9.5742586917002645E-4</v>
      </c>
      <c r="AL214" s="2">
        <v>2.0421536250272288E-4</v>
      </c>
      <c r="AM214" s="2">
        <v>2.1576832723975325E-4</v>
      </c>
      <c r="AN214" s="2">
        <v>1.2479443135870438E-4</v>
      </c>
      <c r="AO214" s="2">
        <v>9.6270702598875005E-2</v>
      </c>
      <c r="AP214" s="2">
        <v>3.6032290618645949E-3</v>
      </c>
      <c r="AQ214" s="2">
        <v>3.9133709571110295E-3</v>
      </c>
      <c r="AR214" s="2">
        <v>6.1063930891935478E-4</v>
      </c>
      <c r="AS214" s="2">
        <v>-1.7963634529483668E-3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1.714530086070995E-2</v>
      </c>
      <c r="V215" s="129">
        <v>3.5929049311814753E-3</v>
      </c>
      <c r="W215" s="129">
        <v>-1.2187689045677996E-3</v>
      </c>
      <c r="X215" s="129">
        <v>-6.856792913474721E-4</v>
      </c>
      <c r="Y215" s="129">
        <v>1.5858429351282438E-3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1.5762840140690442E-2</v>
      </c>
      <c r="AK215" s="2">
        <v>9.5742586917002645E-4</v>
      </c>
      <c r="AL215" s="2">
        <v>2.0421536250272288E-4</v>
      </c>
      <c r="AM215" s="2">
        <v>2.1576832723975325E-4</v>
      </c>
      <c r="AN215" s="2">
        <v>1.2479443135870438E-4</v>
      </c>
      <c r="AO215" s="2">
        <v>9.6270702598875005E-2</v>
      </c>
      <c r="AP215" s="2">
        <v>3.6032290618645949E-3</v>
      </c>
      <c r="AQ215" s="2">
        <v>3.9133709571110295E-3</v>
      </c>
      <c r="AR215" s="2">
        <v>6.1063930891935478E-4</v>
      </c>
      <c r="AS215" s="2">
        <v>-1.7963634529483668E-3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1.714530086070995E-2</v>
      </c>
      <c r="V216" s="129">
        <v>3.5929049311814753E-3</v>
      </c>
      <c r="W216" s="129">
        <v>-1.2187689045677996E-3</v>
      </c>
      <c r="X216" s="129">
        <v>-6.856792913474721E-4</v>
      </c>
      <c r="Y216" s="129">
        <v>1.5858429351282438E-3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1.5762840140690442E-2</v>
      </c>
      <c r="AK216" s="2">
        <v>9.5742586917002645E-4</v>
      </c>
      <c r="AL216" s="2">
        <v>2.0421536250272288E-4</v>
      </c>
      <c r="AM216" s="2">
        <v>2.1576832723975325E-4</v>
      </c>
      <c r="AN216" s="2">
        <v>1.2479443135870438E-4</v>
      </c>
      <c r="AO216" s="2">
        <v>9.6270702598875005E-2</v>
      </c>
      <c r="AP216" s="2">
        <v>3.6032290618645949E-3</v>
      </c>
      <c r="AQ216" s="2">
        <v>3.9133709571110295E-3</v>
      </c>
      <c r="AR216" s="2">
        <v>6.1063930891935478E-4</v>
      </c>
      <c r="AS216" s="2">
        <v>-1.7963634529483668E-3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1.714530086070995E-2</v>
      </c>
      <c r="V217" s="129">
        <v>3.5929049311814753E-3</v>
      </c>
      <c r="W217" s="129">
        <v>-1.2187689045677996E-3</v>
      </c>
      <c r="X217" s="129">
        <v>-6.856792913474721E-4</v>
      </c>
      <c r="Y217" s="129">
        <v>1.5858429351282438E-3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1.5762840140690442E-2</v>
      </c>
      <c r="AK217" s="2">
        <v>9.5742586917002645E-4</v>
      </c>
      <c r="AL217" s="2">
        <v>2.0421536250272288E-4</v>
      </c>
      <c r="AM217" s="2">
        <v>2.1576832723975325E-4</v>
      </c>
      <c r="AN217" s="2">
        <v>1.2479443135870438E-4</v>
      </c>
      <c r="AO217" s="2">
        <v>9.6270702598875005E-2</v>
      </c>
      <c r="AP217" s="2">
        <v>3.6032290618645949E-3</v>
      </c>
      <c r="AQ217" s="2">
        <v>3.9133709571110295E-3</v>
      </c>
      <c r="AR217" s="2">
        <v>6.1063930891935478E-4</v>
      </c>
      <c r="AS217" s="2">
        <v>-1.7963634529483668E-3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1.714530086070995E-2</v>
      </c>
      <c r="V218" s="129">
        <v>3.5929049311814753E-3</v>
      </c>
      <c r="W218" s="129">
        <v>-1.2187689045677996E-3</v>
      </c>
      <c r="X218" s="129">
        <v>-6.856792913474721E-4</v>
      </c>
      <c r="Y218" s="129">
        <v>1.5858429351282438E-3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1.5762840140690442E-2</v>
      </c>
      <c r="AK218" s="2">
        <v>9.5742586917002645E-4</v>
      </c>
      <c r="AL218" s="2">
        <v>2.0421536250272288E-4</v>
      </c>
      <c r="AM218" s="2">
        <v>2.1576832723975325E-4</v>
      </c>
      <c r="AN218" s="2">
        <v>1.2479443135870438E-4</v>
      </c>
      <c r="AO218" s="2">
        <v>9.6270702598875005E-2</v>
      </c>
      <c r="AP218" s="2">
        <v>3.6032290618645949E-3</v>
      </c>
      <c r="AQ218" s="2">
        <v>3.9133709571110295E-3</v>
      </c>
      <c r="AR218" s="2">
        <v>6.1063930891935478E-4</v>
      </c>
      <c r="AS218" s="2">
        <v>-1.7963634529483668E-3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1.714530086070995E-2</v>
      </c>
      <c r="V219" s="129">
        <v>3.5929049311814753E-3</v>
      </c>
      <c r="W219" s="129">
        <v>-1.2187689045677996E-3</v>
      </c>
      <c r="X219" s="129">
        <v>-6.856792913474721E-4</v>
      </c>
      <c r="Y219" s="129">
        <v>1.5858429351282438E-3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1.5762840140690442E-2</v>
      </c>
      <c r="AK219" s="2">
        <v>9.5742586917002645E-4</v>
      </c>
      <c r="AL219" s="2">
        <v>2.0421536250272288E-4</v>
      </c>
      <c r="AM219" s="2">
        <v>2.1576832723975325E-4</v>
      </c>
      <c r="AN219" s="2">
        <v>1.2479443135870438E-4</v>
      </c>
      <c r="AO219" s="2">
        <v>9.6270702598875005E-2</v>
      </c>
      <c r="AP219" s="2">
        <v>3.6032290618645949E-3</v>
      </c>
      <c r="AQ219" s="2">
        <v>3.9133709571110295E-3</v>
      </c>
      <c r="AR219" s="2">
        <v>6.1063930891935478E-4</v>
      </c>
      <c r="AS219" s="2">
        <v>-1.7963634529483668E-3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1.714530086070995E-2</v>
      </c>
      <c r="V220" s="129">
        <v>3.5929049311814753E-3</v>
      </c>
      <c r="W220" s="129">
        <v>-1.2187689045677996E-3</v>
      </c>
      <c r="X220" s="129">
        <v>-6.856792913474721E-4</v>
      </c>
      <c r="Y220" s="129">
        <v>1.5858429351282438E-3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1.5762840140690442E-2</v>
      </c>
      <c r="AK220" s="2">
        <v>9.5742586917002645E-4</v>
      </c>
      <c r="AL220" s="2">
        <v>2.0421536250272288E-4</v>
      </c>
      <c r="AM220" s="2">
        <v>2.1576832723975325E-4</v>
      </c>
      <c r="AN220" s="2">
        <v>1.2479443135870438E-4</v>
      </c>
      <c r="AO220" s="2">
        <v>9.6270702598875005E-2</v>
      </c>
      <c r="AP220" s="2">
        <v>3.6032290618645949E-3</v>
      </c>
      <c r="AQ220" s="2">
        <v>3.9133709571110295E-3</v>
      </c>
      <c r="AR220" s="2">
        <v>6.1063930891935478E-4</v>
      </c>
      <c r="AS220" s="2">
        <v>-1.7963634529483668E-3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1.714530086070995E-2</v>
      </c>
      <c r="V221" s="129">
        <v>3.5929049311814753E-3</v>
      </c>
      <c r="W221" s="129">
        <v>-1.2187689045677996E-3</v>
      </c>
      <c r="X221" s="129">
        <v>-6.856792913474721E-4</v>
      </c>
      <c r="Y221" s="129">
        <v>1.5858429351282438E-3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1.5762840140690442E-2</v>
      </c>
      <c r="AK221" s="2">
        <v>9.5742586917002645E-4</v>
      </c>
      <c r="AL221" s="2">
        <v>2.0421536250272288E-4</v>
      </c>
      <c r="AM221" s="2">
        <v>2.1576832723975325E-4</v>
      </c>
      <c r="AN221" s="2">
        <v>1.2479443135870438E-4</v>
      </c>
      <c r="AO221" s="2">
        <v>9.6270702598875005E-2</v>
      </c>
      <c r="AP221" s="2">
        <v>3.6032290618645949E-3</v>
      </c>
      <c r="AQ221" s="2">
        <v>3.9133709571110295E-3</v>
      </c>
      <c r="AR221" s="2">
        <v>6.1063930891935478E-4</v>
      </c>
      <c r="AS221" s="2">
        <v>-1.7963634529483668E-3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1.714530086070995E-2</v>
      </c>
      <c r="V222" s="129">
        <v>3.5929049311814753E-3</v>
      </c>
      <c r="W222" s="129">
        <v>-1.2187689045677996E-3</v>
      </c>
      <c r="X222" s="129">
        <v>-6.856792913474721E-4</v>
      </c>
      <c r="Y222" s="129">
        <v>1.5858429351282438E-3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1.5762840140690442E-2</v>
      </c>
      <c r="AK222" s="2">
        <v>9.5742586917002645E-4</v>
      </c>
      <c r="AL222" s="2">
        <v>2.0421536250272288E-4</v>
      </c>
      <c r="AM222" s="2">
        <v>2.1576832723975325E-4</v>
      </c>
      <c r="AN222" s="2">
        <v>1.2479443135870438E-4</v>
      </c>
      <c r="AO222" s="2">
        <v>9.6270702598875005E-2</v>
      </c>
      <c r="AP222" s="2">
        <v>3.6032290618645949E-3</v>
      </c>
      <c r="AQ222" s="2">
        <v>3.9133709571110295E-3</v>
      </c>
      <c r="AR222" s="2">
        <v>6.1063930891935478E-4</v>
      </c>
      <c r="AS222" s="2">
        <v>-1.7963634529483668E-3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1.714530086070995E-2</v>
      </c>
      <c r="V223" s="129">
        <v>3.5929049311814753E-3</v>
      </c>
      <c r="W223" s="129">
        <v>-1.2187689045677996E-3</v>
      </c>
      <c r="X223" s="129">
        <v>-6.856792913474721E-4</v>
      </c>
      <c r="Y223" s="129">
        <v>1.5858429351282438E-3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1.5762840140690442E-2</v>
      </c>
      <c r="AK223" s="2">
        <v>9.5742586917002645E-4</v>
      </c>
      <c r="AL223" s="2">
        <v>2.0421536250272288E-4</v>
      </c>
      <c r="AM223" s="2">
        <v>2.1576832723975325E-4</v>
      </c>
      <c r="AN223" s="2">
        <v>1.2479443135870438E-4</v>
      </c>
      <c r="AO223" s="2">
        <v>9.6270702598875005E-2</v>
      </c>
      <c r="AP223" s="2">
        <v>3.6032290618645949E-3</v>
      </c>
      <c r="AQ223" s="2">
        <v>3.9133709571110295E-3</v>
      </c>
      <c r="AR223" s="2">
        <v>6.1063930891935478E-4</v>
      </c>
      <c r="AS223" s="2">
        <v>-1.7963634529483668E-3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1.714530086070995E-2</v>
      </c>
      <c r="V224" s="129">
        <v>3.5929049311814753E-3</v>
      </c>
      <c r="W224" s="129">
        <v>-1.2187689045677996E-3</v>
      </c>
      <c r="X224" s="129">
        <v>-6.856792913474721E-4</v>
      </c>
      <c r="Y224" s="129">
        <v>1.5858429351282438E-3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1.5762840140690442E-2</v>
      </c>
      <c r="AK224" s="2">
        <v>9.5742586917002645E-4</v>
      </c>
      <c r="AL224" s="2">
        <v>2.0421536250272288E-4</v>
      </c>
      <c r="AM224" s="2">
        <v>2.1576832723975325E-4</v>
      </c>
      <c r="AN224" s="2">
        <v>1.2479443135870438E-4</v>
      </c>
      <c r="AO224" s="2">
        <v>9.6270702598875005E-2</v>
      </c>
      <c r="AP224" s="2">
        <v>3.6032290618645949E-3</v>
      </c>
      <c r="AQ224" s="2">
        <v>3.9133709571110295E-3</v>
      </c>
      <c r="AR224" s="2">
        <v>6.1063930891935478E-4</v>
      </c>
      <c r="AS224" s="2">
        <v>-1.7963634529483668E-3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1.714530086070995E-2</v>
      </c>
      <c r="V225" s="129">
        <v>3.5929049311814753E-3</v>
      </c>
      <c r="W225" s="129">
        <v>-1.2187689045677996E-3</v>
      </c>
      <c r="X225" s="129">
        <v>-6.856792913474721E-4</v>
      </c>
      <c r="Y225" s="129">
        <v>1.5858429351282438E-3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1.5762840140690442E-2</v>
      </c>
      <c r="AK225" s="2">
        <v>9.5742586917002645E-4</v>
      </c>
      <c r="AL225" s="2">
        <v>2.0421536250272288E-4</v>
      </c>
      <c r="AM225" s="2">
        <v>2.1576832723975325E-4</v>
      </c>
      <c r="AN225" s="2">
        <v>1.2479443135870438E-4</v>
      </c>
      <c r="AO225" s="2">
        <v>9.6270702598875005E-2</v>
      </c>
      <c r="AP225" s="2">
        <v>3.6032290618645949E-3</v>
      </c>
      <c r="AQ225" s="2">
        <v>3.9133709571110295E-3</v>
      </c>
      <c r="AR225" s="2">
        <v>6.1063930891935478E-4</v>
      </c>
      <c r="AS225" s="2">
        <v>-1.7963634529483668E-3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1.714530086070995E-2</v>
      </c>
      <c r="V226" s="129">
        <v>3.5929049311814753E-3</v>
      </c>
      <c r="W226" s="129">
        <v>-1.2187689045677996E-3</v>
      </c>
      <c r="X226" s="129">
        <v>-6.856792913474721E-4</v>
      </c>
      <c r="Y226" s="129">
        <v>1.5858429351282438E-3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1.5762840140690442E-2</v>
      </c>
      <c r="AK226" s="2">
        <v>9.5742586917002645E-4</v>
      </c>
      <c r="AL226" s="2">
        <v>2.0421536250272288E-4</v>
      </c>
      <c r="AM226" s="2">
        <v>2.1576832723975325E-4</v>
      </c>
      <c r="AN226" s="2">
        <v>1.2479443135870438E-4</v>
      </c>
      <c r="AO226" s="2">
        <v>9.6270702598875005E-2</v>
      </c>
      <c r="AP226" s="2">
        <v>3.6032290618645949E-3</v>
      </c>
      <c r="AQ226" s="2">
        <v>3.9133709571110295E-3</v>
      </c>
      <c r="AR226" s="2">
        <v>6.1063930891935478E-4</v>
      </c>
      <c r="AS226" s="2">
        <v>-1.7963634529483668E-3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1.714530086070995E-2</v>
      </c>
      <c r="V227" s="129">
        <v>3.5929049311814753E-3</v>
      </c>
      <c r="W227" s="129">
        <v>-1.2187689045677996E-3</v>
      </c>
      <c r="X227" s="129">
        <v>-6.856792913474721E-4</v>
      </c>
      <c r="Y227" s="129">
        <v>1.5858429351282438E-3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1.5762840140690442E-2</v>
      </c>
      <c r="AK227" s="2">
        <v>9.5742586917002645E-4</v>
      </c>
      <c r="AL227" s="2">
        <v>2.0421536250272288E-4</v>
      </c>
      <c r="AM227" s="2">
        <v>2.1576832723975325E-4</v>
      </c>
      <c r="AN227" s="2">
        <v>1.2479443135870438E-4</v>
      </c>
      <c r="AO227" s="2">
        <v>9.6270702598875005E-2</v>
      </c>
      <c r="AP227" s="2">
        <v>3.6032290618645949E-3</v>
      </c>
      <c r="AQ227" s="2">
        <v>3.9133709571110295E-3</v>
      </c>
      <c r="AR227" s="2">
        <v>6.1063930891935478E-4</v>
      </c>
      <c r="AS227" s="2">
        <v>-1.7963634529483668E-3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1.714530086070995E-2</v>
      </c>
      <c r="V228" s="129">
        <v>3.5929049311814753E-3</v>
      </c>
      <c r="W228" s="129">
        <v>-1.2187689045677996E-3</v>
      </c>
      <c r="X228" s="129">
        <v>-6.856792913474721E-4</v>
      </c>
      <c r="Y228" s="129">
        <v>1.5858429351282438E-3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1.5762840140690442E-2</v>
      </c>
      <c r="AK228" s="2">
        <v>9.5742586917002645E-4</v>
      </c>
      <c r="AL228" s="2">
        <v>2.0421536250272288E-4</v>
      </c>
      <c r="AM228" s="2">
        <v>2.1576832723975325E-4</v>
      </c>
      <c r="AN228" s="2">
        <v>1.2479443135870438E-4</v>
      </c>
      <c r="AO228" s="2">
        <v>9.6270702598875005E-2</v>
      </c>
      <c r="AP228" s="2">
        <v>3.6032290618645949E-3</v>
      </c>
      <c r="AQ228" s="2">
        <v>3.9133709571110295E-3</v>
      </c>
      <c r="AR228" s="2">
        <v>6.1063930891935478E-4</v>
      </c>
      <c r="AS228" s="2">
        <v>-1.7963634529483668E-3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1.714530086070995E-2</v>
      </c>
      <c r="V229" s="129">
        <v>3.5929049311814753E-3</v>
      </c>
      <c r="W229" s="129">
        <v>-1.2187689045677996E-3</v>
      </c>
      <c r="X229" s="129">
        <v>-6.856792913474721E-4</v>
      </c>
      <c r="Y229" s="129">
        <v>1.5858429351282438E-3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1.5762840140690442E-2</v>
      </c>
      <c r="AK229" s="2">
        <v>9.5742586917002645E-4</v>
      </c>
      <c r="AL229" s="2">
        <v>2.0421536250272288E-4</v>
      </c>
      <c r="AM229" s="2">
        <v>2.1576832723975325E-4</v>
      </c>
      <c r="AN229" s="2">
        <v>1.2479443135870438E-4</v>
      </c>
      <c r="AO229" s="2">
        <v>9.6270702598875005E-2</v>
      </c>
      <c r="AP229" s="2">
        <v>3.6032290618645949E-3</v>
      </c>
      <c r="AQ229" s="2">
        <v>3.9133709571110295E-3</v>
      </c>
      <c r="AR229" s="2">
        <v>6.1063930891935478E-4</v>
      </c>
      <c r="AS229" s="2">
        <v>-1.7963634529483668E-3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1.714530086070995E-2</v>
      </c>
      <c r="V230" s="129">
        <v>3.5929049311814753E-3</v>
      </c>
      <c r="W230" s="129">
        <v>-1.2187689045677996E-3</v>
      </c>
      <c r="X230" s="129">
        <v>-6.856792913474721E-4</v>
      </c>
      <c r="Y230" s="129">
        <v>1.5858429351282438E-3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1.5762840140690442E-2</v>
      </c>
      <c r="AK230" s="2">
        <v>9.5742586917002645E-4</v>
      </c>
      <c r="AL230" s="2">
        <v>2.0421536250272288E-4</v>
      </c>
      <c r="AM230" s="2">
        <v>2.1576832723975325E-4</v>
      </c>
      <c r="AN230" s="2">
        <v>1.2479443135870438E-4</v>
      </c>
      <c r="AO230" s="2">
        <v>9.6270702598875005E-2</v>
      </c>
      <c r="AP230" s="2">
        <v>3.6032290618645949E-3</v>
      </c>
      <c r="AQ230" s="2">
        <v>3.9133709571110295E-3</v>
      </c>
      <c r="AR230" s="2">
        <v>6.1063930891935478E-4</v>
      </c>
      <c r="AS230" s="2">
        <v>-1.7963634529483668E-3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1.714530086070995E-2</v>
      </c>
      <c r="V231" s="129">
        <v>3.5929049311814753E-3</v>
      </c>
      <c r="W231" s="129">
        <v>-1.2187689045677996E-3</v>
      </c>
      <c r="X231" s="129">
        <v>-6.856792913474721E-4</v>
      </c>
      <c r="Y231" s="129">
        <v>1.5858429351282438E-3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1.5762840140690442E-2</v>
      </c>
      <c r="AK231" s="2">
        <v>9.5742586917002645E-4</v>
      </c>
      <c r="AL231" s="2">
        <v>2.0421536250272288E-4</v>
      </c>
      <c r="AM231" s="2">
        <v>2.1576832723975325E-4</v>
      </c>
      <c r="AN231" s="2">
        <v>1.2479443135870438E-4</v>
      </c>
      <c r="AO231" s="2">
        <v>9.6270702598875005E-2</v>
      </c>
      <c r="AP231" s="2">
        <v>3.6032290618645949E-3</v>
      </c>
      <c r="AQ231" s="2">
        <v>3.9133709571110295E-3</v>
      </c>
      <c r="AR231" s="2">
        <v>6.1063930891935478E-4</v>
      </c>
      <c r="AS231" s="2">
        <v>-1.7963634529483668E-3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1.714530086070995E-2</v>
      </c>
      <c r="V232" s="129">
        <v>3.5929049311814753E-3</v>
      </c>
      <c r="W232" s="129">
        <v>-1.2187689045677996E-3</v>
      </c>
      <c r="X232" s="129">
        <v>-6.856792913474721E-4</v>
      </c>
      <c r="Y232" s="129">
        <v>1.5858429351282438E-3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1.5762840140690442E-2</v>
      </c>
      <c r="AK232" s="2">
        <v>9.5742586917002645E-4</v>
      </c>
      <c r="AL232" s="2">
        <v>2.0421536250272288E-4</v>
      </c>
      <c r="AM232" s="2">
        <v>2.1576832723975325E-4</v>
      </c>
      <c r="AN232" s="2">
        <v>1.2479443135870438E-4</v>
      </c>
      <c r="AO232" s="2">
        <v>9.6270702598875005E-2</v>
      </c>
      <c r="AP232" s="2">
        <v>3.6032290618645949E-3</v>
      </c>
      <c r="AQ232" s="2">
        <v>3.9133709571110295E-3</v>
      </c>
      <c r="AR232" s="2">
        <v>6.1063930891935478E-4</v>
      </c>
      <c r="AS232" s="2">
        <v>-1.7963634529483668E-3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1.714530086070995E-2</v>
      </c>
      <c r="V233" s="129">
        <v>3.5929049311814753E-3</v>
      </c>
      <c r="W233" s="129">
        <v>-1.2187689045677996E-3</v>
      </c>
      <c r="X233" s="129">
        <v>-6.856792913474721E-4</v>
      </c>
      <c r="Y233" s="129">
        <v>1.5858429351282438E-3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1.5762840140690442E-2</v>
      </c>
      <c r="AK233" s="2">
        <v>9.5742586917002645E-4</v>
      </c>
      <c r="AL233" s="2">
        <v>2.0421536250272288E-4</v>
      </c>
      <c r="AM233" s="2">
        <v>2.1576832723975325E-4</v>
      </c>
      <c r="AN233" s="2">
        <v>1.2479443135870438E-4</v>
      </c>
      <c r="AO233" s="2">
        <v>9.6270702598875005E-2</v>
      </c>
      <c r="AP233" s="2">
        <v>3.6032290618645949E-3</v>
      </c>
      <c r="AQ233" s="2">
        <v>3.9133709571110295E-3</v>
      </c>
      <c r="AR233" s="2">
        <v>6.1063930891935478E-4</v>
      </c>
      <c r="AS233" s="2">
        <v>-1.7963634529483668E-3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1.714530086070995E-2</v>
      </c>
      <c r="V234" s="129">
        <v>3.5929049311814753E-3</v>
      </c>
      <c r="W234" s="129">
        <v>-1.2187689045677996E-3</v>
      </c>
      <c r="X234" s="129">
        <v>-6.856792913474721E-4</v>
      </c>
      <c r="Y234" s="129">
        <v>1.5858429351282438E-3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1.5762840140690442E-2</v>
      </c>
      <c r="AK234" s="2">
        <v>9.5742586917002645E-4</v>
      </c>
      <c r="AL234" s="2">
        <v>2.0421536250272288E-4</v>
      </c>
      <c r="AM234" s="2">
        <v>2.1576832723975325E-4</v>
      </c>
      <c r="AN234" s="2">
        <v>1.2479443135870438E-4</v>
      </c>
      <c r="AO234" s="2">
        <v>9.6270702598875005E-2</v>
      </c>
      <c r="AP234" s="2">
        <v>3.6032290618645949E-3</v>
      </c>
      <c r="AQ234" s="2">
        <v>3.9133709571110295E-3</v>
      </c>
      <c r="AR234" s="2">
        <v>6.1063930891935478E-4</v>
      </c>
      <c r="AS234" s="2">
        <v>-1.7963634529483668E-3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1.714530086070995E-2</v>
      </c>
      <c r="V235" s="129">
        <v>3.5929049311814753E-3</v>
      </c>
      <c r="W235" s="129">
        <v>-1.2187689045677996E-3</v>
      </c>
      <c r="X235" s="129">
        <v>-6.856792913474721E-4</v>
      </c>
      <c r="Y235" s="129">
        <v>1.5858429351282438E-3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1.5762840140690442E-2</v>
      </c>
      <c r="AK235" s="2">
        <v>9.5742586917002645E-4</v>
      </c>
      <c r="AL235" s="2">
        <v>2.0421536250272288E-4</v>
      </c>
      <c r="AM235" s="2">
        <v>2.1576832723975325E-4</v>
      </c>
      <c r="AN235" s="2">
        <v>1.2479443135870438E-4</v>
      </c>
      <c r="AO235" s="2">
        <v>9.6270702598875005E-2</v>
      </c>
      <c r="AP235" s="2">
        <v>3.6032290618645949E-3</v>
      </c>
      <c r="AQ235" s="2">
        <v>3.9133709571110295E-3</v>
      </c>
      <c r="AR235" s="2">
        <v>6.1063930891935478E-4</v>
      </c>
      <c r="AS235" s="2">
        <v>-1.7963634529483668E-3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1.714530086070995E-2</v>
      </c>
      <c r="V236" s="129">
        <v>3.5929049311814753E-3</v>
      </c>
      <c r="W236" s="129">
        <v>-1.2187689045677996E-3</v>
      </c>
      <c r="X236" s="129">
        <v>-6.856792913474721E-4</v>
      </c>
      <c r="Y236" s="129">
        <v>1.5858429351282438E-3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1.5762840140690442E-2</v>
      </c>
      <c r="AK236" s="2">
        <v>9.5742586917002645E-4</v>
      </c>
      <c r="AL236" s="2">
        <v>2.0421536250272288E-4</v>
      </c>
      <c r="AM236" s="2">
        <v>2.1576832723975325E-4</v>
      </c>
      <c r="AN236" s="2">
        <v>1.2479443135870438E-4</v>
      </c>
      <c r="AO236" s="2">
        <v>9.6270702598875005E-2</v>
      </c>
      <c r="AP236" s="2">
        <v>3.6032290618645949E-3</v>
      </c>
      <c r="AQ236" s="2">
        <v>3.9133709571110295E-3</v>
      </c>
      <c r="AR236" s="2">
        <v>6.1063930891935478E-4</v>
      </c>
      <c r="AS236" s="2">
        <v>-1.7963634529483668E-3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1.714530086070995E-2</v>
      </c>
      <c r="V237" s="129">
        <v>3.5929049311814753E-3</v>
      </c>
      <c r="W237" s="129">
        <v>-1.2187689045677996E-3</v>
      </c>
      <c r="X237" s="129">
        <v>-6.856792913474721E-4</v>
      </c>
      <c r="Y237" s="129">
        <v>1.5858429351282438E-3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1.5762840140690442E-2</v>
      </c>
      <c r="AK237" s="2">
        <v>9.5742586917002645E-4</v>
      </c>
      <c r="AL237" s="2">
        <v>2.0421536250272288E-4</v>
      </c>
      <c r="AM237" s="2">
        <v>2.1576832723975325E-4</v>
      </c>
      <c r="AN237" s="2">
        <v>1.2479443135870438E-4</v>
      </c>
      <c r="AO237" s="2">
        <v>9.6270702598875005E-2</v>
      </c>
      <c r="AP237" s="2">
        <v>3.6032290618645949E-3</v>
      </c>
      <c r="AQ237" s="2">
        <v>3.9133709571110295E-3</v>
      </c>
      <c r="AR237" s="2">
        <v>6.1063930891935478E-4</v>
      </c>
      <c r="AS237" s="2">
        <v>-1.7963634529483668E-3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1.714530086070995E-2</v>
      </c>
      <c r="V238" s="129">
        <v>3.5929049311814753E-3</v>
      </c>
      <c r="W238" s="129">
        <v>-1.2187689045677996E-3</v>
      </c>
      <c r="X238" s="129">
        <v>-6.856792913474721E-4</v>
      </c>
      <c r="Y238" s="129">
        <v>1.5858429351282438E-3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1.5762840140690442E-2</v>
      </c>
      <c r="AK238" s="2">
        <v>9.5742586917002645E-4</v>
      </c>
      <c r="AL238" s="2">
        <v>2.0421536250272288E-4</v>
      </c>
      <c r="AM238" s="2">
        <v>2.1576832723975325E-4</v>
      </c>
      <c r="AN238" s="2">
        <v>1.2479443135870438E-4</v>
      </c>
      <c r="AO238" s="2">
        <v>9.6270702598875005E-2</v>
      </c>
      <c r="AP238" s="2">
        <v>3.6032290618645949E-3</v>
      </c>
      <c r="AQ238" s="2">
        <v>3.9133709571110295E-3</v>
      </c>
      <c r="AR238" s="2">
        <v>6.1063930891935478E-4</v>
      </c>
      <c r="AS238" s="2">
        <v>-1.7963634529483668E-3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1.714530086070995E-2</v>
      </c>
      <c r="V239" s="129">
        <v>3.5929049311814753E-3</v>
      </c>
      <c r="W239" s="129">
        <v>-1.2187689045677996E-3</v>
      </c>
      <c r="X239" s="129">
        <v>-6.856792913474721E-4</v>
      </c>
      <c r="Y239" s="129">
        <v>1.5858429351282438E-3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1.5762840140690442E-2</v>
      </c>
      <c r="AK239" s="2">
        <v>9.5742586917002645E-4</v>
      </c>
      <c r="AL239" s="2">
        <v>2.0421536250272288E-4</v>
      </c>
      <c r="AM239" s="2">
        <v>2.1576832723975325E-4</v>
      </c>
      <c r="AN239" s="2">
        <v>1.2479443135870438E-4</v>
      </c>
      <c r="AO239" s="2">
        <v>9.6270702598875005E-2</v>
      </c>
      <c r="AP239" s="2">
        <v>3.6032290618645949E-3</v>
      </c>
      <c r="AQ239" s="2">
        <v>3.9133709571110295E-3</v>
      </c>
      <c r="AR239" s="2">
        <v>6.1063930891935478E-4</v>
      </c>
      <c r="AS239" s="2">
        <v>-1.7963634529483668E-3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1.714530086070995E-2</v>
      </c>
      <c r="V240" s="129">
        <v>3.5929049311814753E-3</v>
      </c>
      <c r="W240" s="129">
        <v>-1.2187689045677996E-3</v>
      </c>
      <c r="X240" s="129">
        <v>-6.856792913474721E-4</v>
      </c>
      <c r="Y240" s="129">
        <v>1.5858429351282438E-3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1.5762840140690442E-2</v>
      </c>
      <c r="AK240" s="2">
        <v>9.5742586917002645E-4</v>
      </c>
      <c r="AL240" s="2">
        <v>2.0421536250272288E-4</v>
      </c>
      <c r="AM240" s="2">
        <v>2.1576832723975325E-4</v>
      </c>
      <c r="AN240" s="2">
        <v>1.2479443135870438E-4</v>
      </c>
      <c r="AO240" s="2">
        <v>9.6270702598875005E-2</v>
      </c>
      <c r="AP240" s="2">
        <v>3.6032290618645949E-3</v>
      </c>
      <c r="AQ240" s="2">
        <v>3.9133709571110295E-3</v>
      </c>
      <c r="AR240" s="2">
        <v>6.1063930891935478E-4</v>
      </c>
      <c r="AS240" s="2">
        <v>-1.7963634529483668E-3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1.714530086070995E-2</v>
      </c>
      <c r="V241" s="129">
        <v>3.5929049311814753E-3</v>
      </c>
      <c r="W241" s="129">
        <v>-1.2187689045677996E-3</v>
      </c>
      <c r="X241" s="129">
        <v>-6.856792913474721E-4</v>
      </c>
      <c r="Y241" s="129">
        <v>1.5858429351282438E-3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1.5762840140690442E-2</v>
      </c>
      <c r="AK241" s="2">
        <v>9.5742586917002645E-4</v>
      </c>
      <c r="AL241" s="2">
        <v>2.0421536250272288E-4</v>
      </c>
      <c r="AM241" s="2">
        <v>2.1576832723975325E-4</v>
      </c>
      <c r="AN241" s="2">
        <v>1.2479443135870438E-4</v>
      </c>
      <c r="AO241" s="2">
        <v>9.6270702598875005E-2</v>
      </c>
      <c r="AP241" s="2">
        <v>3.6032290618645949E-3</v>
      </c>
      <c r="AQ241" s="2">
        <v>3.9133709571110295E-3</v>
      </c>
      <c r="AR241" s="2">
        <v>6.1063930891935478E-4</v>
      </c>
      <c r="AS241" s="2">
        <v>-1.7963634529483668E-3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1.714530086070995E-2</v>
      </c>
      <c r="V242" s="129">
        <v>3.5929049311814753E-3</v>
      </c>
      <c r="W242" s="129">
        <v>-1.2187689045677996E-3</v>
      </c>
      <c r="X242" s="129">
        <v>-6.856792913474721E-4</v>
      </c>
      <c r="Y242" s="129">
        <v>1.5858429351282438E-3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1.5762840140690442E-2</v>
      </c>
      <c r="AK242" s="2">
        <v>9.5742586917002645E-4</v>
      </c>
      <c r="AL242" s="2">
        <v>2.0421536250272288E-4</v>
      </c>
      <c r="AM242" s="2">
        <v>2.1576832723975325E-4</v>
      </c>
      <c r="AN242" s="2">
        <v>1.2479443135870438E-4</v>
      </c>
      <c r="AO242" s="2">
        <v>9.6270702598875005E-2</v>
      </c>
      <c r="AP242" s="2">
        <v>3.6032290618645949E-3</v>
      </c>
      <c r="AQ242" s="2">
        <v>3.9133709571110295E-3</v>
      </c>
      <c r="AR242" s="2">
        <v>6.1063930891935478E-4</v>
      </c>
      <c r="AS242" s="2">
        <v>-1.7963634529483668E-3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1.714530086070995E-2</v>
      </c>
      <c r="V243" s="129">
        <v>3.5929049311814753E-3</v>
      </c>
      <c r="W243" s="129">
        <v>-1.2187689045677996E-3</v>
      </c>
      <c r="X243" s="129">
        <v>-6.856792913474721E-4</v>
      </c>
      <c r="Y243" s="129">
        <v>1.5858429351282438E-3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1.5762840140690442E-2</v>
      </c>
      <c r="AK243" s="2">
        <v>9.5742586917002645E-4</v>
      </c>
      <c r="AL243" s="2">
        <v>2.0421536250272288E-4</v>
      </c>
      <c r="AM243" s="2">
        <v>2.1576832723975325E-4</v>
      </c>
      <c r="AN243" s="2">
        <v>1.2479443135870438E-4</v>
      </c>
      <c r="AO243" s="2">
        <v>9.6270702598875005E-2</v>
      </c>
      <c r="AP243" s="2">
        <v>3.6032290618645949E-3</v>
      </c>
      <c r="AQ243" s="2">
        <v>3.9133709571110295E-3</v>
      </c>
      <c r="AR243" s="2">
        <v>6.1063930891935478E-4</v>
      </c>
      <c r="AS243" s="2">
        <v>-1.7963634529483668E-3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1.714530086070995E-2</v>
      </c>
      <c r="V244" s="129">
        <v>3.5929049311814753E-3</v>
      </c>
      <c r="W244" s="129">
        <v>-1.2187689045677996E-3</v>
      </c>
      <c r="X244" s="129">
        <v>-6.856792913474721E-4</v>
      </c>
      <c r="Y244" s="129">
        <v>1.5858429351282438E-3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1.5762840140690442E-2</v>
      </c>
      <c r="AK244" s="2">
        <v>9.5742586917002645E-4</v>
      </c>
      <c r="AL244" s="2">
        <v>2.0421536250272288E-4</v>
      </c>
      <c r="AM244" s="2">
        <v>2.1576832723975325E-4</v>
      </c>
      <c r="AN244" s="2">
        <v>1.2479443135870438E-4</v>
      </c>
      <c r="AO244" s="2">
        <v>9.6270702598875005E-2</v>
      </c>
      <c r="AP244" s="2">
        <v>3.6032290618645949E-3</v>
      </c>
      <c r="AQ244" s="2">
        <v>3.9133709571110295E-3</v>
      </c>
      <c r="AR244" s="2">
        <v>6.1063930891935478E-4</v>
      </c>
      <c r="AS244" s="2">
        <v>-1.7963634529483668E-3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1.714530086070995E-2</v>
      </c>
      <c r="V245" s="129">
        <v>3.5929049311814753E-3</v>
      </c>
      <c r="W245" s="129">
        <v>-1.2187689045677996E-3</v>
      </c>
      <c r="X245" s="129">
        <v>-6.856792913474721E-4</v>
      </c>
      <c r="Y245" s="129">
        <v>1.5858429351282438E-3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1.5762840140690442E-2</v>
      </c>
      <c r="AK245" s="2">
        <v>9.5742586917002645E-4</v>
      </c>
      <c r="AL245" s="2">
        <v>2.0421536250272288E-4</v>
      </c>
      <c r="AM245" s="2">
        <v>2.1576832723975325E-4</v>
      </c>
      <c r="AN245" s="2">
        <v>1.2479443135870438E-4</v>
      </c>
      <c r="AO245" s="2">
        <v>9.6270702598875005E-2</v>
      </c>
      <c r="AP245" s="2">
        <v>3.6032290618645949E-3</v>
      </c>
      <c r="AQ245" s="2">
        <v>3.9133709571110295E-3</v>
      </c>
      <c r="AR245" s="2">
        <v>6.1063930891935478E-4</v>
      </c>
      <c r="AS245" s="2">
        <v>-1.7963634529483668E-3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1.714530086070995E-2</v>
      </c>
      <c r="V246" s="129">
        <v>3.5929049311814753E-3</v>
      </c>
      <c r="W246" s="129">
        <v>-1.2187689045677996E-3</v>
      </c>
      <c r="X246" s="129">
        <v>-6.856792913474721E-4</v>
      </c>
      <c r="Y246" s="129">
        <v>1.5858429351282438E-3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1.5762840140690442E-2</v>
      </c>
      <c r="AK246" s="2">
        <v>9.5742586917002645E-4</v>
      </c>
      <c r="AL246" s="2">
        <v>2.0421536250272288E-4</v>
      </c>
      <c r="AM246" s="2">
        <v>2.1576832723975325E-4</v>
      </c>
      <c r="AN246" s="2">
        <v>1.2479443135870438E-4</v>
      </c>
      <c r="AO246" s="2">
        <v>9.6270702598875005E-2</v>
      </c>
      <c r="AP246" s="2">
        <v>3.6032290618645949E-3</v>
      </c>
      <c r="AQ246" s="2">
        <v>3.9133709571110295E-3</v>
      </c>
      <c r="AR246" s="2">
        <v>6.1063930891935478E-4</v>
      </c>
      <c r="AS246" s="2">
        <v>-1.7963634529483668E-3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1.714530086070995E-2</v>
      </c>
      <c r="V247" s="129">
        <v>3.5929049311814753E-3</v>
      </c>
      <c r="W247" s="129">
        <v>-1.2187689045677996E-3</v>
      </c>
      <c r="X247" s="129">
        <v>-6.856792913474721E-4</v>
      </c>
      <c r="Y247" s="129">
        <v>1.5858429351282438E-3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1.5762840140690442E-2</v>
      </c>
      <c r="AK247" s="2">
        <v>9.5742586917002645E-4</v>
      </c>
      <c r="AL247" s="2">
        <v>2.0421536250272288E-4</v>
      </c>
      <c r="AM247" s="2">
        <v>2.1576832723975325E-4</v>
      </c>
      <c r="AN247" s="2">
        <v>1.2479443135870438E-4</v>
      </c>
      <c r="AO247" s="2">
        <v>9.6270702598875005E-2</v>
      </c>
      <c r="AP247" s="2">
        <v>3.6032290618645949E-3</v>
      </c>
      <c r="AQ247" s="2">
        <v>3.9133709571110295E-3</v>
      </c>
      <c r="AR247" s="2">
        <v>6.1063930891935478E-4</v>
      </c>
      <c r="AS247" s="2">
        <v>-1.7963634529483668E-3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1.714530086070995E-2</v>
      </c>
      <c r="V248" s="129">
        <v>3.5929049311814753E-3</v>
      </c>
      <c r="W248" s="129">
        <v>-1.2187689045677996E-3</v>
      </c>
      <c r="X248" s="129">
        <v>-6.856792913474721E-4</v>
      </c>
      <c r="Y248" s="129">
        <v>1.5858429351282438E-3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1.5762840140690442E-2</v>
      </c>
      <c r="AK248" s="2">
        <v>9.5742586917002645E-4</v>
      </c>
      <c r="AL248" s="2">
        <v>2.0421536250272288E-4</v>
      </c>
      <c r="AM248" s="2">
        <v>2.1576832723975325E-4</v>
      </c>
      <c r="AN248" s="2">
        <v>1.2479443135870438E-4</v>
      </c>
      <c r="AO248" s="2">
        <v>9.6270702598875005E-2</v>
      </c>
      <c r="AP248" s="2">
        <v>3.6032290618645949E-3</v>
      </c>
      <c r="AQ248" s="2">
        <v>3.9133709571110295E-3</v>
      </c>
      <c r="AR248" s="2">
        <v>6.1063930891935478E-4</v>
      </c>
      <c r="AS248" s="2">
        <v>-1.7963634529483668E-3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1.714530086070995E-2</v>
      </c>
      <c r="V249" s="129">
        <v>3.5929049311814753E-3</v>
      </c>
      <c r="W249" s="129">
        <v>-1.2187689045677996E-3</v>
      </c>
      <c r="X249" s="129">
        <v>-6.856792913474721E-4</v>
      </c>
      <c r="Y249" s="129">
        <v>1.5858429351282438E-3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1.5762840140690442E-2</v>
      </c>
      <c r="AK249" s="2">
        <v>9.5742586917002645E-4</v>
      </c>
      <c r="AL249" s="2">
        <v>2.0421536250272288E-4</v>
      </c>
      <c r="AM249" s="2">
        <v>2.1576832723975325E-4</v>
      </c>
      <c r="AN249" s="2">
        <v>1.2479443135870438E-4</v>
      </c>
      <c r="AO249" s="2">
        <v>9.6270702598875005E-2</v>
      </c>
      <c r="AP249" s="2">
        <v>3.6032290618645949E-3</v>
      </c>
      <c r="AQ249" s="2">
        <v>3.9133709571110295E-3</v>
      </c>
      <c r="AR249" s="2">
        <v>6.1063930891935478E-4</v>
      </c>
      <c r="AS249" s="2">
        <v>-1.7963634529483668E-3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1.714530086070995E-2</v>
      </c>
      <c r="V250" s="129">
        <v>3.5929049311814753E-3</v>
      </c>
      <c r="W250" s="129">
        <v>-1.2187689045677996E-3</v>
      </c>
      <c r="X250" s="129">
        <v>-6.856792913474721E-4</v>
      </c>
      <c r="Y250" s="129">
        <v>1.5858429351282438E-3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1.5762840140690442E-2</v>
      </c>
      <c r="AK250" s="2">
        <v>9.5742586917002645E-4</v>
      </c>
      <c r="AL250" s="2">
        <v>2.0421536250272288E-4</v>
      </c>
      <c r="AM250" s="2">
        <v>2.1576832723975325E-4</v>
      </c>
      <c r="AN250" s="2">
        <v>1.2479443135870438E-4</v>
      </c>
      <c r="AO250" s="2">
        <v>9.6270702598875005E-2</v>
      </c>
      <c r="AP250" s="2">
        <v>3.6032290618645949E-3</v>
      </c>
      <c r="AQ250" s="2">
        <v>3.9133709571110295E-3</v>
      </c>
      <c r="AR250" s="2">
        <v>6.1063930891935478E-4</v>
      </c>
      <c r="AS250" s="2">
        <v>-1.7963634529483668E-3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1.714530086070995E-2</v>
      </c>
      <c r="V251" s="129">
        <v>3.5929049311814753E-3</v>
      </c>
      <c r="W251" s="129">
        <v>-1.2187689045677996E-3</v>
      </c>
      <c r="X251" s="129">
        <v>-6.856792913474721E-4</v>
      </c>
      <c r="Y251" s="129">
        <v>1.5858429351282438E-3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1.5762840140690442E-2</v>
      </c>
      <c r="AK251" s="2">
        <v>9.5742586917002645E-4</v>
      </c>
      <c r="AL251" s="2">
        <v>2.0421536250272288E-4</v>
      </c>
      <c r="AM251" s="2">
        <v>2.1576832723975325E-4</v>
      </c>
      <c r="AN251" s="2">
        <v>1.2479443135870438E-4</v>
      </c>
      <c r="AO251" s="2">
        <v>9.6270702598875005E-2</v>
      </c>
      <c r="AP251" s="2">
        <v>3.6032290618645949E-3</v>
      </c>
      <c r="AQ251" s="2">
        <v>3.9133709571110295E-3</v>
      </c>
      <c r="AR251" s="2">
        <v>6.1063930891935478E-4</v>
      </c>
      <c r="AS251" s="2">
        <v>-1.7963634529483668E-3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1.714530086070995E-2</v>
      </c>
      <c r="V252" s="129">
        <v>3.5929049311814753E-3</v>
      </c>
      <c r="W252" s="129">
        <v>-1.2187689045677996E-3</v>
      </c>
      <c r="X252" s="129">
        <v>-6.856792913474721E-4</v>
      </c>
      <c r="Y252" s="129">
        <v>1.5858429351282438E-3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1.5762840140690442E-2</v>
      </c>
      <c r="AK252" s="2">
        <v>9.5742586917002645E-4</v>
      </c>
      <c r="AL252" s="2">
        <v>2.0421536250272288E-4</v>
      </c>
      <c r="AM252" s="2">
        <v>2.1576832723975325E-4</v>
      </c>
      <c r="AN252" s="2">
        <v>1.2479443135870438E-4</v>
      </c>
      <c r="AO252" s="2">
        <v>9.6270702598875005E-2</v>
      </c>
      <c r="AP252" s="2">
        <v>3.6032290618645949E-3</v>
      </c>
      <c r="AQ252" s="2">
        <v>3.9133709571110295E-3</v>
      </c>
      <c r="AR252" s="2">
        <v>6.1063930891935478E-4</v>
      </c>
      <c r="AS252" s="2">
        <v>-1.7963634529483668E-3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1.714530086070995E-2</v>
      </c>
      <c r="V253" s="129">
        <v>3.5929049311814753E-3</v>
      </c>
      <c r="W253" s="129">
        <v>-1.2187689045677996E-3</v>
      </c>
      <c r="X253" s="129">
        <v>-6.856792913474721E-4</v>
      </c>
      <c r="Y253" s="129">
        <v>1.5858429351282438E-3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1.5762840140690442E-2</v>
      </c>
      <c r="AK253" s="2">
        <v>9.5742586917002645E-4</v>
      </c>
      <c r="AL253" s="2">
        <v>2.0421536250272288E-4</v>
      </c>
      <c r="AM253" s="2">
        <v>2.1576832723975325E-4</v>
      </c>
      <c r="AN253" s="2">
        <v>1.2479443135870438E-4</v>
      </c>
      <c r="AO253" s="2">
        <v>9.6270702598875005E-2</v>
      </c>
      <c r="AP253" s="2">
        <v>3.6032290618645949E-3</v>
      </c>
      <c r="AQ253" s="2">
        <v>3.9133709571110295E-3</v>
      </c>
      <c r="AR253" s="2">
        <v>6.1063930891935478E-4</v>
      </c>
      <c r="AS253" s="2">
        <v>-1.7963634529483668E-3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1.714530086070995E-2</v>
      </c>
      <c r="V254" s="129">
        <v>3.5929049311814753E-3</v>
      </c>
      <c r="W254" s="129">
        <v>-1.2187689045677996E-3</v>
      </c>
      <c r="X254" s="129">
        <v>-6.856792913474721E-4</v>
      </c>
      <c r="Y254" s="129">
        <v>1.5858429351282438E-3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1.5762840140690442E-2</v>
      </c>
      <c r="AK254" s="2">
        <v>9.5742586917002645E-4</v>
      </c>
      <c r="AL254" s="2">
        <v>2.0421536250272288E-4</v>
      </c>
      <c r="AM254" s="2">
        <v>2.1576832723975325E-4</v>
      </c>
      <c r="AN254" s="2">
        <v>1.2479443135870438E-4</v>
      </c>
      <c r="AO254" s="2">
        <v>9.6270702598875005E-2</v>
      </c>
      <c r="AP254" s="2">
        <v>3.6032290618645949E-3</v>
      </c>
      <c r="AQ254" s="2">
        <v>3.9133709571110295E-3</v>
      </c>
      <c r="AR254" s="2">
        <v>6.1063930891935478E-4</v>
      </c>
      <c r="AS254" s="2">
        <v>-1.7963634529483668E-3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1.714530086070995E-2</v>
      </c>
      <c r="V255" s="129">
        <v>3.5929049311814753E-3</v>
      </c>
      <c r="W255" s="129">
        <v>-1.2187689045677996E-3</v>
      </c>
      <c r="X255" s="129">
        <v>-6.856792913474721E-4</v>
      </c>
      <c r="Y255" s="129">
        <v>1.5858429351282438E-3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1.5762840140690442E-2</v>
      </c>
      <c r="AK255" s="2">
        <v>9.5742586917002645E-4</v>
      </c>
      <c r="AL255" s="2">
        <v>2.0421536250272288E-4</v>
      </c>
      <c r="AM255" s="2">
        <v>2.1576832723975325E-4</v>
      </c>
      <c r="AN255" s="2">
        <v>1.2479443135870438E-4</v>
      </c>
      <c r="AO255" s="2">
        <v>9.6270702598875005E-2</v>
      </c>
      <c r="AP255" s="2">
        <v>3.6032290618645949E-3</v>
      </c>
      <c r="AQ255" s="2">
        <v>3.9133709571110295E-3</v>
      </c>
      <c r="AR255" s="2">
        <v>6.1063930891935478E-4</v>
      </c>
      <c r="AS255" s="2">
        <v>-1.7963634529483668E-3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1.714530086070995E-2</v>
      </c>
      <c r="V256" s="129">
        <v>3.5929049311814753E-3</v>
      </c>
      <c r="W256" s="129">
        <v>-1.2187689045677996E-3</v>
      </c>
      <c r="X256" s="129">
        <v>-6.856792913474721E-4</v>
      </c>
      <c r="Y256" s="129">
        <v>1.5858429351282438E-3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1.5762840140690442E-2</v>
      </c>
      <c r="AK256" s="2">
        <v>9.5742586917002645E-4</v>
      </c>
      <c r="AL256" s="2">
        <v>2.0421536250272288E-4</v>
      </c>
      <c r="AM256" s="2">
        <v>2.1576832723975325E-4</v>
      </c>
      <c r="AN256" s="2">
        <v>1.2479443135870438E-4</v>
      </c>
      <c r="AO256" s="2">
        <v>9.6270702598875005E-2</v>
      </c>
      <c r="AP256" s="2">
        <v>3.6032290618645949E-3</v>
      </c>
      <c r="AQ256" s="2">
        <v>3.9133709571110295E-3</v>
      </c>
      <c r="AR256" s="2">
        <v>6.1063930891935478E-4</v>
      </c>
      <c r="AS256" s="2">
        <v>-1.7963634529483668E-3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1.714530086070995E-2</v>
      </c>
      <c r="V257" s="129">
        <v>3.5929049311814753E-3</v>
      </c>
      <c r="W257" s="129">
        <v>-1.2187689045677996E-3</v>
      </c>
      <c r="X257" s="129">
        <v>-6.856792913474721E-4</v>
      </c>
      <c r="Y257" s="129">
        <v>1.5858429351282438E-3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1.5762840140690442E-2</v>
      </c>
      <c r="AK257" s="2">
        <v>9.5742586917002645E-4</v>
      </c>
      <c r="AL257" s="2">
        <v>2.0421536250272288E-4</v>
      </c>
      <c r="AM257" s="2">
        <v>2.1576832723975325E-4</v>
      </c>
      <c r="AN257" s="2">
        <v>1.2479443135870438E-4</v>
      </c>
      <c r="AO257" s="2">
        <v>9.6270702598875005E-2</v>
      </c>
      <c r="AP257" s="2">
        <v>3.6032290618645949E-3</v>
      </c>
      <c r="AQ257" s="2">
        <v>3.9133709571110295E-3</v>
      </c>
      <c r="AR257" s="2">
        <v>6.1063930891935478E-4</v>
      </c>
      <c r="AS257" s="2">
        <v>-1.7963634529483668E-3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1.714530086070995E-2</v>
      </c>
      <c r="V258" s="129">
        <v>3.5929049311814753E-3</v>
      </c>
      <c r="W258" s="129">
        <v>-1.2187689045677996E-3</v>
      </c>
      <c r="X258" s="129">
        <v>-6.856792913474721E-4</v>
      </c>
      <c r="Y258" s="129">
        <v>1.5858429351282438E-3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1.5762840140690442E-2</v>
      </c>
      <c r="AK258" s="2">
        <v>9.5742586917002645E-4</v>
      </c>
      <c r="AL258" s="2">
        <v>2.0421536250272288E-4</v>
      </c>
      <c r="AM258" s="2">
        <v>2.1576832723975325E-4</v>
      </c>
      <c r="AN258" s="2">
        <v>1.2479443135870438E-4</v>
      </c>
      <c r="AO258" s="2">
        <v>9.6270702598875005E-2</v>
      </c>
      <c r="AP258" s="2">
        <v>3.6032290618645949E-3</v>
      </c>
      <c r="AQ258" s="2">
        <v>3.9133709571110295E-3</v>
      </c>
      <c r="AR258" s="2">
        <v>6.1063930891935478E-4</v>
      </c>
      <c r="AS258" s="2">
        <v>-1.7963634529483668E-3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1.714530086070995E-2</v>
      </c>
      <c r="V259" s="129">
        <v>3.5929049311814753E-3</v>
      </c>
      <c r="W259" s="129">
        <v>-1.2187689045677996E-3</v>
      </c>
      <c r="X259" s="129">
        <v>-6.856792913474721E-4</v>
      </c>
      <c r="Y259" s="129">
        <v>1.5858429351282438E-3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1.5762840140690442E-2</v>
      </c>
      <c r="AK259" s="2">
        <v>9.5742586917002645E-4</v>
      </c>
      <c r="AL259" s="2">
        <v>2.0421536250272288E-4</v>
      </c>
      <c r="AM259" s="2">
        <v>2.1576832723975325E-4</v>
      </c>
      <c r="AN259" s="2">
        <v>1.2479443135870438E-4</v>
      </c>
      <c r="AO259" s="2">
        <v>9.6270702598875005E-2</v>
      </c>
      <c r="AP259" s="2">
        <v>3.6032290618645949E-3</v>
      </c>
      <c r="AQ259" s="2">
        <v>3.9133709571110295E-3</v>
      </c>
      <c r="AR259" s="2">
        <v>6.1063930891935478E-4</v>
      </c>
      <c r="AS259" s="2">
        <v>-1.7963634529483668E-3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1.714530086070995E-2</v>
      </c>
      <c r="V260" s="129">
        <v>3.5929049311814753E-3</v>
      </c>
      <c r="W260" s="129">
        <v>-1.2187689045677996E-3</v>
      </c>
      <c r="X260" s="129">
        <v>-6.856792913474721E-4</v>
      </c>
      <c r="Y260" s="129">
        <v>1.5858429351282438E-3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1.5762840140690442E-2</v>
      </c>
      <c r="AK260" s="2">
        <v>9.5742586917002645E-4</v>
      </c>
      <c r="AL260" s="2">
        <v>2.0421536250272288E-4</v>
      </c>
      <c r="AM260" s="2">
        <v>2.1576832723975325E-4</v>
      </c>
      <c r="AN260" s="2">
        <v>1.2479443135870438E-4</v>
      </c>
      <c r="AO260" s="2">
        <v>9.6270702598875005E-2</v>
      </c>
      <c r="AP260" s="2">
        <v>3.6032290618645949E-3</v>
      </c>
      <c r="AQ260" s="2">
        <v>3.9133709571110295E-3</v>
      </c>
      <c r="AR260" s="2">
        <v>6.1063930891935478E-4</v>
      </c>
      <c r="AS260" s="2">
        <v>-1.7963634529483668E-3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1.714530086070995E-2</v>
      </c>
      <c r="V261" s="129">
        <v>3.5929049311814753E-3</v>
      </c>
      <c r="W261" s="129">
        <v>-1.2187689045677996E-3</v>
      </c>
      <c r="X261" s="129">
        <v>-6.856792913474721E-4</v>
      </c>
      <c r="Y261" s="129">
        <v>1.5858429351282438E-3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1.5762840140690442E-2</v>
      </c>
      <c r="AK261" s="2">
        <v>9.5742586917002645E-4</v>
      </c>
      <c r="AL261" s="2">
        <v>2.0421536250272288E-4</v>
      </c>
      <c r="AM261" s="2">
        <v>2.1576832723975325E-4</v>
      </c>
      <c r="AN261" s="2">
        <v>1.2479443135870438E-4</v>
      </c>
      <c r="AO261" s="2">
        <v>9.6270702598875005E-2</v>
      </c>
      <c r="AP261" s="2">
        <v>3.6032290618645949E-3</v>
      </c>
      <c r="AQ261" s="2">
        <v>3.9133709571110295E-3</v>
      </c>
      <c r="AR261" s="2">
        <v>6.1063930891935478E-4</v>
      </c>
      <c r="AS261" s="2">
        <v>-1.7963634529483668E-3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1.714530086070995E-2</v>
      </c>
      <c r="V262" s="129">
        <v>3.5929049311814753E-3</v>
      </c>
      <c r="W262" s="129">
        <v>-1.2187689045677996E-3</v>
      </c>
      <c r="X262" s="129">
        <v>-6.856792913474721E-4</v>
      </c>
      <c r="Y262" s="129">
        <v>1.5858429351282438E-3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1.5762840140690442E-2</v>
      </c>
      <c r="AK262" s="2">
        <v>9.5742586917002645E-4</v>
      </c>
      <c r="AL262" s="2">
        <v>2.0421536250272288E-4</v>
      </c>
      <c r="AM262" s="2">
        <v>2.1576832723975325E-4</v>
      </c>
      <c r="AN262" s="2">
        <v>1.2479443135870438E-4</v>
      </c>
      <c r="AO262" s="2">
        <v>9.6270702598875005E-2</v>
      </c>
      <c r="AP262" s="2">
        <v>3.6032290618645949E-3</v>
      </c>
      <c r="AQ262" s="2">
        <v>3.9133709571110295E-3</v>
      </c>
      <c r="AR262" s="2">
        <v>6.1063930891935478E-4</v>
      </c>
      <c r="AS262" s="2">
        <v>-1.7963634529483668E-3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">
      <c r="BR394"/>
    </row>
    <row r="395" spans="70:115" x14ac:dyDescent="0.2">
      <c r="BR395"/>
    </row>
    <row r="396" spans="70:115" x14ac:dyDescent="0.2">
      <c r="BR396"/>
    </row>
    <row r="397" spans="70:115" x14ac:dyDescent="0.2">
      <c r="BR397"/>
    </row>
    <row r="398" spans="70:115" x14ac:dyDescent="0.2">
      <c r="BR398"/>
    </row>
    <row r="399" spans="70:115" x14ac:dyDescent="0.2">
      <c r="BR399"/>
    </row>
    <row r="400" spans="70:115" x14ac:dyDescent="0.2">
      <c r="BR400"/>
    </row>
    <row r="401" spans="70:70" x14ac:dyDescent="0.2">
      <c r="BR401"/>
    </row>
    <row r="402" spans="70:70" x14ac:dyDescent="0.2">
      <c r="BR402"/>
    </row>
    <row r="403" spans="70:70" x14ac:dyDescent="0.2">
      <c r="BR403"/>
    </row>
    <row r="404" spans="70:70" x14ac:dyDescent="0.2">
      <c r="BR404"/>
    </row>
    <row r="405" spans="70:70" x14ac:dyDescent="0.2">
      <c r="BR405"/>
    </row>
    <row r="406" spans="70:70" x14ac:dyDescent="0.2">
      <c r="BR406"/>
    </row>
    <row r="407" spans="70:70" x14ac:dyDescent="0.2">
      <c r="BR407"/>
    </row>
    <row r="408" spans="70:70" x14ac:dyDescent="0.2">
      <c r="BR408"/>
    </row>
    <row r="409" spans="70:70" x14ac:dyDescent="0.2">
      <c r="BR409"/>
    </row>
    <row r="410" spans="70:70" x14ac:dyDescent="0.2">
      <c r="BR410"/>
    </row>
    <row r="411" spans="70:70" x14ac:dyDescent="0.2">
      <c r="BR411"/>
    </row>
    <row r="412" spans="70:70" x14ac:dyDescent="0.2">
      <c r="BR412"/>
    </row>
    <row r="413" spans="70:70" x14ac:dyDescent="0.2">
      <c r="BR413"/>
    </row>
    <row r="414" spans="70:70" x14ac:dyDescent="0.2">
      <c r="BR414"/>
    </row>
    <row r="415" spans="70:70" x14ac:dyDescent="0.2">
      <c r="BR415"/>
    </row>
    <row r="416" spans="70:70" x14ac:dyDescent="0.2">
      <c r="BR416"/>
    </row>
    <row r="417" spans="70:70" x14ac:dyDescent="0.2">
      <c r="BR417"/>
    </row>
    <row r="418" spans="70:70" x14ac:dyDescent="0.2">
      <c r="BR418"/>
    </row>
    <row r="419" spans="70:70" x14ac:dyDescent="0.2">
      <c r="BR419"/>
    </row>
    <row r="420" spans="70:70" x14ac:dyDescent="0.2">
      <c r="BR420"/>
    </row>
    <row r="421" spans="70:70" x14ac:dyDescent="0.2">
      <c r="BR421"/>
    </row>
    <row r="422" spans="70:70" x14ac:dyDescent="0.2">
      <c r="BR422"/>
    </row>
    <row r="423" spans="70:70" x14ac:dyDescent="0.2">
      <c r="BR423"/>
    </row>
    <row r="424" spans="70:70" x14ac:dyDescent="0.2">
      <c r="BR424"/>
    </row>
    <row r="425" spans="70:70" x14ac:dyDescent="0.2">
      <c r="BR425"/>
    </row>
    <row r="426" spans="70:70" x14ac:dyDescent="0.2">
      <c r="BR426"/>
    </row>
    <row r="427" spans="70:70" x14ac:dyDescent="0.2">
      <c r="BR427"/>
    </row>
    <row r="428" spans="70:70" x14ac:dyDescent="0.2">
      <c r="BR428"/>
    </row>
    <row r="429" spans="70:70" x14ac:dyDescent="0.2">
      <c r="BR429"/>
    </row>
    <row r="430" spans="70:70" x14ac:dyDescent="0.2">
      <c r="BR430"/>
    </row>
    <row r="431" spans="70:70" x14ac:dyDescent="0.2">
      <c r="BR431"/>
    </row>
    <row r="432" spans="70:70" x14ac:dyDescent="0.2">
      <c r="BR432"/>
    </row>
    <row r="433" spans="70:70" x14ac:dyDescent="0.2">
      <c r="BR433"/>
    </row>
    <row r="434" spans="70:70" x14ac:dyDescent="0.2">
      <c r="BR434"/>
    </row>
    <row r="435" spans="70:70" x14ac:dyDescent="0.2">
      <c r="BR435"/>
    </row>
    <row r="436" spans="70:70" x14ac:dyDescent="0.2">
      <c r="BR436"/>
    </row>
    <row r="437" spans="70:70" x14ac:dyDescent="0.2">
      <c r="BR437"/>
    </row>
    <row r="438" spans="70:70" x14ac:dyDescent="0.2">
      <c r="BR438"/>
    </row>
    <row r="439" spans="70:70" x14ac:dyDescent="0.2">
      <c r="BR439"/>
    </row>
    <row r="440" spans="70:70" x14ac:dyDescent="0.2">
      <c r="BR440"/>
    </row>
    <row r="441" spans="70:70" x14ac:dyDescent="0.2">
      <c r="BR441"/>
    </row>
    <row r="442" spans="70:70" x14ac:dyDescent="0.2">
      <c r="BR442"/>
    </row>
    <row r="443" spans="70:70" x14ac:dyDescent="0.2">
      <c r="BR443"/>
    </row>
    <row r="444" spans="70:70" x14ac:dyDescent="0.2">
      <c r="BR444"/>
    </row>
    <row r="445" spans="70:70" x14ac:dyDescent="0.2">
      <c r="BR445"/>
    </row>
    <row r="446" spans="70:70" x14ac:dyDescent="0.2">
      <c r="BR446"/>
    </row>
    <row r="447" spans="70:70" x14ac:dyDescent="0.2">
      <c r="BR447"/>
    </row>
    <row r="448" spans="70:70" x14ac:dyDescent="0.2">
      <c r="BR448"/>
    </row>
    <row r="449" spans="70:70" x14ac:dyDescent="0.2">
      <c r="BR449"/>
    </row>
    <row r="450" spans="70:70" x14ac:dyDescent="0.2">
      <c r="BR450"/>
    </row>
    <row r="451" spans="70:70" x14ac:dyDescent="0.2">
      <c r="BR451"/>
    </row>
    <row r="452" spans="70:70" x14ac:dyDescent="0.2">
      <c r="BR452"/>
    </row>
    <row r="453" spans="70:70" x14ac:dyDescent="0.2">
      <c r="BR453"/>
    </row>
    <row r="454" spans="70:70" x14ac:dyDescent="0.2">
      <c r="BR454"/>
    </row>
    <row r="455" spans="70:70" x14ac:dyDescent="0.2">
      <c r="BR455"/>
    </row>
    <row r="456" spans="70:70" x14ac:dyDescent="0.2">
      <c r="BR456"/>
    </row>
    <row r="457" spans="70:70" x14ac:dyDescent="0.2">
      <c r="BR457"/>
    </row>
    <row r="458" spans="70:70" x14ac:dyDescent="0.2">
      <c r="BR458"/>
    </row>
    <row r="459" spans="70:70" x14ac:dyDescent="0.2">
      <c r="BR459"/>
    </row>
    <row r="460" spans="70:70" x14ac:dyDescent="0.2">
      <c r="BR460"/>
    </row>
    <row r="461" spans="70:70" x14ac:dyDescent="0.2">
      <c r="BR461"/>
    </row>
    <row r="462" spans="70:70" x14ac:dyDescent="0.2">
      <c r="BR462"/>
    </row>
    <row r="463" spans="70:70" x14ac:dyDescent="0.2">
      <c r="BR463"/>
    </row>
    <row r="464" spans="70:70" x14ac:dyDescent="0.2">
      <c r="BR464"/>
    </row>
    <row r="465" spans="70:70" x14ac:dyDescent="0.2">
      <c r="BR465"/>
    </row>
    <row r="466" spans="70:70" x14ac:dyDescent="0.2">
      <c r="BR466"/>
    </row>
    <row r="467" spans="70:70" x14ac:dyDescent="0.2">
      <c r="BR467"/>
    </row>
    <row r="468" spans="70:70" x14ac:dyDescent="0.2">
      <c r="BR468"/>
    </row>
    <row r="469" spans="70:70" x14ac:dyDescent="0.2">
      <c r="BR469"/>
    </row>
    <row r="470" spans="70:70" x14ac:dyDescent="0.2">
      <c r="BR470"/>
    </row>
    <row r="471" spans="70:70" x14ac:dyDescent="0.2">
      <c r="BR471"/>
    </row>
    <row r="472" spans="70:70" x14ac:dyDescent="0.2">
      <c r="BR472"/>
    </row>
    <row r="473" spans="70:70" x14ac:dyDescent="0.2">
      <c r="BR473"/>
    </row>
    <row r="474" spans="70:70" x14ac:dyDescent="0.2">
      <c r="BR474"/>
    </row>
    <row r="475" spans="70:70" x14ac:dyDescent="0.2">
      <c r="BR475"/>
    </row>
    <row r="476" spans="70:70" x14ac:dyDescent="0.2">
      <c r="BR476"/>
    </row>
    <row r="477" spans="70:70" x14ac:dyDescent="0.2">
      <c r="BR477"/>
    </row>
    <row r="478" spans="70:70" x14ac:dyDescent="0.2">
      <c r="BR478"/>
    </row>
    <row r="479" spans="70:70" x14ac:dyDescent="0.2">
      <c r="BR479"/>
    </row>
    <row r="480" spans="70:70" x14ac:dyDescent="0.2">
      <c r="BR480"/>
    </row>
    <row r="481" spans="70:70" x14ac:dyDescent="0.2">
      <c r="BR481"/>
    </row>
    <row r="482" spans="70:70" x14ac:dyDescent="0.2">
      <c r="BR482"/>
    </row>
    <row r="483" spans="70:70" x14ac:dyDescent="0.2">
      <c r="BR483"/>
    </row>
    <row r="484" spans="70:70" x14ac:dyDescent="0.2">
      <c r="BR484"/>
    </row>
    <row r="485" spans="70:70" x14ac:dyDescent="0.2">
      <c r="BR485"/>
    </row>
    <row r="486" spans="70:70" x14ac:dyDescent="0.2">
      <c r="BR486"/>
    </row>
    <row r="487" spans="70:70" x14ac:dyDescent="0.2">
      <c r="BR487"/>
    </row>
    <row r="488" spans="70:70" x14ac:dyDescent="0.2">
      <c r="BR488"/>
    </row>
    <row r="489" spans="70:70" x14ac:dyDescent="0.2">
      <c r="BR489"/>
    </row>
    <row r="490" spans="70:70" x14ac:dyDescent="0.2">
      <c r="BR490"/>
    </row>
    <row r="491" spans="70:70" x14ac:dyDescent="0.2">
      <c r="BR491"/>
    </row>
    <row r="492" spans="70:70" x14ac:dyDescent="0.2">
      <c r="BR492"/>
    </row>
    <row r="493" spans="70:70" x14ac:dyDescent="0.2">
      <c r="BR493"/>
    </row>
    <row r="494" spans="70:70" x14ac:dyDescent="0.2">
      <c r="BR494"/>
    </row>
    <row r="495" spans="70:70" x14ac:dyDescent="0.2">
      <c r="BR495"/>
    </row>
    <row r="496" spans="70:70" x14ac:dyDescent="0.2">
      <c r="BR496"/>
    </row>
    <row r="497" spans="70:70" x14ac:dyDescent="0.2">
      <c r="BR497"/>
    </row>
    <row r="498" spans="70:70" x14ac:dyDescent="0.2">
      <c r="BR498"/>
    </row>
    <row r="499" spans="70:70" x14ac:dyDescent="0.2">
      <c r="BR499"/>
    </row>
    <row r="500" spans="70:70" x14ac:dyDescent="0.2">
      <c r="BR500"/>
    </row>
    <row r="501" spans="70:70" x14ac:dyDescent="0.2">
      <c r="BR501"/>
    </row>
    <row r="502" spans="70:70" x14ac:dyDescent="0.2">
      <c r="BR502"/>
    </row>
    <row r="503" spans="70:70" x14ac:dyDescent="0.2">
      <c r="BR503"/>
    </row>
    <row r="504" spans="70:70" x14ac:dyDescent="0.2">
      <c r="BR504"/>
    </row>
    <row r="505" spans="70:70" x14ac:dyDescent="0.2">
      <c r="BR505"/>
    </row>
    <row r="506" spans="70:70" x14ac:dyDescent="0.2">
      <c r="BR506"/>
    </row>
    <row r="507" spans="70:70" x14ac:dyDescent="0.2">
      <c r="BR507"/>
    </row>
    <row r="508" spans="70:70" x14ac:dyDescent="0.2">
      <c r="BR508"/>
    </row>
    <row r="509" spans="70:70" x14ac:dyDescent="0.2">
      <c r="BR509"/>
    </row>
    <row r="510" spans="70:70" x14ac:dyDescent="0.2">
      <c r="BR510"/>
    </row>
    <row r="511" spans="70:70" x14ac:dyDescent="0.2">
      <c r="BR511"/>
    </row>
    <row r="512" spans="70:70" x14ac:dyDescent="0.2">
      <c r="BR512"/>
    </row>
    <row r="513" spans="70:70" x14ac:dyDescent="0.2">
      <c r="BR513"/>
    </row>
    <row r="514" spans="70:70" x14ac:dyDescent="0.2">
      <c r="BR514"/>
    </row>
    <row r="515" spans="70:70" x14ac:dyDescent="0.2">
      <c r="BR515"/>
    </row>
    <row r="516" spans="70:70" x14ac:dyDescent="0.2">
      <c r="BR516"/>
    </row>
    <row r="517" spans="70:70" x14ac:dyDescent="0.2">
      <c r="BR517"/>
    </row>
    <row r="518" spans="70:70" x14ac:dyDescent="0.2">
      <c r="BR518"/>
    </row>
    <row r="519" spans="70:70" x14ac:dyDescent="0.2">
      <c r="BR519"/>
    </row>
    <row r="520" spans="70:70" x14ac:dyDescent="0.2">
      <c r="BR520"/>
    </row>
    <row r="521" spans="70:70" x14ac:dyDescent="0.2">
      <c r="BR521"/>
    </row>
    <row r="522" spans="70:70" x14ac:dyDescent="0.2">
      <c r="BR522"/>
    </row>
    <row r="523" spans="70:70" x14ac:dyDescent="0.2">
      <c r="BR523"/>
    </row>
    <row r="524" spans="70:70" x14ac:dyDescent="0.2">
      <c r="BR524"/>
    </row>
    <row r="525" spans="70:70" x14ac:dyDescent="0.2">
      <c r="BR525"/>
    </row>
    <row r="526" spans="70:70" x14ac:dyDescent="0.2">
      <c r="BR526"/>
    </row>
    <row r="527" spans="70:70" x14ac:dyDescent="0.2">
      <c r="BR527"/>
    </row>
    <row r="528" spans="70:70" x14ac:dyDescent="0.2">
      <c r="BR528"/>
    </row>
    <row r="529" spans="70:70" x14ac:dyDescent="0.2">
      <c r="BR529"/>
    </row>
    <row r="530" spans="70:70" x14ac:dyDescent="0.2">
      <c r="BR530"/>
    </row>
    <row r="531" spans="70:70" x14ac:dyDescent="0.2">
      <c r="BR531"/>
    </row>
    <row r="532" spans="70:70" x14ac:dyDescent="0.2">
      <c r="BR532"/>
    </row>
    <row r="533" spans="70:70" x14ac:dyDescent="0.2">
      <c r="BR533"/>
    </row>
    <row r="534" spans="70:70" x14ac:dyDescent="0.2">
      <c r="BR534"/>
    </row>
    <row r="535" spans="70:70" x14ac:dyDescent="0.2">
      <c r="BR535"/>
    </row>
    <row r="536" spans="70:70" x14ac:dyDescent="0.2">
      <c r="BR536"/>
    </row>
    <row r="537" spans="70:70" x14ac:dyDescent="0.2">
      <c r="BR537"/>
    </row>
    <row r="538" spans="70:70" x14ac:dyDescent="0.2">
      <c r="BR538"/>
    </row>
    <row r="539" spans="70:70" x14ac:dyDescent="0.2">
      <c r="BR539"/>
    </row>
    <row r="540" spans="70:70" x14ac:dyDescent="0.2">
      <c r="BR540"/>
    </row>
    <row r="541" spans="70:70" x14ac:dyDescent="0.2">
      <c r="BR541"/>
    </row>
    <row r="542" spans="70:70" x14ac:dyDescent="0.2">
      <c r="BR542"/>
    </row>
    <row r="543" spans="70:70" x14ac:dyDescent="0.2">
      <c r="BR543"/>
    </row>
    <row r="544" spans="70:70" x14ac:dyDescent="0.2">
      <c r="BR544"/>
    </row>
    <row r="545" spans="70:70" x14ac:dyDescent="0.2">
      <c r="BR545"/>
    </row>
    <row r="546" spans="70:70" x14ac:dyDescent="0.2">
      <c r="BR546"/>
    </row>
    <row r="547" spans="70:70" x14ac:dyDescent="0.2">
      <c r="BR547"/>
    </row>
    <row r="548" spans="70:70" x14ac:dyDescent="0.2">
      <c r="BR548"/>
    </row>
    <row r="549" spans="70:70" x14ac:dyDescent="0.2">
      <c r="BR549"/>
    </row>
    <row r="550" spans="70:70" x14ac:dyDescent="0.2">
      <c r="BR550"/>
    </row>
    <row r="551" spans="70:70" x14ac:dyDescent="0.2">
      <c r="BR551"/>
    </row>
    <row r="552" spans="70:70" x14ac:dyDescent="0.2">
      <c r="BR552"/>
    </row>
    <row r="553" spans="70:70" x14ac:dyDescent="0.2">
      <c r="BR553"/>
    </row>
    <row r="554" spans="70:70" x14ac:dyDescent="0.2">
      <c r="BR554"/>
    </row>
    <row r="555" spans="70:70" x14ac:dyDescent="0.2">
      <c r="BR555"/>
    </row>
    <row r="556" spans="70:70" x14ac:dyDescent="0.2">
      <c r="BR556"/>
    </row>
    <row r="557" spans="70:70" x14ac:dyDescent="0.2">
      <c r="BR557"/>
    </row>
    <row r="558" spans="70:70" x14ac:dyDescent="0.2">
      <c r="BR558"/>
    </row>
    <row r="559" spans="70:70" x14ac:dyDescent="0.2">
      <c r="BR559"/>
    </row>
    <row r="560" spans="70:70" x14ac:dyDescent="0.2">
      <c r="BR560"/>
    </row>
    <row r="561" spans="70:70" x14ac:dyDescent="0.2">
      <c r="BR561"/>
    </row>
    <row r="562" spans="70:70" x14ac:dyDescent="0.2">
      <c r="BR562"/>
    </row>
    <row r="563" spans="70:70" x14ac:dyDescent="0.2">
      <c r="BR563"/>
    </row>
    <row r="564" spans="70:70" x14ac:dyDescent="0.2">
      <c r="BR564"/>
    </row>
    <row r="565" spans="70:70" x14ac:dyDescent="0.2">
      <c r="BR565"/>
    </row>
    <row r="566" spans="70:70" x14ac:dyDescent="0.2">
      <c r="BR566"/>
    </row>
    <row r="567" spans="70:70" x14ac:dyDescent="0.2">
      <c r="BR567"/>
    </row>
    <row r="568" spans="70:70" x14ac:dyDescent="0.2">
      <c r="BR568"/>
    </row>
    <row r="569" spans="70:70" x14ac:dyDescent="0.2">
      <c r="BR569"/>
    </row>
    <row r="570" spans="70:70" x14ac:dyDescent="0.2">
      <c r="BR570"/>
    </row>
    <row r="571" spans="70:70" x14ac:dyDescent="0.2">
      <c r="BR571"/>
    </row>
    <row r="572" spans="70:70" x14ac:dyDescent="0.2">
      <c r="BR572"/>
    </row>
    <row r="573" spans="70:70" x14ac:dyDescent="0.2">
      <c r="BR573"/>
    </row>
    <row r="574" spans="70:70" x14ac:dyDescent="0.2">
      <c r="BR574"/>
    </row>
    <row r="575" spans="70:70" x14ac:dyDescent="0.2">
      <c r="BR575"/>
    </row>
    <row r="576" spans="70:70" x14ac:dyDescent="0.2">
      <c r="BR576"/>
    </row>
    <row r="577" spans="70:70" x14ac:dyDescent="0.2">
      <c r="BR577"/>
    </row>
    <row r="578" spans="70:70" x14ac:dyDescent="0.2">
      <c r="BR578"/>
    </row>
    <row r="579" spans="70:70" x14ac:dyDescent="0.2">
      <c r="BR579"/>
    </row>
    <row r="580" spans="70:70" x14ac:dyDescent="0.2">
      <c r="BR580"/>
    </row>
    <row r="581" spans="70:70" x14ac:dyDescent="0.2">
      <c r="BR581"/>
    </row>
    <row r="582" spans="70:70" x14ac:dyDescent="0.2">
      <c r="BR582"/>
    </row>
    <row r="583" spans="70:70" x14ac:dyDescent="0.2">
      <c r="BR583"/>
    </row>
    <row r="584" spans="70:70" x14ac:dyDescent="0.2">
      <c r="BR584"/>
    </row>
    <row r="585" spans="70:70" x14ac:dyDescent="0.2">
      <c r="BR585"/>
    </row>
    <row r="586" spans="70:70" x14ac:dyDescent="0.2">
      <c r="BR586"/>
    </row>
    <row r="587" spans="70:70" x14ac:dyDescent="0.2">
      <c r="BR587"/>
    </row>
    <row r="588" spans="70:70" x14ac:dyDescent="0.2">
      <c r="BR588"/>
    </row>
    <row r="589" spans="70:70" x14ac:dyDescent="0.2">
      <c r="BR589"/>
    </row>
    <row r="590" spans="70:70" x14ac:dyDescent="0.2">
      <c r="BR590"/>
    </row>
    <row r="591" spans="70:70" x14ac:dyDescent="0.2">
      <c r="BR591"/>
    </row>
    <row r="592" spans="70:70" x14ac:dyDescent="0.2">
      <c r="BR592"/>
    </row>
    <row r="593" spans="70:70" x14ac:dyDescent="0.2">
      <c r="BR593"/>
    </row>
    <row r="594" spans="70:70" x14ac:dyDescent="0.2">
      <c r="BR594"/>
    </row>
    <row r="595" spans="70:70" x14ac:dyDescent="0.2">
      <c r="BR595"/>
    </row>
    <row r="596" spans="70:70" x14ac:dyDescent="0.2">
      <c r="BR596"/>
    </row>
    <row r="597" spans="70:70" x14ac:dyDescent="0.2">
      <c r="BR597"/>
    </row>
    <row r="598" spans="70:70" x14ac:dyDescent="0.2">
      <c r="BR598"/>
    </row>
    <row r="599" spans="70:70" x14ac:dyDescent="0.2">
      <c r="BR599"/>
    </row>
    <row r="600" spans="70:70" x14ac:dyDescent="0.2">
      <c r="BR600"/>
    </row>
    <row r="601" spans="70:70" x14ac:dyDescent="0.2">
      <c r="BR601"/>
    </row>
    <row r="602" spans="70:70" x14ac:dyDescent="0.2">
      <c r="BR602"/>
    </row>
    <row r="603" spans="70:70" x14ac:dyDescent="0.2">
      <c r="BR603"/>
    </row>
    <row r="604" spans="70:70" x14ac:dyDescent="0.2">
      <c r="BR604"/>
    </row>
    <row r="605" spans="70:70" x14ac:dyDescent="0.2">
      <c r="BR605"/>
    </row>
    <row r="606" spans="70:70" x14ac:dyDescent="0.2">
      <c r="BR606"/>
    </row>
    <row r="607" spans="70:70" x14ac:dyDescent="0.2">
      <c r="BR607"/>
    </row>
    <row r="608" spans="70:70" x14ac:dyDescent="0.2">
      <c r="BR608"/>
    </row>
    <row r="609" spans="70:70" x14ac:dyDescent="0.2">
      <c r="BR609"/>
    </row>
    <row r="610" spans="70:70" x14ac:dyDescent="0.2">
      <c r="BR610"/>
    </row>
    <row r="611" spans="70:70" x14ac:dyDescent="0.2">
      <c r="BR611"/>
    </row>
    <row r="612" spans="70:70" x14ac:dyDescent="0.2">
      <c r="BR612"/>
    </row>
    <row r="613" spans="70:70" x14ac:dyDescent="0.2">
      <c r="BR613"/>
    </row>
    <row r="614" spans="70:70" x14ac:dyDescent="0.2">
      <c r="BR614"/>
    </row>
    <row r="615" spans="70:70" x14ac:dyDescent="0.2">
      <c r="BR615"/>
    </row>
    <row r="616" spans="70:70" x14ac:dyDescent="0.2">
      <c r="BR616"/>
    </row>
    <row r="617" spans="70:70" x14ac:dyDescent="0.2">
      <c r="BR617"/>
    </row>
    <row r="618" spans="70:70" x14ac:dyDescent="0.2">
      <c r="BR618"/>
    </row>
    <row r="619" spans="70:70" x14ac:dyDescent="0.2">
      <c r="BR619"/>
    </row>
    <row r="620" spans="70:70" x14ac:dyDescent="0.2">
      <c r="BR620"/>
    </row>
    <row r="621" spans="70:70" x14ac:dyDescent="0.2">
      <c r="BR621"/>
    </row>
    <row r="622" spans="70:70" x14ac:dyDescent="0.2">
      <c r="BR622"/>
    </row>
    <row r="623" spans="70:70" x14ac:dyDescent="0.2">
      <c r="BR623"/>
    </row>
    <row r="624" spans="70:70" x14ac:dyDescent="0.2">
      <c r="BR624"/>
    </row>
    <row r="625" spans="70:70" x14ac:dyDescent="0.2">
      <c r="BR625"/>
    </row>
    <row r="626" spans="70:70" x14ac:dyDescent="0.2">
      <c r="BR626"/>
    </row>
    <row r="627" spans="70:70" x14ac:dyDescent="0.2">
      <c r="BR627"/>
    </row>
    <row r="628" spans="70:70" x14ac:dyDescent="0.2">
      <c r="BR628"/>
    </row>
    <row r="629" spans="70:70" x14ac:dyDescent="0.2">
      <c r="BR629"/>
    </row>
    <row r="630" spans="70:70" x14ac:dyDescent="0.2">
      <c r="BR630"/>
    </row>
    <row r="631" spans="70:70" x14ac:dyDescent="0.2">
      <c r="BR631"/>
    </row>
    <row r="632" spans="70:70" x14ac:dyDescent="0.2">
      <c r="BR632"/>
    </row>
    <row r="633" spans="70:70" x14ac:dyDescent="0.2">
      <c r="BR633"/>
    </row>
    <row r="634" spans="70:70" x14ac:dyDescent="0.2">
      <c r="BR634"/>
    </row>
    <row r="635" spans="70:70" x14ac:dyDescent="0.2">
      <c r="BR635"/>
    </row>
    <row r="636" spans="70:70" x14ac:dyDescent="0.2">
      <c r="BR636"/>
    </row>
    <row r="637" spans="70:70" x14ac:dyDescent="0.2">
      <c r="BR637"/>
    </row>
    <row r="638" spans="70:70" x14ac:dyDescent="0.2">
      <c r="BR638"/>
    </row>
    <row r="639" spans="70:70" x14ac:dyDescent="0.2">
      <c r="BR639"/>
    </row>
    <row r="640" spans="70:70" x14ac:dyDescent="0.2">
      <c r="BR640"/>
    </row>
    <row r="641" spans="70:70" x14ac:dyDescent="0.2">
      <c r="BR641"/>
    </row>
    <row r="642" spans="70:70" x14ac:dyDescent="0.2">
      <c r="BR642"/>
    </row>
    <row r="643" spans="70:70" x14ac:dyDescent="0.2">
      <c r="BR643"/>
    </row>
    <row r="644" spans="70:70" x14ac:dyDescent="0.2">
      <c r="BR644"/>
    </row>
    <row r="645" spans="70:70" x14ac:dyDescent="0.2">
      <c r="BR645"/>
    </row>
    <row r="646" spans="70:70" x14ac:dyDescent="0.2">
      <c r="BR646"/>
    </row>
    <row r="647" spans="70:70" x14ac:dyDescent="0.2">
      <c r="BR647"/>
    </row>
    <row r="648" spans="70:70" x14ac:dyDescent="0.2">
      <c r="BR648"/>
    </row>
    <row r="649" spans="70:70" x14ac:dyDescent="0.2">
      <c r="BR649"/>
    </row>
    <row r="650" spans="70:70" x14ac:dyDescent="0.2">
      <c r="BR650"/>
    </row>
    <row r="651" spans="70:70" x14ac:dyDescent="0.2">
      <c r="BR651"/>
    </row>
    <row r="652" spans="70:70" x14ac:dyDescent="0.2">
      <c r="BR652"/>
    </row>
    <row r="653" spans="70:70" x14ac:dyDescent="0.2">
      <c r="BR653"/>
    </row>
    <row r="654" spans="70:70" x14ac:dyDescent="0.2">
      <c r="BR654"/>
    </row>
    <row r="655" spans="70:70" x14ac:dyDescent="0.2">
      <c r="BR655"/>
    </row>
    <row r="656" spans="70:70" x14ac:dyDescent="0.2">
      <c r="BR656"/>
    </row>
    <row r="657" spans="70:70" x14ac:dyDescent="0.2">
      <c r="BR657"/>
    </row>
    <row r="658" spans="70:70" x14ac:dyDescent="0.2">
      <c r="BR658"/>
    </row>
    <row r="659" spans="70:70" x14ac:dyDescent="0.2">
      <c r="BR659"/>
    </row>
    <row r="660" spans="70:70" x14ac:dyDescent="0.2">
      <c r="BR660"/>
    </row>
    <row r="661" spans="70:70" x14ac:dyDescent="0.2">
      <c r="BR661"/>
    </row>
    <row r="662" spans="70:70" x14ac:dyDescent="0.2">
      <c r="BR662"/>
    </row>
    <row r="663" spans="70:70" x14ac:dyDescent="0.2">
      <c r="BR663"/>
    </row>
    <row r="664" spans="70:70" x14ac:dyDescent="0.2">
      <c r="BR664"/>
    </row>
    <row r="665" spans="70:70" x14ac:dyDescent="0.2">
      <c r="BR665"/>
    </row>
    <row r="666" spans="70:70" x14ac:dyDescent="0.2">
      <c r="BR666"/>
    </row>
    <row r="667" spans="70:70" x14ac:dyDescent="0.2">
      <c r="BR667"/>
    </row>
    <row r="668" spans="70:70" x14ac:dyDescent="0.2">
      <c r="BR668"/>
    </row>
    <row r="669" spans="70:70" x14ac:dyDescent="0.2">
      <c r="BR669"/>
    </row>
    <row r="670" spans="70:70" x14ac:dyDescent="0.2">
      <c r="BR670"/>
    </row>
    <row r="671" spans="70:70" x14ac:dyDescent="0.2">
      <c r="BR671"/>
    </row>
    <row r="672" spans="70:70" x14ac:dyDescent="0.2">
      <c r="BR672"/>
    </row>
    <row r="673" spans="70:70" x14ac:dyDescent="0.2">
      <c r="BR673"/>
    </row>
    <row r="674" spans="70:70" x14ac:dyDescent="0.2">
      <c r="BR674"/>
    </row>
    <row r="675" spans="70:70" x14ac:dyDescent="0.2">
      <c r="BR675"/>
    </row>
    <row r="676" spans="70:70" x14ac:dyDescent="0.2">
      <c r="BR676"/>
    </row>
    <row r="677" spans="70:70" x14ac:dyDescent="0.2">
      <c r="BR677"/>
    </row>
    <row r="678" spans="70:70" x14ac:dyDescent="0.2">
      <c r="BR678"/>
    </row>
    <row r="679" spans="70:70" x14ac:dyDescent="0.2">
      <c r="BR679"/>
    </row>
    <row r="680" spans="70:70" x14ac:dyDescent="0.2">
      <c r="BR680"/>
    </row>
    <row r="681" spans="70:70" x14ac:dyDescent="0.2">
      <c r="BR681"/>
    </row>
    <row r="682" spans="70:70" x14ac:dyDescent="0.2">
      <c r="BR682"/>
    </row>
    <row r="683" spans="70:70" x14ac:dyDescent="0.2">
      <c r="BR683"/>
    </row>
    <row r="684" spans="70:70" x14ac:dyDescent="0.2">
      <c r="BR684"/>
    </row>
    <row r="685" spans="70:70" x14ac:dyDescent="0.2">
      <c r="BR685"/>
    </row>
    <row r="686" spans="70:70" x14ac:dyDescent="0.2">
      <c r="BR686"/>
    </row>
    <row r="687" spans="70:70" x14ac:dyDescent="0.2">
      <c r="BR687"/>
    </row>
    <row r="688" spans="70:70" x14ac:dyDescent="0.2">
      <c r="BR688"/>
    </row>
    <row r="689" spans="70:70" x14ac:dyDescent="0.2">
      <c r="BR689"/>
    </row>
    <row r="690" spans="70:70" x14ac:dyDescent="0.2">
      <c r="BR690"/>
    </row>
    <row r="691" spans="70:70" x14ac:dyDescent="0.2">
      <c r="BR691"/>
    </row>
    <row r="692" spans="70:70" x14ac:dyDescent="0.2">
      <c r="BR692"/>
    </row>
    <row r="693" spans="70:70" x14ac:dyDescent="0.2">
      <c r="BR693"/>
    </row>
    <row r="694" spans="70:70" x14ac:dyDescent="0.2">
      <c r="BR694"/>
    </row>
    <row r="695" spans="70:70" x14ac:dyDescent="0.2">
      <c r="BR695"/>
    </row>
    <row r="696" spans="70:70" x14ac:dyDescent="0.2">
      <c r="BR696"/>
    </row>
    <row r="697" spans="70:70" x14ac:dyDescent="0.2">
      <c r="BR697"/>
    </row>
    <row r="698" spans="70:70" x14ac:dyDescent="0.2">
      <c r="BR698"/>
    </row>
    <row r="699" spans="70:70" x14ac:dyDescent="0.2">
      <c r="BR699"/>
    </row>
    <row r="700" spans="70:70" x14ac:dyDescent="0.2">
      <c r="BR700"/>
    </row>
    <row r="701" spans="70:70" x14ac:dyDescent="0.2">
      <c r="BR701"/>
    </row>
    <row r="702" spans="70:70" x14ac:dyDescent="0.2">
      <c r="BR702"/>
    </row>
    <row r="703" spans="70:70" x14ac:dyDescent="0.2">
      <c r="BR703"/>
    </row>
    <row r="704" spans="70:70" x14ac:dyDescent="0.2">
      <c r="BR704"/>
    </row>
    <row r="705" spans="70:70" x14ac:dyDescent="0.2">
      <c r="BR705"/>
    </row>
    <row r="706" spans="70:70" x14ac:dyDescent="0.2">
      <c r="BR706"/>
    </row>
    <row r="707" spans="70:70" x14ac:dyDescent="0.2">
      <c r="BR707"/>
    </row>
    <row r="708" spans="70:70" x14ac:dyDescent="0.2">
      <c r="BR708"/>
    </row>
    <row r="709" spans="70:70" x14ac:dyDescent="0.2">
      <c r="BR709"/>
    </row>
    <row r="710" spans="70:70" x14ac:dyDescent="0.2">
      <c r="BR710"/>
    </row>
    <row r="711" spans="70:70" x14ac:dyDescent="0.2">
      <c r="BR711"/>
    </row>
    <row r="712" spans="70:70" x14ac:dyDescent="0.2">
      <c r="BR712"/>
    </row>
    <row r="713" spans="70:70" x14ac:dyDescent="0.2">
      <c r="BR713"/>
    </row>
    <row r="714" spans="70:70" x14ac:dyDescent="0.2">
      <c r="BR714"/>
    </row>
    <row r="715" spans="70:70" x14ac:dyDescent="0.2">
      <c r="BR715"/>
    </row>
    <row r="716" spans="70:70" x14ac:dyDescent="0.2">
      <c r="BR716"/>
    </row>
    <row r="717" spans="70:70" x14ac:dyDescent="0.2">
      <c r="BR717"/>
    </row>
    <row r="718" spans="70:70" x14ac:dyDescent="0.2">
      <c r="BR718"/>
    </row>
    <row r="719" spans="70:70" x14ac:dyDescent="0.2">
      <c r="BR719"/>
    </row>
    <row r="720" spans="70:70" x14ac:dyDescent="0.2">
      <c r="BR720"/>
    </row>
    <row r="721" spans="70:70" x14ac:dyDescent="0.2">
      <c r="BR721"/>
    </row>
    <row r="722" spans="70:70" x14ac:dyDescent="0.2">
      <c r="BR722"/>
    </row>
    <row r="723" spans="70:70" x14ac:dyDescent="0.2">
      <c r="BR723"/>
    </row>
    <row r="724" spans="70:70" x14ac:dyDescent="0.2">
      <c r="BR724"/>
    </row>
    <row r="725" spans="70:70" x14ac:dyDescent="0.2">
      <c r="BR725"/>
    </row>
    <row r="726" spans="70:70" x14ac:dyDescent="0.2">
      <c r="BR726"/>
    </row>
    <row r="727" spans="70:70" x14ac:dyDescent="0.2">
      <c r="BR727"/>
    </row>
    <row r="728" spans="70:70" x14ac:dyDescent="0.2">
      <c r="BR728"/>
    </row>
    <row r="729" spans="70:70" x14ac:dyDescent="0.2">
      <c r="BR729"/>
    </row>
    <row r="730" spans="70:70" x14ac:dyDescent="0.2">
      <c r="BR730"/>
    </row>
    <row r="731" spans="70:70" x14ac:dyDescent="0.2">
      <c r="BR731"/>
    </row>
    <row r="732" spans="70:70" x14ac:dyDescent="0.2">
      <c r="BR732"/>
    </row>
    <row r="733" spans="70:70" x14ac:dyDescent="0.2">
      <c r="BR733"/>
    </row>
    <row r="734" spans="70:70" x14ac:dyDescent="0.2">
      <c r="BR734"/>
    </row>
    <row r="735" spans="70:70" x14ac:dyDescent="0.2">
      <c r="BR735"/>
    </row>
    <row r="736" spans="70:70" x14ac:dyDescent="0.2">
      <c r="BR736"/>
    </row>
    <row r="737" spans="70:70" x14ac:dyDescent="0.2">
      <c r="BR737"/>
    </row>
    <row r="738" spans="70:70" x14ac:dyDescent="0.2">
      <c r="BR738"/>
    </row>
    <row r="739" spans="70:70" x14ac:dyDescent="0.2">
      <c r="BR739"/>
    </row>
    <row r="740" spans="70:70" x14ac:dyDescent="0.2">
      <c r="BR740"/>
    </row>
    <row r="741" spans="70:70" x14ac:dyDescent="0.2">
      <c r="BR741"/>
    </row>
    <row r="742" spans="70:70" x14ac:dyDescent="0.2">
      <c r="BR742"/>
    </row>
    <row r="743" spans="70:70" x14ac:dyDescent="0.2">
      <c r="BR743"/>
    </row>
    <row r="744" spans="70:70" x14ac:dyDescent="0.2">
      <c r="BR744"/>
    </row>
    <row r="745" spans="70:70" x14ac:dyDescent="0.2">
      <c r="BR745"/>
    </row>
    <row r="746" spans="70:70" x14ac:dyDescent="0.2">
      <c r="BR746"/>
    </row>
    <row r="747" spans="70:70" x14ac:dyDescent="0.2">
      <c r="BR747"/>
    </row>
    <row r="748" spans="70:70" x14ac:dyDescent="0.2">
      <c r="BR748"/>
    </row>
    <row r="749" spans="70:70" x14ac:dyDescent="0.2">
      <c r="BR749"/>
    </row>
    <row r="750" spans="70:70" x14ac:dyDescent="0.2">
      <c r="BR750"/>
    </row>
    <row r="751" spans="70:70" x14ac:dyDescent="0.2">
      <c r="BR751"/>
    </row>
    <row r="752" spans="70:70" x14ac:dyDescent="0.2">
      <c r="BR752"/>
    </row>
    <row r="753" spans="70:70" x14ac:dyDescent="0.2">
      <c r="BR753"/>
    </row>
    <row r="754" spans="70:70" x14ac:dyDescent="0.2">
      <c r="BR754"/>
    </row>
    <row r="755" spans="70:70" x14ac:dyDescent="0.2">
      <c r="BR755"/>
    </row>
    <row r="756" spans="70:70" x14ac:dyDescent="0.2">
      <c r="BR756"/>
    </row>
    <row r="757" spans="70:70" x14ac:dyDescent="0.2">
      <c r="BR757"/>
    </row>
    <row r="758" spans="70:70" x14ac:dyDescent="0.2">
      <c r="BR758"/>
    </row>
    <row r="759" spans="70:70" x14ac:dyDescent="0.2">
      <c r="BR759"/>
    </row>
    <row r="760" spans="70:70" x14ac:dyDescent="0.2">
      <c r="BR760"/>
    </row>
    <row r="761" spans="70:70" x14ac:dyDescent="0.2">
      <c r="BR761"/>
    </row>
    <row r="762" spans="70:70" x14ac:dyDescent="0.2">
      <c r="BR762"/>
    </row>
    <row r="763" spans="70:70" x14ac:dyDescent="0.2">
      <c r="BR763"/>
    </row>
    <row r="764" spans="70:70" x14ac:dyDescent="0.2">
      <c r="BR764"/>
    </row>
    <row r="765" spans="70:70" x14ac:dyDescent="0.2">
      <c r="BR765"/>
    </row>
    <row r="766" spans="70:70" x14ac:dyDescent="0.2">
      <c r="BR766"/>
    </row>
    <row r="767" spans="70:70" x14ac:dyDescent="0.2">
      <c r="BR767"/>
    </row>
    <row r="768" spans="70:70" x14ac:dyDescent="0.2">
      <c r="BR768"/>
    </row>
    <row r="769" spans="70:70" x14ac:dyDescent="0.2">
      <c r="BR769"/>
    </row>
    <row r="770" spans="70:70" x14ac:dyDescent="0.2">
      <c r="BR770"/>
    </row>
    <row r="771" spans="70:70" x14ac:dyDescent="0.2">
      <c r="BR771"/>
    </row>
    <row r="772" spans="70:70" x14ac:dyDescent="0.2">
      <c r="BR772"/>
    </row>
    <row r="773" spans="70:70" x14ac:dyDescent="0.2">
      <c r="BR773"/>
    </row>
    <row r="774" spans="70:70" x14ac:dyDescent="0.2">
      <c r="BR774"/>
    </row>
    <row r="775" spans="70:70" x14ac:dyDescent="0.2">
      <c r="BR775"/>
    </row>
    <row r="776" spans="70:70" x14ac:dyDescent="0.2">
      <c r="BR776"/>
    </row>
    <row r="777" spans="70:70" x14ac:dyDescent="0.2">
      <c r="BR777"/>
    </row>
    <row r="778" spans="70:70" x14ac:dyDescent="0.2">
      <c r="BR778"/>
    </row>
    <row r="779" spans="70:70" x14ac:dyDescent="0.2">
      <c r="BR779"/>
    </row>
    <row r="780" spans="70:70" x14ac:dyDescent="0.2">
      <c r="BR780"/>
    </row>
    <row r="781" spans="70:70" x14ac:dyDescent="0.2">
      <c r="BR781"/>
    </row>
    <row r="782" spans="70:70" x14ac:dyDescent="0.2">
      <c r="BR782"/>
    </row>
    <row r="783" spans="70:70" x14ac:dyDescent="0.2">
      <c r="BR783"/>
    </row>
    <row r="784" spans="70:70" x14ac:dyDescent="0.2">
      <c r="BR784"/>
    </row>
    <row r="785" spans="70:70" x14ac:dyDescent="0.2">
      <c r="BR785"/>
    </row>
    <row r="786" spans="70:70" x14ac:dyDescent="0.2">
      <c r="BR786"/>
    </row>
    <row r="787" spans="70:70" x14ac:dyDescent="0.2">
      <c r="BR787"/>
    </row>
    <row r="788" spans="70:70" x14ac:dyDescent="0.2">
      <c r="BR788"/>
    </row>
    <row r="789" spans="70:70" x14ac:dyDescent="0.2">
      <c r="BR789"/>
    </row>
    <row r="790" spans="70:70" x14ac:dyDescent="0.2">
      <c r="BR790"/>
    </row>
    <row r="791" spans="70:70" x14ac:dyDescent="0.2">
      <c r="BR791"/>
    </row>
    <row r="792" spans="70:70" x14ac:dyDescent="0.2">
      <c r="BR792"/>
    </row>
    <row r="793" spans="70:70" x14ac:dyDescent="0.2">
      <c r="BR793"/>
    </row>
    <row r="794" spans="70:70" x14ac:dyDescent="0.2">
      <c r="BR794"/>
    </row>
    <row r="795" spans="70:70" x14ac:dyDescent="0.2">
      <c r="BR795"/>
    </row>
    <row r="796" spans="70:70" x14ac:dyDescent="0.2">
      <c r="BR796"/>
    </row>
    <row r="797" spans="70:70" x14ac:dyDescent="0.2">
      <c r="BR797"/>
    </row>
    <row r="798" spans="70:70" x14ac:dyDescent="0.2">
      <c r="BR798"/>
    </row>
    <row r="799" spans="70:70" x14ac:dyDescent="0.2">
      <c r="BR799"/>
    </row>
    <row r="800" spans="70:70" x14ac:dyDescent="0.2">
      <c r="BR800"/>
    </row>
    <row r="801" spans="70:70" x14ac:dyDescent="0.2">
      <c r="BR801"/>
    </row>
    <row r="802" spans="70:70" x14ac:dyDescent="0.2">
      <c r="BR802"/>
    </row>
    <row r="803" spans="70:70" x14ac:dyDescent="0.2">
      <c r="BR803"/>
    </row>
    <row r="804" spans="70:70" x14ac:dyDescent="0.2">
      <c r="BR804"/>
    </row>
    <row r="805" spans="70:70" x14ac:dyDescent="0.2">
      <c r="BR805"/>
    </row>
    <row r="806" spans="70:70" x14ac:dyDescent="0.2">
      <c r="BR806"/>
    </row>
    <row r="807" spans="70:70" x14ac:dyDescent="0.2">
      <c r="BR807"/>
    </row>
    <row r="808" spans="70:70" x14ac:dyDescent="0.2">
      <c r="BR808"/>
    </row>
    <row r="809" spans="70:70" x14ac:dyDescent="0.2">
      <c r="BR809"/>
    </row>
    <row r="810" spans="70:70" x14ac:dyDescent="0.2">
      <c r="BR810"/>
    </row>
    <row r="811" spans="70:70" x14ac:dyDescent="0.2">
      <c r="BR811"/>
    </row>
    <row r="812" spans="70:70" x14ac:dyDescent="0.2">
      <c r="BR812"/>
    </row>
    <row r="813" spans="70:70" x14ac:dyDescent="0.2">
      <c r="BR813"/>
    </row>
    <row r="814" spans="70:70" x14ac:dyDescent="0.2">
      <c r="BR814"/>
    </row>
    <row r="815" spans="70:70" x14ac:dyDescent="0.2">
      <c r="BR815"/>
    </row>
    <row r="816" spans="70:70" x14ac:dyDescent="0.2">
      <c r="BR816"/>
    </row>
    <row r="817" spans="70:70" x14ac:dyDescent="0.2">
      <c r="BR817"/>
    </row>
    <row r="818" spans="70:70" x14ac:dyDescent="0.2">
      <c r="BR818"/>
    </row>
    <row r="819" spans="70:70" x14ac:dyDescent="0.2">
      <c r="BR819"/>
    </row>
    <row r="820" spans="70:70" x14ac:dyDescent="0.2">
      <c r="BR820"/>
    </row>
    <row r="821" spans="70:70" x14ac:dyDescent="0.2">
      <c r="BR821"/>
    </row>
    <row r="822" spans="70:70" x14ac:dyDescent="0.2">
      <c r="BR822"/>
    </row>
    <row r="823" spans="70:70" x14ac:dyDescent="0.2">
      <c r="BR823"/>
    </row>
    <row r="824" spans="70:70" x14ac:dyDescent="0.2">
      <c r="BR824"/>
    </row>
    <row r="825" spans="70:70" x14ac:dyDescent="0.2">
      <c r="BR825"/>
    </row>
    <row r="826" spans="70:70" x14ac:dyDescent="0.2">
      <c r="BR826"/>
    </row>
    <row r="827" spans="70:70" x14ac:dyDescent="0.2">
      <c r="BR827"/>
    </row>
    <row r="828" spans="70:70" x14ac:dyDescent="0.2">
      <c r="BR828"/>
    </row>
    <row r="829" spans="70:70" x14ac:dyDescent="0.2">
      <c r="BR829"/>
    </row>
    <row r="830" spans="70:70" x14ac:dyDescent="0.2">
      <c r="BR830"/>
    </row>
    <row r="831" spans="70:70" x14ac:dyDescent="0.2">
      <c r="BR831"/>
    </row>
    <row r="832" spans="70:70" x14ac:dyDescent="0.2">
      <c r="BR832"/>
    </row>
    <row r="833" spans="70:70" x14ac:dyDescent="0.2">
      <c r="BR833"/>
    </row>
    <row r="834" spans="70:70" x14ac:dyDescent="0.2">
      <c r="BR834"/>
    </row>
    <row r="835" spans="70:70" x14ac:dyDescent="0.2">
      <c r="BR835"/>
    </row>
    <row r="836" spans="70:70" x14ac:dyDescent="0.2">
      <c r="BR836"/>
    </row>
    <row r="837" spans="70:70" x14ac:dyDescent="0.2">
      <c r="BR837"/>
    </row>
    <row r="838" spans="70:70" x14ac:dyDescent="0.2">
      <c r="BR838"/>
    </row>
    <row r="839" spans="70:70" x14ac:dyDescent="0.2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RowHeight="11.25" x14ac:dyDescent="0.2"/>
  <cols>
    <col min="1" max="1" width="9.140625" style="13"/>
    <col min="2" max="2" width="13.7109375" style="11" customWidth="1"/>
    <col min="3" max="3" width="14" style="75" customWidth="1"/>
    <col min="4" max="4" width="16.28515625" style="77" customWidth="1"/>
    <col min="5" max="5" width="17" style="23" customWidth="1"/>
    <col min="6" max="6" width="15.140625" style="23" customWidth="1"/>
    <col min="7" max="7" width="15.85546875" style="23" customWidth="1"/>
    <col min="8" max="8" width="16.140625" style="23" customWidth="1"/>
    <col min="9" max="9" width="16.85546875" style="23" customWidth="1"/>
    <col min="10" max="10" width="15.42578125" style="23" customWidth="1"/>
    <col min="11" max="11" width="16.140625" style="23" customWidth="1"/>
    <col min="12" max="14" width="9.140625" style="13"/>
    <col min="15" max="15" width="17" style="13" customWidth="1"/>
    <col min="16" max="16384" width="9.14062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36708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36715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36722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36729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36736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36743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36750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36757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36764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36771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36778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36785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36792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36799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36806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36813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36820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36827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36834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36841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36848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36855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36862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36869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36876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36883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36890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36897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36904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36911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36918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36925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36932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36939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36946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36953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36960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36967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36974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36981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36988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36995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37002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37009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37016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37023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37030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37037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37044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37051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37058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37065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37072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37079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37086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37093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37100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37107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37114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37121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37128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37135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37142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37149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37156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37163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37170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37177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37184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37191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37198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37205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37212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37219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37226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37233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37240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37247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37254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37261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37268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37275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37282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37289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37296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37303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37310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37317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37324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37331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37338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37345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37352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37359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37366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37373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37380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37387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37394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37401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37408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37415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37422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37429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37436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37443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37450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37457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37464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37471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37478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37485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37492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37499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37506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37513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37520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37527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37534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37541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37548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37555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37562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37569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37576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37583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37590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37597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37604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37611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37618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37625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37632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37639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37646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37653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37660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37667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37674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37681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37688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37695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37702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37709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37716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37723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37730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37737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37744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37751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37758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37765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37772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37779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37786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37793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37800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37807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37814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37821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37828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37835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37842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37849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37856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37863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37870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37877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37884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37891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37898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37905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37912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37919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37926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37933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37940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37947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37954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37961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37968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37975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37982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37989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37996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38003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38010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38017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38024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38031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38038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38045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38052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38059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38066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38073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38080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38087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38094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38101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38108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38115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38122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38129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38136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38143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38150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38157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38164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38171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38178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38185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38192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38199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38206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38213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38220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38227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38234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38241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38248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38255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38262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38269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38276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38283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38290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38297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38304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38311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38318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38325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38332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38339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38346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38353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38360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38367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38374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38381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38388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38395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38402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38409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38416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38423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38430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38437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38444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38451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38458</v>
      </c>
      <c r="C252" s="75">
        <v>10</v>
      </c>
      <c r="D252" s="77">
        <v>0.1</v>
      </c>
    </row>
    <row r="253" spans="2:11" x14ac:dyDescent="0.2">
      <c r="B253" s="11">
        <f t="shared" si="15"/>
        <v>38465</v>
      </c>
      <c r="C253" s="75">
        <v>10</v>
      </c>
      <c r="D253" s="77">
        <v>0.1</v>
      </c>
    </row>
    <row r="254" spans="2:11" x14ac:dyDescent="0.2">
      <c r="B254" s="11">
        <f t="shared" si="15"/>
        <v>38472</v>
      </c>
      <c r="C254" s="75">
        <v>10</v>
      </c>
      <c r="D254" s="77">
        <v>0.1</v>
      </c>
    </row>
    <row r="255" spans="2:11" x14ac:dyDescent="0.2">
      <c r="B255" s="11">
        <f t="shared" si="15"/>
        <v>38479</v>
      </c>
      <c r="C255" s="75">
        <v>10</v>
      </c>
      <c r="D255" s="77">
        <v>0.1</v>
      </c>
    </row>
    <row r="256" spans="2:11" x14ac:dyDescent="0.2">
      <c r="B256" s="11">
        <f t="shared" si="15"/>
        <v>38486</v>
      </c>
      <c r="C256" s="75">
        <v>10</v>
      </c>
      <c r="D256" s="77">
        <v>0.1</v>
      </c>
    </row>
    <row r="257" spans="2:4" x14ac:dyDescent="0.2">
      <c r="B257" s="11">
        <f t="shared" si="15"/>
        <v>38493</v>
      </c>
      <c r="C257" s="75">
        <v>10</v>
      </c>
      <c r="D257" s="77">
        <v>0.1</v>
      </c>
    </row>
    <row r="258" spans="2:4" x14ac:dyDescent="0.2">
      <c r="B258" s="11">
        <f t="shared" si="15"/>
        <v>38500</v>
      </c>
      <c r="C258" s="75">
        <v>10</v>
      </c>
      <c r="D258" s="77">
        <v>0.1</v>
      </c>
    </row>
    <row r="259" spans="2:4" x14ac:dyDescent="0.2">
      <c r="B259" s="11">
        <f t="shared" si="15"/>
        <v>38507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38514</v>
      </c>
      <c r="C260" s="75">
        <v>10</v>
      </c>
      <c r="D260" s="77">
        <v>0.1</v>
      </c>
    </row>
    <row r="261" spans="2:4" x14ac:dyDescent="0.2">
      <c r="B261" s="11">
        <f t="shared" si="16"/>
        <v>38521</v>
      </c>
      <c r="C261" s="75">
        <v>10</v>
      </c>
      <c r="D261" s="77">
        <v>0.1</v>
      </c>
    </row>
    <row r="262" spans="2:4" x14ac:dyDescent="0.2">
      <c r="B262" s="11">
        <f t="shared" si="16"/>
        <v>38528</v>
      </c>
      <c r="C262" s="75">
        <v>10</v>
      </c>
      <c r="D262" s="77">
        <v>0.1</v>
      </c>
    </row>
    <row r="263" spans="2:4" x14ac:dyDescent="0.2">
      <c r="B263" s="11">
        <f t="shared" si="16"/>
        <v>38535</v>
      </c>
      <c r="C263" s="75">
        <v>10</v>
      </c>
      <c r="D263" s="77">
        <v>0.1</v>
      </c>
    </row>
    <row r="264" spans="2:4" x14ac:dyDescent="0.2">
      <c r="B264" s="11">
        <f t="shared" si="16"/>
        <v>38542</v>
      </c>
      <c r="C264" s="75">
        <v>10</v>
      </c>
      <c r="D264" s="77">
        <v>0.1</v>
      </c>
    </row>
    <row r="265" spans="2:4" x14ac:dyDescent="0.2">
      <c r="B265" s="11">
        <f t="shared" si="16"/>
        <v>38549</v>
      </c>
      <c r="C265" s="75">
        <v>10</v>
      </c>
      <c r="D265" s="77">
        <v>0.1</v>
      </c>
    </row>
    <row r="266" spans="2:4" x14ac:dyDescent="0.2">
      <c r="B266" s="11">
        <f t="shared" si="16"/>
        <v>38556</v>
      </c>
      <c r="C266" s="75">
        <v>10</v>
      </c>
      <c r="D266" s="77">
        <v>0.1</v>
      </c>
    </row>
    <row r="267" spans="2:4" x14ac:dyDescent="0.2">
      <c r="B267" s="11">
        <f t="shared" si="16"/>
        <v>38563</v>
      </c>
      <c r="C267" s="75">
        <v>10</v>
      </c>
      <c r="D267" s="77">
        <v>0.1</v>
      </c>
    </row>
    <row r="268" spans="2:4" x14ac:dyDescent="0.2">
      <c r="B268" s="11">
        <f t="shared" si="16"/>
        <v>38570</v>
      </c>
      <c r="C268" s="75">
        <v>10</v>
      </c>
      <c r="D268" s="77">
        <v>0.1</v>
      </c>
    </row>
    <row r="269" spans="2:4" x14ac:dyDescent="0.2">
      <c r="B269" s="11">
        <f t="shared" si="16"/>
        <v>38577</v>
      </c>
      <c r="C269" s="75">
        <v>10</v>
      </c>
      <c r="D269" s="77">
        <v>0.1</v>
      </c>
    </row>
    <row r="270" spans="2:4" x14ac:dyDescent="0.2">
      <c r="B270" s="11">
        <f t="shared" si="16"/>
        <v>38584</v>
      </c>
      <c r="C270" s="75">
        <v>10</v>
      </c>
      <c r="D270" s="77">
        <v>0.1</v>
      </c>
    </row>
    <row r="271" spans="2:4" x14ac:dyDescent="0.2">
      <c r="B271" s="11">
        <f t="shared" si="16"/>
        <v>38591</v>
      </c>
      <c r="C271" s="75">
        <v>10</v>
      </c>
      <c r="D271" s="77">
        <v>0.1</v>
      </c>
    </row>
    <row r="272" spans="2:4" x14ac:dyDescent="0.2">
      <c r="B272" s="11">
        <f t="shared" si="16"/>
        <v>38598</v>
      </c>
      <c r="C272" s="75">
        <v>10</v>
      </c>
      <c r="D272" s="77">
        <v>0.1</v>
      </c>
    </row>
    <row r="273" spans="2:4" x14ac:dyDescent="0.2">
      <c r="B273" s="11">
        <f t="shared" si="16"/>
        <v>38605</v>
      </c>
      <c r="C273" s="75">
        <v>10</v>
      </c>
      <c r="D273" s="77">
        <v>0.1</v>
      </c>
    </row>
    <row r="274" spans="2:4" x14ac:dyDescent="0.2">
      <c r="B274" s="11">
        <f t="shared" si="16"/>
        <v>38612</v>
      </c>
      <c r="C274" s="75">
        <v>10</v>
      </c>
      <c r="D274" s="77">
        <v>0.1</v>
      </c>
    </row>
    <row r="275" spans="2:4" x14ac:dyDescent="0.2">
      <c r="B275" s="11">
        <f t="shared" si="16"/>
        <v>38619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38626</v>
      </c>
      <c r="C276" s="75">
        <v>10</v>
      </c>
      <c r="D276" s="77">
        <v>0.1</v>
      </c>
    </row>
    <row r="277" spans="2:4" x14ac:dyDescent="0.2">
      <c r="B277" s="11">
        <f t="shared" si="17"/>
        <v>38633</v>
      </c>
      <c r="C277" s="75">
        <v>10</v>
      </c>
      <c r="D277" s="77">
        <v>0.1</v>
      </c>
    </row>
    <row r="278" spans="2:4" x14ac:dyDescent="0.2">
      <c r="B278" s="11">
        <f t="shared" si="17"/>
        <v>38640</v>
      </c>
      <c r="C278" s="75">
        <v>10</v>
      </c>
      <c r="D278" s="77">
        <v>0.1</v>
      </c>
    </row>
    <row r="279" spans="2:4" x14ac:dyDescent="0.2">
      <c r="B279" s="11">
        <f t="shared" si="17"/>
        <v>38647</v>
      </c>
      <c r="C279" s="75">
        <v>10</v>
      </c>
      <c r="D279" s="77">
        <v>0.1</v>
      </c>
    </row>
    <row r="280" spans="2:4" x14ac:dyDescent="0.2">
      <c r="B280" s="11">
        <f t="shared" si="17"/>
        <v>38654</v>
      </c>
      <c r="C280" s="75">
        <v>10</v>
      </c>
      <c r="D280" s="77">
        <v>0.1</v>
      </c>
    </row>
    <row r="281" spans="2:4" x14ac:dyDescent="0.2">
      <c r="B281" s="11">
        <f t="shared" si="17"/>
        <v>38661</v>
      </c>
      <c r="C281" s="75">
        <v>10</v>
      </c>
      <c r="D281" s="77">
        <v>0.1</v>
      </c>
    </row>
    <row r="282" spans="2:4" x14ac:dyDescent="0.2">
      <c r="B282" s="11">
        <f t="shared" si="17"/>
        <v>38668</v>
      </c>
      <c r="C282" s="75">
        <v>10</v>
      </c>
      <c r="D282" s="77">
        <v>0.1</v>
      </c>
    </row>
    <row r="283" spans="2:4" x14ac:dyDescent="0.2">
      <c r="B283" s="11">
        <f t="shared" si="17"/>
        <v>38675</v>
      </c>
      <c r="C283" s="75">
        <v>10</v>
      </c>
      <c r="D283" s="77">
        <v>0.1</v>
      </c>
    </row>
    <row r="284" spans="2:4" x14ac:dyDescent="0.2">
      <c r="B284" s="11">
        <f t="shared" si="17"/>
        <v>38682</v>
      </c>
      <c r="C284" s="75">
        <v>10</v>
      </c>
      <c r="D284" s="77">
        <v>0.1</v>
      </c>
    </row>
    <row r="285" spans="2:4" x14ac:dyDescent="0.2">
      <c r="B285" s="11">
        <f t="shared" si="17"/>
        <v>38689</v>
      </c>
      <c r="C285" s="75">
        <v>10</v>
      </c>
      <c r="D285" s="77">
        <v>0.1</v>
      </c>
    </row>
    <row r="286" spans="2:4" x14ac:dyDescent="0.2">
      <c r="B286" s="11">
        <f t="shared" si="17"/>
        <v>38696</v>
      </c>
      <c r="C286" s="75">
        <v>10</v>
      </c>
      <c r="D286" s="77">
        <v>0.1</v>
      </c>
    </row>
    <row r="287" spans="2:4" x14ac:dyDescent="0.2">
      <c r="B287" s="11">
        <f t="shared" si="17"/>
        <v>38703</v>
      </c>
      <c r="C287" s="75">
        <v>10</v>
      </c>
      <c r="D287" s="77">
        <v>0.1</v>
      </c>
    </row>
    <row r="288" spans="2:4" x14ac:dyDescent="0.2">
      <c r="B288" s="11">
        <f t="shared" si="17"/>
        <v>38710</v>
      </c>
      <c r="C288" s="75">
        <v>10</v>
      </c>
      <c r="D288" s="77">
        <v>0.1</v>
      </c>
    </row>
    <row r="289" spans="2:4" x14ac:dyDescent="0.2">
      <c r="B289" s="11">
        <f t="shared" si="17"/>
        <v>38717</v>
      </c>
      <c r="C289" s="75">
        <v>10</v>
      </c>
      <c r="D289" s="77">
        <v>0.1</v>
      </c>
    </row>
    <row r="290" spans="2:4" x14ac:dyDescent="0.2">
      <c r="B290" s="11">
        <f t="shared" si="17"/>
        <v>38724</v>
      </c>
      <c r="C290" s="75">
        <v>10</v>
      </c>
      <c r="D290" s="77">
        <v>0.1</v>
      </c>
    </row>
    <row r="291" spans="2:4" x14ac:dyDescent="0.2">
      <c r="B291" s="11">
        <f t="shared" si="17"/>
        <v>38731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38738</v>
      </c>
      <c r="C292" s="75">
        <v>10</v>
      </c>
      <c r="D292" s="77">
        <v>0.1</v>
      </c>
    </row>
    <row r="293" spans="2:4" x14ac:dyDescent="0.2">
      <c r="B293" s="11">
        <f t="shared" si="18"/>
        <v>38745</v>
      </c>
      <c r="C293" s="75">
        <v>10</v>
      </c>
      <c r="D293" s="77">
        <v>0.1</v>
      </c>
    </row>
    <row r="294" spans="2:4" x14ac:dyDescent="0.2">
      <c r="B294" s="11">
        <f t="shared" si="18"/>
        <v>38752</v>
      </c>
      <c r="C294" s="75">
        <v>10</v>
      </c>
      <c r="D294" s="77">
        <v>0.1</v>
      </c>
    </row>
    <row r="295" spans="2:4" x14ac:dyDescent="0.2">
      <c r="B295" s="11">
        <f t="shared" si="18"/>
        <v>38759</v>
      </c>
      <c r="C295" s="75">
        <v>10</v>
      </c>
      <c r="D295" s="77">
        <v>0.1</v>
      </c>
    </row>
    <row r="296" spans="2:4" x14ac:dyDescent="0.2">
      <c r="B296" s="11">
        <f t="shared" si="18"/>
        <v>38766</v>
      </c>
      <c r="C296" s="75">
        <v>10</v>
      </c>
      <c r="D296" s="77">
        <v>0.1</v>
      </c>
    </row>
    <row r="297" spans="2:4" x14ac:dyDescent="0.2">
      <c r="B297" s="11">
        <f t="shared" si="18"/>
        <v>38773</v>
      </c>
      <c r="C297" s="75">
        <v>10</v>
      </c>
      <c r="D297" s="77">
        <v>0.1</v>
      </c>
    </row>
    <row r="298" spans="2:4" x14ac:dyDescent="0.2">
      <c r="B298" s="11">
        <f t="shared" si="18"/>
        <v>38780</v>
      </c>
      <c r="C298" s="75">
        <v>10</v>
      </c>
      <c r="D298" s="77">
        <v>0.1</v>
      </c>
    </row>
    <row r="299" spans="2:4" x14ac:dyDescent="0.2">
      <c r="B299" s="11">
        <f t="shared" si="18"/>
        <v>38787</v>
      </c>
      <c r="C299" s="75">
        <v>10</v>
      </c>
      <c r="D299" s="77">
        <v>0.1</v>
      </c>
    </row>
    <row r="300" spans="2:4" x14ac:dyDescent="0.2">
      <c r="B300" s="11">
        <f t="shared" si="18"/>
        <v>38794</v>
      </c>
      <c r="C300" s="75">
        <v>10</v>
      </c>
      <c r="D300" s="77">
        <v>0.1</v>
      </c>
    </row>
    <row r="301" spans="2:4" x14ac:dyDescent="0.2">
      <c r="B301" s="11">
        <f t="shared" si="18"/>
        <v>38801</v>
      </c>
      <c r="C301" s="75">
        <v>10</v>
      </c>
      <c r="D301" s="77">
        <v>0.1</v>
      </c>
    </row>
    <row r="302" spans="2:4" x14ac:dyDescent="0.2">
      <c r="B302" s="11">
        <f t="shared" si="18"/>
        <v>38808</v>
      </c>
      <c r="C302" s="75">
        <v>10</v>
      </c>
      <c r="D302" s="77">
        <v>0.1</v>
      </c>
    </row>
    <row r="303" spans="2:4" x14ac:dyDescent="0.2">
      <c r="B303" s="11">
        <f t="shared" si="18"/>
        <v>38815</v>
      </c>
      <c r="C303" s="75">
        <v>10</v>
      </c>
      <c r="D303" s="77">
        <v>0.1</v>
      </c>
    </row>
    <row r="304" spans="2:4" x14ac:dyDescent="0.2">
      <c r="B304" s="11">
        <f t="shared" si="18"/>
        <v>38822</v>
      </c>
      <c r="C304" s="75">
        <v>10</v>
      </c>
      <c r="D304" s="77">
        <v>0.1</v>
      </c>
    </row>
    <row r="305" spans="2:4" x14ac:dyDescent="0.2">
      <c r="B305" s="11">
        <f t="shared" si="18"/>
        <v>38829</v>
      </c>
      <c r="C305" s="75">
        <v>10</v>
      </c>
      <c r="D305" s="77">
        <v>0.1</v>
      </c>
    </row>
    <row r="306" spans="2:4" x14ac:dyDescent="0.2">
      <c r="B306" s="11">
        <f t="shared" si="18"/>
        <v>38836</v>
      </c>
      <c r="C306" s="75">
        <v>10</v>
      </c>
      <c r="D306" s="77">
        <v>0.1</v>
      </c>
    </row>
    <row r="307" spans="2:4" x14ac:dyDescent="0.2">
      <c r="B307" s="11">
        <f t="shared" si="18"/>
        <v>38843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38850</v>
      </c>
      <c r="C308" s="75">
        <v>10</v>
      </c>
      <c r="D308" s="77">
        <v>0.1</v>
      </c>
    </row>
    <row r="309" spans="2:4" x14ac:dyDescent="0.2">
      <c r="B309" s="11">
        <f t="shared" si="19"/>
        <v>38857</v>
      </c>
      <c r="C309" s="75">
        <v>10</v>
      </c>
      <c r="D309" s="77">
        <v>0.1</v>
      </c>
    </row>
    <row r="310" spans="2:4" x14ac:dyDescent="0.2">
      <c r="B310" s="11">
        <f t="shared" si="19"/>
        <v>38864</v>
      </c>
      <c r="C310" s="75">
        <v>10</v>
      </c>
      <c r="D310" s="77">
        <v>0.1</v>
      </c>
    </row>
    <row r="311" spans="2:4" x14ac:dyDescent="0.2">
      <c r="B311" s="11">
        <f t="shared" si="19"/>
        <v>38871</v>
      </c>
      <c r="C311" s="75">
        <v>10</v>
      </c>
      <c r="D311" s="77">
        <v>0.1</v>
      </c>
    </row>
    <row r="312" spans="2:4" x14ac:dyDescent="0.2">
      <c r="B312" s="11">
        <f t="shared" si="19"/>
        <v>38878</v>
      </c>
      <c r="C312" s="75">
        <v>10</v>
      </c>
      <c r="D312" s="77">
        <v>0.1</v>
      </c>
    </row>
    <row r="313" spans="2:4" x14ac:dyDescent="0.2">
      <c r="B313" s="11">
        <f t="shared" si="19"/>
        <v>38885</v>
      </c>
      <c r="C313" s="75">
        <v>10</v>
      </c>
      <c r="D313" s="77">
        <v>0.1</v>
      </c>
    </row>
    <row r="314" spans="2:4" x14ac:dyDescent="0.2">
      <c r="B314" s="11">
        <f t="shared" si="19"/>
        <v>38892</v>
      </c>
      <c r="C314" s="75">
        <v>10</v>
      </c>
      <c r="D314" s="77">
        <v>0.1</v>
      </c>
    </row>
    <row r="315" spans="2:4" x14ac:dyDescent="0.2">
      <c r="B315" s="11">
        <f t="shared" si="19"/>
        <v>38899</v>
      </c>
      <c r="C315" s="75">
        <v>10</v>
      </c>
      <c r="D315" s="77">
        <v>0.1</v>
      </c>
    </row>
    <row r="316" spans="2:4" x14ac:dyDescent="0.2">
      <c r="B316" s="11">
        <f t="shared" si="19"/>
        <v>38906</v>
      </c>
      <c r="C316" s="75">
        <v>10</v>
      </c>
      <c r="D316" s="77">
        <v>0.1</v>
      </c>
    </row>
    <row r="317" spans="2:4" x14ac:dyDescent="0.2">
      <c r="B317" s="11">
        <f t="shared" si="19"/>
        <v>38913</v>
      </c>
      <c r="C317" s="75">
        <v>10</v>
      </c>
      <c r="D317" s="77">
        <v>0.1</v>
      </c>
    </row>
    <row r="318" spans="2:4" x14ac:dyDescent="0.2">
      <c r="B318" s="11">
        <f t="shared" si="19"/>
        <v>38920</v>
      </c>
      <c r="C318" s="75">
        <v>10</v>
      </c>
      <c r="D318" s="77">
        <v>0.1</v>
      </c>
    </row>
    <row r="319" spans="2:4" x14ac:dyDescent="0.2">
      <c r="B319" s="11">
        <f t="shared" si="19"/>
        <v>38927</v>
      </c>
      <c r="C319" s="75">
        <v>10</v>
      </c>
      <c r="D319" s="77">
        <v>0.1</v>
      </c>
    </row>
    <row r="320" spans="2:4" x14ac:dyDescent="0.2">
      <c r="B320" s="11">
        <f t="shared" si="19"/>
        <v>38934</v>
      </c>
      <c r="C320" s="75">
        <v>10</v>
      </c>
      <c r="D320" s="77">
        <v>0.1</v>
      </c>
    </row>
    <row r="321" spans="2:4" x14ac:dyDescent="0.2">
      <c r="B321" s="11">
        <f t="shared" si="19"/>
        <v>38941</v>
      </c>
      <c r="C321" s="75">
        <v>10</v>
      </c>
      <c r="D321" s="77">
        <v>0.1</v>
      </c>
    </row>
    <row r="322" spans="2:4" x14ac:dyDescent="0.2">
      <c r="B322" s="11">
        <f t="shared" si="19"/>
        <v>38948</v>
      </c>
      <c r="C322" s="75">
        <v>10</v>
      </c>
      <c r="D322" s="77">
        <v>0.1</v>
      </c>
    </row>
    <row r="323" spans="2:4" x14ac:dyDescent="0.2">
      <c r="B323" s="11">
        <f t="shared" si="19"/>
        <v>38955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38962</v>
      </c>
      <c r="C324" s="75">
        <v>10</v>
      </c>
      <c r="D324" s="77">
        <v>0.1</v>
      </c>
    </row>
    <row r="325" spans="2:4" x14ac:dyDescent="0.2">
      <c r="B325" s="11">
        <f t="shared" si="20"/>
        <v>38969</v>
      </c>
      <c r="C325" s="75">
        <v>10</v>
      </c>
      <c r="D325" s="77">
        <v>0.1</v>
      </c>
    </row>
    <row r="326" spans="2:4" x14ac:dyDescent="0.2">
      <c r="B326" s="11">
        <f t="shared" si="20"/>
        <v>38976</v>
      </c>
      <c r="C326" s="75">
        <v>10</v>
      </c>
      <c r="D326" s="77">
        <v>0.1</v>
      </c>
    </row>
    <row r="327" spans="2:4" x14ac:dyDescent="0.2">
      <c r="B327" s="11">
        <f t="shared" si="20"/>
        <v>38983</v>
      </c>
      <c r="C327" s="75">
        <v>10</v>
      </c>
      <c r="D327" s="77">
        <v>0.1</v>
      </c>
    </row>
    <row r="328" spans="2:4" x14ac:dyDescent="0.2">
      <c r="B328" s="11">
        <f t="shared" si="20"/>
        <v>38990</v>
      </c>
      <c r="C328" s="75">
        <v>10</v>
      </c>
      <c r="D328" s="77">
        <v>0.1</v>
      </c>
    </row>
    <row r="329" spans="2:4" x14ac:dyDescent="0.2">
      <c r="B329" s="11">
        <f t="shared" si="20"/>
        <v>38997</v>
      </c>
      <c r="C329" s="75">
        <v>10</v>
      </c>
      <c r="D329" s="77">
        <v>0.1</v>
      </c>
    </row>
    <row r="330" spans="2:4" x14ac:dyDescent="0.2">
      <c r="B330" s="11">
        <f t="shared" si="20"/>
        <v>39004</v>
      </c>
      <c r="C330" s="75">
        <v>10</v>
      </c>
      <c r="D330" s="77">
        <v>0.1</v>
      </c>
    </row>
    <row r="331" spans="2:4" x14ac:dyDescent="0.2">
      <c r="B331" s="11">
        <f t="shared" si="20"/>
        <v>39011</v>
      </c>
      <c r="C331" s="75">
        <v>10</v>
      </c>
      <c r="D331" s="77">
        <v>0.1</v>
      </c>
    </row>
    <row r="332" spans="2:4" x14ac:dyDescent="0.2">
      <c r="B332" s="11">
        <f t="shared" si="20"/>
        <v>39018</v>
      </c>
      <c r="C332" s="75">
        <v>10</v>
      </c>
      <c r="D332" s="77">
        <v>0.1</v>
      </c>
    </row>
    <row r="333" spans="2:4" x14ac:dyDescent="0.2">
      <c r="B333" s="11">
        <f t="shared" si="20"/>
        <v>39025</v>
      </c>
      <c r="C333" s="75">
        <v>10</v>
      </c>
      <c r="D333" s="77">
        <v>0.1</v>
      </c>
    </row>
    <row r="334" spans="2:4" x14ac:dyDescent="0.2">
      <c r="B334" s="11">
        <f t="shared" si="20"/>
        <v>39032</v>
      </c>
      <c r="C334" s="75">
        <v>10</v>
      </c>
      <c r="D334" s="77">
        <v>0.1</v>
      </c>
    </row>
    <row r="335" spans="2:4" x14ac:dyDescent="0.2">
      <c r="B335" s="11">
        <f t="shared" si="20"/>
        <v>39039</v>
      </c>
      <c r="C335" s="75">
        <v>10</v>
      </c>
      <c r="D335" s="77">
        <v>0.1</v>
      </c>
    </row>
    <row r="336" spans="2:4" x14ac:dyDescent="0.2">
      <c r="B336" s="11">
        <f t="shared" si="20"/>
        <v>39046</v>
      </c>
      <c r="C336" s="75">
        <v>10</v>
      </c>
      <c r="D336" s="77">
        <v>0.1</v>
      </c>
    </row>
    <row r="337" spans="2:4" x14ac:dyDescent="0.2">
      <c r="B337" s="11">
        <f t="shared" si="20"/>
        <v>39053</v>
      </c>
      <c r="C337" s="75">
        <v>10</v>
      </c>
      <c r="D337" s="77">
        <v>0.1</v>
      </c>
    </row>
    <row r="338" spans="2:4" x14ac:dyDescent="0.2">
      <c r="B338" s="11">
        <f t="shared" si="20"/>
        <v>39060</v>
      </c>
      <c r="C338" s="75">
        <v>10</v>
      </c>
      <c r="D338" s="77">
        <v>0.1</v>
      </c>
    </row>
    <row r="339" spans="2:4" x14ac:dyDescent="0.2">
      <c r="B339" s="11">
        <f t="shared" si="20"/>
        <v>39067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39074</v>
      </c>
      <c r="C340" s="75">
        <v>10</v>
      </c>
      <c r="D340" s="77">
        <v>0.1</v>
      </c>
    </row>
    <row r="341" spans="2:4" x14ac:dyDescent="0.2">
      <c r="B341" s="11">
        <f t="shared" si="21"/>
        <v>39081</v>
      </c>
      <c r="C341" s="75">
        <v>10</v>
      </c>
      <c r="D341" s="77">
        <v>0.1</v>
      </c>
    </row>
    <row r="342" spans="2:4" x14ac:dyDescent="0.2">
      <c r="B342" s="11">
        <f t="shared" si="21"/>
        <v>39088</v>
      </c>
      <c r="C342" s="75">
        <v>10</v>
      </c>
      <c r="D342" s="77">
        <v>0.1</v>
      </c>
    </row>
    <row r="343" spans="2:4" x14ac:dyDescent="0.2">
      <c r="B343" s="11">
        <f t="shared" si="21"/>
        <v>39095</v>
      </c>
      <c r="C343" s="75">
        <v>10</v>
      </c>
      <c r="D343" s="77">
        <v>0.1</v>
      </c>
    </row>
    <row r="344" spans="2:4" x14ac:dyDescent="0.2">
      <c r="B344" s="11">
        <f t="shared" si="21"/>
        <v>39102</v>
      </c>
      <c r="C344" s="75">
        <v>10</v>
      </c>
      <c r="D344" s="77">
        <v>0.1</v>
      </c>
    </row>
    <row r="345" spans="2:4" x14ac:dyDescent="0.2">
      <c r="B345" s="11">
        <f t="shared" si="21"/>
        <v>39109</v>
      </c>
      <c r="C345" s="75">
        <v>10</v>
      </c>
      <c r="D345" s="77">
        <v>0.1</v>
      </c>
    </row>
    <row r="346" spans="2:4" x14ac:dyDescent="0.2">
      <c r="B346" s="11">
        <f t="shared" si="21"/>
        <v>39116</v>
      </c>
      <c r="C346" s="75">
        <v>10</v>
      </c>
      <c r="D346" s="77">
        <v>0.1</v>
      </c>
    </row>
    <row r="347" spans="2:4" x14ac:dyDescent="0.2">
      <c r="B347" s="11">
        <f t="shared" si="21"/>
        <v>39123</v>
      </c>
      <c r="C347" s="75">
        <v>10</v>
      </c>
      <c r="D347" s="77">
        <v>0.1</v>
      </c>
    </row>
    <row r="348" spans="2:4" x14ac:dyDescent="0.2">
      <c r="B348" s="11">
        <f t="shared" si="21"/>
        <v>39130</v>
      </c>
      <c r="C348" s="75">
        <v>10</v>
      </c>
      <c r="D348" s="77">
        <v>0.1</v>
      </c>
    </row>
    <row r="349" spans="2:4" x14ac:dyDescent="0.2">
      <c r="B349" s="11">
        <f t="shared" si="21"/>
        <v>39137</v>
      </c>
      <c r="C349" s="75">
        <v>10</v>
      </c>
      <c r="D349" s="77">
        <v>0.1</v>
      </c>
    </row>
    <row r="350" spans="2:4" x14ac:dyDescent="0.2">
      <c r="B350" s="11">
        <f t="shared" si="21"/>
        <v>39144</v>
      </c>
      <c r="C350" s="75">
        <v>10</v>
      </c>
      <c r="D350" s="77">
        <v>0.1</v>
      </c>
    </row>
    <row r="351" spans="2:4" x14ac:dyDescent="0.2">
      <c r="B351" s="11">
        <f t="shared" si="21"/>
        <v>39151</v>
      </c>
      <c r="C351" s="75">
        <v>10</v>
      </c>
      <c r="D351" s="77">
        <v>0.1</v>
      </c>
    </row>
    <row r="352" spans="2:4" x14ac:dyDescent="0.2">
      <c r="B352" s="11">
        <f t="shared" si="21"/>
        <v>39158</v>
      </c>
      <c r="C352" s="75">
        <v>10</v>
      </c>
      <c r="D352" s="77">
        <v>0.1</v>
      </c>
    </row>
    <row r="353" spans="2:4" x14ac:dyDescent="0.2">
      <c r="B353" s="11">
        <f t="shared" si="21"/>
        <v>39165</v>
      </c>
      <c r="C353" s="75">
        <v>10</v>
      </c>
      <c r="D353" s="77">
        <v>0.1</v>
      </c>
    </row>
    <row r="354" spans="2:4" x14ac:dyDescent="0.2">
      <c r="B354" s="11">
        <f t="shared" si="21"/>
        <v>39172</v>
      </c>
      <c r="C354" s="75">
        <v>10</v>
      </c>
      <c r="D354" s="77">
        <v>0.1</v>
      </c>
    </row>
    <row r="355" spans="2:4" x14ac:dyDescent="0.2">
      <c r="B355" s="11">
        <f t="shared" si="21"/>
        <v>39179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39186</v>
      </c>
      <c r="C356" s="75">
        <v>10</v>
      </c>
      <c r="D356" s="77">
        <v>0.1</v>
      </c>
    </row>
    <row r="357" spans="2:4" x14ac:dyDescent="0.2">
      <c r="B357" s="11">
        <f t="shared" si="22"/>
        <v>39193</v>
      </c>
      <c r="C357" s="75">
        <v>10</v>
      </c>
      <c r="D357" s="77">
        <v>0.1</v>
      </c>
    </row>
    <row r="358" spans="2:4" x14ac:dyDescent="0.2">
      <c r="B358" s="11">
        <f t="shared" si="22"/>
        <v>39200</v>
      </c>
      <c r="C358" s="75">
        <v>10</v>
      </c>
      <c r="D358" s="77">
        <v>0.1</v>
      </c>
    </row>
    <row r="359" spans="2:4" x14ac:dyDescent="0.2">
      <c r="B359" s="11">
        <f t="shared" si="22"/>
        <v>39207</v>
      </c>
      <c r="C359" s="75">
        <v>10</v>
      </c>
      <c r="D359" s="77">
        <v>0.1</v>
      </c>
    </row>
    <row r="360" spans="2:4" x14ac:dyDescent="0.2">
      <c r="B360" s="11">
        <f t="shared" si="22"/>
        <v>39214</v>
      </c>
      <c r="C360" s="75">
        <v>10</v>
      </c>
      <c r="D360" s="77">
        <v>0.1</v>
      </c>
    </row>
    <row r="361" spans="2:4" x14ac:dyDescent="0.2">
      <c r="B361" s="11">
        <f t="shared" si="22"/>
        <v>39221</v>
      </c>
      <c r="C361" s="75">
        <v>10</v>
      </c>
      <c r="D361" s="77">
        <v>0.1</v>
      </c>
    </row>
    <row r="362" spans="2:4" x14ac:dyDescent="0.2">
      <c r="B362" s="11">
        <f t="shared" si="22"/>
        <v>39228</v>
      </c>
      <c r="C362" s="75">
        <v>10</v>
      </c>
      <c r="D362" s="77">
        <v>0.1</v>
      </c>
    </row>
    <row r="363" spans="2:4" x14ac:dyDescent="0.2">
      <c r="B363" s="11">
        <f t="shared" si="22"/>
        <v>39235</v>
      </c>
      <c r="C363" s="75">
        <v>10</v>
      </c>
      <c r="D363" s="77">
        <v>0.1</v>
      </c>
    </row>
    <row r="364" spans="2:4" x14ac:dyDescent="0.2">
      <c r="B364" s="11">
        <f t="shared" si="22"/>
        <v>39242</v>
      </c>
      <c r="C364" s="75">
        <v>10</v>
      </c>
      <c r="D364" s="77">
        <v>0.1</v>
      </c>
    </row>
    <row r="365" spans="2:4" x14ac:dyDescent="0.2">
      <c r="B365" s="11">
        <f t="shared" si="22"/>
        <v>39249</v>
      </c>
      <c r="C365" s="75">
        <v>10</v>
      </c>
      <c r="D365" s="77">
        <v>0.1</v>
      </c>
    </row>
    <row r="366" spans="2:4" x14ac:dyDescent="0.2">
      <c r="B366" s="11">
        <f t="shared" si="22"/>
        <v>39256</v>
      </c>
      <c r="C366" s="75">
        <v>10</v>
      </c>
      <c r="D366" s="77">
        <v>0.1</v>
      </c>
    </row>
    <row r="367" spans="2:4" x14ac:dyDescent="0.2">
      <c r="B367" s="11">
        <f t="shared" si="22"/>
        <v>39263</v>
      </c>
      <c r="C367" s="75">
        <v>10</v>
      </c>
      <c r="D367" s="77">
        <v>0.1</v>
      </c>
    </row>
    <row r="368" spans="2:4" x14ac:dyDescent="0.2">
      <c r="B368" s="11">
        <f t="shared" si="22"/>
        <v>39270</v>
      </c>
      <c r="C368" s="75">
        <v>10</v>
      </c>
      <c r="D368" s="77">
        <v>0.1</v>
      </c>
    </row>
    <row r="369" spans="2:4" x14ac:dyDescent="0.2">
      <c r="B369" s="11">
        <f t="shared" si="22"/>
        <v>39277</v>
      </c>
      <c r="C369" s="75">
        <v>10</v>
      </c>
      <c r="D369" s="77">
        <v>0.1</v>
      </c>
    </row>
    <row r="370" spans="2:4" x14ac:dyDescent="0.2">
      <c r="B370" s="11">
        <f t="shared" si="22"/>
        <v>39284</v>
      </c>
      <c r="C370" s="75">
        <v>10</v>
      </c>
      <c r="D370" s="77">
        <v>0.1</v>
      </c>
    </row>
    <row r="371" spans="2:4" x14ac:dyDescent="0.2">
      <c r="B371" s="11">
        <f t="shared" si="22"/>
        <v>39291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39298</v>
      </c>
      <c r="C372" s="75">
        <v>10</v>
      </c>
      <c r="D372" s="77">
        <v>0.1</v>
      </c>
    </row>
    <row r="373" spans="2:4" x14ac:dyDescent="0.2">
      <c r="B373" s="11">
        <f t="shared" si="23"/>
        <v>39305</v>
      </c>
      <c r="C373" s="75">
        <v>10</v>
      </c>
      <c r="D373" s="77">
        <v>0.1</v>
      </c>
    </row>
    <row r="374" spans="2:4" x14ac:dyDescent="0.2">
      <c r="B374" s="11">
        <f t="shared" si="23"/>
        <v>39312</v>
      </c>
      <c r="C374" s="75">
        <v>10</v>
      </c>
      <c r="D374" s="77">
        <v>0.1</v>
      </c>
    </row>
    <row r="375" spans="2:4" x14ac:dyDescent="0.2">
      <c r="B375" s="11">
        <f t="shared" si="23"/>
        <v>39319</v>
      </c>
      <c r="C375" s="75">
        <v>10</v>
      </c>
      <c r="D375" s="77">
        <v>0.1</v>
      </c>
    </row>
    <row r="376" spans="2:4" x14ac:dyDescent="0.2">
      <c r="B376" s="11">
        <f t="shared" si="23"/>
        <v>39326</v>
      </c>
      <c r="C376" s="75">
        <v>10</v>
      </c>
      <c r="D376" s="77">
        <v>0.1</v>
      </c>
    </row>
    <row r="377" spans="2:4" x14ac:dyDescent="0.2">
      <c r="B377" s="11">
        <f t="shared" si="23"/>
        <v>39333</v>
      </c>
      <c r="C377" s="75">
        <v>10</v>
      </c>
      <c r="D377" s="77">
        <v>0.1</v>
      </c>
    </row>
    <row r="378" spans="2:4" x14ac:dyDescent="0.2">
      <c r="B378" s="11">
        <f t="shared" si="23"/>
        <v>39340</v>
      </c>
      <c r="C378" s="75">
        <v>10</v>
      </c>
      <c r="D378" s="77">
        <v>0.1</v>
      </c>
    </row>
    <row r="379" spans="2:4" x14ac:dyDescent="0.2">
      <c r="B379" s="11">
        <f t="shared" si="23"/>
        <v>39347</v>
      </c>
      <c r="C379" s="75">
        <v>10</v>
      </c>
      <c r="D379" s="77">
        <v>0.1</v>
      </c>
    </row>
    <row r="380" spans="2:4" x14ac:dyDescent="0.2">
      <c r="B380" s="11">
        <f t="shared" si="23"/>
        <v>39354</v>
      </c>
      <c r="C380" s="75">
        <v>10</v>
      </c>
      <c r="D380" s="77">
        <v>0.1</v>
      </c>
    </row>
    <row r="381" spans="2:4" x14ac:dyDescent="0.2">
      <c r="B381" s="11">
        <f t="shared" si="23"/>
        <v>39361</v>
      </c>
      <c r="C381" s="75">
        <v>10</v>
      </c>
      <c r="D381" s="77">
        <v>0.1</v>
      </c>
    </row>
    <row r="382" spans="2:4" x14ac:dyDescent="0.2">
      <c r="B382" s="11">
        <f t="shared" si="23"/>
        <v>39368</v>
      </c>
      <c r="C382" s="75">
        <v>10</v>
      </c>
      <c r="D382" s="77">
        <v>0.1</v>
      </c>
    </row>
    <row r="383" spans="2:4" x14ac:dyDescent="0.2">
      <c r="B383" s="11">
        <f t="shared" si="23"/>
        <v>39375</v>
      </c>
      <c r="C383" s="75">
        <v>10</v>
      </c>
      <c r="D383" s="77">
        <v>0.1</v>
      </c>
    </row>
    <row r="384" spans="2:4" x14ac:dyDescent="0.2">
      <c r="B384" s="11">
        <f t="shared" si="23"/>
        <v>39382</v>
      </c>
      <c r="C384" s="75">
        <v>10</v>
      </c>
      <c r="D384" s="77">
        <v>0.1</v>
      </c>
    </row>
    <row r="385" spans="2:4" x14ac:dyDescent="0.2">
      <c r="B385" s="11">
        <f t="shared" si="23"/>
        <v>39389</v>
      </c>
      <c r="C385" s="75">
        <v>10</v>
      </c>
      <c r="D385" s="77">
        <v>0.1</v>
      </c>
    </row>
    <row r="386" spans="2:4" x14ac:dyDescent="0.2">
      <c r="B386" s="11">
        <f t="shared" si="23"/>
        <v>39396</v>
      </c>
      <c r="C386" s="75">
        <v>10</v>
      </c>
      <c r="D386" s="77">
        <v>0.1</v>
      </c>
    </row>
    <row r="387" spans="2:4" x14ac:dyDescent="0.2">
      <c r="B387" s="11">
        <f t="shared" si="23"/>
        <v>39403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39410</v>
      </c>
      <c r="C388" s="75">
        <v>10</v>
      </c>
      <c r="D388" s="77">
        <v>0.1</v>
      </c>
    </row>
    <row r="389" spans="2:4" x14ac:dyDescent="0.2">
      <c r="B389" s="11">
        <f t="shared" si="24"/>
        <v>39417</v>
      </c>
      <c r="C389" s="75">
        <v>10</v>
      </c>
      <c r="D389" s="77">
        <v>0.1</v>
      </c>
    </row>
    <row r="390" spans="2:4" x14ac:dyDescent="0.2">
      <c r="B390" s="11">
        <f t="shared" si="24"/>
        <v>39424</v>
      </c>
      <c r="C390" s="75">
        <v>10</v>
      </c>
      <c r="D390" s="77">
        <v>0.1</v>
      </c>
    </row>
    <row r="391" spans="2:4" x14ac:dyDescent="0.2">
      <c r="B391" s="11">
        <f t="shared" si="24"/>
        <v>39431</v>
      </c>
      <c r="C391" s="75">
        <v>10</v>
      </c>
      <c r="D391" s="77">
        <v>0.1</v>
      </c>
    </row>
    <row r="392" spans="2:4" x14ac:dyDescent="0.2">
      <c r="B392" s="11">
        <f t="shared" si="24"/>
        <v>39438</v>
      </c>
      <c r="C392" s="75">
        <v>10</v>
      </c>
      <c r="D392" s="77">
        <v>0.1</v>
      </c>
    </row>
    <row r="393" spans="2:4" x14ac:dyDescent="0.2">
      <c r="B393" s="11">
        <f t="shared" si="24"/>
        <v>39445</v>
      </c>
      <c r="C393" s="75">
        <v>10</v>
      </c>
      <c r="D393" s="77">
        <v>0.1</v>
      </c>
    </row>
    <row r="394" spans="2:4" x14ac:dyDescent="0.2">
      <c r="B394" s="11">
        <f t="shared" si="24"/>
        <v>39452</v>
      </c>
      <c r="C394" s="75">
        <v>10</v>
      </c>
      <c r="D394" s="77">
        <v>0.1</v>
      </c>
    </row>
    <row r="395" spans="2:4" x14ac:dyDescent="0.2">
      <c r="B395" s="11">
        <f t="shared" si="24"/>
        <v>39459</v>
      </c>
      <c r="C395" s="75">
        <v>10</v>
      </c>
      <c r="D395" s="77">
        <v>0.1</v>
      </c>
    </row>
    <row r="396" spans="2:4" x14ac:dyDescent="0.2">
      <c r="B396" s="11">
        <f t="shared" si="24"/>
        <v>39466</v>
      </c>
      <c r="C396" s="75">
        <v>10</v>
      </c>
      <c r="D396" s="77">
        <v>0.1</v>
      </c>
    </row>
    <row r="397" spans="2:4" x14ac:dyDescent="0.2">
      <c r="B397" s="11">
        <f t="shared" si="24"/>
        <v>39473</v>
      </c>
      <c r="C397" s="75">
        <v>10</v>
      </c>
      <c r="D397" s="77">
        <v>0.1</v>
      </c>
    </row>
    <row r="398" spans="2:4" x14ac:dyDescent="0.2">
      <c r="B398" s="11">
        <f t="shared" si="24"/>
        <v>39480</v>
      </c>
      <c r="C398" s="75">
        <v>10</v>
      </c>
      <c r="D398" s="77">
        <v>0.1</v>
      </c>
    </row>
    <row r="399" spans="2:4" x14ac:dyDescent="0.2">
      <c r="B399" s="11">
        <f t="shared" si="24"/>
        <v>39487</v>
      </c>
      <c r="C399" s="75">
        <v>10</v>
      </c>
      <c r="D399" s="77">
        <v>0.1</v>
      </c>
    </row>
    <row r="400" spans="2:4" x14ac:dyDescent="0.2">
      <c r="B400" s="11">
        <f t="shared" si="24"/>
        <v>39494</v>
      </c>
      <c r="C400" s="75">
        <v>10</v>
      </c>
      <c r="D400" s="77">
        <v>0.1</v>
      </c>
    </row>
    <row r="401" spans="2:4" x14ac:dyDescent="0.2">
      <c r="B401" s="11">
        <f t="shared" si="24"/>
        <v>39501</v>
      </c>
      <c r="C401" s="75">
        <v>10</v>
      </c>
      <c r="D401" s="77">
        <v>0.1</v>
      </c>
    </row>
    <row r="402" spans="2:4" x14ac:dyDescent="0.2">
      <c r="B402" s="11">
        <f t="shared" si="24"/>
        <v>39508</v>
      </c>
      <c r="C402" s="75">
        <v>10</v>
      </c>
      <c r="D402" s="77">
        <v>0.1</v>
      </c>
    </row>
    <row r="403" spans="2:4" x14ac:dyDescent="0.2">
      <c r="B403" s="11">
        <f t="shared" si="24"/>
        <v>39515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39522</v>
      </c>
      <c r="C404" s="75">
        <v>10</v>
      </c>
      <c r="D404" s="77">
        <v>0.1</v>
      </c>
    </row>
    <row r="405" spans="2:4" x14ac:dyDescent="0.2">
      <c r="B405" s="11">
        <f t="shared" si="25"/>
        <v>39529</v>
      </c>
      <c r="C405" s="75">
        <v>10</v>
      </c>
      <c r="D405" s="77">
        <v>0.1</v>
      </c>
    </row>
    <row r="406" spans="2:4" x14ac:dyDescent="0.2">
      <c r="B406" s="11">
        <f t="shared" si="25"/>
        <v>39536</v>
      </c>
      <c r="C406" s="75">
        <v>10</v>
      </c>
      <c r="D406" s="77">
        <v>0.1</v>
      </c>
    </row>
    <row r="407" spans="2:4" x14ac:dyDescent="0.2">
      <c r="B407" s="11">
        <f t="shared" si="25"/>
        <v>39543</v>
      </c>
      <c r="C407" s="75">
        <v>10</v>
      </c>
      <c r="D407" s="77">
        <v>0.1</v>
      </c>
    </row>
    <row r="408" spans="2:4" x14ac:dyDescent="0.2">
      <c r="B408" s="11">
        <f t="shared" si="25"/>
        <v>39550</v>
      </c>
      <c r="C408" s="75">
        <v>10</v>
      </c>
      <c r="D408" s="77">
        <v>0.1</v>
      </c>
    </row>
    <row r="409" spans="2:4" x14ac:dyDescent="0.2">
      <c r="B409" s="11">
        <f t="shared" si="25"/>
        <v>39557</v>
      </c>
      <c r="C409" s="75">
        <v>10</v>
      </c>
      <c r="D409" s="77">
        <v>0.1</v>
      </c>
    </row>
    <row r="410" spans="2:4" x14ac:dyDescent="0.2">
      <c r="B410" s="11">
        <f t="shared" si="25"/>
        <v>39564</v>
      </c>
      <c r="C410" s="75">
        <v>10</v>
      </c>
      <c r="D410" s="77">
        <v>0.1</v>
      </c>
    </row>
    <row r="411" spans="2:4" x14ac:dyDescent="0.2">
      <c r="B411" s="11">
        <f t="shared" si="25"/>
        <v>39571</v>
      </c>
      <c r="C411" s="75">
        <v>10</v>
      </c>
      <c r="D411" s="77">
        <v>0.1</v>
      </c>
    </row>
    <row r="412" spans="2:4" x14ac:dyDescent="0.2">
      <c r="B412" s="11">
        <f t="shared" si="25"/>
        <v>39578</v>
      </c>
      <c r="C412" s="75">
        <v>10</v>
      </c>
      <c r="D412" s="77">
        <v>0.1</v>
      </c>
    </row>
    <row r="413" spans="2:4" x14ac:dyDescent="0.2">
      <c r="B413" s="11">
        <f t="shared" si="25"/>
        <v>39585</v>
      </c>
      <c r="C413" s="75">
        <v>10</v>
      </c>
      <c r="D413" s="77">
        <v>0.1</v>
      </c>
    </row>
    <row r="414" spans="2:4" x14ac:dyDescent="0.2">
      <c r="B414" s="11">
        <f t="shared" si="25"/>
        <v>39592</v>
      </c>
      <c r="C414" s="75">
        <v>10</v>
      </c>
      <c r="D414" s="77">
        <v>0.1</v>
      </c>
    </row>
    <row r="415" spans="2:4" x14ac:dyDescent="0.2">
      <c r="B415" s="11">
        <f t="shared" si="25"/>
        <v>39599</v>
      </c>
      <c r="C415" s="75">
        <v>10</v>
      </c>
      <c r="D415" s="77">
        <v>0.1</v>
      </c>
    </row>
    <row r="416" spans="2:4" x14ac:dyDescent="0.2">
      <c r="B416" s="11">
        <f t="shared" si="25"/>
        <v>39606</v>
      </c>
      <c r="C416" s="75">
        <v>10</v>
      </c>
      <c r="D416" s="77">
        <v>0.1</v>
      </c>
    </row>
    <row r="417" spans="2:4" x14ac:dyDescent="0.2">
      <c r="B417" s="11">
        <f t="shared" si="25"/>
        <v>39613</v>
      </c>
      <c r="C417" s="75">
        <v>10</v>
      </c>
      <c r="D417" s="77">
        <v>0.1</v>
      </c>
    </row>
    <row r="418" spans="2:4" x14ac:dyDescent="0.2">
      <c r="B418" s="11">
        <f t="shared" si="25"/>
        <v>39620</v>
      </c>
      <c r="C418" s="75">
        <v>10</v>
      </c>
      <c r="D418" s="77">
        <v>0.1</v>
      </c>
    </row>
    <row r="419" spans="2:4" x14ac:dyDescent="0.2">
      <c r="B419" s="11">
        <f t="shared" si="25"/>
        <v>39627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39634</v>
      </c>
      <c r="C420" s="75">
        <v>10</v>
      </c>
      <c r="D420" s="77">
        <v>0.1</v>
      </c>
    </row>
    <row r="421" spans="2:4" x14ac:dyDescent="0.2">
      <c r="B421" s="11">
        <f t="shared" si="26"/>
        <v>39641</v>
      </c>
      <c r="C421" s="75">
        <v>10</v>
      </c>
      <c r="D421" s="77">
        <v>0.1</v>
      </c>
    </row>
    <row r="422" spans="2:4" x14ac:dyDescent="0.2">
      <c r="B422" s="11">
        <f t="shared" si="26"/>
        <v>39648</v>
      </c>
      <c r="C422" s="75">
        <v>10</v>
      </c>
      <c r="D422" s="77">
        <v>0.1</v>
      </c>
    </row>
    <row r="423" spans="2:4" x14ac:dyDescent="0.2">
      <c r="B423" s="11">
        <f t="shared" si="26"/>
        <v>39655</v>
      </c>
      <c r="C423" s="75">
        <v>10</v>
      </c>
      <c r="D423" s="77">
        <v>0.1</v>
      </c>
    </row>
    <row r="424" spans="2:4" x14ac:dyDescent="0.2">
      <c r="B424" s="11">
        <f t="shared" si="26"/>
        <v>39662</v>
      </c>
      <c r="C424" s="75">
        <v>10</v>
      </c>
      <c r="D424" s="77">
        <v>0.1</v>
      </c>
    </row>
    <row r="425" spans="2:4" x14ac:dyDescent="0.2">
      <c r="B425" s="11">
        <f t="shared" si="26"/>
        <v>39669</v>
      </c>
      <c r="C425" s="75">
        <v>10</v>
      </c>
      <c r="D425" s="77">
        <v>0.1</v>
      </c>
    </row>
    <row r="426" spans="2:4" x14ac:dyDescent="0.2">
      <c r="B426" s="11">
        <f t="shared" si="26"/>
        <v>39676</v>
      </c>
      <c r="C426" s="75">
        <v>10</v>
      </c>
      <c r="D426" s="77">
        <v>0.1</v>
      </c>
    </row>
    <row r="427" spans="2:4" x14ac:dyDescent="0.2">
      <c r="B427" s="11">
        <f t="shared" si="26"/>
        <v>39683</v>
      </c>
      <c r="C427" s="75">
        <v>10</v>
      </c>
      <c r="D427" s="77">
        <v>0.1</v>
      </c>
    </row>
    <row r="428" spans="2:4" x14ac:dyDescent="0.2">
      <c r="B428" s="11">
        <f t="shared" si="26"/>
        <v>39690</v>
      </c>
      <c r="C428" s="75">
        <v>10</v>
      </c>
      <c r="D428" s="77">
        <v>0.1</v>
      </c>
    </row>
    <row r="429" spans="2:4" x14ac:dyDescent="0.2">
      <c r="B429" s="11">
        <f t="shared" si="26"/>
        <v>39697</v>
      </c>
      <c r="C429" s="75">
        <v>10</v>
      </c>
      <c r="D429" s="77">
        <v>0.1</v>
      </c>
    </row>
    <row r="430" spans="2:4" x14ac:dyDescent="0.2">
      <c r="B430" s="11">
        <f t="shared" si="26"/>
        <v>39704</v>
      </c>
      <c r="C430" s="75">
        <v>10</v>
      </c>
      <c r="D430" s="77">
        <v>0.1</v>
      </c>
    </row>
    <row r="431" spans="2:4" x14ac:dyDescent="0.2">
      <c r="B431" s="11">
        <f t="shared" si="26"/>
        <v>39711</v>
      </c>
      <c r="C431" s="75">
        <v>10</v>
      </c>
      <c r="D431" s="77">
        <v>0.1</v>
      </c>
    </row>
    <row r="432" spans="2:4" x14ac:dyDescent="0.2">
      <c r="B432" s="11">
        <f t="shared" si="26"/>
        <v>39718</v>
      </c>
      <c r="C432" s="75">
        <v>10</v>
      </c>
      <c r="D432" s="77">
        <v>0.1</v>
      </c>
    </row>
    <row r="433" spans="2:4" x14ac:dyDescent="0.2">
      <c r="B433" s="11">
        <f t="shared" si="26"/>
        <v>39725</v>
      </c>
      <c r="C433" s="75">
        <v>10</v>
      </c>
      <c r="D433" s="77">
        <v>0.1</v>
      </c>
    </row>
    <row r="434" spans="2:4" x14ac:dyDescent="0.2">
      <c r="B434" s="11">
        <f t="shared" si="26"/>
        <v>39732</v>
      </c>
      <c r="C434" s="75">
        <v>10</v>
      </c>
      <c r="D434" s="77">
        <v>0.1</v>
      </c>
    </row>
    <row r="435" spans="2:4" x14ac:dyDescent="0.2">
      <c r="B435" s="11">
        <f t="shared" si="26"/>
        <v>39739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39746</v>
      </c>
      <c r="C436" s="75">
        <v>10</v>
      </c>
      <c r="D436" s="77">
        <v>0.1</v>
      </c>
    </row>
    <row r="437" spans="2:4" x14ac:dyDescent="0.2">
      <c r="B437" s="11">
        <f t="shared" si="27"/>
        <v>39753</v>
      </c>
      <c r="C437" s="75">
        <v>10</v>
      </c>
      <c r="D437" s="77">
        <v>0.1</v>
      </c>
    </row>
    <row r="438" spans="2:4" x14ac:dyDescent="0.2">
      <c r="B438" s="11">
        <f t="shared" si="27"/>
        <v>39760</v>
      </c>
      <c r="C438" s="75">
        <v>10</v>
      </c>
      <c r="D438" s="77">
        <v>0.1</v>
      </c>
    </row>
    <row r="439" spans="2:4" x14ac:dyDescent="0.2">
      <c r="B439" s="11">
        <f t="shared" si="27"/>
        <v>39767</v>
      </c>
      <c r="C439" s="75">
        <v>10</v>
      </c>
      <c r="D439" s="77">
        <v>0.1</v>
      </c>
    </row>
    <row r="440" spans="2:4" x14ac:dyDescent="0.2">
      <c r="B440" s="11">
        <f t="shared" si="27"/>
        <v>39774</v>
      </c>
      <c r="C440" s="75">
        <v>10</v>
      </c>
      <c r="D440" s="77">
        <v>0.1</v>
      </c>
    </row>
    <row r="441" spans="2:4" x14ac:dyDescent="0.2">
      <c r="B441" s="11">
        <f t="shared" si="27"/>
        <v>39781</v>
      </c>
      <c r="C441" s="75">
        <v>10</v>
      </c>
      <c r="D441" s="77">
        <v>0.1</v>
      </c>
    </row>
    <row r="442" spans="2:4" x14ac:dyDescent="0.2">
      <c r="B442" s="11">
        <f t="shared" si="27"/>
        <v>39788</v>
      </c>
      <c r="C442" s="75">
        <v>10</v>
      </c>
      <c r="D442" s="77">
        <v>0.1</v>
      </c>
    </row>
    <row r="443" spans="2:4" x14ac:dyDescent="0.2">
      <c r="B443" s="11">
        <f t="shared" si="27"/>
        <v>39795</v>
      </c>
      <c r="C443" s="75">
        <v>10</v>
      </c>
      <c r="D443" s="77">
        <v>0.1</v>
      </c>
    </row>
    <row r="444" spans="2:4" x14ac:dyDescent="0.2">
      <c r="B444" s="11">
        <f t="shared" si="27"/>
        <v>39802</v>
      </c>
      <c r="C444" s="75">
        <v>10</v>
      </c>
      <c r="D444" s="77">
        <v>0.1</v>
      </c>
    </row>
    <row r="445" spans="2:4" x14ac:dyDescent="0.2">
      <c r="B445" s="11">
        <f t="shared" si="27"/>
        <v>39809</v>
      </c>
      <c r="C445" s="75">
        <v>10</v>
      </c>
      <c r="D445" s="77">
        <v>0.1</v>
      </c>
    </row>
    <row r="446" spans="2:4" x14ac:dyDescent="0.2">
      <c r="B446" s="11">
        <f t="shared" si="27"/>
        <v>39816</v>
      </c>
      <c r="C446" s="75">
        <v>10</v>
      </c>
      <c r="D446" s="77">
        <v>0.1</v>
      </c>
    </row>
    <row r="447" spans="2:4" x14ac:dyDescent="0.2">
      <c r="B447" s="11">
        <f t="shared" si="27"/>
        <v>39823</v>
      </c>
      <c r="C447" s="75">
        <v>10</v>
      </c>
      <c r="D447" s="77">
        <v>0.1</v>
      </c>
    </row>
    <row r="448" spans="2:4" x14ac:dyDescent="0.2">
      <c r="B448" s="11">
        <f t="shared" si="27"/>
        <v>39830</v>
      </c>
      <c r="C448" s="75">
        <v>10</v>
      </c>
      <c r="D448" s="77">
        <v>0.1</v>
      </c>
    </row>
    <row r="449" spans="2:4" x14ac:dyDescent="0.2">
      <c r="B449" s="11">
        <f t="shared" si="27"/>
        <v>39837</v>
      </c>
      <c r="C449" s="75">
        <v>10</v>
      </c>
      <c r="D449" s="77">
        <v>0.1</v>
      </c>
    </row>
    <row r="450" spans="2:4" x14ac:dyDescent="0.2">
      <c r="B450" s="11">
        <f t="shared" si="27"/>
        <v>39844</v>
      </c>
      <c r="C450" s="75">
        <v>10</v>
      </c>
      <c r="D450" s="77">
        <v>0.1</v>
      </c>
    </row>
    <row r="451" spans="2:4" x14ac:dyDescent="0.2">
      <c r="B451" s="11">
        <f t="shared" si="27"/>
        <v>39851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39858</v>
      </c>
      <c r="C452" s="75">
        <v>10</v>
      </c>
      <c r="D452" s="77">
        <v>0.1</v>
      </c>
    </row>
    <row r="453" spans="2:4" x14ac:dyDescent="0.2">
      <c r="B453" s="11">
        <f t="shared" si="28"/>
        <v>39865</v>
      </c>
      <c r="C453" s="75">
        <v>10</v>
      </c>
      <c r="D453" s="77">
        <v>0.1</v>
      </c>
    </row>
    <row r="454" spans="2:4" x14ac:dyDescent="0.2">
      <c r="B454" s="11">
        <f t="shared" si="28"/>
        <v>39872</v>
      </c>
      <c r="C454" s="75">
        <v>10</v>
      </c>
      <c r="D454" s="77">
        <v>0.1</v>
      </c>
    </row>
    <row r="455" spans="2:4" x14ac:dyDescent="0.2">
      <c r="B455" s="11">
        <f t="shared" si="28"/>
        <v>39879</v>
      </c>
      <c r="C455" s="75">
        <v>10</v>
      </c>
      <c r="D455" s="77">
        <v>0.1</v>
      </c>
    </row>
    <row r="456" spans="2:4" x14ac:dyDescent="0.2">
      <c r="B456" s="11">
        <f t="shared" si="28"/>
        <v>39886</v>
      </c>
      <c r="C456" s="75">
        <v>10</v>
      </c>
      <c r="D456" s="77">
        <v>0.1</v>
      </c>
    </row>
    <row r="457" spans="2:4" x14ac:dyDescent="0.2">
      <c r="B457" s="11">
        <f t="shared" si="28"/>
        <v>39893</v>
      </c>
      <c r="C457" s="75">
        <v>10</v>
      </c>
      <c r="D457" s="77">
        <v>0.1</v>
      </c>
    </row>
    <row r="458" spans="2:4" x14ac:dyDescent="0.2">
      <c r="B458" s="11">
        <f t="shared" si="28"/>
        <v>39900</v>
      </c>
      <c r="C458" s="75">
        <v>10</v>
      </c>
      <c r="D458" s="77">
        <v>0.1</v>
      </c>
    </row>
    <row r="459" spans="2:4" x14ac:dyDescent="0.2">
      <c r="B459" s="11">
        <f t="shared" si="28"/>
        <v>39907</v>
      </c>
      <c r="C459" s="75">
        <v>10</v>
      </c>
      <c r="D459" s="77">
        <v>0.1</v>
      </c>
    </row>
    <row r="460" spans="2:4" x14ac:dyDescent="0.2">
      <c r="B460" s="11">
        <f t="shared" si="28"/>
        <v>39914</v>
      </c>
      <c r="C460" s="75">
        <v>10</v>
      </c>
      <c r="D460" s="77">
        <v>0.1</v>
      </c>
    </row>
    <row r="461" spans="2:4" x14ac:dyDescent="0.2">
      <c r="B461" s="11">
        <f t="shared" si="28"/>
        <v>39921</v>
      </c>
      <c r="C461" s="75">
        <v>10</v>
      </c>
      <c r="D461" s="77">
        <v>0.1</v>
      </c>
    </row>
    <row r="462" spans="2:4" x14ac:dyDescent="0.2">
      <c r="B462" s="11">
        <f t="shared" si="28"/>
        <v>39928</v>
      </c>
      <c r="C462" s="75">
        <v>10</v>
      </c>
      <c r="D462" s="77">
        <v>0.1</v>
      </c>
    </row>
    <row r="463" spans="2:4" x14ac:dyDescent="0.2">
      <c r="B463" s="11">
        <f t="shared" si="28"/>
        <v>39935</v>
      </c>
      <c r="C463" s="75">
        <v>10</v>
      </c>
      <c r="D463" s="77">
        <v>0.1</v>
      </c>
    </row>
    <row r="464" spans="2:4" x14ac:dyDescent="0.2">
      <c r="B464" s="11">
        <f t="shared" si="28"/>
        <v>39942</v>
      </c>
      <c r="C464" s="75">
        <v>10</v>
      </c>
      <c r="D464" s="77">
        <v>0.1</v>
      </c>
    </row>
    <row r="465" spans="2:4" x14ac:dyDescent="0.2">
      <c r="B465" s="11">
        <f t="shared" si="28"/>
        <v>39949</v>
      </c>
      <c r="C465" s="75">
        <v>10</v>
      </c>
      <c r="D465" s="77">
        <v>0.1</v>
      </c>
    </row>
    <row r="466" spans="2:4" x14ac:dyDescent="0.2">
      <c r="B466" s="11">
        <f t="shared" si="28"/>
        <v>39956</v>
      </c>
      <c r="C466" s="75">
        <v>10</v>
      </c>
      <c r="D466" s="77">
        <v>0.1</v>
      </c>
    </row>
    <row r="467" spans="2:4" x14ac:dyDescent="0.2">
      <c r="B467" s="11">
        <f t="shared" si="28"/>
        <v>39963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39970</v>
      </c>
      <c r="C468" s="75">
        <v>10</v>
      </c>
      <c r="D468" s="77">
        <v>0.1</v>
      </c>
    </row>
    <row r="469" spans="2:4" x14ac:dyDescent="0.2">
      <c r="B469" s="11">
        <f t="shared" si="29"/>
        <v>39977</v>
      </c>
      <c r="C469" s="75">
        <v>10</v>
      </c>
      <c r="D469" s="77">
        <v>0.1</v>
      </c>
    </row>
    <row r="470" spans="2:4" x14ac:dyDescent="0.2">
      <c r="B470" s="11">
        <f t="shared" si="29"/>
        <v>39984</v>
      </c>
      <c r="C470" s="75">
        <v>10</v>
      </c>
      <c r="D470" s="77">
        <v>0.1</v>
      </c>
    </row>
    <row r="471" spans="2:4" x14ac:dyDescent="0.2">
      <c r="B471" s="11">
        <f t="shared" si="29"/>
        <v>39991</v>
      </c>
      <c r="C471" s="75">
        <v>10</v>
      </c>
      <c r="D471" s="77">
        <v>0.1</v>
      </c>
    </row>
    <row r="472" spans="2:4" x14ac:dyDescent="0.2">
      <c r="B472" s="11">
        <f t="shared" si="29"/>
        <v>39998</v>
      </c>
      <c r="C472" s="75">
        <v>10</v>
      </c>
      <c r="D472" s="77">
        <v>0.1</v>
      </c>
    </row>
    <row r="473" spans="2:4" x14ac:dyDescent="0.2">
      <c r="B473" s="11">
        <f t="shared" si="29"/>
        <v>40005</v>
      </c>
      <c r="C473" s="75">
        <v>10</v>
      </c>
      <c r="D473" s="77">
        <v>0.1</v>
      </c>
    </row>
    <row r="474" spans="2:4" x14ac:dyDescent="0.2">
      <c r="B474" s="11">
        <f t="shared" si="29"/>
        <v>40012</v>
      </c>
      <c r="C474" s="75">
        <v>10</v>
      </c>
      <c r="D474" s="77">
        <v>0.1</v>
      </c>
    </row>
    <row r="475" spans="2:4" x14ac:dyDescent="0.2">
      <c r="B475" s="11">
        <f t="shared" si="29"/>
        <v>40019</v>
      </c>
      <c r="C475" s="75">
        <v>10</v>
      </c>
      <c r="D475" s="77">
        <v>0.1</v>
      </c>
    </row>
    <row r="476" spans="2:4" x14ac:dyDescent="0.2">
      <c r="B476" s="11">
        <f t="shared" si="29"/>
        <v>40026</v>
      </c>
      <c r="C476" s="75">
        <v>10</v>
      </c>
      <c r="D476" s="77">
        <v>0.1</v>
      </c>
    </row>
    <row r="477" spans="2:4" x14ac:dyDescent="0.2">
      <c r="B477" s="11">
        <f t="shared" si="29"/>
        <v>40033</v>
      </c>
      <c r="C477" s="75">
        <v>10</v>
      </c>
      <c r="D477" s="77">
        <v>0.1</v>
      </c>
    </row>
    <row r="478" spans="2:4" x14ac:dyDescent="0.2">
      <c r="B478" s="11">
        <f t="shared" si="29"/>
        <v>40040</v>
      </c>
      <c r="C478" s="75">
        <v>10</v>
      </c>
      <c r="D478" s="77">
        <v>0.1</v>
      </c>
    </row>
    <row r="479" spans="2:4" x14ac:dyDescent="0.2">
      <c r="B479" s="11">
        <f t="shared" si="29"/>
        <v>40047</v>
      </c>
      <c r="C479" s="75">
        <v>10</v>
      </c>
      <c r="D479" s="77">
        <v>0.1</v>
      </c>
    </row>
    <row r="480" spans="2:4" x14ac:dyDescent="0.2">
      <c r="B480" s="11">
        <f t="shared" si="29"/>
        <v>40054</v>
      </c>
      <c r="C480" s="75">
        <v>10</v>
      </c>
      <c r="D480" s="77">
        <v>0.1</v>
      </c>
    </row>
    <row r="481" spans="2:4" x14ac:dyDescent="0.2">
      <c r="B481" s="11">
        <f t="shared" si="29"/>
        <v>40061</v>
      </c>
      <c r="C481" s="75">
        <v>10</v>
      </c>
      <c r="D481" s="77">
        <v>0.1</v>
      </c>
    </row>
    <row r="482" spans="2:4" x14ac:dyDescent="0.2">
      <c r="B482" s="11">
        <f t="shared" si="29"/>
        <v>40068</v>
      </c>
      <c r="C482" s="75">
        <v>10</v>
      </c>
      <c r="D482" s="77">
        <v>0.1</v>
      </c>
    </row>
    <row r="483" spans="2:4" x14ac:dyDescent="0.2">
      <c r="B483" s="11">
        <f t="shared" si="29"/>
        <v>40075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40082</v>
      </c>
      <c r="C484" s="75">
        <v>10</v>
      </c>
      <c r="D484" s="77">
        <v>0.1</v>
      </c>
    </row>
    <row r="485" spans="2:4" x14ac:dyDescent="0.2">
      <c r="B485" s="11">
        <f t="shared" si="30"/>
        <v>40089</v>
      </c>
      <c r="C485" s="75">
        <v>10</v>
      </c>
      <c r="D485" s="77">
        <v>0.1</v>
      </c>
    </row>
    <row r="486" spans="2:4" x14ac:dyDescent="0.2">
      <c r="B486" s="11">
        <f t="shared" si="30"/>
        <v>40096</v>
      </c>
      <c r="C486" s="75">
        <v>10</v>
      </c>
      <c r="D486" s="77">
        <v>0.1</v>
      </c>
    </row>
    <row r="487" spans="2:4" x14ac:dyDescent="0.2">
      <c r="B487" s="11">
        <f t="shared" si="30"/>
        <v>40103</v>
      </c>
      <c r="C487" s="75">
        <v>10</v>
      </c>
      <c r="D487" s="77">
        <v>0.1</v>
      </c>
    </row>
    <row r="488" spans="2:4" x14ac:dyDescent="0.2">
      <c r="B488" s="11">
        <f t="shared" si="30"/>
        <v>40110</v>
      </c>
      <c r="C488" s="75">
        <v>10</v>
      </c>
      <c r="D488" s="77">
        <v>0.1</v>
      </c>
    </row>
    <row r="489" spans="2:4" x14ac:dyDescent="0.2">
      <c r="B489" s="11">
        <f t="shared" si="30"/>
        <v>40117</v>
      </c>
      <c r="C489" s="75">
        <v>10</v>
      </c>
      <c r="D489" s="77">
        <v>0.1</v>
      </c>
    </row>
    <row r="490" spans="2:4" x14ac:dyDescent="0.2">
      <c r="B490" s="11">
        <f t="shared" si="30"/>
        <v>40124</v>
      </c>
      <c r="C490" s="75">
        <v>10</v>
      </c>
      <c r="D490" s="77">
        <v>0.1</v>
      </c>
    </row>
    <row r="491" spans="2:4" x14ac:dyDescent="0.2">
      <c r="B491" s="11">
        <f t="shared" si="30"/>
        <v>40131</v>
      </c>
      <c r="C491" s="75">
        <v>10</v>
      </c>
      <c r="D491" s="77">
        <v>0.1</v>
      </c>
    </row>
    <row r="492" spans="2:4" x14ac:dyDescent="0.2">
      <c r="B492" s="11">
        <f t="shared" si="30"/>
        <v>40138</v>
      </c>
      <c r="C492" s="75">
        <v>10</v>
      </c>
      <c r="D492" s="77">
        <v>0.1</v>
      </c>
    </row>
    <row r="493" spans="2:4" x14ac:dyDescent="0.2">
      <c r="B493" s="11">
        <f t="shared" si="30"/>
        <v>40145</v>
      </c>
      <c r="C493" s="75">
        <v>10</v>
      </c>
      <c r="D493" s="77">
        <v>0.1</v>
      </c>
    </row>
    <row r="494" spans="2:4" x14ac:dyDescent="0.2">
      <c r="B494" s="11">
        <f t="shared" si="30"/>
        <v>40152</v>
      </c>
      <c r="C494" s="75">
        <v>10</v>
      </c>
      <c r="D494" s="77">
        <v>0.1</v>
      </c>
    </row>
    <row r="495" spans="2:4" x14ac:dyDescent="0.2">
      <c r="B495" s="11">
        <f t="shared" si="30"/>
        <v>40159</v>
      </c>
      <c r="C495" s="75">
        <v>10</v>
      </c>
      <c r="D495" s="77">
        <v>0.1</v>
      </c>
    </row>
    <row r="496" spans="2:4" x14ac:dyDescent="0.2">
      <c r="B496" s="11">
        <f t="shared" si="30"/>
        <v>40166</v>
      </c>
      <c r="C496" s="75">
        <v>10</v>
      </c>
      <c r="D496" s="77">
        <v>0.1</v>
      </c>
    </row>
    <row r="497" spans="2:4" x14ac:dyDescent="0.2">
      <c r="B497" s="11">
        <f t="shared" si="30"/>
        <v>40173</v>
      </c>
      <c r="C497" s="75">
        <v>10</v>
      </c>
      <c r="D497" s="77">
        <v>0.1</v>
      </c>
    </row>
    <row r="498" spans="2:4" x14ac:dyDescent="0.2">
      <c r="B498" s="11">
        <f t="shared" si="30"/>
        <v>40180</v>
      </c>
      <c r="C498" s="75">
        <v>10</v>
      </c>
      <c r="D498" s="77">
        <v>0.1</v>
      </c>
    </row>
    <row r="499" spans="2:4" x14ac:dyDescent="0.2">
      <c r="B499" s="11">
        <f t="shared" si="30"/>
        <v>40187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40194</v>
      </c>
      <c r="C500" s="75">
        <v>10</v>
      </c>
      <c r="D500" s="77">
        <v>0.1</v>
      </c>
    </row>
    <row r="501" spans="2:4" x14ac:dyDescent="0.2">
      <c r="B501" s="11">
        <f t="shared" si="31"/>
        <v>40201</v>
      </c>
      <c r="C501" s="75">
        <v>10</v>
      </c>
      <c r="D501" s="77">
        <v>0.1</v>
      </c>
    </row>
    <row r="502" spans="2:4" x14ac:dyDescent="0.2">
      <c r="B502" s="11">
        <f t="shared" si="31"/>
        <v>40208</v>
      </c>
      <c r="C502" s="75">
        <v>10</v>
      </c>
      <c r="D502" s="77">
        <v>0.1</v>
      </c>
    </row>
    <row r="503" spans="2:4" x14ac:dyDescent="0.2">
      <c r="B503" s="11">
        <f t="shared" si="31"/>
        <v>40215</v>
      </c>
      <c r="C503" s="75">
        <v>10</v>
      </c>
      <c r="D503" s="77">
        <v>0.1</v>
      </c>
    </row>
    <row r="504" spans="2:4" x14ac:dyDescent="0.2">
      <c r="B504" s="11">
        <f t="shared" si="31"/>
        <v>40222</v>
      </c>
      <c r="C504" s="75">
        <v>10</v>
      </c>
      <c r="D504" s="77">
        <v>0.1</v>
      </c>
    </row>
    <row r="505" spans="2:4" x14ac:dyDescent="0.2">
      <c r="B505" s="11">
        <f t="shared" si="31"/>
        <v>40229</v>
      </c>
      <c r="C505" s="75">
        <v>10</v>
      </c>
      <c r="D505" s="77">
        <v>0.1</v>
      </c>
    </row>
    <row r="506" spans="2:4" x14ac:dyDescent="0.2">
      <c r="B506" s="11">
        <f t="shared" si="31"/>
        <v>40236</v>
      </c>
      <c r="C506" s="75">
        <v>10</v>
      </c>
      <c r="D506" s="77">
        <v>0.1</v>
      </c>
    </row>
    <row r="507" spans="2:4" x14ac:dyDescent="0.2">
      <c r="B507" s="11">
        <f t="shared" si="31"/>
        <v>40243</v>
      </c>
      <c r="C507" s="75">
        <v>10</v>
      </c>
      <c r="D507" s="77">
        <v>0.1</v>
      </c>
    </row>
    <row r="508" spans="2:4" x14ac:dyDescent="0.2">
      <c r="B508" s="11">
        <f t="shared" si="31"/>
        <v>40250</v>
      </c>
      <c r="C508" s="75">
        <v>10</v>
      </c>
      <c r="D508" s="77">
        <v>0.1</v>
      </c>
    </row>
    <row r="509" spans="2:4" x14ac:dyDescent="0.2">
      <c r="B509" s="11">
        <f t="shared" si="31"/>
        <v>40257</v>
      </c>
      <c r="C509" s="75">
        <v>10</v>
      </c>
      <c r="D509" s="77">
        <v>0.1</v>
      </c>
    </row>
    <row r="510" spans="2:4" x14ac:dyDescent="0.2">
      <c r="B510" s="11">
        <f t="shared" si="31"/>
        <v>40264</v>
      </c>
      <c r="C510" s="75">
        <v>10</v>
      </c>
      <c r="D510" s="77">
        <v>0.1</v>
      </c>
    </row>
    <row r="511" spans="2:4" x14ac:dyDescent="0.2">
      <c r="B511" s="11">
        <f t="shared" si="31"/>
        <v>40271</v>
      </c>
      <c r="C511" s="75">
        <v>10</v>
      </c>
      <c r="D511" s="77">
        <v>0.1</v>
      </c>
    </row>
    <row r="512" spans="2:4" x14ac:dyDescent="0.2">
      <c r="B512" s="11">
        <f t="shared" si="31"/>
        <v>40278</v>
      </c>
      <c r="C512" s="75">
        <v>10</v>
      </c>
      <c r="D512" s="77">
        <v>0.1</v>
      </c>
    </row>
    <row r="513" spans="2:4" x14ac:dyDescent="0.2">
      <c r="B513" s="11">
        <f t="shared" si="31"/>
        <v>40285</v>
      </c>
      <c r="C513" s="75">
        <v>10</v>
      </c>
      <c r="D513" s="77">
        <v>0.1</v>
      </c>
    </row>
    <row r="514" spans="2:4" x14ac:dyDescent="0.2">
      <c r="B514" s="11">
        <f t="shared" si="31"/>
        <v>40292</v>
      </c>
      <c r="C514" s="75">
        <v>10</v>
      </c>
      <c r="D514" s="77">
        <v>0.1</v>
      </c>
    </row>
    <row r="515" spans="2:4" x14ac:dyDescent="0.2">
      <c r="B515" s="11">
        <f t="shared" si="31"/>
        <v>40299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40306</v>
      </c>
      <c r="C516" s="75">
        <v>10</v>
      </c>
      <c r="D516" s="77">
        <v>0.1</v>
      </c>
    </row>
    <row r="517" spans="2:4" x14ac:dyDescent="0.2">
      <c r="B517" s="11">
        <f t="shared" si="32"/>
        <v>40313</v>
      </c>
      <c r="C517" s="75">
        <v>10</v>
      </c>
      <c r="D517" s="77">
        <v>0.1</v>
      </c>
    </row>
    <row r="518" spans="2:4" x14ac:dyDescent="0.2">
      <c r="B518" s="11">
        <f t="shared" si="32"/>
        <v>40320</v>
      </c>
      <c r="C518" s="75">
        <v>10</v>
      </c>
      <c r="D518" s="77">
        <v>0.1</v>
      </c>
    </row>
    <row r="519" spans="2:4" x14ac:dyDescent="0.2">
      <c r="B519" s="11">
        <f t="shared" si="32"/>
        <v>40327</v>
      </c>
      <c r="C519" s="75">
        <v>10</v>
      </c>
      <c r="D519" s="77">
        <v>0.1</v>
      </c>
    </row>
    <row r="520" spans="2:4" x14ac:dyDescent="0.2">
      <c r="B520" s="11">
        <f t="shared" si="32"/>
        <v>40334</v>
      </c>
      <c r="C520" s="75">
        <v>10</v>
      </c>
      <c r="D520" s="77">
        <v>0.1</v>
      </c>
    </row>
    <row r="521" spans="2:4" x14ac:dyDescent="0.2">
      <c r="B521" s="11">
        <f t="shared" si="32"/>
        <v>40341</v>
      </c>
      <c r="C521" s="75">
        <v>10</v>
      </c>
      <c r="D521" s="77">
        <v>0.1</v>
      </c>
    </row>
    <row r="522" spans="2:4" x14ac:dyDescent="0.2">
      <c r="B522" s="11">
        <f t="shared" si="32"/>
        <v>40348</v>
      </c>
      <c r="C522" s="75">
        <v>10</v>
      </c>
      <c r="D522" s="77">
        <v>0.1</v>
      </c>
    </row>
    <row r="523" spans="2:4" x14ac:dyDescent="0.2">
      <c r="B523" s="11">
        <f t="shared" si="32"/>
        <v>40355</v>
      </c>
      <c r="C523" s="75">
        <v>10</v>
      </c>
      <c r="D523" s="77">
        <v>0.1</v>
      </c>
    </row>
    <row r="524" spans="2:4" x14ac:dyDescent="0.2">
      <c r="B524" s="11">
        <f t="shared" si="32"/>
        <v>40362</v>
      </c>
      <c r="C524" s="75">
        <v>10</v>
      </c>
      <c r="D524" s="77">
        <v>0.1</v>
      </c>
    </row>
    <row r="525" spans="2:4" x14ac:dyDescent="0.2">
      <c r="B525" s="11">
        <f t="shared" si="32"/>
        <v>40369</v>
      </c>
      <c r="C525" s="75">
        <v>10</v>
      </c>
      <c r="D525" s="77">
        <v>0.1</v>
      </c>
    </row>
    <row r="526" spans="2:4" x14ac:dyDescent="0.2">
      <c r="B526" s="11">
        <f t="shared" si="32"/>
        <v>40376</v>
      </c>
      <c r="C526" s="75">
        <v>10</v>
      </c>
      <c r="D526" s="77">
        <v>0.1</v>
      </c>
    </row>
    <row r="527" spans="2:4" x14ac:dyDescent="0.2">
      <c r="B527" s="11">
        <f t="shared" si="32"/>
        <v>40383</v>
      </c>
      <c r="C527" s="75">
        <v>10</v>
      </c>
      <c r="D527" s="77">
        <v>0.1</v>
      </c>
    </row>
    <row r="528" spans="2:4" x14ac:dyDescent="0.2">
      <c r="B528" s="11">
        <f t="shared" si="32"/>
        <v>40390</v>
      </c>
      <c r="C528" s="75">
        <v>10</v>
      </c>
      <c r="D528" s="77">
        <v>0.1</v>
      </c>
    </row>
    <row r="529" spans="2:4" x14ac:dyDescent="0.2">
      <c r="B529" s="11">
        <f t="shared" si="32"/>
        <v>40397</v>
      </c>
      <c r="C529" s="75">
        <v>10</v>
      </c>
      <c r="D529" s="77">
        <v>0.1</v>
      </c>
    </row>
    <row r="530" spans="2:4" x14ac:dyDescent="0.2">
      <c r="B530" s="11">
        <f t="shared" si="32"/>
        <v>40404</v>
      </c>
      <c r="C530" s="75">
        <v>10</v>
      </c>
      <c r="D530" s="77">
        <v>0.1</v>
      </c>
    </row>
    <row r="531" spans="2:4" x14ac:dyDescent="0.2">
      <c r="B531" s="11">
        <f t="shared" si="32"/>
        <v>40411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40418</v>
      </c>
      <c r="C532" s="75">
        <v>10</v>
      </c>
      <c r="D532" s="77">
        <v>0.1</v>
      </c>
    </row>
    <row r="533" spans="2:4" x14ac:dyDescent="0.2">
      <c r="B533" s="11">
        <f t="shared" si="33"/>
        <v>40425</v>
      </c>
      <c r="C533" s="75">
        <v>10</v>
      </c>
      <c r="D533" s="77">
        <v>0.1</v>
      </c>
    </row>
    <row r="534" spans="2:4" x14ac:dyDescent="0.2">
      <c r="B534" s="11">
        <f t="shared" si="33"/>
        <v>40432</v>
      </c>
      <c r="C534" s="75">
        <v>10</v>
      </c>
      <c r="D534" s="77">
        <v>0.1</v>
      </c>
    </row>
    <row r="535" spans="2:4" x14ac:dyDescent="0.2">
      <c r="B535" s="11">
        <f t="shared" si="33"/>
        <v>40439</v>
      </c>
      <c r="C535" s="75">
        <v>10</v>
      </c>
      <c r="D535" s="77">
        <v>0.1</v>
      </c>
    </row>
    <row r="536" spans="2:4" x14ac:dyDescent="0.2">
      <c r="B536" s="11">
        <f t="shared" si="33"/>
        <v>40446</v>
      </c>
      <c r="C536" s="75">
        <v>10</v>
      </c>
      <c r="D536" s="77">
        <v>0.1</v>
      </c>
    </row>
    <row r="537" spans="2:4" x14ac:dyDescent="0.2">
      <c r="B537" s="11">
        <f t="shared" si="33"/>
        <v>40453</v>
      </c>
      <c r="C537" s="75">
        <v>10</v>
      </c>
      <c r="D537" s="77">
        <v>0.1</v>
      </c>
    </row>
    <row r="538" spans="2:4" x14ac:dyDescent="0.2">
      <c r="B538" s="11">
        <f t="shared" si="33"/>
        <v>40460</v>
      </c>
      <c r="C538" s="75">
        <v>10</v>
      </c>
      <c r="D538" s="77">
        <v>0.1</v>
      </c>
    </row>
    <row r="539" spans="2:4" x14ac:dyDescent="0.2">
      <c r="B539" s="11">
        <f t="shared" si="33"/>
        <v>40467</v>
      </c>
      <c r="C539" s="75">
        <v>10</v>
      </c>
      <c r="D539" s="77">
        <v>0.1</v>
      </c>
    </row>
    <row r="540" spans="2:4" x14ac:dyDescent="0.2">
      <c r="B540" s="11">
        <f t="shared" si="33"/>
        <v>40474</v>
      </c>
      <c r="C540" s="75">
        <v>10</v>
      </c>
      <c r="D540" s="77">
        <v>0.1</v>
      </c>
    </row>
    <row r="541" spans="2:4" x14ac:dyDescent="0.2">
      <c r="B541" s="11">
        <f t="shared" si="33"/>
        <v>40481</v>
      </c>
      <c r="C541" s="75">
        <v>10</v>
      </c>
      <c r="D541" s="77">
        <v>0.1</v>
      </c>
    </row>
    <row r="542" spans="2:4" x14ac:dyDescent="0.2">
      <c r="B542" s="11">
        <f t="shared" si="33"/>
        <v>40488</v>
      </c>
      <c r="C542" s="75">
        <v>10</v>
      </c>
      <c r="D542" s="77">
        <v>0.1</v>
      </c>
    </row>
    <row r="543" spans="2:4" x14ac:dyDescent="0.2">
      <c r="B543" s="11">
        <f t="shared" si="33"/>
        <v>40495</v>
      </c>
      <c r="C543" s="75">
        <v>10</v>
      </c>
      <c r="D543" s="77">
        <v>0.1</v>
      </c>
    </row>
    <row r="544" spans="2:4" x14ac:dyDescent="0.2">
      <c r="B544" s="11">
        <f t="shared" si="33"/>
        <v>40502</v>
      </c>
      <c r="C544" s="75">
        <v>10</v>
      </c>
      <c r="D544" s="77">
        <v>0.1</v>
      </c>
    </row>
    <row r="545" spans="2:4" x14ac:dyDescent="0.2">
      <c r="B545" s="11">
        <f t="shared" si="33"/>
        <v>40509</v>
      </c>
      <c r="C545" s="75">
        <v>10</v>
      </c>
      <c r="D545" s="77">
        <v>0.1</v>
      </c>
    </row>
    <row r="546" spans="2:4" x14ac:dyDescent="0.2">
      <c r="B546" s="11">
        <f t="shared" si="33"/>
        <v>40516</v>
      </c>
      <c r="C546" s="75">
        <v>10</v>
      </c>
      <c r="D546" s="77">
        <v>0.1</v>
      </c>
    </row>
    <row r="547" spans="2:4" x14ac:dyDescent="0.2">
      <c r="B547" s="11">
        <f t="shared" si="33"/>
        <v>40523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40530</v>
      </c>
      <c r="C548" s="75">
        <v>10</v>
      </c>
      <c r="D548" s="77">
        <v>0.1</v>
      </c>
    </row>
    <row r="549" spans="2:4" x14ac:dyDescent="0.2">
      <c r="B549" s="11">
        <f t="shared" si="34"/>
        <v>40537</v>
      </c>
      <c r="C549" s="75">
        <v>10</v>
      </c>
      <c r="D549" s="77">
        <v>0.1</v>
      </c>
    </row>
    <row r="550" spans="2:4" x14ac:dyDescent="0.2">
      <c r="B550" s="11">
        <f t="shared" si="34"/>
        <v>40544</v>
      </c>
      <c r="C550" s="75">
        <v>10</v>
      </c>
      <c r="D550" s="77">
        <v>0.1</v>
      </c>
    </row>
    <row r="551" spans="2:4" x14ac:dyDescent="0.2">
      <c r="B551" s="11">
        <f t="shared" si="34"/>
        <v>40551</v>
      </c>
      <c r="C551" s="75">
        <v>10</v>
      </c>
      <c r="D551" s="77">
        <v>0.1</v>
      </c>
    </row>
    <row r="552" spans="2:4" x14ac:dyDescent="0.2">
      <c r="B552" s="11">
        <f t="shared" si="34"/>
        <v>40558</v>
      </c>
      <c r="C552" s="75">
        <v>10</v>
      </c>
      <c r="D552" s="77">
        <v>0.1</v>
      </c>
    </row>
    <row r="553" spans="2:4" x14ac:dyDescent="0.2">
      <c r="B553" s="11">
        <f t="shared" si="34"/>
        <v>40565</v>
      </c>
      <c r="C553" s="75">
        <v>10</v>
      </c>
      <c r="D553" s="77">
        <v>0.1</v>
      </c>
    </row>
    <row r="554" spans="2:4" x14ac:dyDescent="0.2">
      <c r="B554" s="11">
        <f t="shared" si="34"/>
        <v>40572</v>
      </c>
      <c r="C554" s="75">
        <v>10</v>
      </c>
      <c r="D554" s="77">
        <v>0.1</v>
      </c>
    </row>
    <row r="555" spans="2:4" x14ac:dyDescent="0.2">
      <c r="B555" s="11">
        <f t="shared" si="34"/>
        <v>40579</v>
      </c>
      <c r="C555" s="75">
        <v>10</v>
      </c>
      <c r="D555" s="77">
        <v>0.1</v>
      </c>
    </row>
    <row r="556" spans="2:4" x14ac:dyDescent="0.2">
      <c r="B556" s="11">
        <f t="shared" si="34"/>
        <v>40586</v>
      </c>
      <c r="C556" s="75">
        <v>10</v>
      </c>
      <c r="D556" s="77">
        <v>0.1</v>
      </c>
    </row>
    <row r="557" spans="2:4" x14ac:dyDescent="0.2">
      <c r="B557" s="11">
        <f t="shared" si="34"/>
        <v>40593</v>
      </c>
      <c r="C557" s="75">
        <v>10</v>
      </c>
      <c r="D557" s="77">
        <v>0.1</v>
      </c>
    </row>
    <row r="558" spans="2:4" x14ac:dyDescent="0.2">
      <c r="B558" s="11">
        <f t="shared" si="34"/>
        <v>40600</v>
      </c>
      <c r="C558" s="75">
        <v>10</v>
      </c>
      <c r="D558" s="77">
        <v>0.1</v>
      </c>
    </row>
    <row r="559" spans="2:4" x14ac:dyDescent="0.2">
      <c r="B559" s="11">
        <f t="shared" si="34"/>
        <v>40607</v>
      </c>
      <c r="C559" s="75">
        <v>10</v>
      </c>
      <c r="D559" s="77">
        <v>0.1</v>
      </c>
    </row>
    <row r="560" spans="2:4" x14ac:dyDescent="0.2">
      <c r="B560" s="11">
        <f t="shared" si="34"/>
        <v>40614</v>
      </c>
      <c r="C560" s="75">
        <v>10</v>
      </c>
      <c r="D560" s="77">
        <v>0.1</v>
      </c>
    </row>
    <row r="561" spans="2:4" x14ac:dyDescent="0.2">
      <c r="B561" s="11">
        <f t="shared" si="34"/>
        <v>40621</v>
      </c>
      <c r="C561" s="75">
        <v>10</v>
      </c>
      <c r="D561" s="77">
        <v>0.1</v>
      </c>
    </row>
    <row r="562" spans="2:4" x14ac:dyDescent="0.2">
      <c r="B562" s="11">
        <f t="shared" si="34"/>
        <v>40628</v>
      </c>
      <c r="C562" s="75">
        <v>10</v>
      </c>
      <c r="D562" s="77">
        <v>0.1</v>
      </c>
    </row>
    <row r="563" spans="2:4" x14ac:dyDescent="0.2">
      <c r="B563" s="11">
        <f t="shared" si="34"/>
        <v>40635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40642</v>
      </c>
      <c r="C564" s="75">
        <v>10</v>
      </c>
      <c r="D564" s="77">
        <v>0.1</v>
      </c>
    </row>
    <row r="565" spans="2:4" x14ac:dyDescent="0.2">
      <c r="B565" s="11">
        <f t="shared" si="35"/>
        <v>40649</v>
      </c>
      <c r="C565" s="75">
        <v>10</v>
      </c>
      <c r="D565" s="77">
        <v>0.1</v>
      </c>
    </row>
    <row r="566" spans="2:4" x14ac:dyDescent="0.2">
      <c r="B566" s="11">
        <f t="shared" si="35"/>
        <v>40656</v>
      </c>
      <c r="C566" s="75">
        <v>10</v>
      </c>
      <c r="D566" s="77">
        <v>0.1</v>
      </c>
    </row>
    <row r="567" spans="2:4" x14ac:dyDescent="0.2">
      <c r="B567" s="11">
        <f t="shared" si="35"/>
        <v>40663</v>
      </c>
      <c r="C567" s="75">
        <v>10</v>
      </c>
      <c r="D567" s="77">
        <v>0.1</v>
      </c>
    </row>
    <row r="568" spans="2:4" x14ac:dyDescent="0.2">
      <c r="B568" s="11">
        <f t="shared" si="35"/>
        <v>40670</v>
      </c>
      <c r="C568" s="75">
        <v>10</v>
      </c>
      <c r="D568" s="77">
        <v>0.1</v>
      </c>
    </row>
    <row r="569" spans="2:4" x14ac:dyDescent="0.2">
      <c r="B569" s="11">
        <f t="shared" si="35"/>
        <v>40677</v>
      </c>
      <c r="C569" s="75">
        <v>10</v>
      </c>
      <c r="D569" s="77">
        <v>0.1</v>
      </c>
    </row>
    <row r="570" spans="2:4" x14ac:dyDescent="0.2">
      <c r="B570" s="11">
        <f t="shared" si="35"/>
        <v>40684</v>
      </c>
      <c r="C570" s="75">
        <v>10</v>
      </c>
      <c r="D570" s="77">
        <v>0.1</v>
      </c>
    </row>
    <row r="571" spans="2:4" x14ac:dyDescent="0.2">
      <c r="B571" s="11">
        <f t="shared" si="35"/>
        <v>40691</v>
      </c>
      <c r="C571" s="75">
        <v>10</v>
      </c>
      <c r="D571" s="77">
        <v>0.1</v>
      </c>
    </row>
    <row r="572" spans="2:4" x14ac:dyDescent="0.2">
      <c r="B572" s="11">
        <f t="shared" si="35"/>
        <v>40698</v>
      </c>
      <c r="C572" s="75">
        <v>10</v>
      </c>
      <c r="D572" s="77">
        <v>0.1</v>
      </c>
    </row>
    <row r="573" spans="2:4" x14ac:dyDescent="0.2">
      <c r="B573" s="11">
        <f t="shared" si="35"/>
        <v>40705</v>
      </c>
      <c r="C573" s="75">
        <v>10</v>
      </c>
      <c r="D573" s="77">
        <v>0.1</v>
      </c>
    </row>
    <row r="574" spans="2:4" x14ac:dyDescent="0.2">
      <c r="B574" s="11">
        <f t="shared" si="35"/>
        <v>40712</v>
      </c>
      <c r="C574" s="75">
        <v>10</v>
      </c>
      <c r="D574" s="77">
        <v>0.1</v>
      </c>
    </row>
    <row r="575" spans="2:4" x14ac:dyDescent="0.2">
      <c r="B575" s="11">
        <f t="shared" si="35"/>
        <v>40719</v>
      </c>
      <c r="C575" s="75">
        <v>10</v>
      </c>
      <c r="D575" s="77">
        <v>0.1</v>
      </c>
    </row>
    <row r="576" spans="2:4" x14ac:dyDescent="0.2">
      <c r="B576" s="11">
        <f t="shared" si="35"/>
        <v>40726</v>
      </c>
      <c r="C576" s="75">
        <v>10</v>
      </c>
      <c r="D576" s="77">
        <v>0.1</v>
      </c>
    </row>
    <row r="577" spans="2:4" x14ac:dyDescent="0.2">
      <c r="B577" s="11">
        <f t="shared" si="35"/>
        <v>40733</v>
      </c>
      <c r="C577" s="75">
        <v>10</v>
      </c>
      <c r="D577" s="77">
        <v>0.1</v>
      </c>
    </row>
    <row r="578" spans="2:4" x14ac:dyDescent="0.2">
      <c r="B578" s="11">
        <f t="shared" si="35"/>
        <v>40740</v>
      </c>
      <c r="C578" s="75">
        <v>10</v>
      </c>
      <c r="D578" s="77">
        <v>0.1</v>
      </c>
    </row>
    <row r="579" spans="2:4" x14ac:dyDescent="0.2">
      <c r="B579" s="11">
        <f t="shared" si="35"/>
        <v>40747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40754</v>
      </c>
      <c r="C580" s="75">
        <v>10</v>
      </c>
      <c r="D580" s="77">
        <v>0.1</v>
      </c>
    </row>
    <row r="581" spans="2:4" x14ac:dyDescent="0.2">
      <c r="B581" s="11">
        <f t="shared" si="36"/>
        <v>40761</v>
      </c>
      <c r="C581" s="75">
        <v>10</v>
      </c>
      <c r="D581" s="77">
        <v>0.1</v>
      </c>
    </row>
    <row r="582" spans="2:4" x14ac:dyDescent="0.2">
      <c r="B582" s="11">
        <f t="shared" si="36"/>
        <v>40768</v>
      </c>
      <c r="C582" s="75">
        <v>10</v>
      </c>
      <c r="D582" s="77">
        <v>0.1</v>
      </c>
    </row>
    <row r="583" spans="2:4" x14ac:dyDescent="0.2">
      <c r="B583" s="11">
        <f t="shared" si="36"/>
        <v>40775</v>
      </c>
      <c r="C583" s="75">
        <v>10</v>
      </c>
      <c r="D583" s="77">
        <v>0.1</v>
      </c>
    </row>
    <row r="584" spans="2:4" x14ac:dyDescent="0.2">
      <c r="B584" s="11">
        <f t="shared" si="36"/>
        <v>40782</v>
      </c>
      <c r="C584" s="75">
        <v>10</v>
      </c>
      <c r="D584" s="77">
        <v>0.1</v>
      </c>
    </row>
    <row r="585" spans="2:4" x14ac:dyDescent="0.2">
      <c r="B585" s="11">
        <f t="shared" si="36"/>
        <v>40789</v>
      </c>
      <c r="C585" s="75">
        <v>10</v>
      </c>
      <c r="D585" s="77">
        <v>0.1</v>
      </c>
    </row>
    <row r="586" spans="2:4" x14ac:dyDescent="0.2">
      <c r="B586" s="11">
        <f t="shared" si="36"/>
        <v>40796</v>
      </c>
      <c r="C586" s="75">
        <v>10</v>
      </c>
      <c r="D586" s="77">
        <v>0.1</v>
      </c>
    </row>
    <row r="587" spans="2:4" x14ac:dyDescent="0.2">
      <c r="B587" s="11">
        <f t="shared" si="36"/>
        <v>40803</v>
      </c>
      <c r="C587" s="75">
        <v>10</v>
      </c>
      <c r="D587" s="77">
        <v>0.1</v>
      </c>
    </row>
    <row r="588" spans="2:4" x14ac:dyDescent="0.2">
      <c r="B588" s="11">
        <f t="shared" si="36"/>
        <v>40810</v>
      </c>
      <c r="C588" s="75">
        <v>10</v>
      </c>
      <c r="D588" s="77">
        <v>0.1</v>
      </c>
    </row>
    <row r="589" spans="2:4" x14ac:dyDescent="0.2">
      <c r="B589" s="11">
        <f t="shared" si="36"/>
        <v>40817</v>
      </c>
      <c r="C589" s="75">
        <v>10</v>
      </c>
      <c r="D589" s="77">
        <v>0.1</v>
      </c>
    </row>
    <row r="590" spans="2:4" x14ac:dyDescent="0.2">
      <c r="B590" s="11">
        <f t="shared" si="36"/>
        <v>40824</v>
      </c>
      <c r="C590" s="75">
        <v>10</v>
      </c>
      <c r="D590" s="77">
        <v>0.1</v>
      </c>
    </row>
    <row r="591" spans="2:4" x14ac:dyDescent="0.2">
      <c r="B591" s="11">
        <f t="shared" si="36"/>
        <v>40831</v>
      </c>
      <c r="C591" s="75">
        <v>10</v>
      </c>
      <c r="D591" s="77">
        <v>0.1</v>
      </c>
    </row>
    <row r="592" spans="2:4" x14ac:dyDescent="0.2">
      <c r="B592" s="11">
        <f t="shared" si="36"/>
        <v>40838</v>
      </c>
      <c r="C592" s="75">
        <v>10</v>
      </c>
      <c r="D592" s="77">
        <v>0.1</v>
      </c>
    </row>
    <row r="593" spans="2:4" x14ac:dyDescent="0.2">
      <c r="B593" s="11">
        <f t="shared" si="36"/>
        <v>40845</v>
      </c>
      <c r="C593" s="75">
        <v>10</v>
      </c>
      <c r="D593" s="77">
        <v>0.1</v>
      </c>
    </row>
    <row r="594" spans="2:4" x14ac:dyDescent="0.2">
      <c r="B594" s="11">
        <f t="shared" si="36"/>
        <v>40852</v>
      </c>
      <c r="C594" s="75">
        <v>10</v>
      </c>
      <c r="D594" s="77">
        <v>0.1</v>
      </c>
    </row>
    <row r="595" spans="2:4" x14ac:dyDescent="0.2">
      <c r="B595" s="11">
        <f t="shared" si="36"/>
        <v>40859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40866</v>
      </c>
      <c r="C596" s="75">
        <v>10</v>
      </c>
      <c r="D596" s="77">
        <v>0.1</v>
      </c>
    </row>
    <row r="597" spans="2:4" x14ac:dyDescent="0.2">
      <c r="B597" s="11">
        <f t="shared" si="37"/>
        <v>40873</v>
      </c>
      <c r="C597" s="75">
        <v>10</v>
      </c>
      <c r="D597" s="77">
        <v>0.1</v>
      </c>
    </row>
    <row r="598" spans="2:4" x14ac:dyDescent="0.2">
      <c r="B598" s="11">
        <f t="shared" si="37"/>
        <v>40880</v>
      </c>
      <c r="C598" s="75">
        <v>10</v>
      </c>
      <c r="D598" s="77">
        <v>0.1</v>
      </c>
    </row>
    <row r="599" spans="2:4" x14ac:dyDescent="0.2">
      <c r="B599" s="11">
        <f t="shared" si="37"/>
        <v>40887</v>
      </c>
      <c r="C599" s="75">
        <v>10</v>
      </c>
      <c r="D599" s="77">
        <v>0.1</v>
      </c>
    </row>
    <row r="600" spans="2:4" x14ac:dyDescent="0.2">
      <c r="B600" s="11">
        <f t="shared" si="37"/>
        <v>40894</v>
      </c>
      <c r="C600" s="75">
        <v>10</v>
      </c>
      <c r="D600" s="77">
        <v>0.1</v>
      </c>
    </row>
    <row r="601" spans="2:4" x14ac:dyDescent="0.2">
      <c r="B601" s="11">
        <f t="shared" si="37"/>
        <v>40901</v>
      </c>
      <c r="C601" s="75">
        <v>10</v>
      </c>
      <c r="D601" s="77">
        <v>0.1</v>
      </c>
    </row>
    <row r="602" spans="2:4" x14ac:dyDescent="0.2">
      <c r="B602" s="11">
        <f t="shared" si="37"/>
        <v>40908</v>
      </c>
      <c r="C602" s="75">
        <v>10</v>
      </c>
      <c r="D602" s="77">
        <v>0.1</v>
      </c>
    </row>
    <row r="603" spans="2:4" x14ac:dyDescent="0.2">
      <c r="B603" s="11">
        <f t="shared" si="37"/>
        <v>40915</v>
      </c>
      <c r="C603" s="75">
        <v>10</v>
      </c>
      <c r="D603" s="77">
        <v>0.1</v>
      </c>
    </row>
    <row r="604" spans="2:4" x14ac:dyDescent="0.2">
      <c r="B604" s="11">
        <f t="shared" si="37"/>
        <v>40922</v>
      </c>
      <c r="C604" s="75">
        <v>10</v>
      </c>
      <c r="D604" s="77">
        <v>0.1</v>
      </c>
    </row>
    <row r="605" spans="2:4" x14ac:dyDescent="0.2">
      <c r="B605" s="11">
        <f t="shared" si="37"/>
        <v>40929</v>
      </c>
      <c r="C605" s="75">
        <v>10</v>
      </c>
      <c r="D605" s="77">
        <v>0.1</v>
      </c>
    </row>
    <row r="606" spans="2:4" x14ac:dyDescent="0.2">
      <c r="B606" s="11">
        <f t="shared" si="37"/>
        <v>40936</v>
      </c>
      <c r="C606" s="75">
        <v>10</v>
      </c>
      <c r="D606" s="77">
        <v>0.1</v>
      </c>
    </row>
    <row r="607" spans="2:4" x14ac:dyDescent="0.2">
      <c r="B607" s="11">
        <f t="shared" si="37"/>
        <v>40943</v>
      </c>
      <c r="C607" s="75">
        <v>10</v>
      </c>
      <c r="D607" s="77">
        <v>0.1</v>
      </c>
    </row>
    <row r="608" spans="2:4" x14ac:dyDescent="0.2">
      <c r="B608" s="11">
        <f t="shared" si="37"/>
        <v>40950</v>
      </c>
      <c r="C608" s="75">
        <v>10</v>
      </c>
      <c r="D608" s="77">
        <v>0.1</v>
      </c>
    </row>
    <row r="609" spans="2:4" x14ac:dyDescent="0.2">
      <c r="B609" s="11">
        <f t="shared" si="37"/>
        <v>40957</v>
      </c>
      <c r="C609" s="75">
        <v>10</v>
      </c>
      <c r="D609" s="77">
        <v>0.1</v>
      </c>
    </row>
    <row r="610" spans="2:4" x14ac:dyDescent="0.2">
      <c r="B610" s="11">
        <f t="shared" si="37"/>
        <v>40964</v>
      </c>
      <c r="C610" s="75">
        <v>10</v>
      </c>
      <c r="D610" s="77">
        <v>0.1</v>
      </c>
    </row>
    <row r="611" spans="2:4" x14ac:dyDescent="0.2">
      <c r="B611" s="11">
        <f t="shared" si="37"/>
        <v>40971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40978</v>
      </c>
      <c r="C612" s="75">
        <v>10</v>
      </c>
      <c r="D612" s="77">
        <v>0.1</v>
      </c>
    </row>
    <row r="613" spans="2:4" x14ac:dyDescent="0.2">
      <c r="B613" s="11">
        <f t="shared" si="38"/>
        <v>40985</v>
      </c>
      <c r="C613" s="75">
        <v>10</v>
      </c>
      <c r="D613" s="77">
        <v>0.1</v>
      </c>
    </row>
    <row r="614" spans="2:4" x14ac:dyDescent="0.2">
      <c r="B614" s="11">
        <f t="shared" si="38"/>
        <v>40992</v>
      </c>
      <c r="C614" s="75">
        <v>10</v>
      </c>
      <c r="D614" s="77">
        <v>0.1</v>
      </c>
    </row>
    <row r="615" spans="2:4" x14ac:dyDescent="0.2">
      <c r="B615" s="11">
        <f t="shared" si="38"/>
        <v>40999</v>
      </c>
      <c r="C615" s="75">
        <v>10</v>
      </c>
      <c r="D615" s="77">
        <v>0.1</v>
      </c>
    </row>
    <row r="616" spans="2:4" x14ac:dyDescent="0.2">
      <c r="B616" s="11">
        <f t="shared" si="38"/>
        <v>41006</v>
      </c>
      <c r="C616" s="75">
        <v>10</v>
      </c>
      <c r="D616" s="77">
        <v>0.1</v>
      </c>
    </row>
    <row r="617" spans="2:4" x14ac:dyDescent="0.2">
      <c r="B617" s="11">
        <f t="shared" si="38"/>
        <v>41013</v>
      </c>
      <c r="C617" s="75">
        <v>10</v>
      </c>
      <c r="D617" s="77">
        <v>0.1</v>
      </c>
    </row>
    <row r="618" spans="2:4" x14ac:dyDescent="0.2">
      <c r="B618" s="11">
        <f t="shared" si="38"/>
        <v>41020</v>
      </c>
      <c r="C618" s="75">
        <v>10</v>
      </c>
      <c r="D618" s="77">
        <v>0.1</v>
      </c>
    </row>
    <row r="619" spans="2:4" x14ac:dyDescent="0.2">
      <c r="B619" s="11">
        <f t="shared" si="38"/>
        <v>41027</v>
      </c>
      <c r="C619" s="75">
        <v>10</v>
      </c>
      <c r="D619" s="77">
        <v>0.1</v>
      </c>
    </row>
    <row r="620" spans="2:4" x14ac:dyDescent="0.2">
      <c r="B620" s="11">
        <f t="shared" si="38"/>
        <v>41034</v>
      </c>
      <c r="C620" s="75">
        <v>10</v>
      </c>
      <c r="D620" s="77">
        <v>0.1</v>
      </c>
    </row>
    <row r="621" spans="2:4" x14ac:dyDescent="0.2">
      <c r="B621" s="11">
        <f t="shared" si="38"/>
        <v>41041</v>
      </c>
      <c r="C621" s="75">
        <v>10</v>
      </c>
      <c r="D621" s="77">
        <v>0.1</v>
      </c>
    </row>
    <row r="622" spans="2:4" x14ac:dyDescent="0.2">
      <c r="B622" s="11">
        <f t="shared" si="38"/>
        <v>41048</v>
      </c>
      <c r="C622" s="75">
        <v>10</v>
      </c>
      <c r="D622" s="77">
        <v>0.1</v>
      </c>
    </row>
    <row r="623" spans="2:4" x14ac:dyDescent="0.2">
      <c r="B623" s="11">
        <f t="shared" si="38"/>
        <v>41055</v>
      </c>
      <c r="C623" s="75">
        <v>10</v>
      </c>
      <c r="D623" s="77">
        <v>0.1</v>
      </c>
    </row>
    <row r="624" spans="2:4" x14ac:dyDescent="0.2">
      <c r="B624" s="11">
        <f t="shared" si="38"/>
        <v>41062</v>
      </c>
      <c r="C624" s="75">
        <v>10</v>
      </c>
      <c r="D624" s="77">
        <v>0.1</v>
      </c>
    </row>
    <row r="625" spans="2:4" x14ac:dyDescent="0.2">
      <c r="B625" s="11">
        <f t="shared" si="38"/>
        <v>41069</v>
      </c>
      <c r="C625" s="75">
        <v>10</v>
      </c>
      <c r="D625" s="77">
        <v>0.1</v>
      </c>
    </row>
    <row r="626" spans="2:4" x14ac:dyDescent="0.2">
      <c r="B626" s="11">
        <f t="shared" si="38"/>
        <v>41076</v>
      </c>
      <c r="C626" s="75">
        <v>10</v>
      </c>
      <c r="D626" s="77">
        <v>0.1</v>
      </c>
    </row>
    <row r="627" spans="2:4" x14ac:dyDescent="0.2">
      <c r="B627" s="11">
        <f t="shared" si="38"/>
        <v>41083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41090</v>
      </c>
      <c r="C628" s="75">
        <v>10</v>
      </c>
      <c r="D628" s="77">
        <v>0.1</v>
      </c>
    </row>
    <row r="629" spans="2:4" x14ac:dyDescent="0.2">
      <c r="B629" s="11">
        <f t="shared" si="39"/>
        <v>41097</v>
      </c>
      <c r="C629" s="75">
        <v>10</v>
      </c>
      <c r="D629" s="77">
        <v>0.1</v>
      </c>
    </row>
    <row r="630" spans="2:4" x14ac:dyDescent="0.2">
      <c r="B630" s="11">
        <f t="shared" si="39"/>
        <v>41104</v>
      </c>
      <c r="C630" s="75">
        <v>10</v>
      </c>
      <c r="D630" s="77">
        <v>0.1</v>
      </c>
    </row>
    <row r="631" spans="2:4" x14ac:dyDescent="0.2">
      <c r="B631" s="11">
        <f t="shared" si="39"/>
        <v>41111</v>
      </c>
      <c r="C631" s="75">
        <v>10</v>
      </c>
      <c r="D631" s="77">
        <v>0.1</v>
      </c>
    </row>
    <row r="632" spans="2:4" x14ac:dyDescent="0.2">
      <c r="B632" s="11">
        <f t="shared" si="39"/>
        <v>41118</v>
      </c>
      <c r="C632" s="75">
        <v>10</v>
      </c>
      <c r="D632" s="77">
        <v>0.1</v>
      </c>
    </row>
    <row r="633" spans="2:4" x14ac:dyDescent="0.2">
      <c r="B633" s="11">
        <f t="shared" si="39"/>
        <v>41125</v>
      </c>
      <c r="C633" s="75">
        <v>10</v>
      </c>
      <c r="D633" s="77">
        <v>0.1</v>
      </c>
    </row>
    <row r="634" spans="2:4" x14ac:dyDescent="0.2">
      <c r="B634" s="11">
        <f t="shared" si="39"/>
        <v>41132</v>
      </c>
      <c r="C634" s="75">
        <v>10</v>
      </c>
      <c r="D634" s="77">
        <v>0.1</v>
      </c>
    </row>
    <row r="635" spans="2:4" x14ac:dyDescent="0.2">
      <c r="B635" s="11">
        <f t="shared" si="39"/>
        <v>41139</v>
      </c>
      <c r="C635" s="75">
        <v>10</v>
      </c>
      <c r="D635" s="77">
        <v>0.1</v>
      </c>
    </row>
    <row r="636" spans="2:4" x14ac:dyDescent="0.2">
      <c r="B636" s="11">
        <f t="shared" si="39"/>
        <v>41146</v>
      </c>
      <c r="C636" s="75">
        <v>10</v>
      </c>
      <c r="D636" s="77">
        <v>0.1</v>
      </c>
    </row>
    <row r="637" spans="2:4" x14ac:dyDescent="0.2">
      <c r="B637" s="11">
        <f t="shared" si="39"/>
        <v>41153</v>
      </c>
      <c r="C637" s="75">
        <v>10</v>
      </c>
      <c r="D637" s="77">
        <v>0.1</v>
      </c>
    </row>
    <row r="638" spans="2:4" x14ac:dyDescent="0.2">
      <c r="B638" s="11">
        <f t="shared" si="39"/>
        <v>41160</v>
      </c>
      <c r="C638" s="75">
        <v>10</v>
      </c>
      <c r="D638" s="77">
        <v>0.1</v>
      </c>
    </row>
    <row r="639" spans="2:4" x14ac:dyDescent="0.2">
      <c r="B639" s="11">
        <f t="shared" si="39"/>
        <v>41167</v>
      </c>
      <c r="C639" s="75">
        <v>10</v>
      </c>
      <c r="D639" s="77">
        <v>0.1</v>
      </c>
    </row>
    <row r="640" spans="2:4" x14ac:dyDescent="0.2">
      <c r="B640" s="11">
        <f t="shared" si="39"/>
        <v>41174</v>
      </c>
      <c r="C640" s="75">
        <v>10</v>
      </c>
      <c r="D640" s="77">
        <v>0.1</v>
      </c>
    </row>
    <row r="641" spans="2:4" x14ac:dyDescent="0.2">
      <c r="B641" s="11">
        <f t="shared" si="39"/>
        <v>41181</v>
      </c>
      <c r="C641" s="75">
        <v>10</v>
      </c>
      <c r="D641" s="77">
        <v>0.1</v>
      </c>
    </row>
    <row r="642" spans="2:4" x14ac:dyDescent="0.2">
      <c r="B642" s="11">
        <f t="shared" si="39"/>
        <v>41188</v>
      </c>
      <c r="C642" s="75">
        <v>10</v>
      </c>
      <c r="D642" s="77">
        <v>0.1</v>
      </c>
    </row>
    <row r="643" spans="2:4" x14ac:dyDescent="0.2">
      <c r="B643" s="11">
        <f t="shared" si="39"/>
        <v>41195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41202</v>
      </c>
      <c r="C644" s="75">
        <v>10</v>
      </c>
      <c r="D644" s="77">
        <v>0.1</v>
      </c>
    </row>
    <row r="645" spans="2:4" x14ac:dyDescent="0.2">
      <c r="B645" s="11">
        <f t="shared" si="40"/>
        <v>41209</v>
      </c>
      <c r="C645" s="75">
        <v>10</v>
      </c>
      <c r="D645" s="77">
        <v>0.1</v>
      </c>
    </row>
    <row r="646" spans="2:4" x14ac:dyDescent="0.2">
      <c r="B646" s="11">
        <f t="shared" si="40"/>
        <v>41216</v>
      </c>
      <c r="C646" s="75">
        <v>10</v>
      </c>
      <c r="D646" s="77">
        <v>0.1</v>
      </c>
    </row>
    <row r="647" spans="2:4" x14ac:dyDescent="0.2">
      <c r="B647" s="11">
        <f t="shared" si="40"/>
        <v>41223</v>
      </c>
      <c r="C647" s="75">
        <v>10</v>
      </c>
      <c r="D647" s="77">
        <v>0.1</v>
      </c>
    </row>
    <row r="648" spans="2:4" x14ac:dyDescent="0.2">
      <c r="B648" s="11">
        <f t="shared" si="40"/>
        <v>41230</v>
      </c>
      <c r="C648" s="75">
        <v>10</v>
      </c>
      <c r="D648" s="77">
        <v>0.1</v>
      </c>
    </row>
    <row r="649" spans="2:4" x14ac:dyDescent="0.2">
      <c r="B649" s="11">
        <f t="shared" si="40"/>
        <v>41237</v>
      </c>
      <c r="C649" s="75">
        <v>10</v>
      </c>
      <c r="D649" s="77">
        <v>0.1</v>
      </c>
    </row>
    <row r="650" spans="2:4" x14ac:dyDescent="0.2">
      <c r="B650" s="11">
        <f t="shared" si="40"/>
        <v>41244</v>
      </c>
      <c r="C650" s="75">
        <v>10</v>
      </c>
      <c r="D650" s="77">
        <v>0.1</v>
      </c>
    </row>
    <row r="651" spans="2:4" x14ac:dyDescent="0.2">
      <c r="B651" s="11">
        <f t="shared" si="40"/>
        <v>41251</v>
      </c>
      <c r="C651" s="75">
        <v>10</v>
      </c>
      <c r="D651" s="77">
        <v>0.1</v>
      </c>
    </row>
    <row r="652" spans="2:4" x14ac:dyDescent="0.2">
      <c r="B652" s="11">
        <f t="shared" si="40"/>
        <v>41258</v>
      </c>
      <c r="C652" s="75">
        <v>10</v>
      </c>
      <c r="D652" s="77">
        <v>0.1</v>
      </c>
    </row>
    <row r="653" spans="2:4" x14ac:dyDescent="0.2">
      <c r="B653" s="11">
        <f t="shared" si="40"/>
        <v>41265</v>
      </c>
      <c r="C653" s="75">
        <v>10</v>
      </c>
      <c r="D653" s="77">
        <v>0.1</v>
      </c>
    </row>
    <row r="654" spans="2:4" x14ac:dyDescent="0.2">
      <c r="B654" s="11">
        <f t="shared" si="40"/>
        <v>41272</v>
      </c>
      <c r="C654" s="75">
        <v>10</v>
      </c>
      <c r="D654" s="77">
        <v>0.1</v>
      </c>
    </row>
    <row r="655" spans="2:4" x14ac:dyDescent="0.2">
      <c r="B655" s="11">
        <f t="shared" si="40"/>
        <v>41279</v>
      </c>
      <c r="C655" s="75">
        <v>10</v>
      </c>
      <c r="D655" s="77">
        <v>0.1</v>
      </c>
    </row>
    <row r="656" spans="2:4" x14ac:dyDescent="0.2">
      <c r="B656" s="11">
        <f t="shared" si="40"/>
        <v>41286</v>
      </c>
      <c r="C656" s="75">
        <v>10</v>
      </c>
      <c r="D656" s="77">
        <v>0.1</v>
      </c>
    </row>
    <row r="657" spans="2:4" x14ac:dyDescent="0.2">
      <c r="B657" s="11">
        <f t="shared" si="40"/>
        <v>41293</v>
      </c>
      <c r="C657" s="75">
        <v>10</v>
      </c>
      <c r="D657" s="77">
        <v>0.1</v>
      </c>
    </row>
    <row r="658" spans="2:4" x14ac:dyDescent="0.2">
      <c r="B658" s="11">
        <f t="shared" si="40"/>
        <v>41300</v>
      </c>
      <c r="C658" s="75">
        <v>10</v>
      </c>
      <c r="D658" s="77">
        <v>0.1</v>
      </c>
    </row>
    <row r="659" spans="2:4" x14ac:dyDescent="0.2">
      <c r="B659" s="11">
        <f t="shared" si="40"/>
        <v>41307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41314</v>
      </c>
      <c r="C660" s="75">
        <v>10</v>
      </c>
      <c r="D660" s="77">
        <v>0.1</v>
      </c>
    </row>
    <row r="661" spans="2:4" x14ac:dyDescent="0.2">
      <c r="B661" s="11">
        <f t="shared" si="41"/>
        <v>41321</v>
      </c>
      <c r="C661" s="75">
        <v>10</v>
      </c>
      <c r="D661" s="77">
        <v>0.1</v>
      </c>
    </row>
    <row r="662" spans="2:4" x14ac:dyDescent="0.2">
      <c r="B662" s="11">
        <f t="shared" si="41"/>
        <v>41328</v>
      </c>
      <c r="C662" s="75">
        <v>10</v>
      </c>
      <c r="D662" s="77">
        <v>0.1</v>
      </c>
    </row>
    <row r="663" spans="2:4" x14ac:dyDescent="0.2">
      <c r="B663" s="11">
        <f t="shared" si="41"/>
        <v>41335</v>
      </c>
      <c r="C663" s="75">
        <v>10</v>
      </c>
      <c r="D663" s="77">
        <v>0.1</v>
      </c>
    </row>
    <row r="664" spans="2:4" x14ac:dyDescent="0.2">
      <c r="B664" s="11">
        <f t="shared" si="41"/>
        <v>41342</v>
      </c>
      <c r="C664" s="75">
        <v>10</v>
      </c>
      <c r="D664" s="77">
        <v>0.1</v>
      </c>
    </row>
    <row r="665" spans="2:4" x14ac:dyDescent="0.2">
      <c r="B665" s="11">
        <f t="shared" si="41"/>
        <v>41349</v>
      </c>
      <c r="C665" s="75">
        <v>10</v>
      </c>
      <c r="D665" s="77">
        <v>0.1</v>
      </c>
    </row>
    <row r="666" spans="2:4" x14ac:dyDescent="0.2">
      <c r="B666" s="11">
        <f t="shared" si="41"/>
        <v>41356</v>
      </c>
      <c r="C666" s="75">
        <v>10</v>
      </c>
      <c r="D666" s="77">
        <v>0.1</v>
      </c>
    </row>
    <row r="667" spans="2:4" x14ac:dyDescent="0.2">
      <c r="B667" s="11">
        <f t="shared" si="41"/>
        <v>41363</v>
      </c>
      <c r="C667" s="75">
        <v>10</v>
      </c>
      <c r="D667" s="77">
        <v>0.1</v>
      </c>
    </row>
    <row r="668" spans="2:4" x14ac:dyDescent="0.2">
      <c r="B668" s="11">
        <f t="shared" si="41"/>
        <v>41370</v>
      </c>
      <c r="C668" s="75">
        <v>10</v>
      </c>
      <c r="D668" s="77">
        <v>0.1</v>
      </c>
    </row>
    <row r="669" spans="2:4" x14ac:dyDescent="0.2">
      <c r="B669" s="11">
        <f t="shared" si="41"/>
        <v>41377</v>
      </c>
      <c r="C669" s="75">
        <v>10</v>
      </c>
      <c r="D669" s="77">
        <v>0.1</v>
      </c>
    </row>
    <row r="670" spans="2:4" x14ac:dyDescent="0.2">
      <c r="B670" s="11">
        <f t="shared" si="41"/>
        <v>41384</v>
      </c>
      <c r="C670" s="75">
        <v>10</v>
      </c>
      <c r="D670" s="77">
        <v>0.1</v>
      </c>
    </row>
    <row r="671" spans="2:4" x14ac:dyDescent="0.2">
      <c r="B671" s="11">
        <f t="shared" si="41"/>
        <v>41391</v>
      </c>
      <c r="C671" s="75">
        <v>10</v>
      </c>
      <c r="D671" s="77">
        <v>0.1</v>
      </c>
    </row>
    <row r="672" spans="2:4" x14ac:dyDescent="0.2">
      <c r="B672" s="11">
        <f t="shared" si="41"/>
        <v>41398</v>
      </c>
      <c r="C672" s="75">
        <v>10</v>
      </c>
      <c r="D672" s="77">
        <v>0.1</v>
      </c>
    </row>
    <row r="673" spans="2:4" x14ac:dyDescent="0.2">
      <c r="B673" s="11">
        <f t="shared" si="41"/>
        <v>41405</v>
      </c>
      <c r="C673" s="75">
        <v>10</v>
      </c>
      <c r="D673" s="77">
        <v>0.1</v>
      </c>
    </row>
    <row r="674" spans="2:4" x14ac:dyDescent="0.2">
      <c r="B674" s="11">
        <f t="shared" si="41"/>
        <v>41412</v>
      </c>
      <c r="C674" s="75">
        <v>10</v>
      </c>
      <c r="D674" s="77">
        <v>0.1</v>
      </c>
    </row>
    <row r="675" spans="2:4" x14ac:dyDescent="0.2">
      <c r="B675" s="11">
        <f t="shared" si="41"/>
        <v>41419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41426</v>
      </c>
      <c r="C676" s="75">
        <v>10</v>
      </c>
      <c r="D676" s="77">
        <v>0.1</v>
      </c>
    </row>
    <row r="677" spans="2:4" x14ac:dyDescent="0.2">
      <c r="B677" s="11">
        <f t="shared" si="42"/>
        <v>41433</v>
      </c>
      <c r="C677" s="75">
        <v>10</v>
      </c>
      <c r="D677" s="77">
        <v>0.1</v>
      </c>
    </row>
    <row r="678" spans="2:4" x14ac:dyDescent="0.2">
      <c r="B678" s="11">
        <f t="shared" si="42"/>
        <v>41440</v>
      </c>
      <c r="C678" s="75">
        <v>10</v>
      </c>
      <c r="D678" s="77">
        <v>0.1</v>
      </c>
    </row>
    <row r="679" spans="2:4" x14ac:dyDescent="0.2">
      <c r="B679" s="11">
        <f t="shared" si="42"/>
        <v>41447</v>
      </c>
      <c r="C679" s="75">
        <v>10</v>
      </c>
      <c r="D679" s="77">
        <v>0.1</v>
      </c>
    </row>
    <row r="680" spans="2:4" x14ac:dyDescent="0.2">
      <c r="B680" s="11">
        <f t="shared" si="42"/>
        <v>41454</v>
      </c>
      <c r="C680" s="75">
        <v>10</v>
      </c>
      <c r="D680" s="77">
        <v>0.1</v>
      </c>
    </row>
    <row r="681" spans="2:4" x14ac:dyDescent="0.2">
      <c r="B681" s="11">
        <f t="shared" si="42"/>
        <v>41461</v>
      </c>
      <c r="C681" s="75">
        <v>10</v>
      </c>
      <c r="D681" s="77">
        <v>0.1</v>
      </c>
    </row>
    <row r="682" spans="2:4" x14ac:dyDescent="0.2">
      <c r="B682" s="11">
        <f t="shared" si="42"/>
        <v>41468</v>
      </c>
      <c r="C682" s="75">
        <v>10</v>
      </c>
      <c r="D682" s="77">
        <v>0.1</v>
      </c>
    </row>
    <row r="683" spans="2:4" x14ac:dyDescent="0.2">
      <c r="B683" s="11">
        <f t="shared" si="42"/>
        <v>41475</v>
      </c>
      <c r="C683" s="75">
        <v>10</v>
      </c>
      <c r="D683" s="77">
        <v>0.1</v>
      </c>
    </row>
    <row r="684" spans="2:4" x14ac:dyDescent="0.2">
      <c r="B684" s="11">
        <f t="shared" si="42"/>
        <v>41482</v>
      </c>
      <c r="C684" s="75">
        <v>10</v>
      </c>
      <c r="D684" s="77">
        <v>0.1</v>
      </c>
    </row>
    <row r="685" spans="2:4" x14ac:dyDescent="0.2">
      <c r="B685" s="11">
        <f t="shared" si="42"/>
        <v>41489</v>
      </c>
      <c r="C685" s="75">
        <v>10</v>
      </c>
      <c r="D685" s="77">
        <v>0.1</v>
      </c>
    </row>
    <row r="686" spans="2:4" x14ac:dyDescent="0.2">
      <c r="B686" s="11">
        <f t="shared" si="42"/>
        <v>41496</v>
      </c>
      <c r="C686" s="75">
        <v>10</v>
      </c>
      <c r="D686" s="77">
        <v>0.1</v>
      </c>
    </row>
    <row r="687" spans="2:4" x14ac:dyDescent="0.2">
      <c r="B687" s="11">
        <f t="shared" si="42"/>
        <v>41503</v>
      </c>
      <c r="C687" s="75">
        <v>10</v>
      </c>
      <c r="D687" s="77">
        <v>0.1</v>
      </c>
    </row>
    <row r="688" spans="2:4" x14ac:dyDescent="0.2">
      <c r="B688" s="11">
        <f t="shared" si="42"/>
        <v>41510</v>
      </c>
      <c r="C688" s="75">
        <v>10</v>
      </c>
      <c r="D688" s="77">
        <v>0.1</v>
      </c>
    </row>
    <row r="689" spans="2:4" x14ac:dyDescent="0.2">
      <c r="B689" s="11">
        <f t="shared" si="42"/>
        <v>41517</v>
      </c>
      <c r="C689" s="75">
        <v>10</v>
      </c>
      <c r="D689" s="77">
        <v>0.1</v>
      </c>
    </row>
    <row r="690" spans="2:4" x14ac:dyDescent="0.2">
      <c r="B690" s="11">
        <f t="shared" si="42"/>
        <v>41524</v>
      </c>
      <c r="C690" s="75">
        <v>10</v>
      </c>
      <c r="D690" s="77">
        <v>0.1</v>
      </c>
    </row>
    <row r="691" spans="2:4" x14ac:dyDescent="0.2">
      <c r="B691" s="11">
        <f t="shared" si="42"/>
        <v>41531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41538</v>
      </c>
      <c r="C692" s="75">
        <v>10</v>
      </c>
      <c r="D692" s="77">
        <v>0.1</v>
      </c>
    </row>
    <row r="693" spans="2:4" x14ac:dyDescent="0.2">
      <c r="B693" s="11">
        <f t="shared" si="43"/>
        <v>41545</v>
      </c>
      <c r="C693" s="75">
        <v>10</v>
      </c>
      <c r="D693" s="77">
        <v>0.1</v>
      </c>
    </row>
    <row r="694" spans="2:4" x14ac:dyDescent="0.2">
      <c r="B694" s="11">
        <f t="shared" si="43"/>
        <v>41552</v>
      </c>
      <c r="C694" s="75">
        <v>10</v>
      </c>
      <c r="D694" s="77">
        <v>0.1</v>
      </c>
    </row>
    <row r="695" spans="2:4" x14ac:dyDescent="0.2">
      <c r="B695" s="11">
        <f t="shared" si="43"/>
        <v>41559</v>
      </c>
      <c r="C695" s="75">
        <v>10</v>
      </c>
      <c r="D695" s="77">
        <v>0.1</v>
      </c>
    </row>
    <row r="696" spans="2:4" x14ac:dyDescent="0.2">
      <c r="B696" s="11">
        <f t="shared" si="43"/>
        <v>41566</v>
      </c>
      <c r="C696" s="75">
        <v>10</v>
      </c>
      <c r="D696" s="77">
        <v>0.1</v>
      </c>
    </row>
    <row r="697" spans="2:4" x14ac:dyDescent="0.2">
      <c r="B697" s="11">
        <f t="shared" si="43"/>
        <v>41573</v>
      </c>
      <c r="C697" s="75">
        <v>10</v>
      </c>
      <c r="D697" s="77">
        <v>0.1</v>
      </c>
    </row>
    <row r="698" spans="2:4" x14ac:dyDescent="0.2">
      <c r="B698" s="11">
        <f t="shared" si="43"/>
        <v>41580</v>
      </c>
      <c r="C698" s="75">
        <v>10</v>
      </c>
      <c r="D698" s="77">
        <v>0.1</v>
      </c>
    </row>
    <row r="699" spans="2:4" x14ac:dyDescent="0.2">
      <c r="B699" s="11">
        <f t="shared" si="43"/>
        <v>41587</v>
      </c>
      <c r="C699" s="75">
        <v>10</v>
      </c>
      <c r="D699" s="77">
        <v>0.1</v>
      </c>
    </row>
    <row r="700" spans="2:4" x14ac:dyDescent="0.2">
      <c r="B700" s="11">
        <f t="shared" si="43"/>
        <v>41594</v>
      </c>
      <c r="C700" s="75">
        <v>10</v>
      </c>
      <c r="D700" s="77">
        <v>0.1</v>
      </c>
    </row>
    <row r="701" spans="2:4" x14ac:dyDescent="0.2">
      <c r="B701" s="11">
        <f t="shared" si="43"/>
        <v>41601</v>
      </c>
      <c r="C701" s="75">
        <v>10</v>
      </c>
      <c r="D701" s="77">
        <v>0.1</v>
      </c>
    </row>
    <row r="702" spans="2:4" x14ac:dyDescent="0.2">
      <c r="B702" s="11">
        <f t="shared" si="43"/>
        <v>41608</v>
      </c>
      <c r="C702" s="75">
        <v>10</v>
      </c>
      <c r="D702" s="77">
        <v>0.1</v>
      </c>
    </row>
    <row r="703" spans="2:4" x14ac:dyDescent="0.2">
      <c r="B703" s="11">
        <f t="shared" si="43"/>
        <v>41615</v>
      </c>
      <c r="C703" s="75">
        <v>10</v>
      </c>
      <c r="D703" s="77">
        <v>0.1</v>
      </c>
    </row>
    <row r="704" spans="2:4" x14ac:dyDescent="0.2">
      <c r="B704" s="11">
        <f t="shared" si="43"/>
        <v>41622</v>
      </c>
      <c r="C704" s="75">
        <v>10</v>
      </c>
      <c r="D704" s="77">
        <v>0.1</v>
      </c>
    </row>
    <row r="705" spans="2:4" x14ac:dyDescent="0.2">
      <c r="B705" s="11">
        <f t="shared" si="43"/>
        <v>41629</v>
      </c>
      <c r="C705" s="75">
        <v>10</v>
      </c>
      <c r="D705" s="77">
        <v>0.1</v>
      </c>
    </row>
    <row r="706" spans="2:4" x14ac:dyDescent="0.2">
      <c r="B706" s="11">
        <f t="shared" si="43"/>
        <v>41636</v>
      </c>
      <c r="C706" s="75">
        <v>10</v>
      </c>
      <c r="D706" s="77">
        <v>0.1</v>
      </c>
    </row>
    <row r="707" spans="2:4" x14ac:dyDescent="0.2">
      <c r="B707" s="11">
        <f t="shared" si="43"/>
        <v>41643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41650</v>
      </c>
      <c r="C708" s="75">
        <v>10</v>
      </c>
      <c r="D708" s="77">
        <v>0.1</v>
      </c>
    </row>
    <row r="709" spans="2:4" x14ac:dyDescent="0.2">
      <c r="B709" s="11">
        <f t="shared" si="44"/>
        <v>41657</v>
      </c>
      <c r="C709" s="75">
        <v>10</v>
      </c>
      <c r="D709" s="77">
        <v>0.1</v>
      </c>
    </row>
    <row r="710" spans="2:4" x14ac:dyDescent="0.2">
      <c r="B710" s="11">
        <f t="shared" si="44"/>
        <v>41664</v>
      </c>
      <c r="C710" s="75">
        <v>10</v>
      </c>
      <c r="D710" s="77">
        <v>0.1</v>
      </c>
    </row>
    <row r="711" spans="2:4" x14ac:dyDescent="0.2">
      <c r="B711" s="11">
        <f t="shared" si="44"/>
        <v>41671</v>
      </c>
      <c r="C711" s="75">
        <v>10</v>
      </c>
      <c r="D711" s="77">
        <v>0.1</v>
      </c>
    </row>
    <row r="712" spans="2:4" x14ac:dyDescent="0.2">
      <c r="B712" s="11">
        <f t="shared" si="44"/>
        <v>41678</v>
      </c>
      <c r="C712" s="75">
        <v>10</v>
      </c>
      <c r="D712" s="77">
        <v>0.1</v>
      </c>
    </row>
    <row r="713" spans="2:4" x14ac:dyDescent="0.2">
      <c r="B713" s="11">
        <f t="shared" si="44"/>
        <v>41685</v>
      </c>
      <c r="C713" s="75">
        <v>10</v>
      </c>
      <c r="D713" s="77">
        <v>0.1</v>
      </c>
    </row>
    <row r="714" spans="2:4" x14ac:dyDescent="0.2">
      <c r="B714" s="11">
        <f t="shared" si="44"/>
        <v>41692</v>
      </c>
      <c r="C714" s="75">
        <v>10</v>
      </c>
      <c r="D714" s="77">
        <v>0.1</v>
      </c>
    </row>
    <row r="715" spans="2:4" x14ac:dyDescent="0.2">
      <c r="B715" s="11">
        <f t="shared" si="44"/>
        <v>41699</v>
      </c>
      <c r="C715" s="75">
        <v>10</v>
      </c>
      <c r="D715" s="77">
        <v>0.1</v>
      </c>
    </row>
    <row r="716" spans="2:4" x14ac:dyDescent="0.2">
      <c r="B716" s="11">
        <f t="shared" si="44"/>
        <v>41706</v>
      </c>
      <c r="C716" s="75">
        <v>10</v>
      </c>
      <c r="D716" s="77">
        <v>0.1</v>
      </c>
    </row>
    <row r="717" spans="2:4" x14ac:dyDescent="0.2">
      <c r="B717" s="11">
        <f t="shared" si="44"/>
        <v>41713</v>
      </c>
      <c r="C717" s="75">
        <v>10</v>
      </c>
      <c r="D717" s="77">
        <v>0.1</v>
      </c>
    </row>
    <row r="718" spans="2:4" x14ac:dyDescent="0.2">
      <c r="B718" s="11">
        <f t="shared" si="44"/>
        <v>41720</v>
      </c>
      <c r="C718" s="75">
        <v>10</v>
      </c>
      <c r="D718" s="77">
        <v>0.1</v>
      </c>
    </row>
    <row r="719" spans="2:4" x14ac:dyDescent="0.2">
      <c r="B719" s="11">
        <f t="shared" si="44"/>
        <v>41727</v>
      </c>
      <c r="C719" s="75">
        <v>10</v>
      </c>
      <c r="D719" s="77">
        <v>0.1</v>
      </c>
    </row>
    <row r="720" spans="2:4" x14ac:dyDescent="0.2">
      <c r="B720" s="11">
        <f t="shared" si="44"/>
        <v>41734</v>
      </c>
      <c r="C720" s="75">
        <v>10</v>
      </c>
      <c r="D720" s="77">
        <v>0.1</v>
      </c>
    </row>
    <row r="721" spans="2:4" x14ac:dyDescent="0.2">
      <c r="B721" s="11">
        <f t="shared" si="44"/>
        <v>41741</v>
      </c>
      <c r="C721" s="75">
        <v>10</v>
      </c>
      <c r="D721" s="77">
        <v>0.1</v>
      </c>
    </row>
    <row r="722" spans="2:4" x14ac:dyDescent="0.2">
      <c r="B722" s="11">
        <f t="shared" si="44"/>
        <v>41748</v>
      </c>
      <c r="C722" s="75">
        <v>10</v>
      </c>
      <c r="D722" s="77">
        <v>0.1</v>
      </c>
    </row>
    <row r="723" spans="2:4" x14ac:dyDescent="0.2">
      <c r="B723" s="11">
        <f t="shared" si="44"/>
        <v>41755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41762</v>
      </c>
      <c r="C724" s="75">
        <v>10</v>
      </c>
      <c r="D724" s="77">
        <v>0.1</v>
      </c>
    </row>
    <row r="725" spans="2:4" x14ac:dyDescent="0.2">
      <c r="B725" s="11">
        <f t="shared" si="45"/>
        <v>41769</v>
      </c>
      <c r="C725" s="75">
        <v>10</v>
      </c>
      <c r="D725" s="77">
        <v>0.1</v>
      </c>
    </row>
    <row r="726" spans="2:4" x14ac:dyDescent="0.2">
      <c r="B726" s="11">
        <f t="shared" si="45"/>
        <v>41776</v>
      </c>
      <c r="C726" s="75">
        <v>10</v>
      </c>
      <c r="D726" s="77">
        <v>0.1</v>
      </c>
    </row>
    <row r="727" spans="2:4" x14ac:dyDescent="0.2">
      <c r="B727" s="11">
        <f t="shared" si="45"/>
        <v>41783</v>
      </c>
      <c r="C727" s="75">
        <v>10</v>
      </c>
      <c r="D727" s="77">
        <v>0.1</v>
      </c>
    </row>
    <row r="728" spans="2:4" x14ac:dyDescent="0.2">
      <c r="B728" s="11">
        <f t="shared" si="45"/>
        <v>41790</v>
      </c>
      <c r="C728" s="75">
        <v>10</v>
      </c>
      <c r="D728" s="77">
        <v>0.1</v>
      </c>
    </row>
    <row r="729" spans="2:4" x14ac:dyDescent="0.2">
      <c r="B729" s="11">
        <f t="shared" si="45"/>
        <v>41797</v>
      </c>
      <c r="C729" s="75">
        <v>10</v>
      </c>
      <c r="D729" s="77">
        <v>0.1</v>
      </c>
    </row>
    <row r="730" spans="2:4" x14ac:dyDescent="0.2">
      <c r="B730" s="11">
        <f t="shared" si="45"/>
        <v>41804</v>
      </c>
      <c r="C730" s="75">
        <v>10</v>
      </c>
      <c r="D730" s="77">
        <v>0.1</v>
      </c>
    </row>
    <row r="731" spans="2:4" x14ac:dyDescent="0.2">
      <c r="B731" s="11">
        <f t="shared" si="45"/>
        <v>41811</v>
      </c>
      <c r="C731" s="75">
        <v>10</v>
      </c>
      <c r="D731" s="77">
        <v>0.1</v>
      </c>
    </row>
    <row r="732" spans="2:4" x14ac:dyDescent="0.2">
      <c r="B732" s="11">
        <f t="shared" si="45"/>
        <v>41818</v>
      </c>
      <c r="C732" s="75">
        <v>10</v>
      </c>
      <c r="D732" s="77">
        <v>0.1</v>
      </c>
    </row>
    <row r="733" spans="2:4" x14ac:dyDescent="0.2">
      <c r="B733" s="11">
        <f t="shared" si="45"/>
        <v>41825</v>
      </c>
      <c r="C733" s="75">
        <v>10</v>
      </c>
      <c r="D733" s="77">
        <v>0.1</v>
      </c>
    </row>
    <row r="734" spans="2:4" x14ac:dyDescent="0.2">
      <c r="B734" s="11">
        <f t="shared" si="45"/>
        <v>41832</v>
      </c>
      <c r="C734" s="75">
        <v>10</v>
      </c>
      <c r="D734" s="77">
        <v>0.1</v>
      </c>
    </row>
    <row r="735" spans="2:4" x14ac:dyDescent="0.2">
      <c r="B735" s="11">
        <f t="shared" si="45"/>
        <v>41839</v>
      </c>
      <c r="C735" s="75">
        <v>10</v>
      </c>
      <c r="D735" s="77">
        <v>0.1</v>
      </c>
    </row>
    <row r="736" spans="2:4" x14ac:dyDescent="0.2">
      <c r="B736" s="11">
        <f t="shared" si="45"/>
        <v>41846</v>
      </c>
      <c r="C736" s="75">
        <v>10</v>
      </c>
      <c r="D736" s="77">
        <v>0.1</v>
      </c>
    </row>
    <row r="737" spans="2:4" x14ac:dyDescent="0.2">
      <c r="B737" s="11">
        <f t="shared" si="45"/>
        <v>41853</v>
      </c>
      <c r="C737" s="75">
        <v>10</v>
      </c>
      <c r="D737" s="77">
        <v>0.1</v>
      </c>
    </row>
    <row r="738" spans="2:4" x14ac:dyDescent="0.2">
      <c r="B738" s="11">
        <f t="shared" si="45"/>
        <v>41860</v>
      </c>
      <c r="C738" s="75">
        <v>10</v>
      </c>
      <c r="D738" s="77">
        <v>0.1</v>
      </c>
    </row>
    <row r="739" spans="2:4" x14ac:dyDescent="0.2">
      <c r="B739" s="11">
        <f t="shared" si="45"/>
        <v>41867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41874</v>
      </c>
      <c r="C740" s="75">
        <v>10</v>
      </c>
      <c r="D740" s="77">
        <v>0.1</v>
      </c>
    </row>
    <row r="741" spans="2:4" x14ac:dyDescent="0.2">
      <c r="B741" s="11">
        <f t="shared" si="46"/>
        <v>41881</v>
      </c>
      <c r="C741" s="75">
        <v>10</v>
      </c>
      <c r="D741" s="77">
        <v>0.1</v>
      </c>
    </row>
    <row r="742" spans="2:4" x14ac:dyDescent="0.2">
      <c r="B742" s="11">
        <f t="shared" si="46"/>
        <v>41888</v>
      </c>
      <c r="C742" s="75">
        <v>10</v>
      </c>
      <c r="D742" s="77">
        <v>0.1</v>
      </c>
    </row>
    <row r="743" spans="2:4" x14ac:dyDescent="0.2">
      <c r="B743" s="11">
        <f t="shared" si="46"/>
        <v>41895</v>
      </c>
      <c r="C743" s="75">
        <v>10</v>
      </c>
      <c r="D743" s="77">
        <v>0.1</v>
      </c>
    </row>
    <row r="744" spans="2:4" x14ac:dyDescent="0.2">
      <c r="B744" s="11">
        <f t="shared" si="46"/>
        <v>41902</v>
      </c>
      <c r="C744" s="75">
        <v>10</v>
      </c>
      <c r="D744" s="77">
        <v>0.1</v>
      </c>
    </row>
    <row r="745" spans="2:4" x14ac:dyDescent="0.2">
      <c r="B745" s="11">
        <f t="shared" si="46"/>
        <v>41909</v>
      </c>
      <c r="C745" s="75">
        <v>10</v>
      </c>
      <c r="D745" s="77">
        <v>0.1</v>
      </c>
    </row>
    <row r="746" spans="2:4" x14ac:dyDescent="0.2">
      <c r="B746" s="11">
        <f t="shared" si="46"/>
        <v>41916</v>
      </c>
      <c r="C746" s="75">
        <v>10</v>
      </c>
      <c r="D746" s="77">
        <v>0.1</v>
      </c>
    </row>
    <row r="747" spans="2:4" x14ac:dyDescent="0.2">
      <c r="B747" s="11">
        <f t="shared" si="46"/>
        <v>41923</v>
      </c>
      <c r="C747" s="75">
        <v>10</v>
      </c>
      <c r="D747" s="77">
        <v>0.1</v>
      </c>
    </row>
    <row r="748" spans="2:4" x14ac:dyDescent="0.2">
      <c r="B748" s="11">
        <f t="shared" si="46"/>
        <v>41930</v>
      </c>
      <c r="C748" s="75">
        <v>10</v>
      </c>
      <c r="D748" s="77">
        <v>0.1</v>
      </c>
    </row>
    <row r="749" spans="2:4" x14ac:dyDescent="0.2">
      <c r="B749" s="11">
        <f t="shared" si="46"/>
        <v>41937</v>
      </c>
      <c r="C749" s="75">
        <v>10</v>
      </c>
      <c r="D749" s="77">
        <v>0.1</v>
      </c>
    </row>
    <row r="750" spans="2:4" x14ac:dyDescent="0.2">
      <c r="B750" s="11">
        <f t="shared" si="46"/>
        <v>41944</v>
      </c>
      <c r="C750" s="75">
        <v>10</v>
      </c>
      <c r="D750" s="77">
        <v>0.1</v>
      </c>
    </row>
    <row r="751" spans="2:4" x14ac:dyDescent="0.2">
      <c r="B751" s="11">
        <f t="shared" si="46"/>
        <v>41951</v>
      </c>
      <c r="C751" s="75">
        <v>10</v>
      </c>
      <c r="D751" s="77">
        <v>0.1</v>
      </c>
    </row>
    <row r="752" spans="2:4" x14ac:dyDescent="0.2">
      <c r="B752" s="11">
        <f t="shared" si="46"/>
        <v>41958</v>
      </c>
      <c r="C752" s="75">
        <v>10</v>
      </c>
      <c r="D752" s="77">
        <v>0.1</v>
      </c>
    </row>
    <row r="753" spans="2:4" x14ac:dyDescent="0.2">
      <c r="B753" s="11">
        <f t="shared" si="46"/>
        <v>41965</v>
      </c>
      <c r="C753" s="75">
        <v>10</v>
      </c>
      <c r="D753" s="77">
        <v>0.1</v>
      </c>
    </row>
    <row r="754" spans="2:4" x14ac:dyDescent="0.2">
      <c r="B754" s="11">
        <f t="shared" si="46"/>
        <v>41972</v>
      </c>
      <c r="C754" s="75">
        <v>10</v>
      </c>
      <c r="D754" s="77">
        <v>0.1</v>
      </c>
    </row>
    <row r="755" spans="2:4" x14ac:dyDescent="0.2">
      <c r="B755" s="11">
        <f t="shared" si="46"/>
        <v>41979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41986</v>
      </c>
      <c r="C756" s="75">
        <v>10</v>
      </c>
      <c r="D756" s="77">
        <v>0.1</v>
      </c>
    </row>
    <row r="757" spans="2:4" x14ac:dyDescent="0.2">
      <c r="B757" s="11">
        <f t="shared" si="47"/>
        <v>41993</v>
      </c>
      <c r="C757" s="75">
        <v>10</v>
      </c>
      <c r="D757" s="77">
        <v>0.1</v>
      </c>
    </row>
    <row r="758" spans="2:4" x14ac:dyDescent="0.2">
      <c r="B758" s="11">
        <f t="shared" si="47"/>
        <v>42000</v>
      </c>
      <c r="C758" s="75">
        <v>10</v>
      </c>
      <c r="D758" s="77">
        <v>0.1</v>
      </c>
    </row>
    <row r="759" spans="2:4" x14ac:dyDescent="0.2">
      <c r="B759" s="11">
        <f t="shared" si="47"/>
        <v>42007</v>
      </c>
      <c r="C759" s="75">
        <v>10</v>
      </c>
      <c r="D759" s="77">
        <v>0.1</v>
      </c>
    </row>
    <row r="760" spans="2:4" x14ac:dyDescent="0.2">
      <c r="B760" s="11">
        <f t="shared" si="47"/>
        <v>42014</v>
      </c>
      <c r="C760" s="75">
        <v>10</v>
      </c>
      <c r="D760" s="77">
        <v>0.1</v>
      </c>
    </row>
    <row r="761" spans="2:4" x14ac:dyDescent="0.2">
      <c r="B761" s="11">
        <f t="shared" si="47"/>
        <v>42021</v>
      </c>
      <c r="C761" s="75">
        <v>10</v>
      </c>
      <c r="D761" s="77">
        <v>0.1</v>
      </c>
    </row>
    <row r="762" spans="2:4" x14ac:dyDescent="0.2">
      <c r="B762" s="11">
        <f t="shared" si="47"/>
        <v>42028</v>
      </c>
      <c r="C762" s="75">
        <v>10</v>
      </c>
      <c r="D762" s="77">
        <v>0.1</v>
      </c>
    </row>
    <row r="763" spans="2:4" x14ac:dyDescent="0.2">
      <c r="B763" s="11">
        <f t="shared" si="47"/>
        <v>42035</v>
      </c>
      <c r="C763" s="75">
        <v>10</v>
      </c>
      <c r="D763" s="77">
        <v>0.1</v>
      </c>
    </row>
    <row r="764" spans="2:4" x14ac:dyDescent="0.2">
      <c r="B764" s="11">
        <f t="shared" si="47"/>
        <v>42042</v>
      </c>
      <c r="C764" s="75">
        <v>10</v>
      </c>
      <c r="D764" s="77">
        <v>0.1</v>
      </c>
    </row>
    <row r="765" spans="2:4" x14ac:dyDescent="0.2">
      <c r="B765" s="11">
        <f t="shared" si="47"/>
        <v>42049</v>
      </c>
      <c r="C765" s="75">
        <v>10</v>
      </c>
      <c r="D765" s="77">
        <v>0.1</v>
      </c>
    </row>
    <row r="766" spans="2:4" x14ac:dyDescent="0.2">
      <c r="B766" s="11">
        <f t="shared" si="47"/>
        <v>42056</v>
      </c>
      <c r="C766" s="75">
        <v>10</v>
      </c>
      <c r="D766" s="77">
        <v>0.1</v>
      </c>
    </row>
    <row r="767" spans="2:4" x14ac:dyDescent="0.2">
      <c r="B767" s="11">
        <f t="shared" si="47"/>
        <v>42063</v>
      </c>
      <c r="C767" s="75">
        <v>10</v>
      </c>
      <c r="D767" s="77">
        <v>0.1</v>
      </c>
    </row>
    <row r="768" spans="2:4" x14ac:dyDescent="0.2">
      <c r="B768" s="11">
        <f t="shared" si="47"/>
        <v>42070</v>
      </c>
      <c r="C768" s="75">
        <v>10</v>
      </c>
      <c r="D768" s="77">
        <v>0.1</v>
      </c>
    </row>
    <row r="769" spans="2:4" x14ac:dyDescent="0.2">
      <c r="B769" s="11">
        <f t="shared" si="47"/>
        <v>42077</v>
      </c>
      <c r="C769" s="75">
        <v>10</v>
      </c>
      <c r="D769" s="77">
        <v>0.1</v>
      </c>
    </row>
    <row r="770" spans="2:4" x14ac:dyDescent="0.2">
      <c r="B770" s="11">
        <f t="shared" si="47"/>
        <v>42084</v>
      </c>
      <c r="C770" s="75">
        <v>10</v>
      </c>
      <c r="D770" s="77">
        <v>0.1</v>
      </c>
    </row>
    <row r="771" spans="2:4" x14ac:dyDescent="0.2">
      <c r="B771" s="11">
        <f t="shared" si="47"/>
        <v>42091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42098</v>
      </c>
      <c r="C772" s="75">
        <v>10</v>
      </c>
      <c r="D772" s="77">
        <v>0.1</v>
      </c>
    </row>
    <row r="773" spans="2:4" x14ac:dyDescent="0.2">
      <c r="B773" s="11">
        <f t="shared" si="48"/>
        <v>42105</v>
      </c>
      <c r="C773" s="75">
        <v>10</v>
      </c>
      <c r="D773" s="77">
        <v>0.1</v>
      </c>
    </row>
    <row r="774" spans="2:4" x14ac:dyDescent="0.2">
      <c r="B774" s="11">
        <f t="shared" si="48"/>
        <v>42112</v>
      </c>
      <c r="C774" s="75">
        <v>10</v>
      </c>
      <c r="D774" s="77">
        <v>0.1</v>
      </c>
    </row>
    <row r="775" spans="2:4" x14ac:dyDescent="0.2">
      <c r="B775" s="11">
        <f t="shared" si="48"/>
        <v>42119</v>
      </c>
      <c r="C775" s="75">
        <v>10</v>
      </c>
      <c r="D775" s="77">
        <v>0.1</v>
      </c>
    </row>
    <row r="776" spans="2:4" x14ac:dyDescent="0.2">
      <c r="B776" s="11">
        <f t="shared" si="48"/>
        <v>42126</v>
      </c>
      <c r="C776" s="75">
        <v>10</v>
      </c>
      <c r="D776" s="77">
        <v>0.1</v>
      </c>
    </row>
    <row r="777" spans="2:4" x14ac:dyDescent="0.2">
      <c r="B777" s="11">
        <f t="shared" si="48"/>
        <v>42133</v>
      </c>
      <c r="C777" s="75">
        <v>10</v>
      </c>
      <c r="D777" s="77">
        <v>0.1</v>
      </c>
    </row>
    <row r="778" spans="2:4" x14ac:dyDescent="0.2">
      <c r="B778" s="11">
        <f t="shared" si="48"/>
        <v>42140</v>
      </c>
      <c r="C778" s="75">
        <v>10</v>
      </c>
      <c r="D778" s="77">
        <v>0.1</v>
      </c>
    </row>
    <row r="779" spans="2:4" x14ac:dyDescent="0.2">
      <c r="B779" s="11">
        <f t="shared" si="48"/>
        <v>42147</v>
      </c>
      <c r="C779" s="75">
        <v>10</v>
      </c>
      <c r="D779" s="77">
        <v>0.1</v>
      </c>
    </row>
    <row r="780" spans="2:4" x14ac:dyDescent="0.2">
      <c r="B780" s="11">
        <f t="shared" si="48"/>
        <v>42154</v>
      </c>
      <c r="C780" s="75">
        <v>10</v>
      </c>
      <c r="D780" s="77">
        <v>0.1</v>
      </c>
    </row>
    <row r="781" spans="2:4" x14ac:dyDescent="0.2">
      <c r="B781" s="11">
        <f t="shared" si="48"/>
        <v>42161</v>
      </c>
      <c r="C781" s="75">
        <v>10</v>
      </c>
      <c r="D781" s="77">
        <v>0.1</v>
      </c>
    </row>
    <row r="782" spans="2:4" x14ac:dyDescent="0.2">
      <c r="B782" s="11">
        <f t="shared" si="48"/>
        <v>42168</v>
      </c>
      <c r="C782" s="75">
        <v>10</v>
      </c>
      <c r="D782" s="77">
        <v>0.1</v>
      </c>
    </row>
    <row r="783" spans="2:4" x14ac:dyDescent="0.2">
      <c r="B783" s="11">
        <f t="shared" si="48"/>
        <v>42175</v>
      </c>
      <c r="C783" s="75">
        <v>10</v>
      </c>
      <c r="D783" s="77">
        <v>0.1</v>
      </c>
    </row>
    <row r="784" spans="2:4" x14ac:dyDescent="0.2">
      <c r="B784" s="11">
        <f t="shared" si="48"/>
        <v>42182</v>
      </c>
      <c r="C784" s="75">
        <v>10</v>
      </c>
      <c r="D784" s="77">
        <v>0.1</v>
      </c>
    </row>
    <row r="785" spans="2:4" x14ac:dyDescent="0.2">
      <c r="B785" s="11">
        <f t="shared" si="48"/>
        <v>42189</v>
      </c>
      <c r="C785" s="75">
        <v>10</v>
      </c>
      <c r="D785" s="77">
        <v>0.1</v>
      </c>
    </row>
    <row r="786" spans="2:4" x14ac:dyDescent="0.2">
      <c r="B786" s="11">
        <f t="shared" si="48"/>
        <v>42196</v>
      </c>
      <c r="C786" s="75">
        <v>10</v>
      </c>
      <c r="D786" s="77">
        <v>0.1</v>
      </c>
    </row>
    <row r="787" spans="2:4" x14ac:dyDescent="0.2">
      <c r="B787" s="11">
        <f t="shared" si="48"/>
        <v>42203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42210</v>
      </c>
      <c r="C788" s="75">
        <v>10</v>
      </c>
      <c r="D788" s="77">
        <v>0.1</v>
      </c>
    </row>
    <row r="789" spans="2:4" x14ac:dyDescent="0.2">
      <c r="B789" s="11">
        <f t="shared" si="49"/>
        <v>42217</v>
      </c>
      <c r="C789" s="75">
        <v>10</v>
      </c>
      <c r="D789" s="77">
        <v>0.1</v>
      </c>
    </row>
    <row r="790" spans="2:4" x14ac:dyDescent="0.2">
      <c r="B790" s="11">
        <f t="shared" si="49"/>
        <v>42224</v>
      </c>
      <c r="C790" s="75">
        <v>10</v>
      </c>
      <c r="D790" s="77">
        <v>0.1</v>
      </c>
    </row>
    <row r="791" spans="2:4" x14ac:dyDescent="0.2">
      <c r="B791" s="11">
        <f t="shared" si="49"/>
        <v>42231</v>
      </c>
      <c r="C791" s="75">
        <v>10</v>
      </c>
      <c r="D791" s="77">
        <v>0.1</v>
      </c>
    </row>
    <row r="792" spans="2:4" x14ac:dyDescent="0.2">
      <c r="B792" s="11">
        <f t="shared" si="49"/>
        <v>42238</v>
      </c>
      <c r="C792" s="75">
        <v>10</v>
      </c>
      <c r="D792" s="77">
        <v>0.1</v>
      </c>
    </row>
    <row r="793" spans="2:4" x14ac:dyDescent="0.2">
      <c r="B793" s="11">
        <f t="shared" si="49"/>
        <v>42245</v>
      </c>
      <c r="C793" s="75">
        <v>10</v>
      </c>
      <c r="D793" s="77">
        <v>0.1</v>
      </c>
    </row>
    <row r="794" spans="2:4" x14ac:dyDescent="0.2">
      <c r="B794" s="11">
        <f t="shared" si="49"/>
        <v>42252</v>
      </c>
      <c r="C794" s="75">
        <v>10</v>
      </c>
      <c r="D794" s="77">
        <v>0.1</v>
      </c>
    </row>
    <row r="795" spans="2:4" x14ac:dyDescent="0.2">
      <c r="B795" s="11">
        <f t="shared" si="49"/>
        <v>42259</v>
      </c>
      <c r="C795" s="75">
        <v>10</v>
      </c>
      <c r="D795" s="77">
        <v>0.1</v>
      </c>
    </row>
    <row r="796" spans="2:4" x14ac:dyDescent="0.2">
      <c r="B796" s="11">
        <f t="shared" si="49"/>
        <v>42266</v>
      </c>
      <c r="C796" s="75">
        <v>10</v>
      </c>
      <c r="D796" s="77">
        <v>0.1</v>
      </c>
    </row>
    <row r="797" spans="2:4" x14ac:dyDescent="0.2">
      <c r="B797" s="11">
        <f t="shared" si="49"/>
        <v>42273</v>
      </c>
      <c r="C797" s="75">
        <v>10</v>
      </c>
      <c r="D797" s="77">
        <v>0.1</v>
      </c>
    </row>
    <row r="798" spans="2:4" x14ac:dyDescent="0.2">
      <c r="B798" s="11">
        <f t="shared" si="49"/>
        <v>42280</v>
      </c>
      <c r="C798" s="75">
        <v>10</v>
      </c>
      <c r="D798" s="77">
        <v>0.1</v>
      </c>
    </row>
    <row r="799" spans="2:4" x14ac:dyDescent="0.2">
      <c r="B799" s="11">
        <f t="shared" si="49"/>
        <v>42287</v>
      </c>
      <c r="C799" s="75">
        <v>10</v>
      </c>
      <c r="D799" s="77">
        <v>0.1</v>
      </c>
    </row>
    <row r="800" spans="2:4" x14ac:dyDescent="0.2">
      <c r="B800" s="11">
        <f t="shared" si="49"/>
        <v>42294</v>
      </c>
      <c r="C800" s="75">
        <v>10</v>
      </c>
      <c r="D800" s="77">
        <v>0.1</v>
      </c>
    </row>
    <row r="801" spans="2:4" x14ac:dyDescent="0.2">
      <c r="B801" s="11">
        <f t="shared" si="49"/>
        <v>42301</v>
      </c>
      <c r="C801" s="75">
        <v>10</v>
      </c>
      <c r="D801" s="77">
        <v>0.1</v>
      </c>
    </row>
    <row r="802" spans="2:4" x14ac:dyDescent="0.2">
      <c r="B802" s="11">
        <f t="shared" si="49"/>
        <v>42308</v>
      </c>
      <c r="C802" s="75">
        <v>10</v>
      </c>
      <c r="D802" s="77">
        <v>0.1</v>
      </c>
    </row>
    <row r="803" spans="2:4" x14ac:dyDescent="0.2">
      <c r="B803" s="11">
        <f t="shared" si="49"/>
        <v>42315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42322</v>
      </c>
      <c r="C804" s="75">
        <v>10</v>
      </c>
      <c r="D804" s="77">
        <v>0.1</v>
      </c>
    </row>
    <row r="805" spans="2:4" x14ac:dyDescent="0.2">
      <c r="B805" s="11">
        <f t="shared" si="50"/>
        <v>42329</v>
      </c>
      <c r="C805" s="75">
        <v>10</v>
      </c>
      <c r="D805" s="77">
        <v>0.1</v>
      </c>
    </row>
    <row r="806" spans="2:4" x14ac:dyDescent="0.2">
      <c r="B806" s="11">
        <f t="shared" si="50"/>
        <v>42336</v>
      </c>
      <c r="C806" s="75">
        <v>10</v>
      </c>
      <c r="D806" s="77">
        <v>0.1</v>
      </c>
    </row>
    <row r="807" spans="2:4" x14ac:dyDescent="0.2">
      <c r="B807" s="11">
        <f t="shared" si="50"/>
        <v>42343</v>
      </c>
      <c r="C807" s="75">
        <v>10</v>
      </c>
      <c r="D807" s="77">
        <v>0.1</v>
      </c>
    </row>
    <row r="808" spans="2:4" x14ac:dyDescent="0.2">
      <c r="B808" s="11">
        <f t="shared" si="50"/>
        <v>42350</v>
      </c>
      <c r="C808" s="75">
        <v>10</v>
      </c>
      <c r="D808" s="77">
        <v>0.1</v>
      </c>
    </row>
    <row r="809" spans="2:4" x14ac:dyDescent="0.2">
      <c r="B809" s="11">
        <f t="shared" si="50"/>
        <v>42357</v>
      </c>
      <c r="C809" s="75">
        <v>10</v>
      </c>
      <c r="D809" s="77">
        <v>0.1</v>
      </c>
    </row>
    <row r="810" spans="2:4" x14ac:dyDescent="0.2">
      <c r="B810" s="11">
        <f t="shared" si="50"/>
        <v>42364</v>
      </c>
      <c r="C810" s="75">
        <v>10</v>
      </c>
      <c r="D810" s="77">
        <v>0.1</v>
      </c>
    </row>
    <row r="811" spans="2:4" x14ac:dyDescent="0.2">
      <c r="B811" s="11">
        <f t="shared" si="50"/>
        <v>42371</v>
      </c>
      <c r="C811" s="75">
        <v>10</v>
      </c>
      <c r="D811" s="77">
        <v>0.1</v>
      </c>
    </row>
    <row r="812" spans="2:4" x14ac:dyDescent="0.2">
      <c r="B812" s="11">
        <f t="shared" si="50"/>
        <v>42378</v>
      </c>
      <c r="C812" s="75">
        <v>10</v>
      </c>
      <c r="D812" s="77">
        <v>0.1</v>
      </c>
    </row>
    <row r="813" spans="2:4" x14ac:dyDescent="0.2">
      <c r="B813" s="11">
        <f t="shared" si="50"/>
        <v>42385</v>
      </c>
      <c r="C813" s="75">
        <v>10</v>
      </c>
      <c r="D813" s="77">
        <v>0.1</v>
      </c>
    </row>
    <row r="814" spans="2:4" x14ac:dyDescent="0.2">
      <c r="B814" s="11">
        <f t="shared" si="50"/>
        <v>42392</v>
      </c>
      <c r="C814" s="75">
        <v>10</v>
      </c>
      <c r="D814" s="77">
        <v>0.1</v>
      </c>
    </row>
    <row r="815" spans="2:4" x14ac:dyDescent="0.2">
      <c r="B815" s="11">
        <f t="shared" si="50"/>
        <v>42399</v>
      </c>
      <c r="C815" s="75">
        <v>10</v>
      </c>
      <c r="D815" s="77">
        <v>0.1</v>
      </c>
    </row>
    <row r="816" spans="2:4" x14ac:dyDescent="0.2">
      <c r="B816" s="11">
        <f t="shared" si="50"/>
        <v>42406</v>
      </c>
      <c r="C816" s="75">
        <v>10</v>
      </c>
      <c r="D816" s="77">
        <v>0.1</v>
      </c>
    </row>
    <row r="817" spans="2:4" x14ac:dyDescent="0.2">
      <c r="B817" s="11">
        <f t="shared" si="50"/>
        <v>42413</v>
      </c>
      <c r="C817" s="75">
        <v>10</v>
      </c>
      <c r="D817" s="77">
        <v>0.1</v>
      </c>
    </row>
    <row r="818" spans="2:4" x14ac:dyDescent="0.2">
      <c r="B818" s="11">
        <f t="shared" si="50"/>
        <v>42420</v>
      </c>
      <c r="C818" s="75">
        <v>10</v>
      </c>
      <c r="D818" s="77">
        <v>0.1</v>
      </c>
    </row>
    <row r="819" spans="2:4" x14ac:dyDescent="0.2">
      <c r="B819" s="11">
        <f t="shared" si="50"/>
        <v>42427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42434</v>
      </c>
      <c r="C820" s="75">
        <v>10</v>
      </c>
      <c r="D820" s="77">
        <v>0.1</v>
      </c>
    </row>
    <row r="821" spans="2:4" x14ac:dyDescent="0.2">
      <c r="B821" s="11">
        <f t="shared" si="51"/>
        <v>42441</v>
      </c>
      <c r="C821" s="75">
        <v>10</v>
      </c>
      <c r="D821" s="77">
        <v>0.1</v>
      </c>
    </row>
    <row r="822" spans="2:4" x14ac:dyDescent="0.2">
      <c r="B822" s="11">
        <f t="shared" si="51"/>
        <v>42448</v>
      </c>
      <c r="C822" s="75">
        <v>10</v>
      </c>
      <c r="D822" s="77">
        <v>0.1</v>
      </c>
    </row>
    <row r="823" spans="2:4" x14ac:dyDescent="0.2">
      <c r="B823" s="11">
        <f t="shared" si="51"/>
        <v>42455</v>
      </c>
      <c r="C823" s="75">
        <v>10</v>
      </c>
      <c r="D823" s="77">
        <v>0.1</v>
      </c>
    </row>
    <row r="824" spans="2:4" x14ac:dyDescent="0.2">
      <c r="B824" s="11">
        <f t="shared" si="51"/>
        <v>42462</v>
      </c>
      <c r="C824" s="75">
        <v>10</v>
      </c>
      <c r="D824" s="77">
        <v>0.1</v>
      </c>
    </row>
    <row r="825" spans="2:4" x14ac:dyDescent="0.2">
      <c r="B825" s="11">
        <f t="shared" si="51"/>
        <v>42469</v>
      </c>
      <c r="C825" s="75">
        <v>10</v>
      </c>
      <c r="D825" s="77">
        <v>0.1</v>
      </c>
    </row>
    <row r="826" spans="2:4" x14ac:dyDescent="0.2">
      <c r="B826" s="11">
        <f t="shared" si="51"/>
        <v>42476</v>
      </c>
      <c r="C826" s="75">
        <v>10</v>
      </c>
      <c r="D826" s="77">
        <v>0.1</v>
      </c>
    </row>
    <row r="827" spans="2:4" x14ac:dyDescent="0.2">
      <c r="B827" s="11">
        <f t="shared" si="51"/>
        <v>42483</v>
      </c>
      <c r="C827" s="75">
        <v>10</v>
      </c>
      <c r="D827" s="77">
        <v>0.1</v>
      </c>
    </row>
    <row r="828" spans="2:4" x14ac:dyDescent="0.2">
      <c r="B828" s="11">
        <f t="shared" si="51"/>
        <v>42490</v>
      </c>
      <c r="C828" s="75">
        <v>10</v>
      </c>
      <c r="D828" s="77">
        <v>0.1</v>
      </c>
    </row>
    <row r="829" spans="2:4" x14ac:dyDescent="0.2">
      <c r="B829" s="11">
        <f t="shared" si="51"/>
        <v>42497</v>
      </c>
      <c r="C829" s="75">
        <v>10</v>
      </c>
      <c r="D829" s="77">
        <v>0.1</v>
      </c>
    </row>
    <row r="830" spans="2:4" x14ac:dyDescent="0.2">
      <c r="B830" s="11">
        <f t="shared" si="51"/>
        <v>42504</v>
      </c>
      <c r="C830" s="75">
        <v>10</v>
      </c>
      <c r="D830" s="77">
        <v>0.1</v>
      </c>
    </row>
    <row r="831" spans="2:4" x14ac:dyDescent="0.2">
      <c r="B831" s="11">
        <f t="shared" si="51"/>
        <v>42511</v>
      </c>
      <c r="C831" s="75">
        <v>10</v>
      </c>
      <c r="D831" s="77">
        <v>0.1</v>
      </c>
    </row>
    <row r="832" spans="2:4" x14ac:dyDescent="0.2">
      <c r="B832" s="11">
        <f t="shared" si="51"/>
        <v>42518</v>
      </c>
      <c r="C832" s="75">
        <v>10</v>
      </c>
      <c r="D832" s="77">
        <v>0.1</v>
      </c>
    </row>
    <row r="833" spans="2:4" x14ac:dyDescent="0.2">
      <c r="B833" s="11">
        <f t="shared" si="51"/>
        <v>42525</v>
      </c>
      <c r="C833" s="75">
        <v>10</v>
      </c>
      <c r="D833" s="77">
        <v>0.1</v>
      </c>
    </row>
    <row r="834" spans="2:4" x14ac:dyDescent="0.2">
      <c r="B834" s="11">
        <f t="shared" si="51"/>
        <v>42532</v>
      </c>
      <c r="C834" s="75">
        <v>10</v>
      </c>
      <c r="D834" s="77">
        <v>0.1</v>
      </c>
    </row>
    <row r="835" spans="2:4" x14ac:dyDescent="0.2">
      <c r="B835" s="11">
        <f t="shared" si="51"/>
        <v>42539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42546</v>
      </c>
      <c r="C836" s="75">
        <v>10</v>
      </c>
      <c r="D836" s="77">
        <v>0.1</v>
      </c>
    </row>
    <row r="837" spans="2:4" x14ac:dyDescent="0.2">
      <c r="B837" s="11">
        <f t="shared" si="52"/>
        <v>42553</v>
      </c>
      <c r="C837" s="75">
        <v>10</v>
      </c>
      <c r="D837" s="77">
        <v>0.1</v>
      </c>
    </row>
    <row r="838" spans="2:4" x14ac:dyDescent="0.2">
      <c r="B838" s="11">
        <f t="shared" si="52"/>
        <v>42560</v>
      </c>
      <c r="C838" s="75">
        <v>10</v>
      </c>
      <c r="D838" s="77">
        <v>0.1</v>
      </c>
    </row>
    <row r="839" spans="2:4" x14ac:dyDescent="0.2">
      <c r="B839" s="11">
        <f t="shared" si="52"/>
        <v>42567</v>
      </c>
      <c r="C839" s="75">
        <v>10</v>
      </c>
      <c r="D839" s="77">
        <v>0.1</v>
      </c>
    </row>
    <row r="840" spans="2:4" x14ac:dyDescent="0.2">
      <c r="B840" s="11">
        <f t="shared" si="52"/>
        <v>42574</v>
      </c>
      <c r="C840" s="75">
        <v>10</v>
      </c>
      <c r="D840" s="77">
        <v>0.1</v>
      </c>
    </row>
    <row r="841" spans="2:4" x14ac:dyDescent="0.2">
      <c r="B841" s="11">
        <f t="shared" si="52"/>
        <v>42581</v>
      </c>
      <c r="C841" s="75">
        <v>10</v>
      </c>
      <c r="D841" s="77">
        <v>0.1</v>
      </c>
    </row>
    <row r="842" spans="2:4" x14ac:dyDescent="0.2">
      <c r="B842" s="11">
        <f t="shared" si="52"/>
        <v>42588</v>
      </c>
      <c r="C842" s="75">
        <v>10</v>
      </c>
      <c r="D842" s="77">
        <v>0.1</v>
      </c>
    </row>
    <row r="843" spans="2:4" x14ac:dyDescent="0.2">
      <c r="B843" s="11">
        <f t="shared" si="52"/>
        <v>42595</v>
      </c>
      <c r="C843" s="75">
        <v>10</v>
      </c>
      <c r="D843" s="77">
        <v>0.1</v>
      </c>
    </row>
    <row r="844" spans="2:4" x14ac:dyDescent="0.2">
      <c r="B844" s="11">
        <f t="shared" si="52"/>
        <v>42602</v>
      </c>
      <c r="C844" s="75">
        <v>10</v>
      </c>
      <c r="D844" s="77">
        <v>0.1</v>
      </c>
    </row>
    <row r="845" spans="2:4" x14ac:dyDescent="0.2">
      <c r="B845" s="11">
        <f t="shared" si="52"/>
        <v>42609</v>
      </c>
      <c r="C845" s="75">
        <v>10</v>
      </c>
      <c r="D845" s="77">
        <v>0.1</v>
      </c>
    </row>
    <row r="846" spans="2:4" x14ac:dyDescent="0.2">
      <c r="B846" s="11">
        <f t="shared" si="52"/>
        <v>42616</v>
      </c>
      <c r="C846" s="75">
        <v>10</v>
      </c>
      <c r="D846" s="77">
        <v>0.1</v>
      </c>
    </row>
    <row r="847" spans="2:4" x14ac:dyDescent="0.2">
      <c r="B847" s="11">
        <f t="shared" si="52"/>
        <v>42623</v>
      </c>
      <c r="C847" s="75">
        <v>10</v>
      </c>
      <c r="D847" s="77">
        <v>0.1</v>
      </c>
    </row>
    <row r="848" spans="2:4" x14ac:dyDescent="0.2">
      <c r="B848" s="11">
        <f t="shared" si="52"/>
        <v>42630</v>
      </c>
      <c r="C848" s="75">
        <v>10</v>
      </c>
      <c r="D848" s="77">
        <v>0.1</v>
      </c>
    </row>
    <row r="849" spans="2:4" x14ac:dyDescent="0.2">
      <c r="B849" s="11">
        <f t="shared" si="52"/>
        <v>42637</v>
      </c>
      <c r="C849" s="75">
        <v>10</v>
      </c>
      <c r="D849" s="77">
        <v>0.1</v>
      </c>
    </row>
    <row r="850" spans="2:4" x14ac:dyDescent="0.2">
      <c r="B850" s="11">
        <f t="shared" si="52"/>
        <v>42644</v>
      </c>
      <c r="C850" s="75">
        <v>10</v>
      </c>
      <c r="D850" s="77">
        <v>0.1</v>
      </c>
    </row>
    <row r="851" spans="2:4" x14ac:dyDescent="0.2">
      <c r="B851" s="11">
        <f t="shared" si="52"/>
        <v>42651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42658</v>
      </c>
      <c r="C852" s="75">
        <v>10</v>
      </c>
      <c r="D852" s="77">
        <v>0.1</v>
      </c>
    </row>
    <row r="853" spans="2:4" x14ac:dyDescent="0.2">
      <c r="B853" s="11">
        <f t="shared" si="53"/>
        <v>42665</v>
      </c>
      <c r="C853" s="75">
        <v>10</v>
      </c>
      <c r="D853" s="77">
        <v>0.1</v>
      </c>
    </row>
    <row r="854" spans="2:4" x14ac:dyDescent="0.2">
      <c r="B854" s="11">
        <f t="shared" si="53"/>
        <v>42672</v>
      </c>
      <c r="C854" s="75">
        <v>10</v>
      </c>
      <c r="D854" s="77">
        <v>0.1</v>
      </c>
    </row>
    <row r="855" spans="2:4" x14ac:dyDescent="0.2">
      <c r="B855" s="11">
        <f t="shared" si="53"/>
        <v>42679</v>
      </c>
      <c r="C855" s="75">
        <v>10</v>
      </c>
      <c r="D855" s="77">
        <v>0.1</v>
      </c>
    </row>
    <row r="856" spans="2:4" x14ac:dyDescent="0.2">
      <c r="B856" s="11">
        <f t="shared" si="53"/>
        <v>42686</v>
      </c>
      <c r="C856" s="75">
        <v>10</v>
      </c>
      <c r="D856" s="77">
        <v>0.1</v>
      </c>
    </row>
    <row r="857" spans="2:4" x14ac:dyDescent="0.2">
      <c r="B857" s="11">
        <f t="shared" si="53"/>
        <v>42693</v>
      </c>
      <c r="C857" s="75">
        <v>10</v>
      </c>
      <c r="D857" s="77">
        <v>0.1</v>
      </c>
    </row>
    <row r="858" spans="2:4" x14ac:dyDescent="0.2">
      <c r="B858" s="11">
        <f t="shared" si="53"/>
        <v>42700</v>
      </c>
      <c r="C858" s="75">
        <v>10</v>
      </c>
      <c r="D858" s="77">
        <v>0.1</v>
      </c>
    </row>
    <row r="859" spans="2:4" x14ac:dyDescent="0.2">
      <c r="B859" s="11">
        <f t="shared" si="53"/>
        <v>42707</v>
      </c>
      <c r="C859" s="75">
        <v>10</v>
      </c>
      <c r="D859" s="77">
        <v>0.1</v>
      </c>
    </row>
    <row r="860" spans="2:4" x14ac:dyDescent="0.2">
      <c r="B860" s="11">
        <f t="shared" si="53"/>
        <v>42714</v>
      </c>
      <c r="C860" s="75">
        <v>10</v>
      </c>
      <c r="D860" s="77">
        <v>0.1</v>
      </c>
    </row>
    <row r="861" spans="2:4" x14ac:dyDescent="0.2">
      <c r="B861" s="11">
        <f t="shared" si="53"/>
        <v>42721</v>
      </c>
      <c r="C861" s="75">
        <v>10</v>
      </c>
      <c r="D861" s="77">
        <v>0.1</v>
      </c>
    </row>
    <row r="862" spans="2:4" x14ac:dyDescent="0.2">
      <c r="B862" s="11">
        <f t="shared" si="53"/>
        <v>42728</v>
      </c>
      <c r="C862" s="75">
        <v>10</v>
      </c>
      <c r="D862" s="77">
        <v>0.1</v>
      </c>
    </row>
    <row r="863" spans="2:4" x14ac:dyDescent="0.2">
      <c r="B863" s="11">
        <f t="shared" si="53"/>
        <v>42735</v>
      </c>
      <c r="C863" s="75">
        <v>10</v>
      </c>
      <c r="D863" s="77">
        <v>0.1</v>
      </c>
    </row>
    <row r="864" spans="2:4" x14ac:dyDescent="0.2">
      <c r="B864" s="11">
        <f t="shared" si="53"/>
        <v>42742</v>
      </c>
      <c r="C864" s="75">
        <v>10</v>
      </c>
      <c r="D864" s="77">
        <v>0.1</v>
      </c>
    </row>
    <row r="865" spans="2:4" x14ac:dyDescent="0.2">
      <c r="B865" s="11">
        <f t="shared" si="53"/>
        <v>42749</v>
      </c>
      <c r="C865" s="75">
        <v>10</v>
      </c>
      <c r="D865" s="77">
        <v>0.1</v>
      </c>
    </row>
    <row r="866" spans="2:4" x14ac:dyDescent="0.2">
      <c r="B866" s="11">
        <f t="shared" si="53"/>
        <v>42756</v>
      </c>
      <c r="C866" s="75">
        <v>10</v>
      </c>
      <c r="D866" s="77">
        <v>0.1</v>
      </c>
    </row>
    <row r="867" spans="2:4" x14ac:dyDescent="0.2">
      <c r="B867" s="11">
        <f t="shared" si="53"/>
        <v>42763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42770</v>
      </c>
      <c r="C868" s="75">
        <v>10</v>
      </c>
      <c r="D868" s="77">
        <v>0.1</v>
      </c>
    </row>
    <row r="869" spans="2:4" x14ac:dyDescent="0.2">
      <c r="B869" s="11">
        <f t="shared" si="54"/>
        <v>42777</v>
      </c>
      <c r="C869" s="75">
        <v>10</v>
      </c>
      <c r="D869" s="77">
        <v>0.1</v>
      </c>
    </row>
    <row r="870" spans="2:4" x14ac:dyDescent="0.2">
      <c r="B870" s="11">
        <f t="shared" si="54"/>
        <v>42784</v>
      </c>
      <c r="C870" s="75">
        <v>10</v>
      </c>
      <c r="D870" s="77">
        <v>0.1</v>
      </c>
    </row>
    <row r="871" spans="2:4" x14ac:dyDescent="0.2">
      <c r="B871" s="11">
        <f t="shared" si="54"/>
        <v>42791</v>
      </c>
      <c r="C871" s="75">
        <v>10</v>
      </c>
      <c r="D871" s="77">
        <v>0.1</v>
      </c>
    </row>
    <row r="872" spans="2:4" x14ac:dyDescent="0.2">
      <c r="B872" s="11">
        <f t="shared" si="54"/>
        <v>42798</v>
      </c>
      <c r="C872" s="75">
        <v>10</v>
      </c>
      <c r="D872" s="77">
        <v>0.1</v>
      </c>
    </row>
    <row r="873" spans="2:4" x14ac:dyDescent="0.2">
      <c r="B873" s="11">
        <f t="shared" si="54"/>
        <v>42805</v>
      </c>
      <c r="C873" s="75">
        <v>10</v>
      </c>
      <c r="D873" s="77">
        <v>0.1</v>
      </c>
    </row>
    <row r="874" spans="2:4" x14ac:dyDescent="0.2">
      <c r="B874" s="11">
        <f t="shared" si="54"/>
        <v>42812</v>
      </c>
      <c r="C874" s="75">
        <v>10</v>
      </c>
      <c r="D874" s="77">
        <v>0.1</v>
      </c>
    </row>
    <row r="875" spans="2:4" x14ac:dyDescent="0.2">
      <c r="B875" s="11">
        <f t="shared" si="54"/>
        <v>42819</v>
      </c>
      <c r="C875" s="75">
        <v>10</v>
      </c>
      <c r="D875" s="77">
        <v>0.1</v>
      </c>
    </row>
    <row r="876" spans="2:4" x14ac:dyDescent="0.2">
      <c r="B876" s="11">
        <f t="shared" si="54"/>
        <v>42826</v>
      </c>
      <c r="C876" s="75">
        <v>10</v>
      </c>
      <c r="D876" s="77">
        <v>0.1</v>
      </c>
    </row>
    <row r="877" spans="2:4" x14ac:dyDescent="0.2">
      <c r="B877" s="11">
        <f t="shared" si="54"/>
        <v>42833</v>
      </c>
      <c r="C877" s="75">
        <v>10</v>
      </c>
      <c r="D877" s="77">
        <v>0.1</v>
      </c>
    </row>
    <row r="878" spans="2:4" x14ac:dyDescent="0.2">
      <c r="B878" s="11">
        <f t="shared" si="54"/>
        <v>42840</v>
      </c>
      <c r="C878" s="75">
        <v>10</v>
      </c>
      <c r="D878" s="77">
        <v>0.1</v>
      </c>
    </row>
    <row r="879" spans="2:4" x14ac:dyDescent="0.2">
      <c r="B879" s="11">
        <f t="shared" si="54"/>
        <v>42847</v>
      </c>
      <c r="C879" s="75">
        <v>10</v>
      </c>
      <c r="D879" s="77">
        <v>0.1</v>
      </c>
    </row>
    <row r="880" spans="2:4" x14ac:dyDescent="0.2">
      <c r="B880" s="11">
        <f t="shared" si="54"/>
        <v>42854</v>
      </c>
      <c r="C880" s="75">
        <v>10</v>
      </c>
      <c r="D880" s="77">
        <v>0.1</v>
      </c>
    </row>
    <row r="881" spans="2:4" x14ac:dyDescent="0.2">
      <c r="B881" s="11">
        <f t="shared" si="54"/>
        <v>42861</v>
      </c>
      <c r="C881" s="75">
        <v>10</v>
      </c>
      <c r="D881" s="77">
        <v>0.1</v>
      </c>
    </row>
    <row r="882" spans="2:4" x14ac:dyDescent="0.2">
      <c r="B882" s="11">
        <f t="shared" si="54"/>
        <v>42868</v>
      </c>
      <c r="C882" s="75">
        <v>10</v>
      </c>
      <c r="D882" s="77">
        <v>0.1</v>
      </c>
    </row>
    <row r="883" spans="2:4" x14ac:dyDescent="0.2">
      <c r="B883" s="11">
        <f t="shared" si="54"/>
        <v>42875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42882</v>
      </c>
      <c r="C884" s="75">
        <v>10</v>
      </c>
      <c r="D884" s="77">
        <v>0.1</v>
      </c>
    </row>
    <row r="885" spans="2:4" x14ac:dyDescent="0.2">
      <c r="B885" s="11">
        <f t="shared" si="55"/>
        <v>42889</v>
      </c>
      <c r="C885" s="75">
        <v>10</v>
      </c>
      <c r="D885" s="77">
        <v>0.1</v>
      </c>
    </row>
    <row r="886" spans="2:4" x14ac:dyDescent="0.2">
      <c r="B886" s="11">
        <f t="shared" si="55"/>
        <v>42896</v>
      </c>
      <c r="C886" s="75">
        <v>10</v>
      </c>
      <c r="D886" s="77">
        <v>0.1</v>
      </c>
    </row>
    <row r="887" spans="2:4" x14ac:dyDescent="0.2">
      <c r="B887" s="11">
        <f t="shared" si="55"/>
        <v>42903</v>
      </c>
      <c r="C887" s="75">
        <v>10</v>
      </c>
      <c r="D887" s="77">
        <v>0.1</v>
      </c>
    </row>
    <row r="888" spans="2:4" x14ac:dyDescent="0.2">
      <c r="B888" s="11">
        <f t="shared" si="55"/>
        <v>42910</v>
      </c>
      <c r="C888" s="75">
        <v>10</v>
      </c>
      <c r="D888" s="77">
        <v>0.1</v>
      </c>
    </row>
    <row r="889" spans="2:4" x14ac:dyDescent="0.2">
      <c r="B889" s="11">
        <f t="shared" si="55"/>
        <v>42917</v>
      </c>
      <c r="C889" s="75">
        <v>10</v>
      </c>
      <c r="D889" s="77">
        <v>0.1</v>
      </c>
    </row>
    <row r="890" spans="2:4" x14ac:dyDescent="0.2">
      <c r="B890" s="11">
        <f t="shared" si="55"/>
        <v>42924</v>
      </c>
      <c r="C890" s="75">
        <v>10</v>
      </c>
      <c r="D890" s="77">
        <v>0.1</v>
      </c>
    </row>
    <row r="891" spans="2:4" x14ac:dyDescent="0.2">
      <c r="B891" s="11">
        <f t="shared" si="55"/>
        <v>42931</v>
      </c>
      <c r="C891" s="75">
        <v>10</v>
      </c>
      <c r="D891" s="77">
        <v>0.1</v>
      </c>
    </row>
    <row r="892" spans="2:4" x14ac:dyDescent="0.2">
      <c r="B892" s="11">
        <f t="shared" si="55"/>
        <v>42938</v>
      </c>
      <c r="C892" s="75">
        <v>10</v>
      </c>
      <c r="D892" s="77">
        <v>0.1</v>
      </c>
    </row>
    <row r="893" spans="2:4" x14ac:dyDescent="0.2">
      <c r="B893" s="11">
        <f t="shared" si="55"/>
        <v>42945</v>
      </c>
      <c r="C893" s="75">
        <v>10</v>
      </c>
      <c r="D893" s="77">
        <v>0.1</v>
      </c>
    </row>
    <row r="894" spans="2:4" x14ac:dyDescent="0.2">
      <c r="B894" s="11">
        <f t="shared" si="55"/>
        <v>42952</v>
      </c>
      <c r="C894" s="75">
        <v>10</v>
      </c>
      <c r="D894" s="77">
        <v>0.1</v>
      </c>
    </row>
    <row r="895" spans="2:4" x14ac:dyDescent="0.2">
      <c r="B895" s="11">
        <f t="shared" si="55"/>
        <v>42959</v>
      </c>
      <c r="C895" s="75">
        <v>10</v>
      </c>
      <c r="D895" s="77">
        <v>0.1</v>
      </c>
    </row>
    <row r="896" spans="2:4" x14ac:dyDescent="0.2">
      <c r="B896" s="11">
        <f t="shared" si="55"/>
        <v>42966</v>
      </c>
      <c r="C896" s="75">
        <v>10</v>
      </c>
      <c r="D896" s="77">
        <v>0.1</v>
      </c>
    </row>
    <row r="897" spans="2:4" x14ac:dyDescent="0.2">
      <c r="B897" s="11">
        <f t="shared" si="55"/>
        <v>42973</v>
      </c>
      <c r="C897" s="75">
        <v>10</v>
      </c>
      <c r="D897" s="77">
        <v>0.1</v>
      </c>
    </row>
    <row r="898" spans="2:4" x14ac:dyDescent="0.2">
      <c r="B898" s="11">
        <f t="shared" si="55"/>
        <v>42980</v>
      </c>
      <c r="C898" s="75">
        <v>10</v>
      </c>
      <c r="D898" s="77">
        <v>0.1</v>
      </c>
    </row>
    <row r="899" spans="2:4" x14ac:dyDescent="0.2">
      <c r="B899" s="11">
        <f t="shared" si="55"/>
        <v>42987</v>
      </c>
      <c r="C899" s="75">
        <v>10</v>
      </c>
      <c r="D899" s="77">
        <v>0.1</v>
      </c>
    </row>
    <row r="900" spans="2:4" x14ac:dyDescent="0.2">
      <c r="B900" s="11">
        <f>B899+7</f>
        <v>42994</v>
      </c>
      <c r="C900" s="75">
        <v>10</v>
      </c>
      <c r="D900" s="77">
        <v>0.1</v>
      </c>
    </row>
    <row r="901" spans="2:4" x14ac:dyDescent="0.2">
      <c r="B901" s="11">
        <f>B900+7</f>
        <v>43001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RowHeight="12.75" x14ac:dyDescent="0.2"/>
  <cols>
    <col min="1" max="1" width="9.140625" style="12"/>
    <col min="2" max="2" width="10.5703125" style="11" customWidth="1"/>
    <col min="3" max="3" width="19.5703125" style="41" customWidth="1"/>
    <col min="4" max="4" width="20.28515625" style="44" customWidth="1"/>
    <col min="5" max="5" width="18.42578125" style="44" customWidth="1"/>
    <col min="6" max="6" width="19.140625" style="44" customWidth="1"/>
    <col min="7" max="7" width="19.42578125" style="44" customWidth="1"/>
    <col min="8" max="8" width="20.140625" style="44" customWidth="1"/>
    <col min="9" max="9" width="19.42578125" style="44" customWidth="1"/>
    <col min="10" max="10" width="20.140625" style="44" customWidth="1"/>
    <col min="11" max="11" width="21.85546875" style="12" customWidth="1"/>
    <col min="12" max="12" width="22.5703125" style="12" customWidth="1"/>
    <col min="13" max="13" width="20.7109375" style="12" customWidth="1"/>
    <col min="14" max="14" width="21.42578125" style="12" customWidth="1"/>
    <col min="15" max="15" width="21.7109375" style="12" customWidth="1"/>
    <col min="16" max="16" width="22.42578125" style="12" customWidth="1"/>
    <col min="17" max="17" width="21.7109375" style="12" customWidth="1"/>
    <col min="18" max="18" width="22.42578125" style="12" customWidth="1"/>
    <col min="19" max="23" width="9.140625" style="12"/>
    <col min="24" max="24" width="17" style="17" customWidth="1"/>
    <col min="25" max="25" width="11.42578125" style="12" customWidth="1"/>
    <col min="26" max="26" width="17.140625" style="12" customWidth="1"/>
    <col min="27" max="27" width="18.140625" style="12" customWidth="1"/>
    <col min="28" max="28" width="15.5703125" style="12" customWidth="1"/>
    <col min="29" max="29" width="16.5703125" style="12" customWidth="1"/>
    <col min="30" max="30" width="16.28515625" style="12" customWidth="1"/>
    <col min="31" max="31" width="17.28515625" style="12" customWidth="1"/>
    <col min="32" max="32" width="16.140625" style="12" customWidth="1"/>
    <col min="33" max="33" width="17.140625" style="12" customWidth="1"/>
    <col min="34" max="16384" width="9.140625" style="12"/>
  </cols>
  <sheetData>
    <row r="1" spans="2:24" ht="39" customHeight="1" x14ac:dyDescent="0.2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">
      <c r="B2" s="11">
        <f>PricesW!B2</f>
        <v>36708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">
      <c r="B3" s="11">
        <f>PricesW!B3</f>
        <v>36715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">
      <c r="B4" s="11">
        <f>PricesW!B4</f>
        <v>36722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">
      <c r="B5" s="11">
        <f>PricesW!B5</f>
        <v>36729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">
      <c r="B6" s="11">
        <f>PricesW!B6</f>
        <v>36736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">
      <c r="B7" s="11">
        <f>PricesW!B7</f>
        <v>36743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">
      <c r="B8" s="11">
        <f>PricesW!B8</f>
        <v>36750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">
      <c r="B9" s="11">
        <f>PricesW!B9</f>
        <v>36757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">
      <c r="B10" s="11">
        <f>PricesW!B10</f>
        <v>36764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">
      <c r="B11" s="11">
        <f>PricesW!B11</f>
        <v>36771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">
      <c r="B12" s="11">
        <f>PricesW!B12</f>
        <v>36778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">
      <c r="B13" s="11">
        <f>PricesW!B13</f>
        <v>36785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">
      <c r="B14" s="11">
        <f>PricesW!B14</f>
        <v>36792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">
      <c r="B15" s="11">
        <f>PricesW!B15</f>
        <v>36799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">
      <c r="B16" s="11">
        <f>PricesW!B16</f>
        <v>36806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">
      <c r="B17" s="11">
        <f>PricesW!B17</f>
        <v>36813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">
      <c r="B18" s="11">
        <f>PricesW!B18</f>
        <v>36820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">
      <c r="B19" s="11">
        <f>PricesW!B19</f>
        <v>36827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">
      <c r="B20" s="11">
        <f>PricesW!B20</f>
        <v>36834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">
      <c r="B21" s="11">
        <f>PricesW!B21</f>
        <v>36841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">
      <c r="B22" s="11">
        <f>PricesW!B22</f>
        <v>36848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">
      <c r="B23" s="11">
        <f>PricesW!B23</f>
        <v>36855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">
      <c r="B24" s="11">
        <f>PricesW!B24</f>
        <v>36862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">
      <c r="B25" s="11">
        <f>PricesW!B25</f>
        <v>36869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">
      <c r="B26" s="11">
        <f>PricesW!B26</f>
        <v>36876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">
      <c r="B27" s="11">
        <f>PricesW!B27</f>
        <v>36883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">
      <c r="B28" s="11">
        <f>PricesW!B28</f>
        <v>36890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">
      <c r="B29" s="11">
        <f>PricesW!B29</f>
        <v>36897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">
      <c r="B30" s="11">
        <f>PricesW!B30</f>
        <v>36904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">
      <c r="B31" s="11">
        <f>PricesW!B31</f>
        <v>36911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">
      <c r="B32" s="11">
        <f>PricesW!B32</f>
        <v>36918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">
      <c r="B33" s="11">
        <f>PricesW!B33</f>
        <v>36925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">
      <c r="B34" s="11">
        <f>PricesW!B34</f>
        <v>36932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">
      <c r="B35" s="11">
        <f>PricesW!B35</f>
        <v>36939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">
      <c r="B36" s="11">
        <f>PricesW!B36</f>
        <v>36946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">
      <c r="B37" s="11">
        <f>PricesW!B37</f>
        <v>36953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">
      <c r="B38" s="11">
        <f>PricesW!B38</f>
        <v>36960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">
      <c r="B39" s="11">
        <f>PricesW!B39</f>
        <v>36967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">
      <c r="B40" s="11">
        <f>PricesW!B40</f>
        <v>36974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">
      <c r="B41" s="11">
        <f>PricesW!B41</f>
        <v>36981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">
      <c r="B42" s="11">
        <f>PricesW!B42</f>
        <v>36988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">
      <c r="B43" s="11">
        <f>PricesW!B43</f>
        <v>36995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">
      <c r="B44" s="11">
        <f>PricesW!B44</f>
        <v>37002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">
      <c r="B45" s="11">
        <f>PricesW!B45</f>
        <v>37009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">
      <c r="B46" s="11">
        <f>PricesW!B46</f>
        <v>37016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">
      <c r="B47" s="11">
        <f>PricesW!B47</f>
        <v>37023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">
      <c r="B48" s="11">
        <f>PricesW!B48</f>
        <v>37030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">
      <c r="B49" s="11">
        <f>PricesW!B49</f>
        <v>37037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">
      <c r="B50" s="11">
        <f>PricesW!B50</f>
        <v>37044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">
      <c r="B51" s="11">
        <f>PricesW!B51</f>
        <v>37051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">
      <c r="B52" s="11">
        <f>PricesW!B52</f>
        <v>37058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">
      <c r="B53" s="11">
        <f>PricesW!B53</f>
        <v>37065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">
      <c r="B54" s="11">
        <f>PricesW!B54</f>
        <v>37072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">
      <c r="B55" s="11">
        <f>PricesW!B55</f>
        <v>37079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">
      <c r="B56" s="11">
        <f>PricesW!B56</f>
        <v>37086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">
      <c r="B57" s="11">
        <f>PricesW!B57</f>
        <v>37093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">
      <c r="B58" s="11">
        <f>PricesW!B58</f>
        <v>37100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">
      <c r="B59" s="11">
        <f>PricesW!B59</f>
        <v>37107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">
      <c r="B60" s="11">
        <f>PricesW!B60</f>
        <v>37114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">
      <c r="B61" s="11">
        <f>PricesW!B61</f>
        <v>37121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">
      <c r="B62" s="11">
        <f>PricesW!B62</f>
        <v>37128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">
      <c r="B63" s="11">
        <f>PricesW!B63</f>
        <v>37135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">
      <c r="B64" s="11">
        <f>PricesW!B64</f>
        <v>37142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">
      <c r="B65" s="11">
        <f>PricesW!B65</f>
        <v>37149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">
      <c r="B66" s="11">
        <f>PricesW!B66</f>
        <v>37156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">
      <c r="B67" s="11">
        <f>PricesW!B67</f>
        <v>37163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">
      <c r="B68" s="11">
        <f>PricesW!B68</f>
        <v>37170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">
      <c r="B69" s="11">
        <f>PricesW!B69</f>
        <v>37177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">
      <c r="B70" s="11">
        <f>PricesW!B70</f>
        <v>37184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">
      <c r="B71" s="11">
        <f>PricesW!B71</f>
        <v>37191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">
      <c r="B72" s="11">
        <f>PricesW!B72</f>
        <v>37198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">
      <c r="B73" s="11">
        <f>PricesW!B73</f>
        <v>37205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">
      <c r="B74" s="11">
        <f>PricesW!B74</f>
        <v>37212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">
      <c r="B75" s="11">
        <f>PricesW!B75</f>
        <v>37219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">
      <c r="B76" s="11">
        <f>PricesW!B76</f>
        <v>37226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">
      <c r="B77" s="11">
        <f>PricesW!B77</f>
        <v>37233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">
      <c r="B78" s="11">
        <f>PricesW!B78</f>
        <v>37240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">
      <c r="B79" s="11">
        <f>PricesW!B79</f>
        <v>37247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">
      <c r="B80" s="11">
        <f>PricesW!B80</f>
        <v>37254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">
      <c r="B81" s="11">
        <f>PricesW!B81</f>
        <v>37261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">
      <c r="B82" s="11">
        <f>PricesW!B82</f>
        <v>37268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">
      <c r="B83" s="11">
        <f>PricesW!B83</f>
        <v>37275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">
      <c r="B84" s="11">
        <f>PricesW!B84</f>
        <v>37282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">
      <c r="B85" s="11">
        <f>PricesW!B85</f>
        <v>37289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">
      <c r="B86" s="11">
        <f>PricesW!B86</f>
        <v>37296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">
      <c r="B87" s="11">
        <f>PricesW!B87</f>
        <v>37303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">
      <c r="B88" s="11">
        <f>PricesW!B88</f>
        <v>37310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">
      <c r="B89" s="11">
        <f>PricesW!B89</f>
        <v>37317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">
      <c r="B90" s="11">
        <f>PricesW!B90</f>
        <v>37324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">
      <c r="B91" s="11">
        <f>PricesW!B91</f>
        <v>37331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">
      <c r="B92" s="11">
        <f>PricesW!B92</f>
        <v>37338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">
      <c r="B93" s="11">
        <f>PricesW!B93</f>
        <v>37345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">
      <c r="B94" s="11">
        <f>PricesW!B94</f>
        <v>37352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">
      <c r="B95" s="11">
        <f>PricesW!B95</f>
        <v>37359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">
      <c r="B96" s="11">
        <f>PricesW!B96</f>
        <v>37366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">
      <c r="B97" s="11">
        <f>PricesW!B97</f>
        <v>37373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">
      <c r="B98" s="11">
        <f>PricesW!B98</f>
        <v>37380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">
      <c r="B99" s="11">
        <f>PricesW!B99</f>
        <v>37387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">
      <c r="B100" s="11">
        <f>PricesW!B100</f>
        <v>37394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">
      <c r="B101" s="11">
        <f>PricesW!B101</f>
        <v>37401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">
      <c r="B102" s="11">
        <f>PricesW!B102</f>
        <v>37408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">
      <c r="B103" s="11">
        <f>PricesW!B103</f>
        <v>37415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">
      <c r="B104" s="11">
        <f>PricesW!B104</f>
        <v>37422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">
      <c r="B105" s="11">
        <f>PricesW!B105</f>
        <v>37429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">
      <c r="B106" s="11">
        <f>PricesW!B106</f>
        <v>37436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">
      <c r="B107" s="11">
        <f>PricesW!B107</f>
        <v>37443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">
      <c r="B108" s="11">
        <f>PricesW!B108</f>
        <v>37450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">
      <c r="B109" s="11">
        <f>PricesW!B109</f>
        <v>37457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">
      <c r="B110" s="11">
        <f>PricesW!B110</f>
        <v>37464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">
      <c r="B111" s="11">
        <f>PricesW!B111</f>
        <v>37471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">
      <c r="B112" s="11">
        <f>PricesW!B112</f>
        <v>37478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">
      <c r="B113" s="11">
        <f>PricesW!B113</f>
        <v>37485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">
      <c r="B114" s="11">
        <f>PricesW!B114</f>
        <v>37492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">
      <c r="B115" s="11">
        <f>PricesW!B115</f>
        <v>37499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">
      <c r="B116" s="11">
        <f>PricesW!B116</f>
        <v>37506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">
      <c r="B117" s="11">
        <f>PricesW!B117</f>
        <v>37513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">
      <c r="B118" s="11">
        <f>PricesW!B118</f>
        <v>37520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">
      <c r="B119" s="11">
        <f>PricesW!B119</f>
        <v>37527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">
      <c r="B120" s="11">
        <f>PricesW!B120</f>
        <v>37534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">
      <c r="B121" s="11">
        <f>PricesW!B121</f>
        <v>37541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">
      <c r="B122" s="11">
        <f>PricesW!B122</f>
        <v>37548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">
      <c r="B123" s="11">
        <f>PricesW!B123</f>
        <v>37555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">
      <c r="B124" s="11">
        <f>PricesW!B124</f>
        <v>37562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">
      <c r="B125" s="11">
        <f>PricesW!B125</f>
        <v>37569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">
      <c r="B126" s="11">
        <f>PricesW!B126</f>
        <v>37576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">
      <c r="B127" s="11">
        <f>PricesW!B127</f>
        <v>37583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">
      <c r="B128" s="11">
        <f>PricesW!B128</f>
        <v>37590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">
      <c r="B129" s="11">
        <f>PricesW!B129</f>
        <v>37597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">
      <c r="B130" s="11">
        <f>PricesW!B130</f>
        <v>37604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">
      <c r="B131" s="11">
        <f>PricesW!B131</f>
        <v>37611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">
      <c r="B132" s="11">
        <f>PricesW!B132</f>
        <v>37618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">
      <c r="B133" s="11">
        <f>PricesW!B133</f>
        <v>37625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">
      <c r="B134" s="11">
        <f>PricesW!B134</f>
        <v>37632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">
      <c r="B135" s="11">
        <f>PricesW!B135</f>
        <v>37639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">
      <c r="B136" s="11">
        <f>PricesW!B136</f>
        <v>37646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">
      <c r="B137" s="11">
        <f>PricesW!B137</f>
        <v>37653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">
      <c r="B138" s="11">
        <f>PricesW!B138</f>
        <v>37660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">
      <c r="B139" s="11">
        <f>PricesW!B139</f>
        <v>37667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">
      <c r="B140" s="11">
        <f>PricesW!B140</f>
        <v>37674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">
      <c r="B141" s="11">
        <f>PricesW!B141</f>
        <v>37681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">
      <c r="B142" s="11">
        <f>PricesW!B142</f>
        <v>37688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">
      <c r="B143" s="11">
        <f>PricesW!B143</f>
        <v>37695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">
      <c r="B144" s="11">
        <f>PricesW!B144</f>
        <v>37702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">
      <c r="B145" s="11">
        <f>PricesW!B145</f>
        <v>37709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">
      <c r="B146" s="11">
        <f>PricesW!B146</f>
        <v>37716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">
      <c r="B147" s="11">
        <f>PricesW!B147</f>
        <v>37723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">
      <c r="B148" s="11">
        <f>PricesW!B148</f>
        <v>37730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">
      <c r="B149" s="11">
        <f>PricesW!B149</f>
        <v>37737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">
      <c r="B150" s="11">
        <f>PricesW!B150</f>
        <v>37744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">
      <c r="B151" s="11">
        <f>PricesW!B151</f>
        <v>37751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">
      <c r="B152" s="11">
        <f>PricesW!B152</f>
        <v>37758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">
      <c r="B153" s="11">
        <f>PricesW!B153</f>
        <v>37765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">
      <c r="B154" s="11">
        <f>PricesW!B154</f>
        <v>37772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">
      <c r="B155" s="11">
        <f>PricesW!B155</f>
        <v>37779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">
      <c r="B156" s="11">
        <f>PricesW!B156</f>
        <v>37786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">
      <c r="B157" s="11">
        <f>PricesW!B157</f>
        <v>37793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">
      <c r="B158" s="11">
        <f>PricesW!B158</f>
        <v>37800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">
      <c r="B159" s="11">
        <f>PricesW!B159</f>
        <v>37807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">
      <c r="B160" s="11">
        <f>PricesW!B160</f>
        <v>37814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">
      <c r="B161" s="11">
        <f>PricesW!B161</f>
        <v>37821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">
      <c r="B162" s="11">
        <f>PricesW!B162</f>
        <v>37828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">
      <c r="B163" s="11">
        <f>PricesW!B163</f>
        <v>37835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">
      <c r="B164" s="11">
        <f>PricesW!B164</f>
        <v>37842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">
      <c r="B165" s="11">
        <f>PricesW!B165</f>
        <v>37849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">
      <c r="B166" s="11">
        <f>PricesW!B166</f>
        <v>37856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">
      <c r="B167" s="11">
        <f>PricesW!B167</f>
        <v>37863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">
      <c r="B168" s="11">
        <f>PricesW!B168</f>
        <v>37870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">
      <c r="B169" s="11">
        <f>PricesW!B169</f>
        <v>37877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">
      <c r="B170" s="11">
        <f>PricesW!B170</f>
        <v>37884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">
      <c r="B171" s="11">
        <f>PricesW!B171</f>
        <v>37891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">
      <c r="B172" s="11">
        <f>PricesW!B172</f>
        <v>37898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">
      <c r="B173" s="11">
        <f>PricesW!B173</f>
        <v>37905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">
      <c r="B174" s="11">
        <f>PricesW!B174</f>
        <v>37912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">
      <c r="B175" s="11">
        <f>PricesW!B175</f>
        <v>37919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">
      <c r="B176" s="11">
        <f>PricesW!B176</f>
        <v>37926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">
      <c r="B177" s="11">
        <f>PricesW!B177</f>
        <v>37933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">
      <c r="B178" s="11">
        <f>PricesW!B178</f>
        <v>37940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">
      <c r="B179" s="11">
        <f>PricesW!B179</f>
        <v>37947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">
      <c r="B180" s="11">
        <f>PricesW!B180</f>
        <v>37954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">
      <c r="B181" s="11">
        <f>PricesW!B181</f>
        <v>37961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">
      <c r="B182" s="11">
        <f>PricesW!B182</f>
        <v>37968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">
      <c r="B183" s="11">
        <f>PricesW!B183</f>
        <v>37975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">
      <c r="B184" s="11">
        <f>PricesW!B184</f>
        <v>37982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">
      <c r="B185" s="11">
        <f>PricesW!B185</f>
        <v>37989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">
      <c r="B186" s="11">
        <f>PricesW!B186</f>
        <v>37996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">
      <c r="B187" s="11">
        <f>PricesW!B187</f>
        <v>38003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">
      <c r="B188" s="11">
        <f>PricesW!B188</f>
        <v>38010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">
      <c r="B189" s="11">
        <f>PricesW!B189</f>
        <v>38017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">
      <c r="B190" s="11">
        <f>PricesW!B190</f>
        <v>38024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">
      <c r="B191" s="11">
        <f>PricesW!B191</f>
        <v>38031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">
      <c r="B192" s="11">
        <f>PricesW!B192</f>
        <v>38038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">
      <c r="B193" s="11">
        <f>PricesW!B193</f>
        <v>38045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">
      <c r="B194" s="11">
        <f>PricesW!B194</f>
        <v>38052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">
      <c r="B195" s="11">
        <f>PricesW!B195</f>
        <v>38059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">
      <c r="B196" s="11">
        <f>PricesW!B196</f>
        <v>38066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">
      <c r="B197" s="11">
        <f>PricesW!B197</f>
        <v>38073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">
      <c r="B198" s="11">
        <f>PricesW!B198</f>
        <v>38080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">
      <c r="B199" s="11">
        <f>PricesW!B199</f>
        <v>38087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">
      <c r="B200" s="11">
        <f>PricesW!B200</f>
        <v>38094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">
      <c r="B201" s="11">
        <f>PricesW!B201</f>
        <v>38101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">
      <c r="B202" s="11">
        <f>PricesW!B202</f>
        <v>38108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">
      <c r="B203" s="11">
        <f>PricesW!B203</f>
        <v>38115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">
      <c r="B204" s="11">
        <f>PricesW!B204</f>
        <v>38122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">
      <c r="B205" s="11">
        <f>PricesW!B205</f>
        <v>38129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">
      <c r="B206" s="11">
        <f>PricesW!B206</f>
        <v>38136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">
      <c r="B207" s="11">
        <f>PricesW!B207</f>
        <v>38143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">
      <c r="B208" s="11">
        <f>PricesW!B208</f>
        <v>38150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">
      <c r="B209" s="11">
        <f>PricesW!B209</f>
        <v>38157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">
      <c r="B210" s="11">
        <f>PricesW!B210</f>
        <v>38164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">
      <c r="B211" s="11">
        <f>PricesW!B211</f>
        <v>38171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">
      <c r="B212" s="11">
        <f>PricesW!B212</f>
        <v>38178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">
      <c r="B213" s="11">
        <f>PricesW!B213</f>
        <v>38185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">
      <c r="B214" s="11">
        <f>PricesW!B214</f>
        <v>38192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">
      <c r="B215" s="11">
        <f>PricesW!B215</f>
        <v>38199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">
      <c r="B216" s="11">
        <f>PricesW!B216</f>
        <v>38206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">
      <c r="B217" s="11">
        <f>PricesW!B217</f>
        <v>38213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">
      <c r="B218" s="11">
        <f>PricesW!B218</f>
        <v>38220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">
      <c r="B219" s="11">
        <f>PricesW!B219</f>
        <v>38227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">
      <c r="B220" s="11">
        <f>PricesW!B220</f>
        <v>38234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">
      <c r="B221" s="11">
        <f>PricesW!B221</f>
        <v>38241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">
      <c r="B222" s="11">
        <f>PricesW!B222</f>
        <v>38248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">
      <c r="B223" s="11">
        <f>PricesW!B223</f>
        <v>38255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">
      <c r="B224" s="11">
        <f>PricesW!B224</f>
        <v>38262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">
      <c r="B225" s="11">
        <f>PricesW!B225</f>
        <v>38269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">
      <c r="B226" s="11">
        <f>PricesW!B226</f>
        <v>38276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">
      <c r="B227" s="11">
        <f>PricesW!B227</f>
        <v>38283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">
      <c r="B228" s="11">
        <f>PricesW!B228</f>
        <v>38290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">
      <c r="B229" s="11">
        <f>PricesW!B229</f>
        <v>38297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">
      <c r="B230" s="11">
        <f>PricesW!B230</f>
        <v>38304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">
      <c r="B231" s="11">
        <f>PricesW!B231</f>
        <v>38311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">
      <c r="B232" s="11">
        <f>PricesW!B232</f>
        <v>38318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">
      <c r="B233" s="11">
        <f>PricesW!B233</f>
        <v>38325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">
      <c r="B234" s="11">
        <f>PricesW!B234</f>
        <v>38332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">
      <c r="B235" s="11">
        <f>PricesW!B235</f>
        <v>38339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">
      <c r="B236" s="11">
        <f>PricesW!B236</f>
        <v>38346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">
      <c r="B237" s="11">
        <f>PricesW!B237</f>
        <v>38353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">
      <c r="B238" s="11">
        <f>PricesW!B238</f>
        <v>38360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">
      <c r="B239" s="11">
        <f>PricesW!B239</f>
        <v>38367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">
      <c r="B240" s="11">
        <f>PricesW!B240</f>
        <v>38374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">
      <c r="B241" s="11">
        <f>PricesW!B241</f>
        <v>38381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">
      <c r="B242" s="11">
        <f>PricesW!B242</f>
        <v>38388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">
      <c r="B243" s="11">
        <f>PricesW!B243</f>
        <v>38395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">
      <c r="B244" s="11">
        <f>PricesW!B244</f>
        <v>38402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">
      <c r="B245" s="11">
        <f>PricesW!B245</f>
        <v>38409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">
      <c r="B246" s="11">
        <f>PricesW!B246</f>
        <v>38416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">
      <c r="B247" s="11">
        <f>PricesW!B247</f>
        <v>38423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">
      <c r="B248" s="11">
        <f>PricesW!B248</f>
        <v>38430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">
      <c r="B249" s="11">
        <f>PricesW!B249</f>
        <v>38437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">
      <c r="B250" s="11">
        <f>PricesW!B250</f>
        <v>38444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">
      <c r="B251" s="11">
        <f>PricesW!B251</f>
        <v>38451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">
      <c r="B252" s="11">
        <f>PricesW!B252</f>
        <v>38458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">
      <c r="B253" s="11">
        <f>PricesW!B253</f>
        <v>38465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">
      <c r="B254" s="11">
        <f>PricesW!B254</f>
        <v>38472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">
      <c r="B255" s="11">
        <f>PricesW!B255</f>
        <v>38479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">
      <c r="B256" s="11">
        <f>PricesW!B256</f>
        <v>38486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">
      <c r="B257" s="11">
        <f>PricesW!B257</f>
        <v>38493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">
      <c r="B258" s="11">
        <f>PricesW!B258</f>
        <v>38500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">
      <c r="B259" s="11">
        <f>PricesW!B259</f>
        <v>38507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">
      <c r="B260" s="11">
        <f>PricesW!B260</f>
        <v>38514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">
      <c r="B261" s="11">
        <f>PricesW!B261</f>
        <v>38521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">
      <c r="B262" s="11">
        <f>PricesW!B262</f>
        <v>38528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">
      <c r="B263" s="11">
        <f>PricesW!B263</f>
        <v>38535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">
      <c r="B264" s="11">
        <f>PricesW!B264</f>
        <v>38542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">
      <c r="B265" s="11">
        <f>PricesW!B265</f>
        <v>38549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">
      <c r="B266" s="11">
        <f>PricesW!B266</f>
        <v>38556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">
      <c r="B267" s="11">
        <f>PricesW!B267</f>
        <v>38563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">
      <c r="B268" s="11">
        <f>PricesW!B268</f>
        <v>38570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">
      <c r="B269" s="11">
        <f>PricesW!B269</f>
        <v>38577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">
      <c r="B270" s="11">
        <f>PricesW!B270</f>
        <v>38584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">
      <c r="B271" s="11">
        <f>PricesW!B271</f>
        <v>38591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">
      <c r="B272" s="11">
        <f>PricesW!B272</f>
        <v>38598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">
      <c r="B273" s="11">
        <f>PricesW!B273</f>
        <v>38605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">
      <c r="B274" s="11">
        <f>PricesW!B274</f>
        <v>38612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">
      <c r="B275" s="11">
        <f>PricesW!B275</f>
        <v>38619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">
      <c r="B276" s="11">
        <f>PricesW!B276</f>
        <v>38626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">
      <c r="B277" s="11">
        <f>PricesW!B277</f>
        <v>38633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">
      <c r="B278" s="11">
        <f>PricesW!B278</f>
        <v>38640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">
      <c r="B279" s="11">
        <f>PricesW!B279</f>
        <v>38647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">
      <c r="B280" s="11">
        <f>PricesW!B280</f>
        <v>38654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">
      <c r="B281" s="11">
        <f>PricesW!B281</f>
        <v>38661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">
      <c r="B282" s="11">
        <f>PricesW!B282</f>
        <v>38668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">
      <c r="B283" s="11">
        <f>PricesW!B283</f>
        <v>38675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">
      <c r="B284" s="11">
        <f>PricesW!B284</f>
        <v>38682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">
      <c r="B285" s="11">
        <f>PricesW!B285</f>
        <v>38689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">
      <c r="B286" s="11">
        <f>PricesW!B286</f>
        <v>38696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">
      <c r="B287" s="11">
        <f>PricesW!B287</f>
        <v>38703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">
      <c r="B288" s="11">
        <f>PricesW!B288</f>
        <v>38710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">
      <c r="B289" s="11">
        <f>PricesW!B289</f>
        <v>38717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">
      <c r="B290" s="11">
        <f>PricesW!B290</f>
        <v>38724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">
      <c r="B291" s="11">
        <f>PricesW!B291</f>
        <v>38731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CorrMatrix!Print_Area</vt:lpstr>
      <vt:lpstr>Inputs!Print_Area</vt:lpstr>
      <vt:lpstr>PositionM!Print_Area</vt:lpstr>
      <vt:lpstr>PricesM!Print_Area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2000-07-28T15:27:48Z</cp:lastPrinted>
  <dcterms:created xsi:type="dcterms:W3CDTF">1997-10-31T14:49:36Z</dcterms:created>
  <dcterms:modified xsi:type="dcterms:W3CDTF">2023-09-13T14:01:23Z</dcterms:modified>
</cp:coreProperties>
</file>