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510C35E-2118-4F51-B254-5968B35452F4}" xr6:coauthVersionLast="47" xr6:coauthVersionMax="47" xr10:uidLastSave="{00000000-0000-0000-0000-000000000000}"/>
  <bookViews>
    <workbookView xWindow="-120" yWindow="-120" windowWidth="38640" windowHeight="15720" tabRatio="874" activeTab="1"/>
  </bookViews>
  <sheets>
    <sheet name="Cover" sheetId="53" r:id="rId1"/>
    <sheet name="Diagram" sheetId="38" r:id="rId2"/>
    <sheet name="Docs" sheetId="39" r:id="rId3"/>
    <sheet name="Graph" sheetId="51" r:id="rId4"/>
    <sheet name="5%Growth" sheetId="52" r:id="rId5"/>
    <sheet name="exposure" sheetId="2" r:id="rId6"/>
    <sheet name="Assumptions" sheetId="6" r:id="rId7"/>
    <sheet name="criteria" sheetId="1" r:id="rId8"/>
    <sheet name="Trans_change" sheetId="36" r:id="rId9"/>
    <sheet name="Dist_change" sheetId="37" r:id="rId10"/>
    <sheet name="Trans_$kwh" sheetId="32" r:id="rId11"/>
    <sheet name="Dist_$kwh" sheetId="33" r:id="rId12"/>
    <sheet name="TransRevR" sheetId="30" r:id="rId13"/>
    <sheet name="DistRevR" sheetId="12" r:id="rId14"/>
    <sheet name="Trans_rrb" sheetId="20" r:id="rId15"/>
    <sheet name="Dist_rrb" sheetId="21" r:id="rId16"/>
    <sheet name="WACC" sheetId="29" r:id="rId17"/>
    <sheet name="Cdebt" sheetId="22" r:id="rId18"/>
    <sheet name="Cequity" sheetId="23" r:id="rId19"/>
    <sheet name="leverage" sheetId="42" r:id="rId20"/>
    <sheet name="Transbase" sheetId="10" r:id="rId21"/>
    <sheet name="Distbase" sheetId="13" r:id="rId22"/>
    <sheet name="TO&amp;M" sheetId="9" r:id="rId23"/>
    <sheet name="DO&amp;M" sheetId="14" r:id="rId24"/>
    <sheet name="CustO&amp;M" sheetId="15" r:id="rId25"/>
    <sheet name="A&amp;GO&amp;M" sheetId="16" r:id="rId26"/>
    <sheet name="PayTO&amp;M" sheetId="17" r:id="rId27"/>
    <sheet name="PayDO&amp;M" sheetId="31" r:id="rId28"/>
    <sheet name="Labor_ratio" sheetId="27" r:id="rId29"/>
    <sheet name="TransNplant" sheetId="46" r:id="rId30"/>
    <sheet name="DistNplant" sheetId="45" r:id="rId31"/>
    <sheet name="TransDepr" sheetId="18" r:id="rId32"/>
    <sheet name="DistDepr" sheetId="24" r:id="rId33"/>
    <sheet name="TransDeprRt" sheetId="26" r:id="rId34"/>
    <sheet name="DistDeprRt" sheetId="25" r:id="rId35"/>
    <sheet name="TransTax" sheetId="48" r:id="rId36"/>
    <sheet name="DistTax" sheetId="47" r:id="rId37"/>
    <sheet name="Mwh" sheetId="8" r:id="rId38"/>
    <sheet name="rawcalc" sheetId="40" r:id="rId39"/>
    <sheet name="raw" sheetId="5" r:id="rId40"/>
    <sheet name="EES_Del" sheetId="41" r:id="rId41"/>
    <sheet name="Position" sheetId="4" r:id="rId42"/>
  </sheets>
  <externalReferences>
    <externalReference r:id="rId43"/>
  </externalReferences>
  <definedNames>
    <definedName name="_xlnm.Print_Area" localSheetId="4">'5%Growth'!$A$1:$U$78</definedName>
    <definedName name="_xlnm.Print_Area" localSheetId="6">Assumptions!$A$1:$M$35</definedName>
    <definedName name="_xlnm.Print_Area" localSheetId="3">Graph!$A$1:$U$78</definedName>
    <definedName name="_xlnm.Print_Titles" localSheetId="41">Position!$1:$1</definedName>
    <definedName name="_xlnm.Print_Titles" localSheetId="39">raw!$A:$A</definedName>
  </definedNames>
  <calcPr calcId="0" fullCalcOnLoad="1"/>
</workbook>
</file>

<file path=xl/calcChain.xml><?xml version="1.0" encoding="utf-8"?>
<calcChain xmlns="http://schemas.openxmlformats.org/spreadsheetml/2006/main">
  <c r="AA4" i="52" l="1"/>
  <c r="AB4" i="52"/>
  <c r="AC4" i="52"/>
  <c r="AD4" i="52"/>
  <c r="AE4" i="52"/>
  <c r="AF4" i="52"/>
  <c r="AG4" i="52"/>
  <c r="AH4" i="52"/>
  <c r="AI4" i="52"/>
  <c r="AJ4" i="52"/>
  <c r="AK4" i="52"/>
  <c r="AX4" i="52"/>
  <c r="AY4" i="52"/>
  <c r="AZ4" i="52"/>
  <c r="BA4" i="52"/>
  <c r="BB4" i="52"/>
  <c r="BC4" i="52"/>
  <c r="BD4" i="52"/>
  <c r="Z5" i="52"/>
  <c r="AA5" i="52"/>
  <c r="AB5" i="52"/>
  <c r="AC5" i="52"/>
  <c r="AD5" i="52"/>
  <c r="AE5" i="52"/>
  <c r="AF5" i="52"/>
  <c r="AG5" i="52"/>
  <c r="AH5" i="52"/>
  <c r="AI5" i="52"/>
  <c r="AJ5" i="52"/>
  <c r="AK5" i="52"/>
  <c r="AX5" i="52"/>
  <c r="AY5" i="52"/>
  <c r="AZ5" i="52"/>
  <c r="BA5" i="52"/>
  <c r="BB5" i="52"/>
  <c r="BC5" i="52"/>
  <c r="BD5" i="52"/>
  <c r="Z6" i="52"/>
  <c r="AA6" i="52"/>
  <c r="AB6" i="52"/>
  <c r="AC6" i="52"/>
  <c r="AD6" i="52"/>
  <c r="AE6" i="52"/>
  <c r="AF6" i="52"/>
  <c r="AG6" i="52"/>
  <c r="AH6" i="52"/>
  <c r="AI6" i="52"/>
  <c r="AJ6" i="52"/>
  <c r="AK6" i="52"/>
  <c r="AX6" i="52"/>
  <c r="AY6" i="52"/>
  <c r="AZ6" i="52"/>
  <c r="BA6" i="52"/>
  <c r="BB6" i="52"/>
  <c r="BC6" i="52"/>
  <c r="BD6" i="52"/>
  <c r="AA7" i="52"/>
  <c r="AB7" i="52"/>
  <c r="AC7" i="52"/>
  <c r="AD7" i="52"/>
  <c r="AE7" i="52"/>
  <c r="AF7" i="52"/>
  <c r="AG7" i="52"/>
  <c r="AH7" i="52"/>
  <c r="AI7" i="52"/>
  <c r="AJ7" i="52"/>
  <c r="AK7" i="52"/>
  <c r="AX7" i="52"/>
  <c r="AY7" i="52"/>
  <c r="AZ7" i="52"/>
  <c r="BA7" i="52"/>
  <c r="BB7" i="52"/>
  <c r="BC7" i="52"/>
  <c r="BD7" i="52"/>
  <c r="AA8" i="52"/>
  <c r="AB8" i="52"/>
  <c r="AC8" i="52"/>
  <c r="AD8" i="52"/>
  <c r="AE8" i="52"/>
  <c r="AF8" i="52"/>
  <c r="AG8" i="52"/>
  <c r="AH8" i="52"/>
  <c r="AI8" i="52"/>
  <c r="AJ8" i="52"/>
  <c r="AK8" i="52"/>
  <c r="AX8" i="52"/>
  <c r="AY8" i="52"/>
  <c r="AZ8" i="52"/>
  <c r="BA8" i="52"/>
  <c r="BB8" i="52"/>
  <c r="BC8" i="52"/>
  <c r="BD8" i="52"/>
  <c r="AA9" i="52"/>
  <c r="AB9" i="52"/>
  <c r="AC9" i="52"/>
  <c r="AD9" i="52"/>
  <c r="AE9" i="52"/>
  <c r="AF9" i="52"/>
  <c r="AG9" i="52"/>
  <c r="AH9" i="52"/>
  <c r="AI9" i="52"/>
  <c r="AJ9" i="52"/>
  <c r="AK9" i="52"/>
  <c r="AX9" i="52"/>
  <c r="AY9" i="52"/>
  <c r="AZ9" i="52"/>
  <c r="BA9" i="52"/>
  <c r="BB9" i="52"/>
  <c r="BC9" i="52"/>
  <c r="BD9" i="52"/>
  <c r="AX10" i="52"/>
  <c r="AY10" i="52"/>
  <c r="AZ10" i="52"/>
  <c r="BA10" i="52"/>
  <c r="BB10" i="52"/>
  <c r="BC10" i="52"/>
  <c r="BD10" i="52"/>
  <c r="AX11" i="52"/>
  <c r="AY11" i="52"/>
  <c r="AZ11" i="52"/>
  <c r="BA11" i="52"/>
  <c r="BB11" i="52"/>
  <c r="BC11" i="52"/>
  <c r="BD11" i="52"/>
  <c r="AX12" i="52"/>
  <c r="AY12" i="52"/>
  <c r="AZ12" i="52"/>
  <c r="BA12" i="52"/>
  <c r="BB12" i="52"/>
  <c r="BC12" i="52"/>
  <c r="BD12" i="52"/>
  <c r="AX13" i="52"/>
  <c r="AY13" i="52"/>
  <c r="AZ13" i="52"/>
  <c r="BA13" i="52"/>
  <c r="BB13" i="52"/>
  <c r="BC13" i="52"/>
  <c r="BD13" i="52"/>
  <c r="AX14" i="52"/>
  <c r="AY14" i="52"/>
  <c r="AZ14" i="52"/>
  <c r="BA14" i="52"/>
  <c r="BB14" i="52"/>
  <c r="BC14" i="52"/>
  <c r="BD14" i="52"/>
  <c r="AA15" i="52"/>
  <c r="AB15" i="52"/>
  <c r="AC15" i="52"/>
  <c r="AD15" i="52"/>
  <c r="AE15" i="52"/>
  <c r="AF15" i="52"/>
  <c r="AG15" i="52"/>
  <c r="AH15" i="52"/>
  <c r="AI15" i="52"/>
  <c r="AJ15" i="52"/>
  <c r="AK15" i="52"/>
  <c r="AX19" i="52"/>
  <c r="AY19" i="52"/>
  <c r="AZ19" i="52"/>
  <c r="BA19" i="52"/>
  <c r="BB19" i="52"/>
  <c r="BC19" i="52"/>
  <c r="BD19" i="52"/>
  <c r="AX20" i="52"/>
  <c r="AY20" i="52"/>
  <c r="AZ20" i="52"/>
  <c r="BA20" i="52"/>
  <c r="BB20" i="52"/>
  <c r="BC20" i="52"/>
  <c r="BD20" i="52"/>
  <c r="AA21" i="52"/>
  <c r="AB21" i="52"/>
  <c r="AC21" i="52"/>
  <c r="AD21" i="52"/>
  <c r="AE21" i="52"/>
  <c r="AF21" i="52"/>
  <c r="AG21" i="52"/>
  <c r="AH21" i="52"/>
  <c r="AI21" i="52"/>
  <c r="AJ21" i="52"/>
  <c r="AK21" i="52"/>
  <c r="AX21" i="52"/>
  <c r="AY21" i="52"/>
  <c r="AZ21" i="52"/>
  <c r="BA21" i="52"/>
  <c r="BB21" i="52"/>
  <c r="BC21" i="52"/>
  <c r="BD21" i="52"/>
  <c r="Z22" i="52"/>
  <c r="AA22" i="52"/>
  <c r="AB22" i="52"/>
  <c r="AC22" i="52"/>
  <c r="AD22" i="52"/>
  <c r="AE22" i="52"/>
  <c r="AF22" i="52"/>
  <c r="AG22" i="52"/>
  <c r="AH22" i="52"/>
  <c r="AI22" i="52"/>
  <c r="AJ22" i="52"/>
  <c r="AK22" i="52"/>
  <c r="AX22" i="52"/>
  <c r="AY22" i="52"/>
  <c r="AZ22" i="52"/>
  <c r="BA22" i="52"/>
  <c r="BB22" i="52"/>
  <c r="BC22" i="52"/>
  <c r="BD22" i="52"/>
  <c r="Z23" i="52"/>
  <c r="AA23" i="52"/>
  <c r="AB23" i="52"/>
  <c r="AC23" i="52"/>
  <c r="AD23" i="52"/>
  <c r="AE23" i="52"/>
  <c r="AF23" i="52"/>
  <c r="AG23" i="52"/>
  <c r="AH23" i="52"/>
  <c r="AI23" i="52"/>
  <c r="AJ23" i="52"/>
  <c r="AK23" i="52"/>
  <c r="AX23" i="52"/>
  <c r="AY23" i="52"/>
  <c r="AZ23" i="52"/>
  <c r="BA23" i="52"/>
  <c r="BB23" i="52"/>
  <c r="BC23" i="52"/>
  <c r="BD23" i="52"/>
  <c r="AA24" i="52"/>
  <c r="AB24" i="52"/>
  <c r="AC24" i="52"/>
  <c r="AD24" i="52"/>
  <c r="AE24" i="52"/>
  <c r="AF24" i="52"/>
  <c r="AG24" i="52"/>
  <c r="AH24" i="52"/>
  <c r="AI24" i="52"/>
  <c r="AJ24" i="52"/>
  <c r="AK24" i="52"/>
  <c r="AX24" i="52"/>
  <c r="AY24" i="52"/>
  <c r="AZ24" i="52"/>
  <c r="BA24" i="52"/>
  <c r="BB24" i="52"/>
  <c r="BC24" i="52"/>
  <c r="BD24" i="52"/>
  <c r="AA25" i="52"/>
  <c r="AB25" i="52"/>
  <c r="AC25" i="52"/>
  <c r="AD25" i="52"/>
  <c r="AE25" i="52"/>
  <c r="AF25" i="52"/>
  <c r="AG25" i="52"/>
  <c r="AH25" i="52"/>
  <c r="AI25" i="52"/>
  <c r="AJ25" i="52"/>
  <c r="AK25" i="52"/>
  <c r="AX25" i="52"/>
  <c r="AY25" i="52"/>
  <c r="AZ25" i="52"/>
  <c r="BA25" i="52"/>
  <c r="BB25" i="52"/>
  <c r="BC25" i="52"/>
  <c r="BD25" i="52"/>
  <c r="AA26" i="52"/>
  <c r="AB26" i="52"/>
  <c r="AC26" i="52"/>
  <c r="AD26" i="52"/>
  <c r="AE26" i="52"/>
  <c r="AF26" i="52"/>
  <c r="AG26" i="52"/>
  <c r="AH26" i="52"/>
  <c r="AI26" i="52"/>
  <c r="AJ26" i="52"/>
  <c r="AK26" i="52"/>
  <c r="AX26" i="52"/>
  <c r="AY26" i="52"/>
  <c r="AZ26" i="52"/>
  <c r="BA26" i="52"/>
  <c r="BB26" i="52"/>
  <c r="BC26" i="52"/>
  <c r="BD26" i="52"/>
  <c r="AX27" i="52"/>
  <c r="AY27" i="52"/>
  <c r="AZ27" i="52"/>
  <c r="BA27" i="52"/>
  <c r="BB27" i="52"/>
  <c r="BC27" i="52"/>
  <c r="BD27" i="52"/>
  <c r="AX28" i="52"/>
  <c r="AY28" i="52"/>
  <c r="AZ28" i="52"/>
  <c r="BA28" i="52"/>
  <c r="BB28" i="52"/>
  <c r="BC28" i="52"/>
  <c r="BD28" i="52"/>
  <c r="AX29" i="52"/>
  <c r="AY29" i="52"/>
  <c r="AZ29" i="52"/>
  <c r="BA29" i="52"/>
  <c r="BB29" i="52"/>
  <c r="BC29" i="52"/>
  <c r="BD29" i="52"/>
  <c r="AA32" i="52"/>
  <c r="AB32" i="52"/>
  <c r="AC32" i="52"/>
  <c r="AD32" i="52"/>
  <c r="AE32" i="52"/>
  <c r="AF32" i="52"/>
  <c r="AG32" i="52"/>
  <c r="AH32" i="52"/>
  <c r="AI32" i="52"/>
  <c r="AJ32" i="52"/>
  <c r="AK32" i="52"/>
  <c r="AX34" i="52"/>
  <c r="AY34" i="52"/>
  <c r="AZ34" i="52"/>
  <c r="BA34" i="52"/>
  <c r="AX35" i="52"/>
  <c r="AY35" i="52"/>
  <c r="AZ35" i="52"/>
  <c r="BA35" i="52"/>
  <c r="AX36" i="52"/>
  <c r="AY36" i="52"/>
  <c r="AZ36" i="52"/>
  <c r="BA36" i="52"/>
  <c r="AA37" i="52"/>
  <c r="AB37" i="52"/>
  <c r="AC37" i="52"/>
  <c r="AD37" i="52"/>
  <c r="AE37" i="52"/>
  <c r="AF37" i="52"/>
  <c r="AG37" i="52"/>
  <c r="AH37" i="52"/>
  <c r="AI37" i="52"/>
  <c r="AJ37" i="52"/>
  <c r="AK37" i="52"/>
  <c r="AX37" i="52"/>
  <c r="AY37" i="52"/>
  <c r="AZ37" i="52"/>
  <c r="BA37" i="52"/>
  <c r="Z38" i="52"/>
  <c r="AA38" i="52"/>
  <c r="AB38" i="52"/>
  <c r="AC38" i="52"/>
  <c r="AD38" i="52"/>
  <c r="AE38" i="52"/>
  <c r="AF38" i="52"/>
  <c r="AG38" i="52"/>
  <c r="AH38" i="52"/>
  <c r="AI38" i="52"/>
  <c r="AJ38" i="52"/>
  <c r="AK38" i="52"/>
  <c r="AX38" i="52"/>
  <c r="AY38" i="52"/>
  <c r="AZ38" i="52"/>
  <c r="BA38" i="52"/>
  <c r="Z39" i="52"/>
  <c r="AA39" i="52"/>
  <c r="AB39" i="52"/>
  <c r="AC39" i="52"/>
  <c r="AD39" i="52"/>
  <c r="AE39" i="52"/>
  <c r="AF39" i="52"/>
  <c r="AG39" i="52"/>
  <c r="AH39" i="52"/>
  <c r="AI39" i="52"/>
  <c r="AJ39" i="52"/>
  <c r="AK39" i="52"/>
  <c r="AX39" i="52"/>
  <c r="AY39" i="52"/>
  <c r="AZ39" i="52"/>
  <c r="BA39" i="52"/>
  <c r="AA40" i="52"/>
  <c r="AB40" i="52"/>
  <c r="AC40" i="52"/>
  <c r="AD40" i="52"/>
  <c r="AE40" i="52"/>
  <c r="AF40" i="52"/>
  <c r="AG40" i="52"/>
  <c r="AH40" i="52"/>
  <c r="AI40" i="52"/>
  <c r="AJ40" i="52"/>
  <c r="AK40" i="52"/>
  <c r="AX40" i="52"/>
  <c r="AY40" i="52"/>
  <c r="AZ40" i="52"/>
  <c r="BA40" i="52"/>
  <c r="AA41" i="52"/>
  <c r="AB41" i="52"/>
  <c r="AC41" i="52"/>
  <c r="AD41" i="52"/>
  <c r="AE41" i="52"/>
  <c r="AF41" i="52"/>
  <c r="AG41" i="52"/>
  <c r="AH41" i="52"/>
  <c r="AI41" i="52"/>
  <c r="AJ41" i="52"/>
  <c r="AK41" i="52"/>
  <c r="AX41" i="52"/>
  <c r="AY41" i="52"/>
  <c r="AZ41" i="52"/>
  <c r="BA41" i="52"/>
  <c r="AA42" i="52"/>
  <c r="AB42" i="52"/>
  <c r="AC42" i="52"/>
  <c r="AD42" i="52"/>
  <c r="AE42" i="52"/>
  <c r="AF42" i="52"/>
  <c r="AG42" i="52"/>
  <c r="AH42" i="52"/>
  <c r="AI42" i="52"/>
  <c r="AJ42" i="52"/>
  <c r="AK42" i="52"/>
  <c r="AX42" i="52"/>
  <c r="AY42" i="52"/>
  <c r="AZ42" i="52"/>
  <c r="BA42" i="52"/>
  <c r="AX43" i="52"/>
  <c r="AY43" i="52"/>
  <c r="AZ43" i="52"/>
  <c r="BA43" i="52"/>
  <c r="AX44" i="52"/>
  <c r="AY44" i="52"/>
  <c r="AZ44" i="52"/>
  <c r="BA44" i="52"/>
  <c r="AA48" i="52"/>
  <c r="AB48" i="52"/>
  <c r="AC48" i="52"/>
  <c r="AD48" i="52"/>
  <c r="AE48" i="52"/>
  <c r="AF48" i="52"/>
  <c r="AG48" i="52"/>
  <c r="AH48" i="52"/>
  <c r="AI48" i="52"/>
  <c r="AJ48" i="52"/>
  <c r="AK48" i="52"/>
  <c r="AA50" i="52"/>
  <c r="AB50" i="52"/>
  <c r="AC50" i="52"/>
  <c r="AD50" i="52"/>
  <c r="AE50" i="52"/>
  <c r="AF50" i="52"/>
  <c r="AG50" i="52"/>
  <c r="AH50" i="52"/>
  <c r="AI50" i="52"/>
  <c r="AJ50" i="52"/>
  <c r="AK50" i="52"/>
  <c r="AA51" i="52"/>
  <c r="AB51" i="52"/>
  <c r="AC51" i="52"/>
  <c r="AD51" i="52"/>
  <c r="AE51" i="52"/>
  <c r="AF51" i="52"/>
  <c r="AG51" i="52"/>
  <c r="AH51" i="52"/>
  <c r="AI51" i="52"/>
  <c r="AJ51" i="52"/>
  <c r="AK51" i="52"/>
  <c r="AA52" i="52"/>
  <c r="AB52" i="52"/>
  <c r="AC52" i="52"/>
  <c r="AD52" i="52"/>
  <c r="AE52" i="52"/>
  <c r="AF52" i="52"/>
  <c r="AG52" i="52"/>
  <c r="AH52" i="52"/>
  <c r="AI52" i="52"/>
  <c r="AJ52" i="52"/>
  <c r="AK52" i="52"/>
  <c r="AA53" i="52"/>
  <c r="AB53" i="52"/>
  <c r="AC53" i="52"/>
  <c r="AD53" i="52"/>
  <c r="AE53" i="52"/>
  <c r="AF53" i="52"/>
  <c r="AG53" i="52"/>
  <c r="AH53" i="52"/>
  <c r="AI53" i="52"/>
  <c r="AJ53" i="52"/>
  <c r="AK53" i="52"/>
  <c r="AA57" i="52"/>
  <c r="AB57" i="52"/>
  <c r="AC57" i="52"/>
  <c r="AD57" i="52"/>
  <c r="AE57" i="52"/>
  <c r="AF57" i="52"/>
  <c r="AG57" i="52"/>
  <c r="AH57" i="52"/>
  <c r="AI57" i="52"/>
  <c r="AJ57" i="52"/>
  <c r="AK57" i="52"/>
  <c r="AL57" i="52"/>
  <c r="AA58" i="52"/>
  <c r="AB58" i="52"/>
  <c r="AC58" i="52"/>
  <c r="AD58" i="52"/>
  <c r="AE58" i="52"/>
  <c r="AF58" i="52"/>
  <c r="AG58" i="52"/>
  <c r="AH58" i="52"/>
  <c r="AI58" i="52"/>
  <c r="AJ58" i="52"/>
  <c r="AK58" i="52"/>
  <c r="AL58" i="52"/>
  <c r="AA59" i="52"/>
  <c r="AB59" i="52"/>
  <c r="AC59" i="52"/>
  <c r="AD59" i="52"/>
  <c r="AE59" i="52"/>
  <c r="AF59" i="52"/>
  <c r="AG59" i="52"/>
  <c r="AH59" i="52"/>
  <c r="AI59" i="52"/>
  <c r="AJ59" i="52"/>
  <c r="AK59" i="52"/>
  <c r="AL59" i="52"/>
  <c r="AA60" i="52"/>
  <c r="AB60" i="52"/>
  <c r="AC60" i="52"/>
  <c r="AD60" i="52"/>
  <c r="AE60" i="52"/>
  <c r="AF60" i="52"/>
  <c r="AG60" i="52"/>
  <c r="AH60" i="52"/>
  <c r="AI60" i="52"/>
  <c r="AJ60" i="52"/>
  <c r="AK60" i="52"/>
  <c r="AL60" i="52"/>
  <c r="AA61" i="52"/>
  <c r="AB61" i="52"/>
  <c r="AC61" i="52"/>
  <c r="AD61" i="52"/>
  <c r="AE61" i="52"/>
  <c r="AF61" i="52"/>
  <c r="AG61" i="52"/>
  <c r="AH61" i="52"/>
  <c r="AI61" i="52"/>
  <c r="AJ61" i="52"/>
  <c r="AK61" i="52"/>
  <c r="AA65" i="52"/>
  <c r="AB65" i="52"/>
  <c r="AC65" i="52"/>
  <c r="AD65" i="52"/>
  <c r="AE65" i="52"/>
  <c r="AF65" i="52"/>
  <c r="AG65" i="52"/>
  <c r="AH65" i="52"/>
  <c r="AI65" i="52"/>
  <c r="AJ65" i="52"/>
  <c r="AK65" i="52"/>
  <c r="AA66" i="52"/>
  <c r="AB66" i="52"/>
  <c r="AC66" i="52"/>
  <c r="AD66" i="52"/>
  <c r="AE66" i="52"/>
  <c r="AF66" i="52"/>
  <c r="AG66" i="52"/>
  <c r="AH66" i="52"/>
  <c r="AI66" i="52"/>
  <c r="AJ66" i="52"/>
  <c r="AK66" i="52"/>
  <c r="AA67" i="52"/>
  <c r="AB67" i="52"/>
  <c r="AC67" i="52"/>
  <c r="AD67" i="52"/>
  <c r="AE67" i="52"/>
  <c r="AF67" i="52"/>
  <c r="AG67" i="52"/>
  <c r="AH67" i="52"/>
  <c r="AI67" i="52"/>
  <c r="AJ67" i="52"/>
  <c r="AK67" i="52"/>
  <c r="AB68" i="52"/>
  <c r="AC68" i="52"/>
  <c r="AD68" i="52"/>
  <c r="AE68" i="52"/>
  <c r="AF68" i="52"/>
  <c r="AG68" i="52"/>
  <c r="AH68" i="52"/>
  <c r="AI68" i="52"/>
  <c r="AJ68" i="52"/>
  <c r="AK68" i="52"/>
  <c r="A4" i="16"/>
  <c r="B4" i="16"/>
  <c r="C4" i="16"/>
  <c r="D4" i="16"/>
  <c r="E4" i="16"/>
  <c r="F4" i="16"/>
  <c r="G4" i="16"/>
  <c r="H4" i="16"/>
  <c r="I4" i="16"/>
  <c r="J4" i="16"/>
  <c r="K4" i="16"/>
  <c r="L4" i="16"/>
  <c r="M4" i="16"/>
  <c r="A5" i="16"/>
  <c r="B5" i="16"/>
  <c r="C5" i="16"/>
  <c r="D5" i="16"/>
  <c r="E5" i="16"/>
  <c r="F5" i="16"/>
  <c r="G5" i="16"/>
  <c r="H5" i="16"/>
  <c r="I5" i="16"/>
  <c r="J5" i="16"/>
  <c r="K5" i="16"/>
  <c r="L5" i="16"/>
  <c r="M5" i="16"/>
  <c r="A6" i="16"/>
  <c r="B6" i="16"/>
  <c r="C6" i="16"/>
  <c r="D6" i="16"/>
  <c r="E6" i="16"/>
  <c r="F6" i="16"/>
  <c r="G6" i="16"/>
  <c r="H6" i="16"/>
  <c r="I6" i="16"/>
  <c r="J6" i="16"/>
  <c r="K6" i="16"/>
  <c r="L6" i="16"/>
  <c r="M6" i="16"/>
  <c r="A7" i="16"/>
  <c r="B7" i="16"/>
  <c r="C7" i="16"/>
  <c r="D7" i="16"/>
  <c r="E7" i="16"/>
  <c r="F7" i="16"/>
  <c r="G7" i="16"/>
  <c r="H7" i="16"/>
  <c r="I7" i="16"/>
  <c r="J7" i="16"/>
  <c r="K7" i="16"/>
  <c r="L7" i="16"/>
  <c r="M7" i="16"/>
  <c r="A8" i="16"/>
  <c r="B8" i="16"/>
  <c r="C8" i="16"/>
  <c r="D8" i="16"/>
  <c r="E8" i="16"/>
  <c r="F8" i="16"/>
  <c r="G8" i="16"/>
  <c r="H8" i="16"/>
  <c r="I8" i="16"/>
  <c r="J8" i="16"/>
  <c r="K8" i="16"/>
  <c r="L8" i="16"/>
  <c r="M8" i="16"/>
  <c r="A9" i="16"/>
  <c r="B9" i="16"/>
  <c r="C9" i="16"/>
  <c r="D9" i="16"/>
  <c r="E9" i="16"/>
  <c r="F9" i="16"/>
  <c r="G9" i="16"/>
  <c r="H9" i="16"/>
  <c r="I9" i="16"/>
  <c r="J9" i="16"/>
  <c r="K9" i="16"/>
  <c r="L9" i="16"/>
  <c r="M9" i="16"/>
  <c r="A10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A11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A12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A13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A14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A15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A16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A17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A18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A19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A20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A21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A22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A23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A24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C6" i="6"/>
  <c r="D6" i="6"/>
  <c r="E6" i="6"/>
  <c r="F6" i="6"/>
  <c r="G6" i="6"/>
  <c r="H6" i="6"/>
  <c r="I6" i="6"/>
  <c r="J6" i="6"/>
  <c r="K6" i="6"/>
  <c r="L6" i="6"/>
  <c r="M6" i="6"/>
  <c r="C7" i="6"/>
  <c r="D7" i="6"/>
  <c r="E7" i="6"/>
  <c r="F7" i="6"/>
  <c r="G7" i="6"/>
  <c r="H7" i="6"/>
  <c r="I7" i="6"/>
  <c r="J7" i="6"/>
  <c r="K7" i="6"/>
  <c r="L7" i="6"/>
  <c r="M7" i="6"/>
  <c r="D9" i="6"/>
  <c r="E9" i="6"/>
  <c r="F9" i="6"/>
  <c r="G9" i="6"/>
  <c r="H9" i="6"/>
  <c r="I9" i="6"/>
  <c r="J9" i="6"/>
  <c r="K9" i="6"/>
  <c r="L9" i="6"/>
  <c r="M9" i="6"/>
  <c r="C10" i="6"/>
  <c r="D10" i="6"/>
  <c r="E10" i="6"/>
  <c r="F10" i="6"/>
  <c r="G10" i="6"/>
  <c r="H10" i="6"/>
  <c r="I10" i="6"/>
  <c r="J10" i="6"/>
  <c r="K10" i="6"/>
  <c r="L10" i="6"/>
  <c r="M10" i="6"/>
  <c r="C11" i="6"/>
  <c r="D11" i="6"/>
  <c r="E11" i="6"/>
  <c r="F11" i="6"/>
  <c r="G11" i="6"/>
  <c r="H11" i="6"/>
  <c r="I11" i="6"/>
  <c r="J11" i="6"/>
  <c r="K11" i="6"/>
  <c r="L11" i="6"/>
  <c r="M11" i="6"/>
  <c r="C13" i="6"/>
  <c r="D13" i="6"/>
  <c r="E13" i="6"/>
  <c r="F13" i="6"/>
  <c r="G13" i="6"/>
  <c r="H13" i="6"/>
  <c r="I13" i="6"/>
  <c r="J13" i="6"/>
  <c r="K13" i="6"/>
  <c r="L13" i="6"/>
  <c r="M13" i="6"/>
  <c r="P13" i="6"/>
  <c r="Q13" i="6"/>
  <c r="R13" i="6"/>
  <c r="S13" i="6"/>
  <c r="T13" i="6"/>
  <c r="U13" i="6"/>
  <c r="V13" i="6"/>
  <c r="W13" i="6"/>
  <c r="X13" i="6"/>
  <c r="Y13" i="6"/>
  <c r="Z13" i="6"/>
  <c r="C14" i="6"/>
  <c r="D14" i="6"/>
  <c r="E14" i="6"/>
  <c r="F14" i="6"/>
  <c r="G14" i="6"/>
  <c r="H14" i="6"/>
  <c r="I14" i="6"/>
  <c r="J14" i="6"/>
  <c r="K14" i="6"/>
  <c r="L14" i="6"/>
  <c r="M14" i="6"/>
  <c r="C15" i="6"/>
  <c r="D15" i="6"/>
  <c r="E15" i="6"/>
  <c r="F15" i="6"/>
  <c r="G15" i="6"/>
  <c r="H15" i="6"/>
  <c r="I15" i="6"/>
  <c r="J15" i="6"/>
  <c r="K15" i="6"/>
  <c r="L15" i="6"/>
  <c r="M15" i="6"/>
  <c r="C17" i="6"/>
  <c r="D17" i="6"/>
  <c r="E17" i="6"/>
  <c r="F17" i="6"/>
  <c r="G17" i="6"/>
  <c r="H17" i="6"/>
  <c r="I17" i="6"/>
  <c r="J17" i="6"/>
  <c r="K17" i="6"/>
  <c r="L17" i="6"/>
  <c r="M17" i="6"/>
  <c r="P17" i="6"/>
  <c r="Q17" i="6"/>
  <c r="R17" i="6"/>
  <c r="S17" i="6"/>
  <c r="T17" i="6"/>
  <c r="U17" i="6"/>
  <c r="V17" i="6"/>
  <c r="W17" i="6"/>
  <c r="X17" i="6"/>
  <c r="Y17" i="6"/>
  <c r="Z17" i="6"/>
  <c r="C18" i="6"/>
  <c r="D18" i="6"/>
  <c r="E18" i="6"/>
  <c r="F18" i="6"/>
  <c r="G18" i="6"/>
  <c r="H18" i="6"/>
  <c r="I18" i="6"/>
  <c r="J18" i="6"/>
  <c r="K18" i="6"/>
  <c r="L18" i="6"/>
  <c r="M18" i="6"/>
  <c r="C19" i="6"/>
  <c r="D19" i="6"/>
  <c r="E19" i="6"/>
  <c r="F19" i="6"/>
  <c r="G19" i="6"/>
  <c r="H19" i="6"/>
  <c r="I19" i="6"/>
  <c r="J19" i="6"/>
  <c r="K19" i="6"/>
  <c r="L19" i="6"/>
  <c r="M19" i="6"/>
  <c r="D21" i="6"/>
  <c r="E21" i="6"/>
  <c r="F21" i="6"/>
  <c r="G21" i="6"/>
  <c r="H21" i="6"/>
  <c r="I21" i="6"/>
  <c r="J21" i="6"/>
  <c r="K21" i="6"/>
  <c r="L21" i="6"/>
  <c r="M21" i="6"/>
  <c r="D22" i="6"/>
  <c r="E22" i="6"/>
  <c r="F22" i="6"/>
  <c r="G22" i="6"/>
  <c r="H22" i="6"/>
  <c r="I22" i="6"/>
  <c r="J22" i="6"/>
  <c r="K22" i="6"/>
  <c r="L22" i="6"/>
  <c r="M22" i="6"/>
  <c r="D23" i="6"/>
  <c r="E23" i="6"/>
  <c r="F23" i="6"/>
  <c r="G23" i="6"/>
  <c r="H23" i="6"/>
  <c r="I23" i="6"/>
  <c r="J23" i="6"/>
  <c r="K23" i="6"/>
  <c r="L23" i="6"/>
  <c r="M23" i="6"/>
  <c r="D25" i="6"/>
  <c r="E25" i="6"/>
  <c r="F25" i="6"/>
  <c r="G25" i="6"/>
  <c r="H25" i="6"/>
  <c r="I25" i="6"/>
  <c r="J25" i="6"/>
  <c r="K25" i="6"/>
  <c r="L25" i="6"/>
  <c r="M25" i="6"/>
  <c r="D27" i="6"/>
  <c r="E27" i="6"/>
  <c r="F27" i="6"/>
  <c r="G27" i="6"/>
  <c r="H27" i="6"/>
  <c r="I27" i="6"/>
  <c r="J27" i="6"/>
  <c r="K27" i="6"/>
  <c r="L27" i="6"/>
  <c r="M27" i="6"/>
  <c r="E29" i="6"/>
  <c r="F29" i="6"/>
  <c r="G29" i="6"/>
  <c r="H29" i="6"/>
  <c r="I29" i="6"/>
  <c r="J29" i="6"/>
  <c r="K29" i="6"/>
  <c r="L29" i="6"/>
  <c r="M29" i="6"/>
  <c r="E30" i="6"/>
  <c r="F30" i="6"/>
  <c r="G30" i="6"/>
  <c r="H30" i="6"/>
  <c r="I30" i="6"/>
  <c r="J30" i="6"/>
  <c r="K30" i="6"/>
  <c r="L30" i="6"/>
  <c r="M30" i="6"/>
  <c r="E31" i="6"/>
  <c r="F31" i="6"/>
  <c r="G31" i="6"/>
  <c r="H31" i="6"/>
  <c r="I31" i="6"/>
  <c r="J31" i="6"/>
  <c r="K31" i="6"/>
  <c r="L31" i="6"/>
  <c r="M31" i="6"/>
  <c r="E33" i="6"/>
  <c r="F33" i="6"/>
  <c r="G33" i="6"/>
  <c r="H33" i="6"/>
  <c r="I33" i="6"/>
  <c r="E34" i="6"/>
  <c r="F34" i="6"/>
  <c r="G34" i="6"/>
  <c r="H34" i="6"/>
  <c r="I34" i="6"/>
  <c r="A4" i="22"/>
  <c r="C4" i="22"/>
  <c r="D4" i="22"/>
  <c r="E4" i="22"/>
  <c r="F4" i="22"/>
  <c r="G4" i="22"/>
  <c r="H4" i="22"/>
  <c r="I4" i="22"/>
  <c r="J4" i="22"/>
  <c r="K4" i="22"/>
  <c r="L4" i="22"/>
  <c r="M4" i="22"/>
  <c r="A5" i="22"/>
  <c r="C5" i="22"/>
  <c r="D5" i="22"/>
  <c r="E5" i="22"/>
  <c r="F5" i="22"/>
  <c r="G5" i="22"/>
  <c r="H5" i="22"/>
  <c r="I5" i="22"/>
  <c r="J5" i="22"/>
  <c r="K5" i="22"/>
  <c r="L5" i="22"/>
  <c r="M5" i="22"/>
  <c r="A6" i="22"/>
  <c r="C6" i="22"/>
  <c r="D6" i="22"/>
  <c r="E6" i="22"/>
  <c r="F6" i="22"/>
  <c r="G6" i="22"/>
  <c r="H6" i="22"/>
  <c r="I6" i="22"/>
  <c r="J6" i="22"/>
  <c r="K6" i="22"/>
  <c r="L6" i="22"/>
  <c r="M6" i="22"/>
  <c r="A7" i="22"/>
  <c r="C7" i="22"/>
  <c r="D7" i="22"/>
  <c r="E7" i="22"/>
  <c r="F7" i="22"/>
  <c r="G7" i="22"/>
  <c r="H7" i="22"/>
  <c r="I7" i="22"/>
  <c r="J7" i="22"/>
  <c r="K7" i="22"/>
  <c r="L7" i="22"/>
  <c r="M7" i="22"/>
  <c r="A8" i="22"/>
  <c r="C8" i="22"/>
  <c r="D8" i="22"/>
  <c r="E8" i="22"/>
  <c r="F8" i="22"/>
  <c r="G8" i="22"/>
  <c r="H8" i="22"/>
  <c r="I8" i="22"/>
  <c r="J8" i="22"/>
  <c r="K8" i="22"/>
  <c r="L8" i="22"/>
  <c r="M8" i="22"/>
  <c r="A9" i="22"/>
  <c r="C9" i="22"/>
  <c r="D9" i="22"/>
  <c r="E9" i="22"/>
  <c r="F9" i="22"/>
  <c r="G9" i="22"/>
  <c r="H9" i="22"/>
  <c r="I9" i="22"/>
  <c r="J9" i="22"/>
  <c r="K9" i="22"/>
  <c r="L9" i="22"/>
  <c r="M9" i="22"/>
  <c r="A10" i="22"/>
  <c r="C10" i="22"/>
  <c r="D10" i="22"/>
  <c r="E10" i="22"/>
  <c r="F10" i="22"/>
  <c r="G10" i="22"/>
  <c r="H10" i="22"/>
  <c r="I10" i="22"/>
  <c r="J10" i="22"/>
  <c r="K10" i="22"/>
  <c r="L10" i="22"/>
  <c r="M10" i="22"/>
  <c r="A11" i="22"/>
  <c r="C11" i="22"/>
  <c r="D11" i="22"/>
  <c r="E11" i="22"/>
  <c r="F11" i="22"/>
  <c r="G11" i="22"/>
  <c r="H11" i="22"/>
  <c r="I11" i="22"/>
  <c r="J11" i="22"/>
  <c r="K11" i="22"/>
  <c r="L11" i="22"/>
  <c r="M11" i="22"/>
  <c r="A12" i="22"/>
  <c r="C12" i="22"/>
  <c r="D12" i="22"/>
  <c r="E12" i="22"/>
  <c r="F12" i="22"/>
  <c r="G12" i="22"/>
  <c r="H12" i="22"/>
  <c r="I12" i="22"/>
  <c r="J12" i="22"/>
  <c r="K12" i="22"/>
  <c r="L12" i="22"/>
  <c r="M12" i="22"/>
  <c r="A13" i="22"/>
  <c r="C13" i="22"/>
  <c r="D13" i="22"/>
  <c r="E13" i="22"/>
  <c r="F13" i="22"/>
  <c r="G13" i="22"/>
  <c r="H13" i="22"/>
  <c r="I13" i="22"/>
  <c r="J13" i="22"/>
  <c r="K13" i="22"/>
  <c r="L13" i="22"/>
  <c r="M13" i="22"/>
  <c r="A14" i="22"/>
  <c r="C14" i="22"/>
  <c r="D14" i="22"/>
  <c r="E14" i="22"/>
  <c r="F14" i="22"/>
  <c r="G14" i="22"/>
  <c r="H14" i="22"/>
  <c r="I14" i="22"/>
  <c r="J14" i="22"/>
  <c r="K14" i="22"/>
  <c r="L14" i="22"/>
  <c r="M14" i="22"/>
  <c r="A15" i="22"/>
  <c r="C15" i="22"/>
  <c r="D15" i="22"/>
  <c r="E15" i="22"/>
  <c r="F15" i="22"/>
  <c r="G15" i="22"/>
  <c r="H15" i="22"/>
  <c r="I15" i="22"/>
  <c r="J15" i="22"/>
  <c r="K15" i="22"/>
  <c r="L15" i="22"/>
  <c r="M15" i="22"/>
  <c r="A16" i="22"/>
  <c r="C16" i="22"/>
  <c r="D16" i="22"/>
  <c r="E16" i="22"/>
  <c r="F16" i="22"/>
  <c r="G16" i="22"/>
  <c r="H16" i="22"/>
  <c r="I16" i="22"/>
  <c r="J16" i="22"/>
  <c r="K16" i="22"/>
  <c r="L16" i="22"/>
  <c r="M16" i="22"/>
  <c r="A17" i="22"/>
  <c r="C17" i="22"/>
  <c r="D17" i="22"/>
  <c r="E17" i="22"/>
  <c r="F17" i="22"/>
  <c r="G17" i="22"/>
  <c r="H17" i="22"/>
  <c r="I17" i="22"/>
  <c r="J17" i="22"/>
  <c r="K17" i="22"/>
  <c r="L17" i="22"/>
  <c r="M17" i="22"/>
  <c r="A18" i="22"/>
  <c r="C18" i="22"/>
  <c r="D18" i="22"/>
  <c r="E18" i="22"/>
  <c r="F18" i="22"/>
  <c r="G18" i="22"/>
  <c r="H18" i="22"/>
  <c r="I18" i="22"/>
  <c r="J18" i="22"/>
  <c r="K18" i="22"/>
  <c r="L18" i="22"/>
  <c r="M18" i="22"/>
  <c r="A19" i="22"/>
  <c r="C19" i="22"/>
  <c r="D19" i="22"/>
  <c r="E19" i="22"/>
  <c r="F19" i="22"/>
  <c r="G19" i="22"/>
  <c r="H19" i="22"/>
  <c r="I19" i="22"/>
  <c r="J19" i="22"/>
  <c r="K19" i="22"/>
  <c r="L19" i="22"/>
  <c r="M19" i="22"/>
  <c r="A20" i="22"/>
  <c r="C20" i="22"/>
  <c r="D20" i="22"/>
  <c r="E20" i="22"/>
  <c r="F20" i="22"/>
  <c r="G20" i="22"/>
  <c r="H20" i="22"/>
  <c r="I20" i="22"/>
  <c r="J20" i="22"/>
  <c r="K20" i="22"/>
  <c r="L20" i="22"/>
  <c r="M20" i="22"/>
  <c r="A21" i="22"/>
  <c r="C21" i="22"/>
  <c r="D21" i="22"/>
  <c r="E21" i="22"/>
  <c r="F21" i="22"/>
  <c r="G21" i="22"/>
  <c r="H21" i="22"/>
  <c r="I21" i="22"/>
  <c r="J21" i="22"/>
  <c r="K21" i="22"/>
  <c r="L21" i="22"/>
  <c r="M21" i="22"/>
  <c r="A22" i="22"/>
  <c r="C22" i="22"/>
  <c r="D22" i="22"/>
  <c r="E22" i="22"/>
  <c r="F22" i="22"/>
  <c r="G22" i="22"/>
  <c r="H22" i="22"/>
  <c r="I22" i="22"/>
  <c r="J22" i="22"/>
  <c r="K22" i="22"/>
  <c r="L22" i="22"/>
  <c r="M22" i="22"/>
  <c r="A23" i="22"/>
  <c r="C23" i="22"/>
  <c r="D23" i="22"/>
  <c r="E23" i="22"/>
  <c r="F23" i="22"/>
  <c r="G23" i="22"/>
  <c r="H23" i="22"/>
  <c r="I23" i="22"/>
  <c r="J23" i="22"/>
  <c r="K23" i="22"/>
  <c r="L23" i="22"/>
  <c r="M23" i="22"/>
  <c r="A24" i="22"/>
  <c r="C24" i="22"/>
  <c r="D24" i="22"/>
  <c r="E24" i="22"/>
  <c r="F24" i="22"/>
  <c r="G24" i="22"/>
  <c r="H24" i="22"/>
  <c r="I24" i="22"/>
  <c r="J24" i="22"/>
  <c r="K24" i="22"/>
  <c r="L24" i="22"/>
  <c r="M24" i="22"/>
  <c r="A4" i="23"/>
  <c r="C4" i="23"/>
  <c r="D4" i="23"/>
  <c r="E4" i="23"/>
  <c r="F4" i="23"/>
  <c r="G4" i="23"/>
  <c r="H4" i="23"/>
  <c r="I4" i="23"/>
  <c r="J4" i="23"/>
  <c r="K4" i="23"/>
  <c r="L4" i="23"/>
  <c r="M4" i="23"/>
  <c r="A5" i="23"/>
  <c r="C5" i="23"/>
  <c r="D5" i="23"/>
  <c r="E5" i="23"/>
  <c r="F5" i="23"/>
  <c r="G5" i="23"/>
  <c r="H5" i="23"/>
  <c r="I5" i="23"/>
  <c r="J5" i="23"/>
  <c r="K5" i="23"/>
  <c r="L5" i="23"/>
  <c r="M5" i="23"/>
  <c r="A6" i="23"/>
  <c r="C6" i="23"/>
  <c r="D6" i="23"/>
  <c r="E6" i="23"/>
  <c r="F6" i="23"/>
  <c r="G6" i="23"/>
  <c r="H6" i="23"/>
  <c r="I6" i="23"/>
  <c r="J6" i="23"/>
  <c r="K6" i="23"/>
  <c r="L6" i="23"/>
  <c r="M6" i="23"/>
  <c r="A7" i="23"/>
  <c r="C7" i="23"/>
  <c r="D7" i="23"/>
  <c r="E7" i="23"/>
  <c r="F7" i="23"/>
  <c r="G7" i="23"/>
  <c r="H7" i="23"/>
  <c r="I7" i="23"/>
  <c r="J7" i="23"/>
  <c r="K7" i="23"/>
  <c r="L7" i="23"/>
  <c r="M7" i="23"/>
  <c r="A8" i="23"/>
  <c r="C8" i="23"/>
  <c r="D8" i="23"/>
  <c r="E8" i="23"/>
  <c r="F8" i="23"/>
  <c r="G8" i="23"/>
  <c r="H8" i="23"/>
  <c r="I8" i="23"/>
  <c r="J8" i="23"/>
  <c r="K8" i="23"/>
  <c r="L8" i="23"/>
  <c r="M8" i="23"/>
  <c r="A9" i="23"/>
  <c r="C9" i="23"/>
  <c r="D9" i="23"/>
  <c r="E9" i="23"/>
  <c r="F9" i="23"/>
  <c r="G9" i="23"/>
  <c r="H9" i="23"/>
  <c r="I9" i="23"/>
  <c r="J9" i="23"/>
  <c r="K9" i="23"/>
  <c r="L9" i="23"/>
  <c r="M9" i="23"/>
  <c r="A10" i="23"/>
  <c r="C10" i="23"/>
  <c r="D10" i="23"/>
  <c r="E10" i="23"/>
  <c r="F10" i="23"/>
  <c r="G10" i="23"/>
  <c r="H10" i="23"/>
  <c r="I10" i="23"/>
  <c r="J10" i="23"/>
  <c r="K10" i="23"/>
  <c r="L10" i="23"/>
  <c r="M10" i="23"/>
  <c r="A11" i="23"/>
  <c r="C11" i="23"/>
  <c r="D11" i="23"/>
  <c r="E11" i="23"/>
  <c r="F11" i="23"/>
  <c r="G11" i="23"/>
  <c r="H11" i="23"/>
  <c r="I11" i="23"/>
  <c r="J11" i="23"/>
  <c r="K11" i="23"/>
  <c r="L11" i="23"/>
  <c r="M11" i="23"/>
  <c r="A12" i="23"/>
  <c r="C12" i="23"/>
  <c r="D12" i="23"/>
  <c r="E12" i="23"/>
  <c r="F12" i="23"/>
  <c r="G12" i="23"/>
  <c r="H12" i="23"/>
  <c r="I12" i="23"/>
  <c r="J12" i="23"/>
  <c r="K12" i="23"/>
  <c r="L12" i="23"/>
  <c r="M12" i="23"/>
  <c r="A13" i="23"/>
  <c r="C13" i="23"/>
  <c r="D13" i="23"/>
  <c r="E13" i="23"/>
  <c r="F13" i="23"/>
  <c r="G13" i="23"/>
  <c r="H13" i="23"/>
  <c r="I13" i="23"/>
  <c r="J13" i="23"/>
  <c r="K13" i="23"/>
  <c r="L13" i="23"/>
  <c r="M13" i="23"/>
  <c r="A14" i="23"/>
  <c r="C14" i="23"/>
  <c r="D14" i="23"/>
  <c r="E14" i="23"/>
  <c r="F14" i="23"/>
  <c r="G14" i="23"/>
  <c r="H14" i="23"/>
  <c r="I14" i="23"/>
  <c r="J14" i="23"/>
  <c r="K14" i="23"/>
  <c r="L14" i="23"/>
  <c r="M14" i="23"/>
  <c r="A15" i="23"/>
  <c r="C15" i="23"/>
  <c r="D15" i="23"/>
  <c r="E15" i="23"/>
  <c r="F15" i="23"/>
  <c r="G15" i="23"/>
  <c r="H15" i="23"/>
  <c r="I15" i="23"/>
  <c r="J15" i="23"/>
  <c r="K15" i="23"/>
  <c r="L15" i="23"/>
  <c r="M15" i="23"/>
  <c r="A16" i="23"/>
  <c r="C16" i="23"/>
  <c r="D16" i="23"/>
  <c r="E16" i="23"/>
  <c r="F16" i="23"/>
  <c r="G16" i="23"/>
  <c r="H16" i="23"/>
  <c r="I16" i="23"/>
  <c r="J16" i="23"/>
  <c r="K16" i="23"/>
  <c r="L16" i="23"/>
  <c r="M16" i="23"/>
  <c r="A17" i="23"/>
  <c r="C17" i="23"/>
  <c r="D17" i="23"/>
  <c r="E17" i="23"/>
  <c r="F17" i="23"/>
  <c r="G17" i="23"/>
  <c r="H17" i="23"/>
  <c r="I17" i="23"/>
  <c r="J17" i="23"/>
  <c r="K17" i="23"/>
  <c r="L17" i="23"/>
  <c r="M17" i="23"/>
  <c r="A18" i="23"/>
  <c r="C18" i="23"/>
  <c r="D18" i="23"/>
  <c r="E18" i="23"/>
  <c r="F18" i="23"/>
  <c r="G18" i="23"/>
  <c r="H18" i="23"/>
  <c r="I18" i="23"/>
  <c r="J18" i="23"/>
  <c r="K18" i="23"/>
  <c r="L18" i="23"/>
  <c r="M18" i="23"/>
  <c r="A19" i="23"/>
  <c r="C19" i="23"/>
  <c r="D19" i="23"/>
  <c r="E19" i="23"/>
  <c r="F19" i="23"/>
  <c r="G19" i="23"/>
  <c r="H19" i="23"/>
  <c r="I19" i="23"/>
  <c r="J19" i="23"/>
  <c r="K19" i="23"/>
  <c r="L19" i="23"/>
  <c r="M19" i="23"/>
  <c r="A20" i="23"/>
  <c r="C20" i="23"/>
  <c r="D20" i="23"/>
  <c r="E20" i="23"/>
  <c r="F20" i="23"/>
  <c r="G20" i="23"/>
  <c r="H20" i="23"/>
  <c r="I20" i="23"/>
  <c r="J20" i="23"/>
  <c r="K20" i="23"/>
  <c r="L20" i="23"/>
  <c r="M20" i="23"/>
  <c r="A21" i="23"/>
  <c r="C21" i="23"/>
  <c r="D21" i="23"/>
  <c r="E21" i="23"/>
  <c r="F21" i="23"/>
  <c r="G21" i="23"/>
  <c r="H21" i="23"/>
  <c r="I21" i="23"/>
  <c r="J21" i="23"/>
  <c r="K21" i="23"/>
  <c r="L21" i="23"/>
  <c r="M21" i="23"/>
  <c r="A22" i="23"/>
  <c r="C22" i="23"/>
  <c r="D22" i="23"/>
  <c r="E22" i="23"/>
  <c r="F22" i="23"/>
  <c r="G22" i="23"/>
  <c r="H22" i="23"/>
  <c r="I22" i="23"/>
  <c r="J22" i="23"/>
  <c r="K22" i="23"/>
  <c r="L22" i="23"/>
  <c r="M22" i="23"/>
  <c r="A23" i="23"/>
  <c r="C23" i="23"/>
  <c r="D23" i="23"/>
  <c r="E23" i="23"/>
  <c r="F23" i="23"/>
  <c r="G23" i="23"/>
  <c r="H23" i="23"/>
  <c r="I23" i="23"/>
  <c r="J23" i="23"/>
  <c r="K23" i="23"/>
  <c r="L23" i="23"/>
  <c r="M23" i="23"/>
  <c r="A24" i="23"/>
  <c r="C24" i="23"/>
  <c r="D24" i="23"/>
  <c r="E24" i="23"/>
  <c r="F24" i="23"/>
  <c r="G24" i="23"/>
  <c r="H24" i="23"/>
  <c r="I24" i="23"/>
  <c r="J24" i="23"/>
  <c r="K24" i="23"/>
  <c r="L24" i="23"/>
  <c r="M24" i="23"/>
  <c r="A39" i="53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6" i="1"/>
  <c r="J27" i="1"/>
  <c r="J29" i="1"/>
  <c r="A4" i="15"/>
  <c r="B4" i="15"/>
  <c r="C4" i="15"/>
  <c r="D4" i="15"/>
  <c r="E4" i="15"/>
  <c r="F4" i="15"/>
  <c r="G4" i="15"/>
  <c r="H4" i="15"/>
  <c r="I4" i="15"/>
  <c r="J4" i="15"/>
  <c r="K4" i="15"/>
  <c r="L4" i="15"/>
  <c r="M4" i="15"/>
  <c r="A5" i="15"/>
  <c r="B5" i="15"/>
  <c r="C5" i="15"/>
  <c r="D5" i="15"/>
  <c r="E5" i="15"/>
  <c r="F5" i="15"/>
  <c r="G5" i="15"/>
  <c r="H5" i="15"/>
  <c r="I5" i="15"/>
  <c r="J5" i="15"/>
  <c r="K5" i="15"/>
  <c r="L5" i="15"/>
  <c r="M5" i="15"/>
  <c r="A6" i="15"/>
  <c r="B6" i="15"/>
  <c r="C6" i="15"/>
  <c r="D6" i="15"/>
  <c r="E6" i="15"/>
  <c r="F6" i="15"/>
  <c r="G6" i="15"/>
  <c r="H6" i="15"/>
  <c r="I6" i="15"/>
  <c r="J6" i="15"/>
  <c r="K6" i="15"/>
  <c r="L6" i="15"/>
  <c r="M6" i="15"/>
  <c r="A7" i="15"/>
  <c r="B7" i="15"/>
  <c r="C7" i="15"/>
  <c r="D7" i="15"/>
  <c r="E7" i="15"/>
  <c r="F7" i="15"/>
  <c r="G7" i="15"/>
  <c r="H7" i="15"/>
  <c r="I7" i="15"/>
  <c r="J7" i="15"/>
  <c r="K7" i="15"/>
  <c r="L7" i="15"/>
  <c r="M7" i="15"/>
  <c r="A8" i="15"/>
  <c r="B8" i="15"/>
  <c r="C8" i="15"/>
  <c r="D8" i="15"/>
  <c r="E8" i="15"/>
  <c r="F8" i="15"/>
  <c r="G8" i="15"/>
  <c r="H8" i="15"/>
  <c r="I8" i="15"/>
  <c r="J8" i="15"/>
  <c r="K8" i="15"/>
  <c r="L8" i="15"/>
  <c r="M8" i="15"/>
  <c r="A9" i="15"/>
  <c r="B9" i="15"/>
  <c r="C9" i="15"/>
  <c r="D9" i="15"/>
  <c r="E9" i="15"/>
  <c r="F9" i="15"/>
  <c r="G9" i="15"/>
  <c r="H9" i="15"/>
  <c r="I9" i="15"/>
  <c r="J9" i="15"/>
  <c r="K9" i="15"/>
  <c r="L9" i="15"/>
  <c r="M9" i="15"/>
  <c r="A10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A11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A12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A13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A14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A15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A16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A17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A18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A19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A20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A21" i="15"/>
  <c r="B21" i="15"/>
  <c r="C21" i="15"/>
  <c r="D21" i="15"/>
  <c r="E21" i="15"/>
  <c r="F21" i="15"/>
  <c r="G21" i="15"/>
  <c r="H21" i="15"/>
  <c r="I21" i="15"/>
  <c r="J21" i="15"/>
  <c r="K21" i="15"/>
  <c r="L21" i="15"/>
  <c r="M21" i="15"/>
  <c r="A22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A23" i="15"/>
  <c r="B23" i="15"/>
  <c r="C23" i="15"/>
  <c r="D23" i="15"/>
  <c r="E23" i="15"/>
  <c r="F23" i="15"/>
  <c r="G23" i="15"/>
  <c r="H23" i="15"/>
  <c r="I23" i="15"/>
  <c r="J23" i="15"/>
  <c r="K23" i="15"/>
  <c r="L23" i="15"/>
  <c r="M23" i="15"/>
  <c r="A24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A4" i="33"/>
  <c r="C4" i="33"/>
  <c r="D4" i="33"/>
  <c r="E4" i="33"/>
  <c r="F4" i="33"/>
  <c r="G4" i="33"/>
  <c r="H4" i="33"/>
  <c r="I4" i="33"/>
  <c r="J4" i="33"/>
  <c r="K4" i="33"/>
  <c r="L4" i="33"/>
  <c r="M4" i="33"/>
  <c r="A5" i="33"/>
  <c r="C5" i="33"/>
  <c r="D5" i="33"/>
  <c r="E5" i="33"/>
  <c r="F5" i="33"/>
  <c r="G5" i="33"/>
  <c r="H5" i="33"/>
  <c r="I5" i="33"/>
  <c r="J5" i="33"/>
  <c r="K5" i="33"/>
  <c r="L5" i="33"/>
  <c r="M5" i="33"/>
  <c r="A6" i="33"/>
  <c r="C6" i="33"/>
  <c r="D6" i="33"/>
  <c r="E6" i="33"/>
  <c r="F6" i="33"/>
  <c r="G6" i="33"/>
  <c r="H6" i="33"/>
  <c r="I6" i="33"/>
  <c r="J6" i="33"/>
  <c r="K6" i="33"/>
  <c r="L6" i="33"/>
  <c r="M6" i="33"/>
  <c r="A7" i="33"/>
  <c r="C7" i="33"/>
  <c r="D7" i="33"/>
  <c r="E7" i="33"/>
  <c r="F7" i="33"/>
  <c r="G7" i="33"/>
  <c r="H7" i="33"/>
  <c r="I7" i="33"/>
  <c r="J7" i="33"/>
  <c r="K7" i="33"/>
  <c r="L7" i="33"/>
  <c r="M7" i="33"/>
  <c r="A8" i="33"/>
  <c r="C8" i="33"/>
  <c r="D8" i="33"/>
  <c r="E8" i="33"/>
  <c r="F8" i="33"/>
  <c r="G8" i="33"/>
  <c r="H8" i="33"/>
  <c r="I8" i="33"/>
  <c r="J8" i="33"/>
  <c r="K8" i="33"/>
  <c r="L8" i="33"/>
  <c r="M8" i="33"/>
  <c r="A9" i="33"/>
  <c r="C9" i="33"/>
  <c r="D9" i="33"/>
  <c r="E9" i="33"/>
  <c r="F9" i="33"/>
  <c r="G9" i="33"/>
  <c r="H9" i="33"/>
  <c r="I9" i="33"/>
  <c r="J9" i="33"/>
  <c r="K9" i="33"/>
  <c r="L9" i="33"/>
  <c r="M9" i="33"/>
  <c r="A10" i="33"/>
  <c r="C10" i="33"/>
  <c r="D10" i="33"/>
  <c r="E10" i="33"/>
  <c r="F10" i="33"/>
  <c r="G10" i="33"/>
  <c r="H10" i="33"/>
  <c r="I10" i="33"/>
  <c r="J10" i="33"/>
  <c r="K10" i="33"/>
  <c r="L10" i="33"/>
  <c r="M10" i="33"/>
  <c r="A11" i="33"/>
  <c r="C11" i="33"/>
  <c r="D11" i="33"/>
  <c r="E11" i="33"/>
  <c r="F11" i="33"/>
  <c r="G11" i="33"/>
  <c r="H11" i="33"/>
  <c r="I11" i="33"/>
  <c r="J11" i="33"/>
  <c r="K11" i="33"/>
  <c r="L11" i="33"/>
  <c r="M11" i="33"/>
  <c r="A12" i="33"/>
  <c r="C12" i="33"/>
  <c r="D12" i="33"/>
  <c r="E12" i="33"/>
  <c r="F12" i="33"/>
  <c r="G12" i="33"/>
  <c r="H12" i="33"/>
  <c r="I12" i="33"/>
  <c r="J12" i="33"/>
  <c r="K12" i="33"/>
  <c r="L12" i="33"/>
  <c r="M12" i="33"/>
  <c r="A13" i="33"/>
  <c r="C13" i="33"/>
  <c r="D13" i="33"/>
  <c r="E13" i="33"/>
  <c r="F13" i="33"/>
  <c r="G13" i="33"/>
  <c r="H13" i="33"/>
  <c r="I13" i="33"/>
  <c r="J13" i="33"/>
  <c r="K13" i="33"/>
  <c r="L13" i="33"/>
  <c r="M13" i="33"/>
  <c r="A14" i="33"/>
  <c r="C14" i="33"/>
  <c r="D14" i="33"/>
  <c r="E14" i="33"/>
  <c r="F14" i="33"/>
  <c r="G14" i="33"/>
  <c r="H14" i="33"/>
  <c r="I14" i="33"/>
  <c r="J14" i="33"/>
  <c r="K14" i="33"/>
  <c r="L14" i="33"/>
  <c r="M14" i="33"/>
  <c r="A15" i="33"/>
  <c r="C15" i="33"/>
  <c r="D15" i="33"/>
  <c r="E15" i="33"/>
  <c r="F15" i="33"/>
  <c r="G15" i="33"/>
  <c r="H15" i="33"/>
  <c r="I15" i="33"/>
  <c r="J15" i="33"/>
  <c r="K15" i="33"/>
  <c r="L15" i="33"/>
  <c r="M15" i="33"/>
  <c r="A16" i="33"/>
  <c r="C16" i="33"/>
  <c r="D16" i="33"/>
  <c r="E16" i="33"/>
  <c r="F16" i="33"/>
  <c r="G16" i="33"/>
  <c r="H16" i="33"/>
  <c r="I16" i="33"/>
  <c r="J16" i="33"/>
  <c r="K16" i="33"/>
  <c r="L16" i="33"/>
  <c r="M16" i="33"/>
  <c r="A17" i="33"/>
  <c r="C17" i="33"/>
  <c r="D17" i="33"/>
  <c r="E17" i="33"/>
  <c r="F17" i="33"/>
  <c r="G17" i="33"/>
  <c r="H17" i="33"/>
  <c r="I17" i="33"/>
  <c r="J17" i="33"/>
  <c r="K17" i="33"/>
  <c r="L17" i="33"/>
  <c r="M17" i="33"/>
  <c r="A18" i="33"/>
  <c r="C18" i="33"/>
  <c r="D18" i="33"/>
  <c r="E18" i="33"/>
  <c r="F18" i="33"/>
  <c r="G18" i="33"/>
  <c r="H18" i="33"/>
  <c r="I18" i="33"/>
  <c r="J18" i="33"/>
  <c r="K18" i="33"/>
  <c r="L18" i="33"/>
  <c r="M18" i="33"/>
  <c r="A19" i="33"/>
  <c r="C19" i="33"/>
  <c r="D19" i="33"/>
  <c r="E19" i="33"/>
  <c r="F19" i="33"/>
  <c r="G19" i="33"/>
  <c r="H19" i="33"/>
  <c r="I19" i="33"/>
  <c r="J19" i="33"/>
  <c r="K19" i="33"/>
  <c r="L19" i="33"/>
  <c r="M19" i="33"/>
  <c r="A20" i="33"/>
  <c r="C20" i="33"/>
  <c r="D20" i="33"/>
  <c r="E20" i="33"/>
  <c r="F20" i="33"/>
  <c r="G20" i="33"/>
  <c r="H20" i="33"/>
  <c r="I20" i="33"/>
  <c r="J20" i="33"/>
  <c r="K20" i="33"/>
  <c r="L20" i="33"/>
  <c r="M20" i="33"/>
  <c r="A21" i="33"/>
  <c r="C21" i="33"/>
  <c r="D21" i="33"/>
  <c r="E21" i="33"/>
  <c r="F21" i="33"/>
  <c r="G21" i="33"/>
  <c r="H21" i="33"/>
  <c r="I21" i="33"/>
  <c r="J21" i="33"/>
  <c r="K21" i="33"/>
  <c r="L21" i="33"/>
  <c r="M21" i="33"/>
  <c r="A22" i="33"/>
  <c r="C22" i="33"/>
  <c r="D22" i="33"/>
  <c r="E22" i="33"/>
  <c r="F22" i="33"/>
  <c r="G22" i="33"/>
  <c r="H22" i="33"/>
  <c r="I22" i="33"/>
  <c r="J22" i="33"/>
  <c r="K22" i="33"/>
  <c r="L22" i="33"/>
  <c r="M22" i="33"/>
  <c r="A23" i="33"/>
  <c r="C23" i="33"/>
  <c r="D23" i="33"/>
  <c r="E23" i="33"/>
  <c r="F23" i="33"/>
  <c r="G23" i="33"/>
  <c r="H23" i="33"/>
  <c r="I23" i="33"/>
  <c r="J23" i="33"/>
  <c r="K23" i="33"/>
  <c r="L23" i="33"/>
  <c r="M23" i="33"/>
  <c r="A24" i="33"/>
  <c r="C24" i="33"/>
  <c r="D24" i="33"/>
  <c r="E24" i="33"/>
  <c r="F24" i="33"/>
  <c r="G24" i="33"/>
  <c r="H24" i="33"/>
  <c r="I24" i="33"/>
  <c r="J24" i="33"/>
  <c r="K24" i="33"/>
  <c r="L24" i="33"/>
  <c r="M24" i="33"/>
  <c r="A4" i="37"/>
  <c r="B4" i="37"/>
  <c r="D4" i="37"/>
  <c r="E4" i="37"/>
  <c r="F4" i="37"/>
  <c r="G4" i="37"/>
  <c r="H4" i="37"/>
  <c r="I4" i="37"/>
  <c r="J4" i="37"/>
  <c r="K4" i="37"/>
  <c r="L4" i="37"/>
  <c r="M4" i="37"/>
  <c r="A5" i="37"/>
  <c r="B5" i="37"/>
  <c r="D5" i="37"/>
  <c r="E5" i="37"/>
  <c r="F5" i="37"/>
  <c r="G5" i="37"/>
  <c r="H5" i="37"/>
  <c r="I5" i="37"/>
  <c r="J5" i="37"/>
  <c r="K5" i="37"/>
  <c r="L5" i="37"/>
  <c r="M5" i="37"/>
  <c r="A6" i="37"/>
  <c r="B6" i="37"/>
  <c r="D6" i="37"/>
  <c r="E6" i="37"/>
  <c r="F6" i="37"/>
  <c r="G6" i="37"/>
  <c r="H6" i="37"/>
  <c r="I6" i="37"/>
  <c r="J6" i="37"/>
  <c r="K6" i="37"/>
  <c r="L6" i="37"/>
  <c r="M6" i="37"/>
  <c r="A7" i="37"/>
  <c r="B7" i="37"/>
  <c r="D7" i="37"/>
  <c r="E7" i="37"/>
  <c r="F7" i="37"/>
  <c r="G7" i="37"/>
  <c r="H7" i="37"/>
  <c r="I7" i="37"/>
  <c r="J7" i="37"/>
  <c r="K7" i="37"/>
  <c r="L7" i="37"/>
  <c r="M7" i="37"/>
  <c r="A8" i="37"/>
  <c r="B8" i="37"/>
  <c r="D8" i="37"/>
  <c r="E8" i="37"/>
  <c r="F8" i="37"/>
  <c r="G8" i="37"/>
  <c r="H8" i="37"/>
  <c r="I8" i="37"/>
  <c r="J8" i="37"/>
  <c r="K8" i="37"/>
  <c r="L8" i="37"/>
  <c r="M8" i="37"/>
  <c r="A9" i="37"/>
  <c r="B9" i="37"/>
  <c r="D9" i="37"/>
  <c r="E9" i="37"/>
  <c r="F9" i="37"/>
  <c r="G9" i="37"/>
  <c r="H9" i="37"/>
  <c r="I9" i="37"/>
  <c r="J9" i="37"/>
  <c r="K9" i="37"/>
  <c r="L9" i="37"/>
  <c r="M9" i="37"/>
  <c r="A10" i="37"/>
  <c r="B10" i="37"/>
  <c r="D10" i="37"/>
  <c r="E10" i="37"/>
  <c r="F10" i="37"/>
  <c r="G10" i="37"/>
  <c r="H10" i="37"/>
  <c r="I10" i="37"/>
  <c r="J10" i="37"/>
  <c r="K10" i="37"/>
  <c r="L10" i="37"/>
  <c r="M10" i="37"/>
  <c r="A11" i="37"/>
  <c r="B11" i="37"/>
  <c r="D11" i="37"/>
  <c r="E11" i="37"/>
  <c r="F11" i="37"/>
  <c r="G11" i="37"/>
  <c r="H11" i="37"/>
  <c r="I11" i="37"/>
  <c r="J11" i="37"/>
  <c r="K11" i="37"/>
  <c r="L11" i="37"/>
  <c r="M11" i="37"/>
  <c r="A12" i="37"/>
  <c r="B12" i="37"/>
  <c r="D12" i="37"/>
  <c r="E12" i="37"/>
  <c r="F12" i="37"/>
  <c r="G12" i="37"/>
  <c r="H12" i="37"/>
  <c r="I12" i="37"/>
  <c r="J12" i="37"/>
  <c r="K12" i="37"/>
  <c r="L12" i="37"/>
  <c r="M12" i="37"/>
  <c r="A13" i="37"/>
  <c r="B13" i="37"/>
  <c r="D13" i="37"/>
  <c r="E13" i="37"/>
  <c r="F13" i="37"/>
  <c r="G13" i="37"/>
  <c r="H13" i="37"/>
  <c r="I13" i="37"/>
  <c r="J13" i="37"/>
  <c r="K13" i="37"/>
  <c r="L13" i="37"/>
  <c r="M13" i="37"/>
  <c r="A14" i="37"/>
  <c r="B14" i="37"/>
  <c r="D14" i="37"/>
  <c r="E14" i="37"/>
  <c r="F14" i="37"/>
  <c r="G14" i="37"/>
  <c r="H14" i="37"/>
  <c r="I14" i="37"/>
  <c r="J14" i="37"/>
  <c r="K14" i="37"/>
  <c r="L14" i="37"/>
  <c r="M14" i="37"/>
  <c r="A15" i="37"/>
  <c r="B15" i="37"/>
  <c r="D15" i="37"/>
  <c r="E15" i="37"/>
  <c r="F15" i="37"/>
  <c r="G15" i="37"/>
  <c r="H15" i="37"/>
  <c r="I15" i="37"/>
  <c r="J15" i="37"/>
  <c r="K15" i="37"/>
  <c r="L15" i="37"/>
  <c r="M15" i="37"/>
  <c r="A16" i="37"/>
  <c r="B16" i="37"/>
  <c r="D16" i="37"/>
  <c r="E16" i="37"/>
  <c r="F16" i="37"/>
  <c r="G16" i="37"/>
  <c r="H16" i="37"/>
  <c r="I16" i="37"/>
  <c r="J16" i="37"/>
  <c r="K16" i="37"/>
  <c r="L16" i="37"/>
  <c r="M16" i="37"/>
  <c r="A17" i="37"/>
  <c r="B17" i="37"/>
  <c r="D17" i="37"/>
  <c r="E17" i="37"/>
  <c r="F17" i="37"/>
  <c r="G17" i="37"/>
  <c r="H17" i="37"/>
  <c r="I17" i="37"/>
  <c r="J17" i="37"/>
  <c r="K17" i="37"/>
  <c r="L17" i="37"/>
  <c r="M17" i="37"/>
  <c r="A18" i="37"/>
  <c r="B18" i="37"/>
  <c r="D18" i="37"/>
  <c r="E18" i="37"/>
  <c r="F18" i="37"/>
  <c r="G18" i="37"/>
  <c r="H18" i="37"/>
  <c r="I18" i="37"/>
  <c r="J18" i="37"/>
  <c r="K18" i="37"/>
  <c r="L18" i="37"/>
  <c r="M18" i="37"/>
  <c r="A19" i="37"/>
  <c r="B19" i="37"/>
  <c r="D19" i="37"/>
  <c r="E19" i="37"/>
  <c r="F19" i="37"/>
  <c r="G19" i="37"/>
  <c r="H19" i="37"/>
  <c r="I19" i="37"/>
  <c r="J19" i="37"/>
  <c r="K19" i="37"/>
  <c r="L19" i="37"/>
  <c r="M19" i="37"/>
  <c r="A20" i="37"/>
  <c r="B20" i="37"/>
  <c r="D20" i="37"/>
  <c r="E20" i="37"/>
  <c r="F20" i="37"/>
  <c r="G20" i="37"/>
  <c r="H20" i="37"/>
  <c r="I20" i="37"/>
  <c r="J20" i="37"/>
  <c r="K20" i="37"/>
  <c r="L20" i="37"/>
  <c r="M20" i="37"/>
  <c r="A21" i="37"/>
  <c r="B21" i="37"/>
  <c r="D21" i="37"/>
  <c r="E21" i="37"/>
  <c r="F21" i="37"/>
  <c r="G21" i="37"/>
  <c r="H21" i="37"/>
  <c r="I21" i="37"/>
  <c r="J21" i="37"/>
  <c r="K21" i="37"/>
  <c r="L21" i="37"/>
  <c r="M21" i="37"/>
  <c r="A22" i="37"/>
  <c r="B22" i="37"/>
  <c r="D22" i="37"/>
  <c r="E22" i="37"/>
  <c r="F22" i="37"/>
  <c r="G22" i="37"/>
  <c r="H22" i="37"/>
  <c r="I22" i="37"/>
  <c r="J22" i="37"/>
  <c r="K22" i="37"/>
  <c r="L22" i="37"/>
  <c r="M22" i="37"/>
  <c r="A23" i="37"/>
  <c r="B23" i="37"/>
  <c r="D23" i="37"/>
  <c r="E23" i="37"/>
  <c r="F23" i="37"/>
  <c r="G23" i="37"/>
  <c r="H23" i="37"/>
  <c r="I23" i="37"/>
  <c r="J23" i="37"/>
  <c r="K23" i="37"/>
  <c r="L23" i="37"/>
  <c r="M23" i="37"/>
  <c r="A24" i="37"/>
  <c r="B24" i="37"/>
  <c r="D24" i="37"/>
  <c r="E24" i="37"/>
  <c r="F24" i="37"/>
  <c r="G24" i="37"/>
  <c r="H24" i="37"/>
  <c r="I24" i="37"/>
  <c r="J24" i="37"/>
  <c r="K24" i="37"/>
  <c r="L24" i="37"/>
  <c r="M24" i="37"/>
  <c r="D26" i="37"/>
  <c r="E26" i="37"/>
  <c r="F26" i="37"/>
  <c r="G26" i="37"/>
  <c r="H26" i="37"/>
  <c r="I26" i="37"/>
  <c r="J26" i="37"/>
  <c r="K26" i="37"/>
  <c r="L26" i="37"/>
  <c r="M26" i="37"/>
  <c r="A4" i="21"/>
  <c r="C4" i="21"/>
  <c r="D4" i="21"/>
  <c r="E4" i="21"/>
  <c r="F4" i="21"/>
  <c r="G4" i="21"/>
  <c r="H4" i="21"/>
  <c r="I4" i="21"/>
  <c r="J4" i="21"/>
  <c r="K4" i="21"/>
  <c r="L4" i="21"/>
  <c r="M4" i="21"/>
  <c r="A5" i="21"/>
  <c r="C5" i="21"/>
  <c r="D5" i="21"/>
  <c r="E5" i="21"/>
  <c r="F5" i="21"/>
  <c r="G5" i="21"/>
  <c r="H5" i="21"/>
  <c r="I5" i="21"/>
  <c r="J5" i="21"/>
  <c r="K5" i="21"/>
  <c r="L5" i="21"/>
  <c r="M5" i="21"/>
  <c r="A6" i="21"/>
  <c r="C6" i="21"/>
  <c r="D6" i="21"/>
  <c r="E6" i="21"/>
  <c r="F6" i="21"/>
  <c r="G6" i="21"/>
  <c r="H6" i="21"/>
  <c r="I6" i="21"/>
  <c r="J6" i="21"/>
  <c r="K6" i="21"/>
  <c r="L6" i="21"/>
  <c r="M6" i="21"/>
  <c r="A7" i="21"/>
  <c r="C7" i="21"/>
  <c r="D7" i="21"/>
  <c r="E7" i="21"/>
  <c r="F7" i="21"/>
  <c r="G7" i="21"/>
  <c r="H7" i="21"/>
  <c r="I7" i="21"/>
  <c r="J7" i="21"/>
  <c r="K7" i="21"/>
  <c r="L7" i="21"/>
  <c r="M7" i="21"/>
  <c r="A8" i="21"/>
  <c r="C8" i="21"/>
  <c r="D8" i="21"/>
  <c r="E8" i="21"/>
  <c r="F8" i="21"/>
  <c r="G8" i="21"/>
  <c r="H8" i="21"/>
  <c r="I8" i="21"/>
  <c r="J8" i="21"/>
  <c r="K8" i="21"/>
  <c r="L8" i="21"/>
  <c r="M8" i="21"/>
  <c r="A9" i="21"/>
  <c r="C9" i="21"/>
  <c r="D9" i="21"/>
  <c r="E9" i="21"/>
  <c r="F9" i="21"/>
  <c r="G9" i="21"/>
  <c r="H9" i="21"/>
  <c r="I9" i="21"/>
  <c r="J9" i="21"/>
  <c r="K9" i="21"/>
  <c r="L9" i="21"/>
  <c r="M9" i="21"/>
  <c r="A10" i="21"/>
  <c r="C10" i="21"/>
  <c r="D10" i="21"/>
  <c r="E10" i="21"/>
  <c r="F10" i="21"/>
  <c r="G10" i="21"/>
  <c r="H10" i="21"/>
  <c r="I10" i="21"/>
  <c r="J10" i="21"/>
  <c r="K10" i="21"/>
  <c r="L10" i="21"/>
  <c r="M10" i="21"/>
  <c r="A11" i="21"/>
  <c r="C11" i="21"/>
  <c r="D11" i="21"/>
  <c r="E11" i="21"/>
  <c r="F11" i="21"/>
  <c r="G11" i="21"/>
  <c r="H11" i="21"/>
  <c r="I11" i="21"/>
  <c r="J11" i="21"/>
  <c r="K11" i="21"/>
  <c r="L11" i="21"/>
  <c r="M11" i="21"/>
  <c r="A12" i="21"/>
  <c r="C12" i="21"/>
  <c r="D12" i="21"/>
  <c r="E12" i="21"/>
  <c r="F12" i="21"/>
  <c r="G12" i="21"/>
  <c r="H12" i="21"/>
  <c r="I12" i="21"/>
  <c r="J12" i="21"/>
  <c r="K12" i="21"/>
  <c r="L12" i="21"/>
  <c r="M12" i="21"/>
  <c r="A13" i="21"/>
  <c r="C13" i="21"/>
  <c r="D13" i="21"/>
  <c r="E13" i="21"/>
  <c r="F13" i="21"/>
  <c r="G13" i="21"/>
  <c r="H13" i="21"/>
  <c r="I13" i="21"/>
  <c r="J13" i="21"/>
  <c r="K13" i="21"/>
  <c r="L13" i="21"/>
  <c r="M13" i="21"/>
  <c r="A14" i="21"/>
  <c r="C14" i="21"/>
  <c r="D14" i="21"/>
  <c r="E14" i="21"/>
  <c r="F14" i="21"/>
  <c r="G14" i="21"/>
  <c r="H14" i="21"/>
  <c r="I14" i="21"/>
  <c r="J14" i="21"/>
  <c r="K14" i="21"/>
  <c r="L14" i="21"/>
  <c r="M14" i="21"/>
  <c r="A15" i="21"/>
  <c r="C15" i="21"/>
  <c r="D15" i="21"/>
  <c r="E15" i="21"/>
  <c r="F15" i="21"/>
  <c r="G15" i="21"/>
  <c r="H15" i="21"/>
  <c r="I15" i="21"/>
  <c r="J15" i="21"/>
  <c r="K15" i="21"/>
  <c r="L15" i="21"/>
  <c r="M15" i="21"/>
  <c r="A16" i="21"/>
  <c r="C16" i="21"/>
  <c r="D16" i="21"/>
  <c r="E16" i="21"/>
  <c r="F16" i="21"/>
  <c r="G16" i="21"/>
  <c r="H16" i="21"/>
  <c r="I16" i="21"/>
  <c r="J16" i="21"/>
  <c r="K16" i="21"/>
  <c r="L16" i="21"/>
  <c r="M16" i="21"/>
  <c r="A17" i="21"/>
  <c r="C17" i="21"/>
  <c r="D17" i="21"/>
  <c r="E17" i="21"/>
  <c r="F17" i="21"/>
  <c r="G17" i="21"/>
  <c r="H17" i="21"/>
  <c r="I17" i="21"/>
  <c r="J17" i="21"/>
  <c r="K17" i="21"/>
  <c r="L17" i="21"/>
  <c r="M17" i="21"/>
  <c r="A18" i="21"/>
  <c r="C18" i="21"/>
  <c r="D18" i="21"/>
  <c r="E18" i="21"/>
  <c r="F18" i="21"/>
  <c r="G18" i="21"/>
  <c r="H18" i="21"/>
  <c r="I18" i="21"/>
  <c r="J18" i="21"/>
  <c r="K18" i="21"/>
  <c r="L18" i="21"/>
  <c r="M18" i="21"/>
  <c r="A19" i="21"/>
  <c r="C19" i="21"/>
  <c r="D19" i="21"/>
  <c r="E19" i="21"/>
  <c r="F19" i="21"/>
  <c r="G19" i="21"/>
  <c r="H19" i="21"/>
  <c r="I19" i="21"/>
  <c r="J19" i="21"/>
  <c r="K19" i="21"/>
  <c r="L19" i="21"/>
  <c r="M19" i="21"/>
  <c r="A20" i="21"/>
  <c r="C20" i="21"/>
  <c r="D20" i="21"/>
  <c r="E20" i="21"/>
  <c r="F20" i="21"/>
  <c r="G20" i="21"/>
  <c r="H20" i="21"/>
  <c r="I20" i="21"/>
  <c r="J20" i="21"/>
  <c r="K20" i="21"/>
  <c r="L20" i="21"/>
  <c r="M20" i="21"/>
  <c r="A21" i="21"/>
  <c r="C21" i="21"/>
  <c r="D21" i="21"/>
  <c r="E21" i="21"/>
  <c r="F21" i="21"/>
  <c r="G21" i="21"/>
  <c r="H21" i="21"/>
  <c r="I21" i="21"/>
  <c r="J21" i="21"/>
  <c r="K21" i="21"/>
  <c r="L21" i="21"/>
  <c r="M21" i="21"/>
  <c r="A22" i="21"/>
  <c r="C22" i="21"/>
  <c r="D22" i="21"/>
  <c r="E22" i="21"/>
  <c r="F22" i="21"/>
  <c r="G22" i="21"/>
  <c r="H22" i="21"/>
  <c r="I22" i="21"/>
  <c r="J22" i="21"/>
  <c r="K22" i="21"/>
  <c r="L22" i="21"/>
  <c r="M22" i="21"/>
  <c r="A23" i="21"/>
  <c r="C23" i="21"/>
  <c r="D23" i="21"/>
  <c r="E23" i="21"/>
  <c r="F23" i="21"/>
  <c r="G23" i="21"/>
  <c r="H23" i="21"/>
  <c r="I23" i="21"/>
  <c r="J23" i="21"/>
  <c r="K23" i="21"/>
  <c r="L23" i="21"/>
  <c r="M23" i="21"/>
  <c r="A24" i="21"/>
  <c r="C24" i="21"/>
  <c r="D24" i="21"/>
  <c r="E24" i="21"/>
  <c r="F24" i="21"/>
  <c r="G24" i="21"/>
  <c r="H24" i="21"/>
  <c r="I24" i="21"/>
  <c r="J24" i="21"/>
  <c r="K24" i="21"/>
  <c r="L24" i="21"/>
  <c r="M24" i="21"/>
  <c r="A4" i="13"/>
  <c r="B4" i="13"/>
  <c r="C4" i="13"/>
  <c r="D4" i="13"/>
  <c r="E4" i="13"/>
  <c r="F4" i="13"/>
  <c r="G4" i="13"/>
  <c r="H4" i="13"/>
  <c r="I4" i="13"/>
  <c r="J4" i="13"/>
  <c r="K4" i="13"/>
  <c r="L4" i="13"/>
  <c r="M4" i="13"/>
  <c r="A5" i="13"/>
  <c r="B5" i="13"/>
  <c r="C5" i="13"/>
  <c r="D5" i="13"/>
  <c r="E5" i="13"/>
  <c r="F5" i="13"/>
  <c r="G5" i="13"/>
  <c r="H5" i="13"/>
  <c r="I5" i="13"/>
  <c r="J5" i="13"/>
  <c r="K5" i="13"/>
  <c r="L5" i="13"/>
  <c r="M5" i="13"/>
  <c r="A6" i="13"/>
  <c r="B6" i="13"/>
  <c r="C6" i="13"/>
  <c r="D6" i="13"/>
  <c r="E6" i="13"/>
  <c r="F6" i="13"/>
  <c r="G6" i="13"/>
  <c r="H6" i="13"/>
  <c r="I6" i="13"/>
  <c r="J6" i="13"/>
  <c r="K6" i="13"/>
  <c r="L6" i="13"/>
  <c r="M6" i="13"/>
  <c r="A7" i="13"/>
  <c r="B7" i="13"/>
  <c r="C7" i="13"/>
  <c r="D7" i="13"/>
  <c r="E7" i="13"/>
  <c r="F7" i="13"/>
  <c r="G7" i="13"/>
  <c r="H7" i="13"/>
  <c r="I7" i="13"/>
  <c r="J7" i="13"/>
  <c r="K7" i="13"/>
  <c r="L7" i="13"/>
  <c r="M7" i="13"/>
  <c r="A8" i="13"/>
  <c r="B8" i="13"/>
  <c r="C8" i="13"/>
  <c r="D8" i="13"/>
  <c r="E8" i="13"/>
  <c r="F8" i="13"/>
  <c r="G8" i="13"/>
  <c r="H8" i="13"/>
  <c r="I8" i="13"/>
  <c r="J8" i="13"/>
  <c r="K8" i="13"/>
  <c r="L8" i="13"/>
  <c r="M8" i="13"/>
  <c r="A9" i="13"/>
  <c r="B9" i="13"/>
  <c r="C9" i="13"/>
  <c r="D9" i="13"/>
  <c r="E9" i="13"/>
  <c r="F9" i="13"/>
  <c r="G9" i="13"/>
  <c r="H9" i="13"/>
  <c r="I9" i="13"/>
  <c r="J9" i="13"/>
  <c r="K9" i="13"/>
  <c r="L9" i="13"/>
  <c r="M9" i="13"/>
  <c r="A10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A11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A12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A13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A14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A15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A16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A17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A18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A19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A20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A21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A22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A23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A24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A4" i="24"/>
  <c r="B4" i="24"/>
  <c r="C4" i="24"/>
  <c r="D4" i="24"/>
  <c r="E4" i="24"/>
  <c r="F4" i="24"/>
  <c r="G4" i="24"/>
  <c r="H4" i="24"/>
  <c r="I4" i="24"/>
  <c r="J4" i="24"/>
  <c r="K4" i="24"/>
  <c r="L4" i="24"/>
  <c r="M4" i="24"/>
  <c r="A5" i="24"/>
  <c r="B5" i="24"/>
  <c r="C5" i="24"/>
  <c r="D5" i="24"/>
  <c r="E5" i="24"/>
  <c r="F5" i="24"/>
  <c r="G5" i="24"/>
  <c r="H5" i="24"/>
  <c r="I5" i="24"/>
  <c r="J5" i="24"/>
  <c r="K5" i="24"/>
  <c r="L5" i="24"/>
  <c r="M5" i="24"/>
  <c r="A6" i="24"/>
  <c r="B6" i="24"/>
  <c r="C6" i="24"/>
  <c r="D6" i="24"/>
  <c r="E6" i="24"/>
  <c r="F6" i="24"/>
  <c r="G6" i="24"/>
  <c r="H6" i="24"/>
  <c r="I6" i="24"/>
  <c r="J6" i="24"/>
  <c r="K6" i="24"/>
  <c r="L6" i="24"/>
  <c r="M6" i="24"/>
  <c r="A7" i="24"/>
  <c r="B7" i="24"/>
  <c r="C7" i="24"/>
  <c r="D7" i="24"/>
  <c r="E7" i="24"/>
  <c r="F7" i="24"/>
  <c r="G7" i="24"/>
  <c r="H7" i="24"/>
  <c r="I7" i="24"/>
  <c r="J7" i="24"/>
  <c r="K7" i="24"/>
  <c r="L7" i="24"/>
  <c r="M7" i="24"/>
  <c r="A8" i="24"/>
  <c r="B8" i="24"/>
  <c r="C8" i="24"/>
  <c r="D8" i="24"/>
  <c r="E8" i="24"/>
  <c r="F8" i="24"/>
  <c r="G8" i="24"/>
  <c r="H8" i="24"/>
  <c r="I8" i="24"/>
  <c r="J8" i="24"/>
  <c r="K8" i="24"/>
  <c r="L8" i="24"/>
  <c r="M8" i="24"/>
  <c r="A9" i="24"/>
  <c r="B9" i="24"/>
  <c r="C9" i="24"/>
  <c r="D9" i="24"/>
  <c r="E9" i="24"/>
  <c r="F9" i="24"/>
  <c r="G9" i="24"/>
  <c r="H9" i="24"/>
  <c r="I9" i="24"/>
  <c r="J9" i="24"/>
  <c r="K9" i="24"/>
  <c r="L9" i="24"/>
  <c r="M9" i="24"/>
  <c r="A10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A11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A12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A13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A14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A15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A16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A17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A18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A19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A20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A21" i="24"/>
  <c r="B21" i="24"/>
  <c r="C21" i="24"/>
  <c r="D21" i="24"/>
  <c r="E21" i="24"/>
  <c r="F21" i="24"/>
  <c r="G21" i="24"/>
  <c r="H21" i="24"/>
  <c r="I21" i="24"/>
  <c r="J21" i="24"/>
  <c r="K21" i="24"/>
  <c r="L21" i="24"/>
  <c r="M21" i="24"/>
  <c r="A22" i="24"/>
  <c r="B22" i="24"/>
  <c r="C22" i="24"/>
  <c r="D22" i="24"/>
  <c r="E22" i="24"/>
  <c r="F22" i="24"/>
  <c r="G22" i="24"/>
  <c r="H22" i="24"/>
  <c r="I22" i="24"/>
  <c r="J22" i="24"/>
  <c r="K22" i="24"/>
  <c r="L22" i="24"/>
  <c r="M22" i="24"/>
  <c r="A23" i="24"/>
  <c r="B23" i="24"/>
  <c r="C23" i="24"/>
  <c r="D23" i="24"/>
  <c r="E23" i="24"/>
  <c r="F23" i="24"/>
  <c r="G23" i="24"/>
  <c r="H23" i="24"/>
  <c r="I23" i="24"/>
  <c r="J23" i="24"/>
  <c r="K23" i="24"/>
  <c r="L23" i="24"/>
  <c r="M23" i="24"/>
  <c r="A24" i="24"/>
  <c r="B24" i="24"/>
  <c r="C24" i="24"/>
  <c r="D24" i="24"/>
  <c r="E24" i="24"/>
  <c r="F24" i="24"/>
  <c r="G24" i="24"/>
  <c r="H24" i="24"/>
  <c r="I24" i="24"/>
  <c r="J24" i="24"/>
  <c r="K24" i="24"/>
  <c r="L24" i="24"/>
  <c r="M24" i="24"/>
  <c r="A4" i="25"/>
  <c r="B4" i="25"/>
  <c r="C4" i="25"/>
  <c r="D4" i="25"/>
  <c r="E4" i="25"/>
  <c r="F4" i="25"/>
  <c r="G4" i="25"/>
  <c r="H4" i="25"/>
  <c r="I4" i="25"/>
  <c r="J4" i="25"/>
  <c r="K4" i="25"/>
  <c r="L4" i="25"/>
  <c r="M4" i="25"/>
  <c r="A5" i="25"/>
  <c r="B5" i="25"/>
  <c r="C5" i="25"/>
  <c r="D5" i="25"/>
  <c r="E5" i="25"/>
  <c r="F5" i="25"/>
  <c r="G5" i="25"/>
  <c r="H5" i="25"/>
  <c r="I5" i="25"/>
  <c r="J5" i="25"/>
  <c r="K5" i="25"/>
  <c r="L5" i="25"/>
  <c r="M5" i="25"/>
  <c r="A6" i="25"/>
  <c r="B6" i="25"/>
  <c r="C6" i="25"/>
  <c r="D6" i="25"/>
  <c r="E6" i="25"/>
  <c r="F6" i="25"/>
  <c r="G6" i="25"/>
  <c r="H6" i="25"/>
  <c r="I6" i="25"/>
  <c r="J6" i="25"/>
  <c r="K6" i="25"/>
  <c r="L6" i="25"/>
  <c r="M6" i="25"/>
  <c r="A7" i="25"/>
  <c r="B7" i="25"/>
  <c r="C7" i="25"/>
  <c r="D7" i="25"/>
  <c r="E7" i="25"/>
  <c r="F7" i="25"/>
  <c r="G7" i="25"/>
  <c r="H7" i="25"/>
  <c r="I7" i="25"/>
  <c r="J7" i="25"/>
  <c r="K7" i="25"/>
  <c r="L7" i="25"/>
  <c r="M7" i="25"/>
  <c r="A8" i="25"/>
  <c r="B8" i="25"/>
  <c r="C8" i="25"/>
  <c r="D8" i="25"/>
  <c r="E8" i="25"/>
  <c r="F8" i="25"/>
  <c r="G8" i="25"/>
  <c r="H8" i="25"/>
  <c r="I8" i="25"/>
  <c r="J8" i="25"/>
  <c r="K8" i="25"/>
  <c r="L8" i="25"/>
  <c r="M8" i="25"/>
  <c r="A9" i="25"/>
  <c r="B9" i="25"/>
  <c r="C9" i="25"/>
  <c r="D9" i="25"/>
  <c r="E9" i="25"/>
  <c r="F9" i="25"/>
  <c r="G9" i="25"/>
  <c r="H9" i="25"/>
  <c r="I9" i="25"/>
  <c r="J9" i="25"/>
  <c r="K9" i="25"/>
  <c r="L9" i="25"/>
  <c r="M9" i="25"/>
  <c r="A10" i="25"/>
  <c r="B10" i="25"/>
  <c r="C10" i="25"/>
  <c r="D10" i="25"/>
  <c r="E10" i="25"/>
  <c r="F10" i="25"/>
  <c r="G10" i="25"/>
  <c r="H10" i="25"/>
  <c r="I10" i="25"/>
  <c r="J10" i="25"/>
  <c r="K10" i="25"/>
  <c r="L10" i="25"/>
  <c r="M10" i="25"/>
  <c r="A11" i="25"/>
  <c r="B11" i="25"/>
  <c r="C11" i="25"/>
  <c r="D11" i="25"/>
  <c r="E11" i="25"/>
  <c r="F11" i="25"/>
  <c r="G11" i="25"/>
  <c r="H11" i="25"/>
  <c r="I11" i="25"/>
  <c r="J11" i="25"/>
  <c r="K11" i="25"/>
  <c r="L11" i="25"/>
  <c r="M11" i="25"/>
  <c r="A12" i="25"/>
  <c r="B12" i="25"/>
  <c r="C12" i="25"/>
  <c r="D12" i="25"/>
  <c r="E12" i="25"/>
  <c r="F12" i="25"/>
  <c r="G12" i="25"/>
  <c r="H12" i="25"/>
  <c r="I12" i="25"/>
  <c r="J12" i="25"/>
  <c r="K12" i="25"/>
  <c r="L12" i="25"/>
  <c r="M12" i="25"/>
  <c r="A13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A14" i="25"/>
  <c r="B14" i="25"/>
  <c r="C14" i="25"/>
  <c r="D14" i="25"/>
  <c r="E14" i="25"/>
  <c r="F14" i="25"/>
  <c r="G14" i="25"/>
  <c r="H14" i="25"/>
  <c r="I14" i="25"/>
  <c r="J14" i="25"/>
  <c r="K14" i="25"/>
  <c r="L14" i="25"/>
  <c r="M14" i="25"/>
  <c r="A15" i="25"/>
  <c r="B15" i="25"/>
  <c r="C15" i="25"/>
  <c r="D15" i="25"/>
  <c r="E15" i="25"/>
  <c r="F15" i="25"/>
  <c r="G15" i="25"/>
  <c r="H15" i="25"/>
  <c r="I15" i="25"/>
  <c r="J15" i="25"/>
  <c r="K15" i="25"/>
  <c r="L15" i="25"/>
  <c r="M15" i="25"/>
  <c r="A16" i="25"/>
  <c r="B16" i="25"/>
  <c r="C16" i="25"/>
  <c r="D16" i="25"/>
  <c r="E16" i="25"/>
  <c r="F16" i="25"/>
  <c r="G16" i="25"/>
  <c r="H16" i="25"/>
  <c r="I16" i="25"/>
  <c r="J16" i="25"/>
  <c r="K16" i="25"/>
  <c r="L16" i="25"/>
  <c r="M16" i="25"/>
  <c r="A17" i="25"/>
  <c r="B17" i="25"/>
  <c r="C17" i="25"/>
  <c r="D17" i="25"/>
  <c r="E17" i="25"/>
  <c r="F17" i="25"/>
  <c r="G17" i="25"/>
  <c r="H17" i="25"/>
  <c r="I17" i="25"/>
  <c r="J17" i="25"/>
  <c r="K17" i="25"/>
  <c r="L17" i="25"/>
  <c r="M17" i="25"/>
  <c r="A18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A19" i="25"/>
  <c r="B19" i="25"/>
  <c r="C19" i="25"/>
  <c r="D19" i="25"/>
  <c r="E19" i="25"/>
  <c r="F19" i="25"/>
  <c r="G19" i="25"/>
  <c r="H19" i="25"/>
  <c r="I19" i="25"/>
  <c r="J19" i="25"/>
  <c r="K19" i="25"/>
  <c r="L19" i="25"/>
  <c r="M19" i="25"/>
  <c r="A20" i="25"/>
  <c r="B20" i="25"/>
  <c r="C20" i="25"/>
  <c r="D20" i="25"/>
  <c r="E20" i="25"/>
  <c r="F20" i="25"/>
  <c r="G20" i="25"/>
  <c r="H20" i="25"/>
  <c r="I20" i="25"/>
  <c r="J20" i="25"/>
  <c r="K20" i="25"/>
  <c r="L20" i="25"/>
  <c r="M20" i="25"/>
  <c r="A21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A22" i="25"/>
  <c r="B22" i="25"/>
  <c r="C22" i="25"/>
  <c r="D22" i="25"/>
  <c r="E22" i="25"/>
  <c r="F22" i="25"/>
  <c r="G22" i="25"/>
  <c r="H22" i="25"/>
  <c r="I22" i="25"/>
  <c r="J22" i="25"/>
  <c r="K22" i="25"/>
  <c r="L22" i="25"/>
  <c r="M22" i="25"/>
  <c r="A23" i="25"/>
  <c r="B23" i="25"/>
  <c r="C23" i="25"/>
  <c r="D23" i="25"/>
  <c r="E23" i="25"/>
  <c r="F23" i="25"/>
  <c r="G23" i="25"/>
  <c r="H23" i="25"/>
  <c r="I23" i="25"/>
  <c r="J23" i="25"/>
  <c r="K23" i="25"/>
  <c r="L23" i="25"/>
  <c r="M23" i="25"/>
  <c r="A24" i="25"/>
  <c r="B24" i="25"/>
  <c r="C24" i="25"/>
  <c r="D24" i="25"/>
  <c r="E24" i="25"/>
  <c r="F24" i="25"/>
  <c r="G24" i="25"/>
  <c r="H24" i="25"/>
  <c r="I24" i="25"/>
  <c r="J24" i="25"/>
  <c r="K24" i="25"/>
  <c r="L24" i="25"/>
  <c r="M24" i="25"/>
  <c r="A4" i="45"/>
  <c r="B4" i="45"/>
  <c r="C4" i="45"/>
  <c r="D4" i="45"/>
  <c r="E4" i="45"/>
  <c r="F4" i="45"/>
  <c r="G4" i="45"/>
  <c r="H4" i="45"/>
  <c r="I4" i="45"/>
  <c r="J4" i="45"/>
  <c r="K4" i="45"/>
  <c r="L4" i="45"/>
  <c r="M4" i="45"/>
  <c r="A5" i="45"/>
  <c r="B5" i="45"/>
  <c r="C5" i="45"/>
  <c r="D5" i="45"/>
  <c r="E5" i="45"/>
  <c r="F5" i="45"/>
  <c r="G5" i="45"/>
  <c r="H5" i="45"/>
  <c r="I5" i="45"/>
  <c r="J5" i="45"/>
  <c r="K5" i="45"/>
  <c r="L5" i="45"/>
  <c r="M5" i="45"/>
  <c r="A6" i="45"/>
  <c r="B6" i="45"/>
  <c r="C6" i="45"/>
  <c r="D6" i="45"/>
  <c r="E6" i="45"/>
  <c r="F6" i="45"/>
  <c r="G6" i="45"/>
  <c r="H6" i="45"/>
  <c r="I6" i="45"/>
  <c r="J6" i="45"/>
  <c r="K6" i="45"/>
  <c r="L6" i="45"/>
  <c r="M6" i="45"/>
  <c r="A7" i="45"/>
  <c r="B7" i="45"/>
  <c r="C7" i="45"/>
  <c r="D7" i="45"/>
  <c r="E7" i="45"/>
  <c r="F7" i="45"/>
  <c r="G7" i="45"/>
  <c r="H7" i="45"/>
  <c r="I7" i="45"/>
  <c r="J7" i="45"/>
  <c r="K7" i="45"/>
  <c r="L7" i="45"/>
  <c r="M7" i="45"/>
  <c r="A8" i="45"/>
  <c r="B8" i="45"/>
  <c r="C8" i="45"/>
  <c r="D8" i="45"/>
  <c r="E8" i="45"/>
  <c r="F8" i="45"/>
  <c r="G8" i="45"/>
  <c r="H8" i="45"/>
  <c r="I8" i="45"/>
  <c r="J8" i="45"/>
  <c r="K8" i="45"/>
  <c r="L8" i="45"/>
  <c r="M8" i="45"/>
  <c r="A9" i="45"/>
  <c r="B9" i="45"/>
  <c r="C9" i="45"/>
  <c r="D9" i="45"/>
  <c r="E9" i="45"/>
  <c r="F9" i="45"/>
  <c r="G9" i="45"/>
  <c r="H9" i="45"/>
  <c r="I9" i="45"/>
  <c r="J9" i="45"/>
  <c r="K9" i="45"/>
  <c r="L9" i="45"/>
  <c r="M9" i="45"/>
  <c r="A10" i="45"/>
  <c r="B10" i="45"/>
  <c r="C10" i="45"/>
  <c r="D10" i="45"/>
  <c r="E10" i="45"/>
  <c r="F10" i="45"/>
  <c r="G10" i="45"/>
  <c r="H10" i="45"/>
  <c r="I10" i="45"/>
  <c r="J10" i="45"/>
  <c r="K10" i="45"/>
  <c r="L10" i="45"/>
  <c r="M10" i="45"/>
  <c r="A11" i="45"/>
  <c r="B11" i="45"/>
  <c r="C11" i="45"/>
  <c r="D11" i="45"/>
  <c r="E11" i="45"/>
  <c r="F11" i="45"/>
  <c r="G11" i="45"/>
  <c r="H11" i="45"/>
  <c r="I11" i="45"/>
  <c r="J11" i="45"/>
  <c r="K11" i="45"/>
  <c r="L11" i="45"/>
  <c r="M11" i="45"/>
  <c r="A12" i="45"/>
  <c r="B12" i="45"/>
  <c r="C12" i="45"/>
  <c r="D12" i="45"/>
  <c r="E12" i="45"/>
  <c r="F12" i="45"/>
  <c r="G12" i="45"/>
  <c r="H12" i="45"/>
  <c r="I12" i="45"/>
  <c r="J12" i="45"/>
  <c r="K12" i="45"/>
  <c r="L12" i="45"/>
  <c r="M12" i="45"/>
  <c r="A13" i="45"/>
  <c r="B13" i="45"/>
  <c r="C13" i="45"/>
  <c r="D13" i="45"/>
  <c r="E13" i="45"/>
  <c r="F13" i="45"/>
  <c r="G13" i="45"/>
  <c r="H13" i="45"/>
  <c r="I13" i="45"/>
  <c r="J13" i="45"/>
  <c r="K13" i="45"/>
  <c r="L13" i="45"/>
  <c r="M13" i="45"/>
  <c r="A14" i="45"/>
  <c r="B14" i="45"/>
  <c r="C14" i="45"/>
  <c r="D14" i="45"/>
  <c r="E14" i="45"/>
  <c r="F14" i="45"/>
  <c r="G14" i="45"/>
  <c r="H14" i="45"/>
  <c r="I14" i="45"/>
  <c r="J14" i="45"/>
  <c r="K14" i="45"/>
  <c r="L14" i="45"/>
  <c r="M14" i="45"/>
  <c r="A15" i="45"/>
  <c r="B15" i="45"/>
  <c r="C15" i="45"/>
  <c r="D15" i="45"/>
  <c r="E15" i="45"/>
  <c r="F15" i="45"/>
  <c r="G15" i="45"/>
  <c r="H15" i="45"/>
  <c r="I15" i="45"/>
  <c r="J15" i="45"/>
  <c r="K15" i="45"/>
  <c r="L15" i="45"/>
  <c r="M15" i="45"/>
  <c r="A16" i="45"/>
  <c r="B16" i="45"/>
  <c r="C16" i="45"/>
  <c r="D16" i="45"/>
  <c r="E16" i="45"/>
  <c r="F16" i="45"/>
  <c r="G16" i="45"/>
  <c r="H16" i="45"/>
  <c r="I16" i="45"/>
  <c r="J16" i="45"/>
  <c r="K16" i="45"/>
  <c r="L16" i="45"/>
  <c r="M16" i="45"/>
  <c r="A17" i="45"/>
  <c r="B17" i="45"/>
  <c r="C17" i="45"/>
  <c r="D17" i="45"/>
  <c r="E17" i="45"/>
  <c r="F17" i="45"/>
  <c r="G17" i="45"/>
  <c r="H17" i="45"/>
  <c r="I17" i="45"/>
  <c r="J17" i="45"/>
  <c r="K17" i="45"/>
  <c r="L17" i="45"/>
  <c r="M17" i="45"/>
  <c r="A18" i="45"/>
  <c r="B18" i="45"/>
  <c r="C18" i="45"/>
  <c r="D18" i="45"/>
  <c r="E18" i="45"/>
  <c r="F18" i="45"/>
  <c r="G18" i="45"/>
  <c r="H18" i="45"/>
  <c r="I18" i="45"/>
  <c r="J18" i="45"/>
  <c r="K18" i="45"/>
  <c r="L18" i="45"/>
  <c r="M18" i="45"/>
  <c r="A19" i="45"/>
  <c r="B19" i="45"/>
  <c r="C19" i="45"/>
  <c r="D19" i="45"/>
  <c r="E19" i="45"/>
  <c r="F19" i="45"/>
  <c r="G19" i="45"/>
  <c r="H19" i="45"/>
  <c r="I19" i="45"/>
  <c r="J19" i="45"/>
  <c r="K19" i="45"/>
  <c r="L19" i="45"/>
  <c r="M19" i="45"/>
  <c r="A20" i="45"/>
  <c r="B20" i="45"/>
  <c r="C20" i="45"/>
  <c r="D20" i="45"/>
  <c r="E20" i="45"/>
  <c r="F20" i="45"/>
  <c r="G20" i="45"/>
  <c r="H20" i="45"/>
  <c r="I20" i="45"/>
  <c r="J20" i="45"/>
  <c r="K20" i="45"/>
  <c r="L20" i="45"/>
  <c r="M20" i="45"/>
  <c r="A21" i="45"/>
  <c r="B21" i="45"/>
  <c r="C21" i="45"/>
  <c r="D21" i="45"/>
  <c r="E21" i="45"/>
  <c r="F21" i="45"/>
  <c r="G21" i="45"/>
  <c r="H21" i="45"/>
  <c r="I21" i="45"/>
  <c r="J21" i="45"/>
  <c r="K21" i="45"/>
  <c r="L21" i="45"/>
  <c r="M21" i="45"/>
  <c r="A22" i="45"/>
  <c r="B22" i="45"/>
  <c r="C22" i="45"/>
  <c r="D22" i="45"/>
  <c r="E22" i="45"/>
  <c r="F22" i="45"/>
  <c r="G22" i="45"/>
  <c r="H22" i="45"/>
  <c r="I22" i="45"/>
  <c r="J22" i="45"/>
  <c r="K22" i="45"/>
  <c r="L22" i="45"/>
  <c r="M22" i="45"/>
  <c r="A23" i="45"/>
  <c r="B23" i="45"/>
  <c r="C23" i="45"/>
  <c r="D23" i="45"/>
  <c r="E23" i="45"/>
  <c r="F23" i="45"/>
  <c r="G23" i="45"/>
  <c r="H23" i="45"/>
  <c r="I23" i="45"/>
  <c r="J23" i="45"/>
  <c r="K23" i="45"/>
  <c r="L23" i="45"/>
  <c r="M23" i="45"/>
  <c r="A24" i="45"/>
  <c r="B24" i="45"/>
  <c r="C24" i="45"/>
  <c r="D24" i="45"/>
  <c r="E24" i="45"/>
  <c r="F24" i="45"/>
  <c r="G24" i="45"/>
  <c r="H24" i="45"/>
  <c r="I24" i="45"/>
  <c r="J24" i="45"/>
  <c r="K24" i="45"/>
  <c r="L24" i="45"/>
  <c r="M24" i="45"/>
  <c r="A4" i="12"/>
  <c r="C4" i="12"/>
  <c r="D4" i="12"/>
  <c r="E4" i="12"/>
  <c r="F4" i="12"/>
  <c r="G4" i="12"/>
  <c r="H4" i="12"/>
  <c r="I4" i="12"/>
  <c r="J4" i="12"/>
  <c r="K4" i="12"/>
  <c r="L4" i="12"/>
  <c r="M4" i="12"/>
  <c r="A5" i="12"/>
  <c r="C5" i="12"/>
  <c r="D5" i="12"/>
  <c r="E5" i="12"/>
  <c r="F5" i="12"/>
  <c r="G5" i="12"/>
  <c r="H5" i="12"/>
  <c r="I5" i="12"/>
  <c r="J5" i="12"/>
  <c r="K5" i="12"/>
  <c r="L5" i="12"/>
  <c r="M5" i="12"/>
  <c r="A6" i="12"/>
  <c r="C6" i="12"/>
  <c r="D6" i="12"/>
  <c r="E6" i="12"/>
  <c r="F6" i="12"/>
  <c r="G6" i="12"/>
  <c r="H6" i="12"/>
  <c r="I6" i="12"/>
  <c r="J6" i="12"/>
  <c r="K6" i="12"/>
  <c r="L6" i="12"/>
  <c r="M6" i="12"/>
  <c r="A7" i="12"/>
  <c r="C7" i="12"/>
  <c r="D7" i="12"/>
  <c r="E7" i="12"/>
  <c r="F7" i="12"/>
  <c r="G7" i="12"/>
  <c r="H7" i="12"/>
  <c r="I7" i="12"/>
  <c r="J7" i="12"/>
  <c r="K7" i="12"/>
  <c r="L7" i="12"/>
  <c r="M7" i="12"/>
  <c r="A8" i="12"/>
  <c r="C8" i="12"/>
  <c r="D8" i="12"/>
  <c r="E8" i="12"/>
  <c r="F8" i="12"/>
  <c r="G8" i="12"/>
  <c r="H8" i="12"/>
  <c r="I8" i="12"/>
  <c r="J8" i="12"/>
  <c r="K8" i="12"/>
  <c r="L8" i="12"/>
  <c r="M8" i="12"/>
  <c r="A9" i="12"/>
  <c r="C9" i="12"/>
  <c r="D9" i="12"/>
  <c r="E9" i="12"/>
  <c r="F9" i="12"/>
  <c r="G9" i="12"/>
  <c r="H9" i="12"/>
  <c r="I9" i="12"/>
  <c r="J9" i="12"/>
  <c r="K9" i="12"/>
  <c r="L9" i="12"/>
  <c r="M9" i="12"/>
  <c r="A10" i="12"/>
  <c r="C10" i="12"/>
  <c r="D10" i="12"/>
  <c r="E10" i="12"/>
  <c r="F10" i="12"/>
  <c r="G10" i="12"/>
  <c r="H10" i="12"/>
  <c r="I10" i="12"/>
  <c r="J10" i="12"/>
  <c r="K10" i="12"/>
  <c r="L10" i="12"/>
  <c r="M10" i="12"/>
  <c r="A11" i="12"/>
  <c r="C11" i="12"/>
  <c r="D11" i="12"/>
  <c r="E11" i="12"/>
  <c r="F11" i="12"/>
  <c r="G11" i="12"/>
  <c r="H11" i="12"/>
  <c r="I11" i="12"/>
  <c r="J11" i="12"/>
  <c r="K11" i="12"/>
  <c r="L11" i="12"/>
  <c r="M11" i="12"/>
  <c r="A12" i="12"/>
  <c r="C12" i="12"/>
  <c r="D12" i="12"/>
  <c r="E12" i="12"/>
  <c r="F12" i="12"/>
  <c r="G12" i="12"/>
  <c r="H12" i="12"/>
  <c r="I12" i="12"/>
  <c r="J12" i="12"/>
  <c r="K12" i="12"/>
  <c r="L12" i="12"/>
  <c r="M12" i="12"/>
  <c r="A13" i="12"/>
  <c r="C13" i="12"/>
  <c r="D13" i="12"/>
  <c r="E13" i="12"/>
  <c r="F13" i="12"/>
  <c r="G13" i="12"/>
  <c r="H13" i="12"/>
  <c r="I13" i="12"/>
  <c r="J13" i="12"/>
  <c r="K13" i="12"/>
  <c r="L13" i="12"/>
  <c r="M13" i="12"/>
  <c r="A14" i="12"/>
  <c r="C14" i="12"/>
  <c r="D14" i="12"/>
  <c r="E14" i="12"/>
  <c r="F14" i="12"/>
  <c r="G14" i="12"/>
  <c r="H14" i="12"/>
  <c r="I14" i="12"/>
  <c r="J14" i="12"/>
  <c r="K14" i="12"/>
  <c r="L14" i="12"/>
  <c r="M14" i="12"/>
  <c r="A15" i="12"/>
  <c r="C15" i="12"/>
  <c r="D15" i="12"/>
  <c r="E15" i="12"/>
  <c r="F15" i="12"/>
  <c r="G15" i="12"/>
  <c r="H15" i="12"/>
  <c r="I15" i="12"/>
  <c r="J15" i="12"/>
  <c r="K15" i="12"/>
  <c r="L15" i="12"/>
  <c r="M15" i="12"/>
  <c r="A16" i="12"/>
  <c r="C16" i="12"/>
  <c r="D16" i="12"/>
  <c r="E16" i="12"/>
  <c r="F16" i="12"/>
  <c r="G16" i="12"/>
  <c r="H16" i="12"/>
  <c r="I16" i="12"/>
  <c r="J16" i="12"/>
  <c r="K16" i="12"/>
  <c r="L16" i="12"/>
  <c r="M16" i="12"/>
  <c r="A17" i="12"/>
  <c r="C17" i="12"/>
  <c r="D17" i="12"/>
  <c r="E17" i="12"/>
  <c r="F17" i="12"/>
  <c r="G17" i="12"/>
  <c r="H17" i="12"/>
  <c r="I17" i="12"/>
  <c r="J17" i="12"/>
  <c r="K17" i="12"/>
  <c r="L17" i="12"/>
  <c r="M17" i="12"/>
  <c r="A18" i="12"/>
  <c r="C18" i="12"/>
  <c r="D18" i="12"/>
  <c r="E18" i="12"/>
  <c r="F18" i="12"/>
  <c r="G18" i="12"/>
  <c r="H18" i="12"/>
  <c r="I18" i="12"/>
  <c r="J18" i="12"/>
  <c r="K18" i="12"/>
  <c r="L18" i="12"/>
  <c r="M18" i="12"/>
  <c r="A19" i="12"/>
  <c r="C19" i="12"/>
  <c r="D19" i="12"/>
  <c r="E19" i="12"/>
  <c r="F19" i="12"/>
  <c r="G19" i="12"/>
  <c r="H19" i="12"/>
  <c r="I19" i="12"/>
  <c r="J19" i="12"/>
  <c r="K19" i="12"/>
  <c r="L19" i="12"/>
  <c r="M19" i="12"/>
  <c r="A20" i="12"/>
  <c r="C20" i="12"/>
  <c r="D20" i="12"/>
  <c r="E20" i="12"/>
  <c r="F20" i="12"/>
  <c r="G20" i="12"/>
  <c r="H20" i="12"/>
  <c r="I20" i="12"/>
  <c r="J20" i="12"/>
  <c r="K20" i="12"/>
  <c r="L20" i="12"/>
  <c r="M20" i="12"/>
  <c r="A21" i="12"/>
  <c r="C21" i="12"/>
  <c r="D21" i="12"/>
  <c r="E21" i="12"/>
  <c r="F21" i="12"/>
  <c r="G21" i="12"/>
  <c r="H21" i="12"/>
  <c r="I21" i="12"/>
  <c r="J21" i="12"/>
  <c r="K21" i="12"/>
  <c r="L21" i="12"/>
  <c r="M21" i="12"/>
  <c r="A22" i="12"/>
  <c r="C22" i="12"/>
  <c r="D22" i="12"/>
  <c r="E22" i="12"/>
  <c r="F22" i="12"/>
  <c r="G22" i="12"/>
  <c r="H22" i="12"/>
  <c r="I22" i="12"/>
  <c r="J22" i="12"/>
  <c r="K22" i="12"/>
  <c r="L22" i="12"/>
  <c r="M22" i="12"/>
  <c r="A23" i="12"/>
  <c r="C23" i="12"/>
  <c r="D23" i="12"/>
  <c r="E23" i="12"/>
  <c r="F23" i="12"/>
  <c r="G23" i="12"/>
  <c r="H23" i="12"/>
  <c r="I23" i="12"/>
  <c r="J23" i="12"/>
  <c r="K23" i="12"/>
  <c r="L23" i="12"/>
  <c r="M23" i="12"/>
  <c r="A24" i="12"/>
  <c r="C24" i="12"/>
  <c r="D24" i="12"/>
  <c r="E24" i="12"/>
  <c r="F24" i="12"/>
  <c r="G24" i="12"/>
  <c r="H24" i="12"/>
  <c r="I24" i="12"/>
  <c r="J24" i="12"/>
  <c r="K24" i="12"/>
  <c r="L24" i="12"/>
  <c r="M24" i="12"/>
  <c r="A4" i="47"/>
  <c r="B4" i="47"/>
  <c r="C4" i="47"/>
  <c r="D4" i="47"/>
  <c r="E4" i="47"/>
  <c r="F4" i="47"/>
  <c r="G4" i="47"/>
  <c r="H4" i="47"/>
  <c r="I4" i="47"/>
  <c r="J4" i="47"/>
  <c r="K4" i="47"/>
  <c r="L4" i="47"/>
  <c r="M4" i="47"/>
  <c r="A5" i="47"/>
  <c r="B5" i="47"/>
  <c r="C5" i="47"/>
  <c r="D5" i="47"/>
  <c r="E5" i="47"/>
  <c r="F5" i="47"/>
  <c r="G5" i="47"/>
  <c r="H5" i="47"/>
  <c r="I5" i="47"/>
  <c r="J5" i="47"/>
  <c r="K5" i="47"/>
  <c r="L5" i="47"/>
  <c r="M5" i="47"/>
  <c r="A6" i="47"/>
  <c r="B6" i="47"/>
  <c r="C6" i="47"/>
  <c r="D6" i="47"/>
  <c r="E6" i="47"/>
  <c r="F6" i="47"/>
  <c r="G6" i="47"/>
  <c r="H6" i="47"/>
  <c r="I6" i="47"/>
  <c r="J6" i="47"/>
  <c r="K6" i="47"/>
  <c r="L6" i="47"/>
  <c r="M6" i="47"/>
  <c r="A7" i="47"/>
  <c r="B7" i="47"/>
  <c r="C7" i="47"/>
  <c r="D7" i="47"/>
  <c r="E7" i="47"/>
  <c r="F7" i="47"/>
  <c r="G7" i="47"/>
  <c r="H7" i="47"/>
  <c r="I7" i="47"/>
  <c r="J7" i="47"/>
  <c r="K7" i="47"/>
  <c r="L7" i="47"/>
  <c r="M7" i="47"/>
  <c r="A8" i="47"/>
  <c r="B8" i="47"/>
  <c r="C8" i="47"/>
  <c r="D8" i="47"/>
  <c r="E8" i="47"/>
  <c r="F8" i="47"/>
  <c r="G8" i="47"/>
  <c r="H8" i="47"/>
  <c r="I8" i="47"/>
  <c r="J8" i="47"/>
  <c r="K8" i="47"/>
  <c r="L8" i="47"/>
  <c r="M8" i="47"/>
  <c r="A9" i="47"/>
  <c r="B9" i="47"/>
  <c r="C9" i="47"/>
  <c r="D9" i="47"/>
  <c r="E9" i="47"/>
  <c r="F9" i="47"/>
  <c r="G9" i="47"/>
  <c r="H9" i="47"/>
  <c r="I9" i="47"/>
  <c r="J9" i="47"/>
  <c r="K9" i="47"/>
  <c r="L9" i="47"/>
  <c r="M9" i="47"/>
  <c r="A10" i="47"/>
  <c r="B10" i="47"/>
  <c r="C10" i="47"/>
  <c r="D10" i="47"/>
  <c r="E10" i="47"/>
  <c r="F10" i="47"/>
  <c r="G10" i="47"/>
  <c r="H10" i="47"/>
  <c r="I10" i="47"/>
  <c r="J10" i="47"/>
  <c r="K10" i="47"/>
  <c r="L10" i="47"/>
  <c r="M10" i="47"/>
  <c r="A11" i="47"/>
  <c r="B11" i="47"/>
  <c r="C11" i="47"/>
  <c r="D11" i="47"/>
  <c r="E11" i="47"/>
  <c r="F11" i="47"/>
  <c r="G11" i="47"/>
  <c r="H11" i="47"/>
  <c r="I11" i="47"/>
  <c r="J11" i="47"/>
  <c r="K11" i="47"/>
  <c r="L11" i="47"/>
  <c r="M11" i="47"/>
  <c r="A12" i="47"/>
  <c r="B12" i="47"/>
  <c r="C12" i="47"/>
  <c r="D12" i="47"/>
  <c r="E12" i="47"/>
  <c r="F12" i="47"/>
  <c r="G12" i="47"/>
  <c r="H12" i="47"/>
  <c r="I12" i="47"/>
  <c r="J12" i="47"/>
  <c r="K12" i="47"/>
  <c r="L12" i="47"/>
  <c r="M12" i="47"/>
  <c r="A13" i="47"/>
  <c r="B13" i="47"/>
  <c r="C13" i="47"/>
  <c r="D13" i="47"/>
  <c r="E13" i="47"/>
  <c r="F13" i="47"/>
  <c r="G13" i="47"/>
  <c r="H13" i="47"/>
  <c r="I13" i="47"/>
  <c r="J13" i="47"/>
  <c r="K13" i="47"/>
  <c r="L13" i="47"/>
  <c r="M13" i="47"/>
  <c r="A14" i="47"/>
  <c r="B14" i="47"/>
  <c r="C14" i="47"/>
  <c r="D14" i="47"/>
  <c r="E14" i="47"/>
  <c r="F14" i="47"/>
  <c r="G14" i="47"/>
  <c r="H14" i="47"/>
  <c r="I14" i="47"/>
  <c r="J14" i="47"/>
  <c r="K14" i="47"/>
  <c r="L14" i="47"/>
  <c r="M14" i="47"/>
  <c r="A15" i="47"/>
  <c r="B15" i="47"/>
  <c r="C15" i="47"/>
  <c r="D15" i="47"/>
  <c r="E15" i="47"/>
  <c r="F15" i="47"/>
  <c r="G15" i="47"/>
  <c r="H15" i="47"/>
  <c r="I15" i="47"/>
  <c r="J15" i="47"/>
  <c r="K15" i="47"/>
  <c r="L15" i="47"/>
  <c r="M15" i="47"/>
  <c r="A16" i="47"/>
  <c r="B16" i="47"/>
  <c r="C16" i="47"/>
  <c r="D16" i="47"/>
  <c r="E16" i="47"/>
  <c r="F16" i="47"/>
  <c r="G16" i="47"/>
  <c r="H16" i="47"/>
  <c r="I16" i="47"/>
  <c r="J16" i="47"/>
  <c r="K16" i="47"/>
  <c r="L16" i="47"/>
  <c r="M16" i="47"/>
  <c r="A17" i="47"/>
  <c r="B17" i="47"/>
  <c r="C17" i="47"/>
  <c r="D17" i="47"/>
  <c r="E17" i="47"/>
  <c r="F17" i="47"/>
  <c r="G17" i="47"/>
  <c r="H17" i="47"/>
  <c r="I17" i="47"/>
  <c r="J17" i="47"/>
  <c r="K17" i="47"/>
  <c r="L17" i="47"/>
  <c r="M17" i="47"/>
  <c r="A18" i="47"/>
  <c r="B18" i="47"/>
  <c r="C18" i="47"/>
  <c r="D18" i="47"/>
  <c r="E18" i="47"/>
  <c r="F18" i="47"/>
  <c r="G18" i="47"/>
  <c r="H18" i="47"/>
  <c r="I18" i="47"/>
  <c r="J18" i="47"/>
  <c r="K18" i="47"/>
  <c r="L18" i="47"/>
  <c r="M18" i="47"/>
  <c r="A19" i="47"/>
  <c r="B19" i="47"/>
  <c r="C19" i="47"/>
  <c r="D19" i="47"/>
  <c r="E19" i="47"/>
  <c r="F19" i="47"/>
  <c r="G19" i="47"/>
  <c r="H19" i="47"/>
  <c r="I19" i="47"/>
  <c r="J19" i="47"/>
  <c r="K19" i="47"/>
  <c r="L19" i="47"/>
  <c r="M19" i="47"/>
  <c r="A20" i="47"/>
  <c r="B20" i="47"/>
  <c r="C20" i="47"/>
  <c r="D20" i="47"/>
  <c r="E20" i="47"/>
  <c r="F20" i="47"/>
  <c r="G20" i="47"/>
  <c r="H20" i="47"/>
  <c r="I20" i="47"/>
  <c r="J20" i="47"/>
  <c r="K20" i="47"/>
  <c r="L20" i="47"/>
  <c r="M20" i="47"/>
  <c r="A21" i="47"/>
  <c r="B21" i="47"/>
  <c r="C21" i="47"/>
  <c r="D21" i="47"/>
  <c r="E21" i="47"/>
  <c r="F21" i="47"/>
  <c r="G21" i="47"/>
  <c r="H21" i="47"/>
  <c r="I21" i="47"/>
  <c r="J21" i="47"/>
  <c r="K21" i="47"/>
  <c r="L21" i="47"/>
  <c r="M21" i="47"/>
  <c r="A22" i="47"/>
  <c r="B22" i="47"/>
  <c r="C22" i="47"/>
  <c r="D22" i="47"/>
  <c r="E22" i="47"/>
  <c r="F22" i="47"/>
  <c r="G22" i="47"/>
  <c r="H22" i="47"/>
  <c r="I22" i="47"/>
  <c r="J22" i="47"/>
  <c r="K22" i="47"/>
  <c r="L22" i="47"/>
  <c r="M22" i="47"/>
  <c r="A23" i="47"/>
  <c r="B23" i="47"/>
  <c r="C23" i="47"/>
  <c r="D23" i="47"/>
  <c r="E23" i="47"/>
  <c r="F23" i="47"/>
  <c r="G23" i="47"/>
  <c r="H23" i="47"/>
  <c r="I23" i="47"/>
  <c r="J23" i="47"/>
  <c r="K23" i="47"/>
  <c r="L23" i="47"/>
  <c r="M23" i="47"/>
  <c r="A24" i="47"/>
  <c r="B24" i="47"/>
  <c r="C24" i="47"/>
  <c r="D24" i="47"/>
  <c r="E24" i="47"/>
  <c r="F24" i="47"/>
  <c r="G24" i="47"/>
  <c r="H24" i="47"/>
  <c r="I24" i="47"/>
  <c r="J24" i="47"/>
  <c r="K24" i="47"/>
  <c r="L24" i="47"/>
  <c r="M24" i="47"/>
  <c r="A4" i="14"/>
  <c r="B4" i="14"/>
  <c r="C4" i="14"/>
  <c r="D4" i="14"/>
  <c r="E4" i="14"/>
  <c r="F4" i="14"/>
  <c r="G4" i="14"/>
  <c r="H4" i="14"/>
  <c r="I4" i="14"/>
  <c r="J4" i="14"/>
  <c r="K4" i="14"/>
  <c r="L4" i="14"/>
  <c r="M4" i="14"/>
  <c r="A5" i="14"/>
  <c r="B5" i="14"/>
  <c r="C5" i="14"/>
  <c r="D5" i="14"/>
  <c r="E5" i="14"/>
  <c r="F5" i="14"/>
  <c r="G5" i="14"/>
  <c r="H5" i="14"/>
  <c r="I5" i="14"/>
  <c r="J5" i="14"/>
  <c r="K5" i="14"/>
  <c r="L5" i="14"/>
  <c r="M5" i="14"/>
  <c r="A6" i="14"/>
  <c r="B6" i="14"/>
  <c r="C6" i="14"/>
  <c r="D6" i="14"/>
  <c r="E6" i="14"/>
  <c r="F6" i="14"/>
  <c r="G6" i="14"/>
  <c r="H6" i="14"/>
  <c r="I6" i="14"/>
  <c r="J6" i="14"/>
  <c r="K6" i="14"/>
  <c r="L6" i="14"/>
  <c r="M6" i="14"/>
  <c r="A7" i="14"/>
  <c r="B7" i="14"/>
  <c r="C7" i="14"/>
  <c r="D7" i="14"/>
  <c r="E7" i="14"/>
  <c r="F7" i="14"/>
  <c r="G7" i="14"/>
  <c r="H7" i="14"/>
  <c r="I7" i="14"/>
  <c r="J7" i="14"/>
  <c r="K7" i="14"/>
  <c r="L7" i="14"/>
  <c r="M7" i="14"/>
  <c r="A8" i="14"/>
  <c r="B8" i="14"/>
  <c r="C8" i="14"/>
  <c r="D8" i="14"/>
  <c r="E8" i="14"/>
  <c r="F8" i="14"/>
  <c r="G8" i="14"/>
  <c r="H8" i="14"/>
  <c r="I8" i="14"/>
  <c r="J8" i="14"/>
  <c r="K8" i="14"/>
  <c r="L8" i="14"/>
  <c r="M8" i="14"/>
  <c r="A9" i="14"/>
  <c r="B9" i="14"/>
  <c r="C9" i="14"/>
  <c r="D9" i="14"/>
  <c r="E9" i="14"/>
  <c r="F9" i="14"/>
  <c r="G9" i="14"/>
  <c r="H9" i="14"/>
  <c r="I9" i="14"/>
  <c r="J9" i="14"/>
  <c r="K9" i="14"/>
  <c r="L9" i="14"/>
  <c r="M9" i="14"/>
  <c r="A10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A11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A12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A13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A14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A15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A16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A17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A18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A19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A20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A21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A22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A23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A24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B4" i="41"/>
  <c r="C4" i="41"/>
  <c r="D4" i="41"/>
  <c r="E4" i="41"/>
  <c r="F4" i="41"/>
  <c r="G4" i="41"/>
  <c r="H4" i="41"/>
  <c r="I4" i="41"/>
  <c r="J4" i="41"/>
  <c r="K4" i="41"/>
  <c r="L4" i="41"/>
  <c r="M4" i="41"/>
  <c r="C4" i="2"/>
  <c r="D4" i="2"/>
  <c r="E4" i="2"/>
  <c r="F4" i="2"/>
  <c r="G4" i="2"/>
  <c r="H4" i="2"/>
  <c r="I4" i="2"/>
  <c r="J4" i="2"/>
  <c r="K4" i="2"/>
  <c r="L4" i="2"/>
  <c r="M4" i="2"/>
  <c r="B5" i="2"/>
  <c r="C5" i="2"/>
  <c r="D5" i="2"/>
  <c r="E5" i="2"/>
  <c r="F5" i="2"/>
  <c r="G5" i="2"/>
  <c r="H5" i="2"/>
  <c r="I5" i="2"/>
  <c r="J5" i="2"/>
  <c r="K5" i="2"/>
  <c r="L5" i="2"/>
  <c r="M5" i="2"/>
  <c r="B6" i="2"/>
  <c r="C6" i="2"/>
  <c r="D6" i="2"/>
  <c r="E6" i="2"/>
  <c r="F6" i="2"/>
  <c r="G6" i="2"/>
  <c r="H6" i="2"/>
  <c r="I6" i="2"/>
  <c r="J6" i="2"/>
  <c r="K6" i="2"/>
  <c r="L6" i="2"/>
  <c r="M6" i="2"/>
  <c r="C7" i="2"/>
  <c r="D7" i="2"/>
  <c r="E7" i="2"/>
  <c r="F7" i="2"/>
  <c r="G7" i="2"/>
  <c r="H7" i="2"/>
  <c r="I7" i="2"/>
  <c r="J7" i="2"/>
  <c r="K7" i="2"/>
  <c r="L7" i="2"/>
  <c r="M7" i="2"/>
  <c r="C8" i="2"/>
  <c r="D8" i="2"/>
  <c r="E8" i="2"/>
  <c r="F8" i="2"/>
  <c r="G8" i="2"/>
  <c r="H8" i="2"/>
  <c r="I8" i="2"/>
  <c r="J8" i="2"/>
  <c r="K8" i="2"/>
  <c r="L8" i="2"/>
  <c r="M8" i="2"/>
  <c r="C9" i="2"/>
  <c r="D9" i="2"/>
  <c r="E9" i="2"/>
  <c r="F9" i="2"/>
  <c r="G9" i="2"/>
  <c r="H9" i="2"/>
  <c r="I9" i="2"/>
  <c r="J9" i="2"/>
  <c r="K9" i="2"/>
  <c r="L9" i="2"/>
  <c r="M9" i="2"/>
  <c r="C12" i="2"/>
  <c r="D12" i="2"/>
  <c r="E12" i="2"/>
  <c r="F12" i="2"/>
  <c r="G12" i="2"/>
  <c r="H12" i="2"/>
  <c r="I12" i="2"/>
  <c r="J12" i="2"/>
  <c r="K12" i="2"/>
  <c r="L12" i="2"/>
  <c r="M12" i="2"/>
  <c r="C13" i="2"/>
  <c r="D13" i="2"/>
  <c r="E13" i="2"/>
  <c r="F13" i="2"/>
  <c r="G13" i="2"/>
  <c r="H13" i="2"/>
  <c r="I13" i="2"/>
  <c r="J13" i="2"/>
  <c r="K13" i="2"/>
  <c r="L13" i="2"/>
  <c r="M13" i="2"/>
  <c r="C15" i="2"/>
  <c r="D15" i="2"/>
  <c r="E15" i="2"/>
  <c r="F15" i="2"/>
  <c r="G15" i="2"/>
  <c r="H15" i="2"/>
  <c r="I15" i="2"/>
  <c r="J15" i="2"/>
  <c r="K15" i="2"/>
  <c r="L15" i="2"/>
  <c r="M15" i="2"/>
  <c r="AA4" i="51"/>
  <c r="AB4" i="51"/>
  <c r="AC4" i="51"/>
  <c r="AD4" i="51"/>
  <c r="AE4" i="51"/>
  <c r="AF4" i="51"/>
  <c r="AG4" i="51"/>
  <c r="AH4" i="51"/>
  <c r="AI4" i="51"/>
  <c r="AJ4" i="51"/>
  <c r="AK4" i="51"/>
  <c r="AX4" i="51"/>
  <c r="AY4" i="51"/>
  <c r="AZ4" i="51"/>
  <c r="BA4" i="51"/>
  <c r="BB4" i="51"/>
  <c r="BC4" i="51"/>
  <c r="BD4" i="51"/>
  <c r="Z5" i="51"/>
  <c r="AA5" i="51"/>
  <c r="AB5" i="51"/>
  <c r="AC5" i="51"/>
  <c r="AD5" i="51"/>
  <c r="AE5" i="51"/>
  <c r="AF5" i="51"/>
  <c r="AG5" i="51"/>
  <c r="AH5" i="51"/>
  <c r="AI5" i="51"/>
  <c r="AJ5" i="51"/>
  <c r="AK5" i="51"/>
  <c r="AX5" i="51"/>
  <c r="AY5" i="51"/>
  <c r="AZ5" i="51"/>
  <c r="BA5" i="51"/>
  <c r="BB5" i="51"/>
  <c r="BC5" i="51"/>
  <c r="BD5" i="51"/>
  <c r="Z6" i="51"/>
  <c r="AA6" i="51"/>
  <c r="AB6" i="51"/>
  <c r="AC6" i="51"/>
  <c r="AD6" i="51"/>
  <c r="AE6" i="51"/>
  <c r="AF6" i="51"/>
  <c r="AG6" i="51"/>
  <c r="AH6" i="51"/>
  <c r="AI6" i="51"/>
  <c r="AJ6" i="51"/>
  <c r="AK6" i="51"/>
  <c r="AX6" i="51"/>
  <c r="AY6" i="51"/>
  <c r="AZ6" i="51"/>
  <c r="BA6" i="51"/>
  <c r="BB6" i="51"/>
  <c r="BC6" i="51"/>
  <c r="BD6" i="51"/>
  <c r="AA7" i="51"/>
  <c r="AB7" i="51"/>
  <c r="AC7" i="51"/>
  <c r="AD7" i="51"/>
  <c r="AE7" i="51"/>
  <c r="AF7" i="51"/>
  <c r="AG7" i="51"/>
  <c r="AH7" i="51"/>
  <c r="AI7" i="51"/>
  <c r="AJ7" i="51"/>
  <c r="AK7" i="51"/>
  <c r="AX7" i="51"/>
  <c r="AY7" i="51"/>
  <c r="AZ7" i="51"/>
  <c r="BA7" i="51"/>
  <c r="BB7" i="51"/>
  <c r="BC7" i="51"/>
  <c r="BD7" i="51"/>
  <c r="AA8" i="51"/>
  <c r="AB8" i="51"/>
  <c r="AC8" i="51"/>
  <c r="AD8" i="51"/>
  <c r="AE8" i="51"/>
  <c r="AF8" i="51"/>
  <c r="AG8" i="51"/>
  <c r="AH8" i="51"/>
  <c r="AI8" i="51"/>
  <c r="AJ8" i="51"/>
  <c r="AK8" i="51"/>
  <c r="AX8" i="51"/>
  <c r="AY8" i="51"/>
  <c r="AZ8" i="51"/>
  <c r="BA8" i="51"/>
  <c r="BB8" i="51"/>
  <c r="BC8" i="51"/>
  <c r="BD8" i="51"/>
  <c r="AA9" i="51"/>
  <c r="AB9" i="51"/>
  <c r="AC9" i="51"/>
  <c r="AD9" i="51"/>
  <c r="AE9" i="51"/>
  <c r="AF9" i="51"/>
  <c r="AG9" i="51"/>
  <c r="AH9" i="51"/>
  <c r="AI9" i="51"/>
  <c r="AJ9" i="51"/>
  <c r="AK9" i="51"/>
  <c r="AX9" i="51"/>
  <c r="AY9" i="51"/>
  <c r="AZ9" i="51"/>
  <c r="BA9" i="51"/>
  <c r="BB9" i="51"/>
  <c r="BC9" i="51"/>
  <c r="BD9" i="51"/>
  <c r="AX10" i="51"/>
  <c r="AY10" i="51"/>
  <c r="AZ10" i="51"/>
  <c r="BA10" i="51"/>
  <c r="BB10" i="51"/>
  <c r="BC10" i="51"/>
  <c r="BD10" i="51"/>
  <c r="AX11" i="51"/>
  <c r="AY11" i="51"/>
  <c r="AZ11" i="51"/>
  <c r="BA11" i="51"/>
  <c r="BB11" i="51"/>
  <c r="BC11" i="51"/>
  <c r="BD11" i="51"/>
  <c r="AX12" i="51"/>
  <c r="AY12" i="51"/>
  <c r="AZ12" i="51"/>
  <c r="BA12" i="51"/>
  <c r="BB12" i="51"/>
  <c r="BC12" i="51"/>
  <c r="BD12" i="51"/>
  <c r="AX13" i="51"/>
  <c r="AY13" i="51"/>
  <c r="AZ13" i="51"/>
  <c r="BA13" i="51"/>
  <c r="BB13" i="51"/>
  <c r="BC13" i="51"/>
  <c r="BD13" i="51"/>
  <c r="AX14" i="51"/>
  <c r="AY14" i="51"/>
  <c r="AZ14" i="51"/>
  <c r="BA14" i="51"/>
  <c r="BB14" i="51"/>
  <c r="BC14" i="51"/>
  <c r="BD14" i="51"/>
  <c r="AA15" i="51"/>
  <c r="AB15" i="51"/>
  <c r="AC15" i="51"/>
  <c r="AD15" i="51"/>
  <c r="AE15" i="51"/>
  <c r="AF15" i="51"/>
  <c r="AG15" i="51"/>
  <c r="AH15" i="51"/>
  <c r="AI15" i="51"/>
  <c r="AJ15" i="51"/>
  <c r="AK15" i="51"/>
  <c r="AX19" i="51"/>
  <c r="AY19" i="51"/>
  <c r="AZ19" i="51"/>
  <c r="BA19" i="51"/>
  <c r="BB19" i="51"/>
  <c r="BC19" i="51"/>
  <c r="BD19" i="51"/>
  <c r="AX20" i="51"/>
  <c r="AY20" i="51"/>
  <c r="AZ20" i="51"/>
  <c r="BA20" i="51"/>
  <c r="BB20" i="51"/>
  <c r="BC20" i="51"/>
  <c r="BD20" i="51"/>
  <c r="AA21" i="51"/>
  <c r="AB21" i="51"/>
  <c r="AC21" i="51"/>
  <c r="AD21" i="51"/>
  <c r="AE21" i="51"/>
  <c r="AF21" i="51"/>
  <c r="AG21" i="51"/>
  <c r="AH21" i="51"/>
  <c r="AI21" i="51"/>
  <c r="AJ21" i="51"/>
  <c r="AK21" i="51"/>
  <c r="AX21" i="51"/>
  <c r="AY21" i="51"/>
  <c r="AZ21" i="51"/>
  <c r="BA21" i="51"/>
  <c r="BB21" i="51"/>
  <c r="BC21" i="51"/>
  <c r="BD21" i="51"/>
  <c r="Z22" i="51"/>
  <c r="AA22" i="51"/>
  <c r="AB22" i="51"/>
  <c r="AC22" i="51"/>
  <c r="AD22" i="51"/>
  <c r="AE22" i="51"/>
  <c r="AF22" i="51"/>
  <c r="AG22" i="51"/>
  <c r="AH22" i="51"/>
  <c r="AI22" i="51"/>
  <c r="AJ22" i="51"/>
  <c r="AK22" i="51"/>
  <c r="AX22" i="51"/>
  <c r="AY22" i="51"/>
  <c r="AZ22" i="51"/>
  <c r="BA22" i="51"/>
  <c r="BB22" i="51"/>
  <c r="BC22" i="51"/>
  <c r="BD22" i="51"/>
  <c r="Z23" i="51"/>
  <c r="AA23" i="51"/>
  <c r="AB23" i="51"/>
  <c r="AC23" i="51"/>
  <c r="AD23" i="51"/>
  <c r="AE23" i="51"/>
  <c r="AF23" i="51"/>
  <c r="AG23" i="51"/>
  <c r="AH23" i="51"/>
  <c r="AI23" i="51"/>
  <c r="AJ23" i="51"/>
  <c r="AK23" i="51"/>
  <c r="AX23" i="51"/>
  <c r="AY23" i="51"/>
  <c r="AZ23" i="51"/>
  <c r="BA23" i="51"/>
  <c r="BB23" i="51"/>
  <c r="BC23" i="51"/>
  <c r="BD23" i="51"/>
  <c r="AA24" i="51"/>
  <c r="AB24" i="51"/>
  <c r="AC24" i="51"/>
  <c r="AD24" i="51"/>
  <c r="AE24" i="51"/>
  <c r="AF24" i="51"/>
  <c r="AG24" i="51"/>
  <c r="AH24" i="51"/>
  <c r="AI24" i="51"/>
  <c r="AJ24" i="51"/>
  <c r="AK24" i="51"/>
  <c r="AX24" i="51"/>
  <c r="AY24" i="51"/>
  <c r="AZ24" i="51"/>
  <c r="BA24" i="51"/>
  <c r="BB24" i="51"/>
  <c r="BC24" i="51"/>
  <c r="BD24" i="51"/>
  <c r="AA25" i="51"/>
  <c r="AB25" i="51"/>
  <c r="AC25" i="51"/>
  <c r="AD25" i="51"/>
  <c r="AE25" i="51"/>
  <c r="AF25" i="51"/>
  <c r="AG25" i="51"/>
  <c r="AH25" i="51"/>
  <c r="AI25" i="51"/>
  <c r="AJ25" i="51"/>
  <c r="AK25" i="51"/>
  <c r="AX25" i="51"/>
  <c r="AY25" i="51"/>
  <c r="AZ25" i="51"/>
  <c r="BA25" i="51"/>
  <c r="BB25" i="51"/>
  <c r="BC25" i="51"/>
  <c r="BD25" i="51"/>
  <c r="AA26" i="51"/>
  <c r="AB26" i="51"/>
  <c r="AC26" i="51"/>
  <c r="AD26" i="51"/>
  <c r="AE26" i="51"/>
  <c r="AF26" i="51"/>
  <c r="AG26" i="51"/>
  <c r="AH26" i="51"/>
  <c r="AI26" i="51"/>
  <c r="AJ26" i="51"/>
  <c r="AK26" i="51"/>
  <c r="AX26" i="51"/>
  <c r="AY26" i="51"/>
  <c r="AZ26" i="51"/>
  <c r="BA26" i="51"/>
  <c r="BB26" i="51"/>
  <c r="BC26" i="51"/>
  <c r="BD26" i="51"/>
  <c r="AX27" i="51"/>
  <c r="AY27" i="51"/>
  <c r="AZ27" i="51"/>
  <c r="BA27" i="51"/>
  <c r="BB27" i="51"/>
  <c r="BC27" i="51"/>
  <c r="BD27" i="51"/>
  <c r="AX28" i="51"/>
  <c r="AY28" i="51"/>
  <c r="AZ28" i="51"/>
  <c r="BA28" i="51"/>
  <c r="BB28" i="51"/>
  <c r="BC28" i="51"/>
  <c r="BD28" i="51"/>
  <c r="AX29" i="51"/>
  <c r="AY29" i="51"/>
  <c r="AZ29" i="51"/>
  <c r="BA29" i="51"/>
  <c r="BB29" i="51"/>
  <c r="BC29" i="51"/>
  <c r="BD29" i="51"/>
  <c r="AA32" i="51"/>
  <c r="AB32" i="51"/>
  <c r="AC32" i="51"/>
  <c r="AD32" i="51"/>
  <c r="AE32" i="51"/>
  <c r="AF32" i="51"/>
  <c r="AG32" i="51"/>
  <c r="AH32" i="51"/>
  <c r="AI32" i="51"/>
  <c r="AJ32" i="51"/>
  <c r="AK32" i="51"/>
  <c r="AX34" i="51"/>
  <c r="AY34" i="51"/>
  <c r="AZ34" i="51"/>
  <c r="BA34" i="51"/>
  <c r="AX35" i="51"/>
  <c r="AY35" i="51"/>
  <c r="AZ35" i="51"/>
  <c r="BA35" i="51"/>
  <c r="AX36" i="51"/>
  <c r="AY36" i="51"/>
  <c r="AZ36" i="51"/>
  <c r="BA36" i="51"/>
  <c r="AA37" i="51"/>
  <c r="AB37" i="51"/>
  <c r="AC37" i="51"/>
  <c r="AD37" i="51"/>
  <c r="AE37" i="51"/>
  <c r="AF37" i="51"/>
  <c r="AG37" i="51"/>
  <c r="AH37" i="51"/>
  <c r="AI37" i="51"/>
  <c r="AJ37" i="51"/>
  <c r="AK37" i="51"/>
  <c r="AX37" i="51"/>
  <c r="AY37" i="51"/>
  <c r="AZ37" i="51"/>
  <c r="BA37" i="51"/>
  <c r="Z38" i="51"/>
  <c r="AA38" i="51"/>
  <c r="AB38" i="51"/>
  <c r="AC38" i="51"/>
  <c r="AD38" i="51"/>
  <c r="AE38" i="51"/>
  <c r="AF38" i="51"/>
  <c r="AG38" i="51"/>
  <c r="AH38" i="51"/>
  <c r="AI38" i="51"/>
  <c r="AJ38" i="51"/>
  <c r="AK38" i="51"/>
  <c r="AX38" i="51"/>
  <c r="AY38" i="51"/>
  <c r="AZ38" i="51"/>
  <c r="BA38" i="51"/>
  <c r="Z39" i="51"/>
  <c r="AA39" i="51"/>
  <c r="AB39" i="51"/>
  <c r="AC39" i="51"/>
  <c r="AD39" i="51"/>
  <c r="AE39" i="51"/>
  <c r="AF39" i="51"/>
  <c r="AG39" i="51"/>
  <c r="AH39" i="51"/>
  <c r="AI39" i="51"/>
  <c r="AJ39" i="51"/>
  <c r="AK39" i="51"/>
  <c r="AX39" i="51"/>
  <c r="AY39" i="51"/>
  <c r="AZ39" i="51"/>
  <c r="BA39" i="51"/>
  <c r="AA40" i="51"/>
  <c r="AB40" i="51"/>
  <c r="AC40" i="51"/>
  <c r="AD40" i="51"/>
  <c r="AE40" i="51"/>
  <c r="AF40" i="51"/>
  <c r="AG40" i="51"/>
  <c r="AH40" i="51"/>
  <c r="AI40" i="51"/>
  <c r="AJ40" i="51"/>
  <c r="AK40" i="51"/>
  <c r="AX40" i="51"/>
  <c r="AY40" i="51"/>
  <c r="AZ40" i="51"/>
  <c r="BA40" i="51"/>
  <c r="AA41" i="51"/>
  <c r="AB41" i="51"/>
  <c r="AC41" i="51"/>
  <c r="AD41" i="51"/>
  <c r="AE41" i="51"/>
  <c r="AF41" i="51"/>
  <c r="AG41" i="51"/>
  <c r="AH41" i="51"/>
  <c r="AI41" i="51"/>
  <c r="AJ41" i="51"/>
  <c r="AK41" i="51"/>
  <c r="AX41" i="51"/>
  <c r="AY41" i="51"/>
  <c r="AZ41" i="51"/>
  <c r="BA41" i="51"/>
  <c r="AA42" i="51"/>
  <c r="AB42" i="51"/>
  <c r="AC42" i="51"/>
  <c r="AD42" i="51"/>
  <c r="AE42" i="51"/>
  <c r="AF42" i="51"/>
  <c r="AG42" i="51"/>
  <c r="AH42" i="51"/>
  <c r="AI42" i="51"/>
  <c r="AJ42" i="51"/>
  <c r="AK42" i="51"/>
  <c r="AX42" i="51"/>
  <c r="AY42" i="51"/>
  <c r="AZ42" i="51"/>
  <c r="BA42" i="51"/>
  <c r="AX43" i="51"/>
  <c r="AY43" i="51"/>
  <c r="AZ43" i="51"/>
  <c r="BA43" i="51"/>
  <c r="AX44" i="51"/>
  <c r="AY44" i="51"/>
  <c r="AZ44" i="51"/>
  <c r="BA44" i="51"/>
  <c r="AA48" i="51"/>
  <c r="AB48" i="51"/>
  <c r="AC48" i="51"/>
  <c r="AD48" i="51"/>
  <c r="AE48" i="51"/>
  <c r="AF48" i="51"/>
  <c r="AG48" i="51"/>
  <c r="AH48" i="51"/>
  <c r="AI48" i="51"/>
  <c r="AJ48" i="51"/>
  <c r="AK48" i="51"/>
  <c r="AA50" i="51"/>
  <c r="AB50" i="51"/>
  <c r="AC50" i="51"/>
  <c r="AD50" i="51"/>
  <c r="AE50" i="51"/>
  <c r="AF50" i="51"/>
  <c r="AG50" i="51"/>
  <c r="AH50" i="51"/>
  <c r="AI50" i="51"/>
  <c r="AJ50" i="51"/>
  <c r="AK50" i="51"/>
  <c r="AA51" i="51"/>
  <c r="AB51" i="51"/>
  <c r="AC51" i="51"/>
  <c r="AD51" i="51"/>
  <c r="AE51" i="51"/>
  <c r="AF51" i="51"/>
  <c r="AG51" i="51"/>
  <c r="AH51" i="51"/>
  <c r="AI51" i="51"/>
  <c r="AJ51" i="51"/>
  <c r="AK51" i="51"/>
  <c r="AA52" i="51"/>
  <c r="AB52" i="51"/>
  <c r="AC52" i="51"/>
  <c r="AD52" i="51"/>
  <c r="AE52" i="51"/>
  <c r="AF52" i="51"/>
  <c r="AG52" i="51"/>
  <c r="AH52" i="51"/>
  <c r="AI52" i="51"/>
  <c r="AJ52" i="51"/>
  <c r="AK52" i="51"/>
  <c r="AA53" i="51"/>
  <c r="AB53" i="51"/>
  <c r="AC53" i="51"/>
  <c r="AD53" i="51"/>
  <c r="AE53" i="51"/>
  <c r="AF53" i="51"/>
  <c r="AG53" i="51"/>
  <c r="AH53" i="51"/>
  <c r="AI53" i="51"/>
  <c r="AJ53" i="51"/>
  <c r="AK53" i="51"/>
  <c r="AA57" i="51"/>
  <c r="AB57" i="51"/>
  <c r="AC57" i="51"/>
  <c r="AD57" i="51"/>
  <c r="AE57" i="51"/>
  <c r="AF57" i="51"/>
  <c r="AG57" i="51"/>
  <c r="AH57" i="51"/>
  <c r="AI57" i="51"/>
  <c r="AJ57" i="51"/>
  <c r="AK57" i="51"/>
  <c r="AL57" i="51"/>
  <c r="AA58" i="51"/>
  <c r="AB58" i="51"/>
  <c r="AC58" i="51"/>
  <c r="AD58" i="51"/>
  <c r="AE58" i="51"/>
  <c r="AF58" i="51"/>
  <c r="AG58" i="51"/>
  <c r="AH58" i="51"/>
  <c r="AI58" i="51"/>
  <c r="AJ58" i="51"/>
  <c r="AK58" i="51"/>
  <c r="AL58" i="51"/>
  <c r="AA59" i="51"/>
  <c r="AB59" i="51"/>
  <c r="AC59" i="51"/>
  <c r="AD59" i="51"/>
  <c r="AE59" i="51"/>
  <c r="AF59" i="51"/>
  <c r="AG59" i="51"/>
  <c r="AH59" i="51"/>
  <c r="AI59" i="51"/>
  <c r="AJ59" i="51"/>
  <c r="AK59" i="51"/>
  <c r="AL59" i="51"/>
  <c r="AA60" i="51"/>
  <c r="AB60" i="51"/>
  <c r="AC60" i="51"/>
  <c r="AD60" i="51"/>
  <c r="AE60" i="51"/>
  <c r="AF60" i="51"/>
  <c r="AG60" i="51"/>
  <c r="AH60" i="51"/>
  <c r="AI60" i="51"/>
  <c r="AJ60" i="51"/>
  <c r="AK60" i="51"/>
  <c r="AL60" i="51"/>
  <c r="AA61" i="51"/>
  <c r="AB61" i="51"/>
  <c r="AC61" i="51"/>
  <c r="AD61" i="51"/>
  <c r="AE61" i="51"/>
  <c r="AF61" i="51"/>
  <c r="AG61" i="51"/>
  <c r="AH61" i="51"/>
  <c r="AI61" i="51"/>
  <c r="AJ61" i="51"/>
  <c r="AK61" i="51"/>
  <c r="AA65" i="51"/>
  <c r="AB65" i="51"/>
  <c r="AC65" i="51"/>
  <c r="AD65" i="51"/>
  <c r="AE65" i="51"/>
  <c r="AF65" i="51"/>
  <c r="AG65" i="51"/>
  <c r="AH65" i="51"/>
  <c r="AI65" i="51"/>
  <c r="AJ65" i="51"/>
  <c r="AK65" i="51"/>
  <c r="AA66" i="51"/>
  <c r="AB66" i="51"/>
  <c r="AC66" i="51"/>
  <c r="AD66" i="51"/>
  <c r="AE66" i="51"/>
  <c r="AF66" i="51"/>
  <c r="AG66" i="51"/>
  <c r="AH66" i="51"/>
  <c r="AI66" i="51"/>
  <c r="AJ66" i="51"/>
  <c r="AK66" i="51"/>
  <c r="AA67" i="51"/>
  <c r="AB67" i="51"/>
  <c r="AC67" i="51"/>
  <c r="AD67" i="51"/>
  <c r="AE67" i="51"/>
  <c r="AF67" i="51"/>
  <c r="AG67" i="51"/>
  <c r="AH67" i="51"/>
  <c r="AI67" i="51"/>
  <c r="AJ67" i="51"/>
  <c r="AK67" i="51"/>
  <c r="AB68" i="51"/>
  <c r="AC68" i="51"/>
  <c r="AD68" i="51"/>
  <c r="AE68" i="51"/>
  <c r="AF68" i="51"/>
  <c r="AG68" i="51"/>
  <c r="AH68" i="51"/>
  <c r="AI68" i="51"/>
  <c r="AJ68" i="51"/>
  <c r="AK68" i="51"/>
  <c r="A4" i="27"/>
  <c r="B4" i="27"/>
  <c r="C4" i="27"/>
  <c r="D4" i="27"/>
  <c r="E4" i="27"/>
  <c r="F4" i="27"/>
  <c r="G4" i="27"/>
  <c r="H4" i="27"/>
  <c r="I4" i="27"/>
  <c r="J4" i="27"/>
  <c r="K4" i="27"/>
  <c r="L4" i="27"/>
  <c r="M4" i="27"/>
  <c r="A5" i="27"/>
  <c r="B5" i="27"/>
  <c r="C5" i="27"/>
  <c r="D5" i="27"/>
  <c r="E5" i="27"/>
  <c r="F5" i="27"/>
  <c r="G5" i="27"/>
  <c r="H5" i="27"/>
  <c r="I5" i="27"/>
  <c r="J5" i="27"/>
  <c r="K5" i="27"/>
  <c r="L5" i="27"/>
  <c r="M5" i="27"/>
  <c r="A6" i="27"/>
  <c r="B6" i="27"/>
  <c r="C6" i="27"/>
  <c r="D6" i="27"/>
  <c r="E6" i="27"/>
  <c r="F6" i="27"/>
  <c r="G6" i="27"/>
  <c r="H6" i="27"/>
  <c r="I6" i="27"/>
  <c r="J6" i="27"/>
  <c r="K6" i="27"/>
  <c r="L6" i="27"/>
  <c r="M6" i="27"/>
  <c r="A7" i="27"/>
  <c r="B7" i="27"/>
  <c r="C7" i="27"/>
  <c r="D7" i="27"/>
  <c r="E7" i="27"/>
  <c r="F7" i="27"/>
  <c r="G7" i="27"/>
  <c r="H7" i="27"/>
  <c r="I7" i="27"/>
  <c r="J7" i="27"/>
  <c r="K7" i="27"/>
  <c r="L7" i="27"/>
  <c r="M7" i="27"/>
  <c r="A8" i="27"/>
  <c r="B8" i="27"/>
  <c r="C8" i="27"/>
  <c r="D8" i="27"/>
  <c r="E8" i="27"/>
  <c r="F8" i="27"/>
  <c r="G8" i="27"/>
  <c r="H8" i="27"/>
  <c r="I8" i="27"/>
  <c r="J8" i="27"/>
  <c r="K8" i="27"/>
  <c r="L8" i="27"/>
  <c r="M8" i="27"/>
  <c r="A9" i="27"/>
  <c r="B9" i="27"/>
  <c r="C9" i="27"/>
  <c r="D9" i="27"/>
  <c r="E9" i="27"/>
  <c r="F9" i="27"/>
  <c r="G9" i="27"/>
  <c r="H9" i="27"/>
  <c r="I9" i="27"/>
  <c r="J9" i="27"/>
  <c r="K9" i="27"/>
  <c r="L9" i="27"/>
  <c r="M9" i="27"/>
  <c r="A10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A11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A12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A13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A14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A15" i="27"/>
  <c r="B15" i="27"/>
  <c r="C15" i="27"/>
  <c r="D15" i="27"/>
  <c r="E15" i="27"/>
  <c r="F15" i="27"/>
  <c r="G15" i="27"/>
  <c r="H15" i="27"/>
  <c r="I15" i="27"/>
  <c r="J15" i="27"/>
  <c r="K15" i="27"/>
  <c r="L15" i="27"/>
  <c r="M15" i="27"/>
  <c r="A16" i="27"/>
  <c r="B16" i="27"/>
  <c r="C16" i="27"/>
  <c r="D16" i="27"/>
  <c r="E16" i="27"/>
  <c r="F16" i="27"/>
  <c r="G16" i="27"/>
  <c r="H16" i="27"/>
  <c r="I16" i="27"/>
  <c r="J16" i="27"/>
  <c r="K16" i="27"/>
  <c r="L16" i="27"/>
  <c r="M16" i="27"/>
  <c r="A17" i="27"/>
  <c r="B17" i="27"/>
  <c r="C17" i="27"/>
  <c r="D17" i="27"/>
  <c r="E17" i="27"/>
  <c r="F17" i="27"/>
  <c r="G17" i="27"/>
  <c r="H17" i="27"/>
  <c r="I17" i="27"/>
  <c r="J17" i="27"/>
  <c r="K17" i="27"/>
  <c r="L17" i="27"/>
  <c r="M17" i="27"/>
  <c r="A18" i="27"/>
  <c r="B18" i="27"/>
  <c r="C18" i="27"/>
  <c r="D18" i="27"/>
  <c r="E18" i="27"/>
  <c r="F18" i="27"/>
  <c r="G18" i="27"/>
  <c r="H18" i="27"/>
  <c r="I18" i="27"/>
  <c r="J18" i="27"/>
  <c r="K18" i="27"/>
  <c r="L18" i="27"/>
  <c r="M18" i="27"/>
  <c r="A19" i="27"/>
  <c r="B19" i="27"/>
  <c r="C19" i="27"/>
  <c r="D19" i="27"/>
  <c r="E19" i="27"/>
  <c r="F19" i="27"/>
  <c r="G19" i="27"/>
  <c r="H19" i="27"/>
  <c r="I19" i="27"/>
  <c r="J19" i="27"/>
  <c r="K19" i="27"/>
  <c r="L19" i="27"/>
  <c r="M19" i="27"/>
  <c r="A20" i="27"/>
  <c r="B20" i="27"/>
  <c r="C20" i="27"/>
  <c r="D20" i="27"/>
  <c r="E20" i="27"/>
  <c r="F20" i="27"/>
  <c r="G20" i="27"/>
  <c r="H20" i="27"/>
  <c r="I20" i="27"/>
  <c r="J20" i="27"/>
  <c r="K20" i="27"/>
  <c r="L20" i="27"/>
  <c r="M20" i="27"/>
  <c r="A21" i="27"/>
  <c r="B21" i="27"/>
  <c r="C21" i="27"/>
  <c r="D21" i="27"/>
  <c r="E21" i="27"/>
  <c r="F21" i="27"/>
  <c r="G21" i="27"/>
  <c r="H21" i="27"/>
  <c r="I21" i="27"/>
  <c r="J21" i="27"/>
  <c r="K21" i="27"/>
  <c r="L21" i="27"/>
  <c r="M21" i="27"/>
  <c r="A22" i="27"/>
  <c r="B22" i="27"/>
  <c r="C22" i="27"/>
  <c r="D22" i="27"/>
  <c r="E22" i="27"/>
  <c r="F22" i="27"/>
  <c r="G22" i="27"/>
  <c r="H22" i="27"/>
  <c r="I22" i="27"/>
  <c r="J22" i="27"/>
  <c r="K22" i="27"/>
  <c r="L22" i="27"/>
  <c r="M22" i="27"/>
  <c r="A23" i="27"/>
  <c r="B23" i="27"/>
  <c r="C23" i="27"/>
  <c r="D23" i="27"/>
  <c r="E23" i="27"/>
  <c r="F23" i="27"/>
  <c r="G23" i="27"/>
  <c r="H23" i="27"/>
  <c r="I23" i="27"/>
  <c r="J23" i="27"/>
  <c r="K23" i="27"/>
  <c r="L23" i="27"/>
  <c r="M23" i="27"/>
  <c r="A24" i="27"/>
  <c r="B24" i="27"/>
  <c r="C24" i="27"/>
  <c r="D24" i="27"/>
  <c r="E24" i="27"/>
  <c r="F24" i="27"/>
  <c r="G24" i="27"/>
  <c r="H24" i="27"/>
  <c r="I24" i="27"/>
  <c r="J24" i="27"/>
  <c r="K24" i="27"/>
  <c r="L24" i="27"/>
  <c r="M24" i="27"/>
  <c r="A4" i="42"/>
  <c r="B4" i="42"/>
  <c r="C4" i="42"/>
  <c r="D4" i="42"/>
  <c r="E4" i="42"/>
  <c r="F4" i="42"/>
  <c r="G4" i="42"/>
  <c r="H4" i="42"/>
  <c r="I4" i="42"/>
  <c r="J4" i="42"/>
  <c r="K4" i="42"/>
  <c r="L4" i="42"/>
  <c r="M4" i="42"/>
  <c r="A5" i="42"/>
  <c r="B5" i="42"/>
  <c r="C5" i="42"/>
  <c r="D5" i="42"/>
  <c r="E5" i="42"/>
  <c r="F5" i="42"/>
  <c r="G5" i="42"/>
  <c r="H5" i="42"/>
  <c r="I5" i="42"/>
  <c r="J5" i="42"/>
  <c r="K5" i="42"/>
  <c r="L5" i="42"/>
  <c r="M5" i="42"/>
  <c r="A6" i="42"/>
  <c r="B6" i="42"/>
  <c r="C6" i="42"/>
  <c r="D6" i="42"/>
  <c r="E6" i="42"/>
  <c r="F6" i="42"/>
  <c r="G6" i="42"/>
  <c r="H6" i="42"/>
  <c r="I6" i="42"/>
  <c r="J6" i="42"/>
  <c r="K6" i="42"/>
  <c r="L6" i="42"/>
  <c r="M6" i="42"/>
  <c r="A7" i="42"/>
  <c r="B7" i="42"/>
  <c r="C7" i="42"/>
  <c r="D7" i="42"/>
  <c r="E7" i="42"/>
  <c r="F7" i="42"/>
  <c r="G7" i="42"/>
  <c r="H7" i="42"/>
  <c r="I7" i="42"/>
  <c r="J7" i="42"/>
  <c r="K7" i="42"/>
  <c r="L7" i="42"/>
  <c r="M7" i="42"/>
  <c r="A8" i="42"/>
  <c r="B8" i="42"/>
  <c r="C8" i="42"/>
  <c r="D8" i="42"/>
  <c r="E8" i="42"/>
  <c r="F8" i="42"/>
  <c r="G8" i="42"/>
  <c r="H8" i="42"/>
  <c r="I8" i="42"/>
  <c r="J8" i="42"/>
  <c r="K8" i="42"/>
  <c r="L8" i="42"/>
  <c r="M8" i="42"/>
  <c r="A9" i="42"/>
  <c r="B9" i="42"/>
  <c r="C9" i="42"/>
  <c r="D9" i="42"/>
  <c r="E9" i="42"/>
  <c r="F9" i="42"/>
  <c r="G9" i="42"/>
  <c r="H9" i="42"/>
  <c r="I9" i="42"/>
  <c r="J9" i="42"/>
  <c r="K9" i="42"/>
  <c r="L9" i="42"/>
  <c r="M9" i="42"/>
  <c r="A10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A11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A12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A13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A14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A15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A16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A17" i="42"/>
  <c r="B17" i="42"/>
  <c r="C17" i="42"/>
  <c r="D17" i="42"/>
  <c r="E17" i="42"/>
  <c r="F17" i="42"/>
  <c r="G17" i="42"/>
  <c r="H17" i="42"/>
  <c r="I17" i="42"/>
  <c r="J17" i="42"/>
  <c r="K17" i="42"/>
  <c r="L17" i="42"/>
  <c r="M17" i="42"/>
  <c r="A18" i="42"/>
  <c r="B18" i="42"/>
  <c r="C18" i="42"/>
  <c r="D18" i="42"/>
  <c r="E18" i="42"/>
  <c r="F18" i="42"/>
  <c r="G18" i="42"/>
  <c r="H18" i="42"/>
  <c r="I18" i="42"/>
  <c r="J18" i="42"/>
  <c r="K18" i="42"/>
  <c r="L18" i="42"/>
  <c r="M18" i="42"/>
  <c r="A19" i="42"/>
  <c r="B19" i="42"/>
  <c r="C19" i="42"/>
  <c r="D19" i="42"/>
  <c r="E19" i="42"/>
  <c r="F19" i="42"/>
  <c r="G19" i="42"/>
  <c r="H19" i="42"/>
  <c r="I19" i="42"/>
  <c r="J19" i="42"/>
  <c r="K19" i="42"/>
  <c r="L19" i="42"/>
  <c r="M19" i="42"/>
  <c r="A20" i="42"/>
  <c r="B20" i="42"/>
  <c r="C20" i="42"/>
  <c r="D20" i="42"/>
  <c r="E20" i="42"/>
  <c r="F20" i="42"/>
  <c r="G20" i="42"/>
  <c r="H20" i="42"/>
  <c r="I20" i="42"/>
  <c r="J20" i="42"/>
  <c r="K20" i="42"/>
  <c r="L20" i="42"/>
  <c r="M20" i="42"/>
  <c r="A21" i="42"/>
  <c r="B21" i="42"/>
  <c r="C21" i="42"/>
  <c r="D21" i="42"/>
  <c r="E21" i="42"/>
  <c r="F21" i="42"/>
  <c r="G21" i="42"/>
  <c r="H21" i="42"/>
  <c r="I21" i="42"/>
  <c r="J21" i="42"/>
  <c r="K21" i="42"/>
  <c r="L21" i="42"/>
  <c r="M21" i="42"/>
  <c r="A22" i="42"/>
  <c r="B22" i="42"/>
  <c r="C22" i="42"/>
  <c r="D22" i="42"/>
  <c r="E22" i="42"/>
  <c r="F22" i="42"/>
  <c r="G22" i="42"/>
  <c r="H22" i="42"/>
  <c r="I22" i="42"/>
  <c r="J22" i="42"/>
  <c r="K22" i="42"/>
  <c r="L22" i="42"/>
  <c r="M22" i="42"/>
  <c r="A23" i="42"/>
  <c r="B23" i="42"/>
  <c r="C23" i="42"/>
  <c r="D23" i="42"/>
  <c r="E23" i="42"/>
  <c r="F23" i="42"/>
  <c r="G23" i="42"/>
  <c r="H23" i="42"/>
  <c r="I23" i="42"/>
  <c r="J23" i="42"/>
  <c r="K23" i="42"/>
  <c r="L23" i="42"/>
  <c r="M23" i="42"/>
  <c r="A24" i="42"/>
  <c r="B24" i="42"/>
  <c r="C24" i="42"/>
  <c r="D24" i="42"/>
  <c r="E24" i="42"/>
  <c r="F24" i="42"/>
  <c r="G24" i="42"/>
  <c r="H24" i="42"/>
  <c r="I24" i="42"/>
  <c r="J24" i="42"/>
  <c r="K24" i="42"/>
  <c r="L24" i="42"/>
  <c r="M24" i="42"/>
  <c r="A4" i="8"/>
  <c r="B4" i="8"/>
  <c r="C4" i="8"/>
  <c r="D4" i="8"/>
  <c r="E4" i="8"/>
  <c r="F4" i="8"/>
  <c r="G4" i="8"/>
  <c r="H4" i="8"/>
  <c r="I4" i="8"/>
  <c r="J4" i="8"/>
  <c r="K4" i="8"/>
  <c r="L4" i="8"/>
  <c r="M4" i="8"/>
  <c r="A5" i="8"/>
  <c r="B5" i="8"/>
  <c r="C5" i="8"/>
  <c r="D5" i="8"/>
  <c r="E5" i="8"/>
  <c r="F5" i="8"/>
  <c r="G5" i="8"/>
  <c r="H5" i="8"/>
  <c r="I5" i="8"/>
  <c r="J5" i="8"/>
  <c r="K5" i="8"/>
  <c r="L5" i="8"/>
  <c r="M5" i="8"/>
  <c r="A6" i="8"/>
  <c r="B6" i="8"/>
  <c r="C6" i="8"/>
  <c r="D6" i="8"/>
  <c r="E6" i="8"/>
  <c r="F6" i="8"/>
  <c r="G6" i="8"/>
  <c r="H6" i="8"/>
  <c r="I6" i="8"/>
  <c r="J6" i="8"/>
  <c r="K6" i="8"/>
  <c r="L6" i="8"/>
  <c r="M6" i="8"/>
  <c r="A7" i="8"/>
  <c r="B7" i="8"/>
  <c r="C7" i="8"/>
  <c r="D7" i="8"/>
  <c r="E7" i="8"/>
  <c r="F7" i="8"/>
  <c r="G7" i="8"/>
  <c r="H7" i="8"/>
  <c r="I7" i="8"/>
  <c r="J7" i="8"/>
  <c r="K7" i="8"/>
  <c r="L7" i="8"/>
  <c r="M7" i="8"/>
  <c r="A8" i="8"/>
  <c r="B8" i="8"/>
  <c r="C8" i="8"/>
  <c r="D8" i="8"/>
  <c r="E8" i="8"/>
  <c r="F8" i="8"/>
  <c r="G8" i="8"/>
  <c r="H8" i="8"/>
  <c r="I8" i="8"/>
  <c r="J8" i="8"/>
  <c r="K8" i="8"/>
  <c r="L8" i="8"/>
  <c r="M8" i="8"/>
  <c r="A9" i="8"/>
  <c r="B9" i="8"/>
  <c r="C9" i="8"/>
  <c r="D9" i="8"/>
  <c r="E9" i="8"/>
  <c r="F9" i="8"/>
  <c r="G9" i="8"/>
  <c r="H9" i="8"/>
  <c r="I9" i="8"/>
  <c r="J9" i="8"/>
  <c r="K9" i="8"/>
  <c r="L9" i="8"/>
  <c r="M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A15" i="8"/>
  <c r="B15" i="8"/>
  <c r="C15" i="8"/>
  <c r="D15" i="8"/>
  <c r="E15" i="8"/>
  <c r="F15" i="8"/>
  <c r="G15" i="8"/>
  <c r="H15" i="8"/>
  <c r="I15" i="8"/>
  <c r="J15" i="8"/>
  <c r="K15" i="8"/>
  <c r="L15" i="8"/>
  <c r="M15" i="8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A21" i="8"/>
  <c r="B21" i="8"/>
  <c r="C21" i="8"/>
  <c r="D21" i="8"/>
  <c r="E21" i="8"/>
  <c r="F21" i="8"/>
  <c r="G21" i="8"/>
  <c r="H21" i="8"/>
  <c r="I21" i="8"/>
  <c r="J21" i="8"/>
  <c r="K21" i="8"/>
  <c r="L21" i="8"/>
  <c r="M21" i="8"/>
  <c r="A22" i="8"/>
  <c r="B22" i="8"/>
  <c r="C22" i="8"/>
  <c r="D22" i="8"/>
  <c r="E22" i="8"/>
  <c r="F22" i="8"/>
  <c r="G22" i="8"/>
  <c r="H22" i="8"/>
  <c r="I22" i="8"/>
  <c r="J22" i="8"/>
  <c r="K22" i="8"/>
  <c r="L22" i="8"/>
  <c r="M22" i="8"/>
  <c r="A23" i="8"/>
  <c r="B23" i="8"/>
  <c r="C23" i="8"/>
  <c r="D23" i="8"/>
  <c r="E23" i="8"/>
  <c r="F23" i="8"/>
  <c r="G23" i="8"/>
  <c r="H23" i="8"/>
  <c r="I23" i="8"/>
  <c r="J23" i="8"/>
  <c r="K23" i="8"/>
  <c r="L23" i="8"/>
  <c r="M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A4" i="31"/>
  <c r="B4" i="31"/>
  <c r="C4" i="31"/>
  <c r="D4" i="31"/>
  <c r="E4" i="31"/>
  <c r="F4" i="31"/>
  <c r="G4" i="31"/>
  <c r="H4" i="31"/>
  <c r="I4" i="31"/>
  <c r="J4" i="31"/>
  <c r="K4" i="31"/>
  <c r="L4" i="31"/>
  <c r="M4" i="31"/>
  <c r="A5" i="31"/>
  <c r="B5" i="31"/>
  <c r="C5" i="31"/>
  <c r="D5" i="31"/>
  <c r="E5" i="31"/>
  <c r="F5" i="31"/>
  <c r="G5" i="31"/>
  <c r="H5" i="31"/>
  <c r="I5" i="31"/>
  <c r="J5" i="31"/>
  <c r="K5" i="31"/>
  <c r="L5" i="31"/>
  <c r="M5" i="31"/>
  <c r="A6" i="31"/>
  <c r="B6" i="31"/>
  <c r="C6" i="31"/>
  <c r="D6" i="31"/>
  <c r="E6" i="31"/>
  <c r="F6" i="31"/>
  <c r="G6" i="31"/>
  <c r="H6" i="31"/>
  <c r="I6" i="31"/>
  <c r="J6" i="31"/>
  <c r="K6" i="31"/>
  <c r="L6" i="31"/>
  <c r="M6" i="31"/>
  <c r="A7" i="31"/>
  <c r="B7" i="31"/>
  <c r="C7" i="31"/>
  <c r="D7" i="31"/>
  <c r="E7" i="31"/>
  <c r="F7" i="31"/>
  <c r="G7" i="31"/>
  <c r="H7" i="31"/>
  <c r="I7" i="31"/>
  <c r="J7" i="31"/>
  <c r="K7" i="31"/>
  <c r="L7" i="31"/>
  <c r="M7" i="31"/>
  <c r="A8" i="31"/>
  <c r="B8" i="31"/>
  <c r="C8" i="31"/>
  <c r="D8" i="31"/>
  <c r="E8" i="31"/>
  <c r="F8" i="31"/>
  <c r="G8" i="31"/>
  <c r="H8" i="31"/>
  <c r="I8" i="31"/>
  <c r="J8" i="31"/>
  <c r="K8" i="31"/>
  <c r="L8" i="31"/>
  <c r="M8" i="31"/>
  <c r="A9" i="31"/>
  <c r="B9" i="31"/>
  <c r="C9" i="31"/>
  <c r="D9" i="31"/>
  <c r="E9" i="31"/>
  <c r="F9" i="31"/>
  <c r="G9" i="31"/>
  <c r="H9" i="31"/>
  <c r="I9" i="31"/>
  <c r="J9" i="31"/>
  <c r="K9" i="31"/>
  <c r="L9" i="31"/>
  <c r="M9" i="31"/>
  <c r="A10" i="31"/>
  <c r="B10" i="31"/>
  <c r="C10" i="31"/>
  <c r="D10" i="31"/>
  <c r="E10" i="31"/>
  <c r="F10" i="31"/>
  <c r="G10" i="31"/>
  <c r="H10" i="31"/>
  <c r="I10" i="31"/>
  <c r="J10" i="31"/>
  <c r="K10" i="31"/>
  <c r="L10" i="31"/>
  <c r="M10" i="31"/>
  <c r="A11" i="31"/>
  <c r="B11" i="31"/>
  <c r="C11" i="31"/>
  <c r="D11" i="31"/>
  <c r="E11" i="31"/>
  <c r="F11" i="31"/>
  <c r="G11" i="31"/>
  <c r="H11" i="31"/>
  <c r="I11" i="31"/>
  <c r="J11" i="31"/>
  <c r="K11" i="31"/>
  <c r="L11" i="31"/>
  <c r="M11" i="31"/>
  <c r="A12" i="31"/>
  <c r="B12" i="31"/>
  <c r="C12" i="31"/>
  <c r="D12" i="31"/>
  <c r="E12" i="31"/>
  <c r="F12" i="31"/>
  <c r="G12" i="31"/>
  <c r="H12" i="31"/>
  <c r="I12" i="31"/>
  <c r="J12" i="31"/>
  <c r="K12" i="31"/>
  <c r="L12" i="31"/>
  <c r="M12" i="31"/>
  <c r="A13" i="31"/>
  <c r="B13" i="31"/>
  <c r="C13" i="31"/>
  <c r="D13" i="31"/>
  <c r="E13" i="31"/>
  <c r="F13" i="31"/>
  <c r="G13" i="31"/>
  <c r="H13" i="31"/>
  <c r="I13" i="31"/>
  <c r="J13" i="31"/>
  <c r="K13" i="31"/>
  <c r="L13" i="31"/>
  <c r="M13" i="31"/>
  <c r="A14" i="31"/>
  <c r="B14" i="31"/>
  <c r="C14" i="31"/>
  <c r="D14" i="31"/>
  <c r="E14" i="31"/>
  <c r="F14" i="31"/>
  <c r="G14" i="31"/>
  <c r="H14" i="31"/>
  <c r="I14" i="31"/>
  <c r="J14" i="31"/>
  <c r="K14" i="31"/>
  <c r="L14" i="31"/>
  <c r="M14" i="31"/>
  <c r="A15" i="31"/>
  <c r="B15" i="31"/>
  <c r="C15" i="31"/>
  <c r="D15" i="31"/>
  <c r="E15" i="31"/>
  <c r="F15" i="31"/>
  <c r="G15" i="31"/>
  <c r="H15" i="31"/>
  <c r="I15" i="31"/>
  <c r="J15" i="31"/>
  <c r="K15" i="31"/>
  <c r="L15" i="31"/>
  <c r="M15" i="31"/>
  <c r="A16" i="31"/>
  <c r="B16" i="31"/>
  <c r="C16" i="31"/>
  <c r="D16" i="31"/>
  <c r="E16" i="31"/>
  <c r="F16" i="31"/>
  <c r="G16" i="31"/>
  <c r="H16" i="31"/>
  <c r="I16" i="31"/>
  <c r="J16" i="31"/>
  <c r="K16" i="31"/>
  <c r="L16" i="31"/>
  <c r="M16" i="31"/>
  <c r="A17" i="31"/>
  <c r="B17" i="31"/>
  <c r="C17" i="31"/>
  <c r="D17" i="31"/>
  <c r="E17" i="31"/>
  <c r="F17" i="31"/>
  <c r="G17" i="31"/>
  <c r="H17" i="31"/>
  <c r="I17" i="31"/>
  <c r="J17" i="31"/>
  <c r="K17" i="31"/>
  <c r="L17" i="31"/>
  <c r="M17" i="31"/>
  <c r="A18" i="31"/>
  <c r="B18" i="31"/>
  <c r="C18" i="31"/>
  <c r="D18" i="31"/>
  <c r="E18" i="31"/>
  <c r="F18" i="31"/>
  <c r="G18" i="31"/>
  <c r="H18" i="31"/>
  <c r="I18" i="31"/>
  <c r="J18" i="31"/>
  <c r="K18" i="31"/>
  <c r="L18" i="31"/>
  <c r="M18" i="31"/>
  <c r="A19" i="31"/>
  <c r="B19" i="31"/>
  <c r="C19" i="31"/>
  <c r="D19" i="31"/>
  <c r="E19" i="31"/>
  <c r="F19" i="31"/>
  <c r="G19" i="31"/>
  <c r="H19" i="31"/>
  <c r="I19" i="31"/>
  <c r="J19" i="31"/>
  <c r="K19" i="31"/>
  <c r="L19" i="31"/>
  <c r="M19" i="31"/>
  <c r="A20" i="31"/>
  <c r="B20" i="31"/>
  <c r="C20" i="31"/>
  <c r="D20" i="31"/>
  <c r="E20" i="31"/>
  <c r="F20" i="31"/>
  <c r="G20" i="31"/>
  <c r="H20" i="31"/>
  <c r="I20" i="31"/>
  <c r="J20" i="31"/>
  <c r="K20" i="31"/>
  <c r="L20" i="31"/>
  <c r="M20" i="31"/>
  <c r="A21" i="31"/>
  <c r="B21" i="31"/>
  <c r="C21" i="31"/>
  <c r="D21" i="31"/>
  <c r="E21" i="31"/>
  <c r="F21" i="31"/>
  <c r="G21" i="31"/>
  <c r="H21" i="31"/>
  <c r="I21" i="31"/>
  <c r="J21" i="31"/>
  <c r="K21" i="31"/>
  <c r="L21" i="31"/>
  <c r="M21" i="31"/>
  <c r="A22" i="31"/>
  <c r="B22" i="31"/>
  <c r="C22" i="31"/>
  <c r="D22" i="31"/>
  <c r="E22" i="31"/>
  <c r="F22" i="31"/>
  <c r="G22" i="31"/>
  <c r="H22" i="31"/>
  <c r="I22" i="31"/>
  <c r="J22" i="31"/>
  <c r="K22" i="31"/>
  <c r="L22" i="31"/>
  <c r="M22" i="31"/>
  <c r="A23" i="31"/>
  <c r="B23" i="31"/>
  <c r="C23" i="31"/>
  <c r="D23" i="31"/>
  <c r="E23" i="31"/>
  <c r="F23" i="31"/>
  <c r="G23" i="31"/>
  <c r="H23" i="31"/>
  <c r="I23" i="31"/>
  <c r="J23" i="31"/>
  <c r="K23" i="31"/>
  <c r="L23" i="31"/>
  <c r="M23" i="31"/>
  <c r="A24" i="31"/>
  <c r="B24" i="31"/>
  <c r="C24" i="31"/>
  <c r="D24" i="31"/>
  <c r="E24" i="31"/>
  <c r="F24" i="31"/>
  <c r="G24" i="31"/>
  <c r="H24" i="31"/>
  <c r="I24" i="31"/>
  <c r="J24" i="31"/>
  <c r="K24" i="31"/>
  <c r="L24" i="31"/>
  <c r="M24" i="31"/>
  <c r="A4" i="17"/>
  <c r="B4" i="17"/>
  <c r="C4" i="17"/>
  <c r="D4" i="17"/>
  <c r="E4" i="17"/>
  <c r="F4" i="17"/>
  <c r="G4" i="17"/>
  <c r="H4" i="17"/>
  <c r="I4" i="17"/>
  <c r="J4" i="17"/>
  <c r="K4" i="17"/>
  <c r="L4" i="17"/>
  <c r="M4" i="17"/>
  <c r="A5" i="17"/>
  <c r="B5" i="17"/>
  <c r="C5" i="17"/>
  <c r="D5" i="17"/>
  <c r="E5" i="17"/>
  <c r="F5" i="17"/>
  <c r="G5" i="17"/>
  <c r="H5" i="17"/>
  <c r="I5" i="17"/>
  <c r="J5" i="17"/>
  <c r="K5" i="17"/>
  <c r="L5" i="17"/>
  <c r="M5" i="17"/>
  <c r="A6" i="17"/>
  <c r="B6" i="17"/>
  <c r="C6" i="17"/>
  <c r="D6" i="17"/>
  <c r="E6" i="17"/>
  <c r="F6" i="17"/>
  <c r="G6" i="17"/>
  <c r="H6" i="17"/>
  <c r="I6" i="17"/>
  <c r="J6" i="17"/>
  <c r="K6" i="17"/>
  <c r="L6" i="17"/>
  <c r="M6" i="17"/>
  <c r="A7" i="17"/>
  <c r="B7" i="17"/>
  <c r="C7" i="17"/>
  <c r="D7" i="17"/>
  <c r="E7" i="17"/>
  <c r="F7" i="17"/>
  <c r="G7" i="17"/>
  <c r="H7" i="17"/>
  <c r="I7" i="17"/>
  <c r="J7" i="17"/>
  <c r="K7" i="17"/>
  <c r="L7" i="17"/>
  <c r="M7" i="17"/>
  <c r="A8" i="17"/>
  <c r="B8" i="17"/>
  <c r="C8" i="17"/>
  <c r="D8" i="17"/>
  <c r="E8" i="17"/>
  <c r="F8" i="17"/>
  <c r="G8" i="17"/>
  <c r="H8" i="17"/>
  <c r="I8" i="17"/>
  <c r="J8" i="17"/>
  <c r="K8" i="17"/>
  <c r="L8" i="17"/>
  <c r="M8" i="17"/>
  <c r="A9" i="17"/>
  <c r="B9" i="17"/>
  <c r="C9" i="17"/>
  <c r="D9" i="17"/>
  <c r="E9" i="17"/>
  <c r="F9" i="17"/>
  <c r="G9" i="17"/>
  <c r="H9" i="17"/>
  <c r="I9" i="17"/>
  <c r="J9" i="17"/>
  <c r="K9" i="17"/>
  <c r="L9" i="17"/>
  <c r="M9" i="17"/>
  <c r="A10" i="17"/>
  <c r="B10" i="17"/>
  <c r="C10" i="17"/>
  <c r="D10" i="17"/>
  <c r="E10" i="17"/>
  <c r="F10" i="17"/>
  <c r="G10" i="17"/>
  <c r="H10" i="17"/>
  <c r="I10" i="17"/>
  <c r="J10" i="17"/>
  <c r="K10" i="17"/>
  <c r="L10" i="17"/>
  <c r="M10" i="17"/>
  <c r="A11" i="17"/>
  <c r="B11" i="17"/>
  <c r="C11" i="17"/>
  <c r="D11" i="17"/>
  <c r="E11" i="17"/>
  <c r="F11" i="17"/>
  <c r="G11" i="17"/>
  <c r="H11" i="17"/>
  <c r="I11" i="17"/>
  <c r="J11" i="17"/>
  <c r="K11" i="17"/>
  <c r="L11" i="17"/>
  <c r="M11" i="17"/>
  <c r="A12" i="17"/>
  <c r="B12" i="17"/>
  <c r="C12" i="17"/>
  <c r="D12" i="17"/>
  <c r="E12" i="17"/>
  <c r="F12" i="17"/>
  <c r="G12" i="17"/>
  <c r="H12" i="17"/>
  <c r="I12" i="17"/>
  <c r="J12" i="17"/>
  <c r="K12" i="17"/>
  <c r="L12" i="17"/>
  <c r="M12" i="17"/>
  <c r="A13" i="17"/>
  <c r="B13" i="17"/>
  <c r="C13" i="17"/>
  <c r="D13" i="17"/>
  <c r="E13" i="17"/>
  <c r="F13" i="17"/>
  <c r="G13" i="17"/>
  <c r="H13" i="17"/>
  <c r="I13" i="17"/>
  <c r="J13" i="17"/>
  <c r="K13" i="17"/>
  <c r="L13" i="17"/>
  <c r="M13" i="17"/>
  <c r="A14" i="17"/>
  <c r="B14" i="17"/>
  <c r="C14" i="17"/>
  <c r="D14" i="17"/>
  <c r="E14" i="17"/>
  <c r="F14" i="17"/>
  <c r="G14" i="17"/>
  <c r="H14" i="17"/>
  <c r="I14" i="17"/>
  <c r="J14" i="17"/>
  <c r="K14" i="17"/>
  <c r="L14" i="17"/>
  <c r="M14" i="17"/>
  <c r="A15" i="17"/>
  <c r="B15" i="17"/>
  <c r="C15" i="17"/>
  <c r="D15" i="17"/>
  <c r="E15" i="17"/>
  <c r="F15" i="17"/>
  <c r="G15" i="17"/>
  <c r="H15" i="17"/>
  <c r="I15" i="17"/>
  <c r="J15" i="17"/>
  <c r="K15" i="17"/>
  <c r="L15" i="17"/>
  <c r="M15" i="17"/>
  <c r="A16" i="17"/>
  <c r="B16" i="17"/>
  <c r="C16" i="17"/>
  <c r="D16" i="17"/>
  <c r="E16" i="17"/>
  <c r="F16" i="17"/>
  <c r="G16" i="17"/>
  <c r="H16" i="17"/>
  <c r="I16" i="17"/>
  <c r="J16" i="17"/>
  <c r="K16" i="17"/>
  <c r="L16" i="17"/>
  <c r="M16" i="17"/>
  <c r="A17" i="17"/>
  <c r="B17" i="17"/>
  <c r="C17" i="17"/>
  <c r="D17" i="17"/>
  <c r="E17" i="17"/>
  <c r="F17" i="17"/>
  <c r="G17" i="17"/>
  <c r="H17" i="17"/>
  <c r="I17" i="17"/>
  <c r="J17" i="17"/>
  <c r="K17" i="17"/>
  <c r="L17" i="17"/>
  <c r="M17" i="17"/>
  <c r="A18" i="17"/>
  <c r="B18" i="17"/>
  <c r="C18" i="17"/>
  <c r="D18" i="17"/>
  <c r="E18" i="17"/>
  <c r="F18" i="17"/>
  <c r="G18" i="17"/>
  <c r="H18" i="17"/>
  <c r="I18" i="17"/>
  <c r="J18" i="17"/>
  <c r="K18" i="17"/>
  <c r="L18" i="17"/>
  <c r="M18" i="17"/>
  <c r="A19" i="17"/>
  <c r="B19" i="17"/>
  <c r="C19" i="17"/>
  <c r="D19" i="17"/>
  <c r="E19" i="17"/>
  <c r="F19" i="17"/>
  <c r="G19" i="17"/>
  <c r="H19" i="17"/>
  <c r="I19" i="17"/>
  <c r="J19" i="17"/>
  <c r="K19" i="17"/>
  <c r="L19" i="17"/>
  <c r="M19" i="17"/>
  <c r="A20" i="17"/>
  <c r="B20" i="17"/>
  <c r="C20" i="17"/>
  <c r="D20" i="17"/>
  <c r="E20" i="17"/>
  <c r="F20" i="17"/>
  <c r="G20" i="17"/>
  <c r="H20" i="17"/>
  <c r="I20" i="17"/>
  <c r="J20" i="17"/>
  <c r="K20" i="17"/>
  <c r="L20" i="17"/>
  <c r="M20" i="17"/>
  <c r="A21" i="17"/>
  <c r="B21" i="17"/>
  <c r="C21" i="17"/>
  <c r="D21" i="17"/>
  <c r="E21" i="17"/>
  <c r="F21" i="17"/>
  <c r="G21" i="17"/>
  <c r="H21" i="17"/>
  <c r="I21" i="17"/>
  <c r="J21" i="17"/>
  <c r="K21" i="17"/>
  <c r="L21" i="17"/>
  <c r="M21" i="17"/>
  <c r="A22" i="17"/>
  <c r="B22" i="17"/>
  <c r="C22" i="17"/>
  <c r="D22" i="17"/>
  <c r="E22" i="17"/>
  <c r="F22" i="17"/>
  <c r="G22" i="17"/>
  <c r="H22" i="17"/>
  <c r="I22" i="17"/>
  <c r="J22" i="17"/>
  <c r="K22" i="17"/>
  <c r="L22" i="17"/>
  <c r="M22" i="17"/>
  <c r="A23" i="17"/>
  <c r="B23" i="17"/>
  <c r="C23" i="17"/>
  <c r="D23" i="17"/>
  <c r="E23" i="17"/>
  <c r="F23" i="17"/>
  <c r="G23" i="17"/>
  <c r="H23" i="17"/>
  <c r="I23" i="17"/>
  <c r="J23" i="17"/>
  <c r="K23" i="17"/>
  <c r="L23" i="17"/>
  <c r="M23" i="17"/>
  <c r="A24" i="17"/>
  <c r="B24" i="17"/>
  <c r="C24" i="17"/>
  <c r="D24" i="17"/>
  <c r="E24" i="17"/>
  <c r="F24" i="17"/>
  <c r="G24" i="17"/>
  <c r="H24" i="17"/>
  <c r="I24" i="17"/>
  <c r="J24" i="17"/>
  <c r="K24" i="17"/>
  <c r="L24" i="17"/>
  <c r="M24" i="17"/>
  <c r="E2" i="4"/>
  <c r="A3" i="4"/>
  <c r="E3" i="4"/>
  <c r="A4" i="4"/>
  <c r="E4" i="4"/>
  <c r="A5" i="4"/>
  <c r="E5" i="4"/>
  <c r="A6" i="4"/>
  <c r="E6" i="4"/>
  <c r="A7" i="4"/>
  <c r="E7" i="4"/>
  <c r="A8" i="4"/>
  <c r="E8" i="4"/>
  <c r="A9" i="4"/>
  <c r="E9" i="4"/>
  <c r="A10" i="4"/>
  <c r="E10" i="4"/>
  <c r="A11" i="4"/>
  <c r="E11" i="4"/>
  <c r="A12" i="4"/>
  <c r="E12" i="4"/>
  <c r="A13" i="4"/>
  <c r="E13" i="4"/>
  <c r="A14" i="4"/>
  <c r="E14" i="4"/>
  <c r="A15" i="4"/>
  <c r="E15" i="4"/>
  <c r="A16" i="4"/>
  <c r="E16" i="4"/>
  <c r="A17" i="4"/>
  <c r="E17" i="4"/>
  <c r="A18" i="4"/>
  <c r="E18" i="4"/>
  <c r="A19" i="4"/>
  <c r="E19" i="4"/>
  <c r="A20" i="4"/>
  <c r="E20" i="4"/>
  <c r="A21" i="4"/>
  <c r="E21" i="4"/>
  <c r="A22" i="4"/>
  <c r="E22" i="4"/>
  <c r="A23" i="4"/>
  <c r="E23" i="4"/>
  <c r="A24" i="4"/>
  <c r="E24" i="4"/>
  <c r="A25" i="4"/>
  <c r="E25" i="4"/>
  <c r="A26" i="4"/>
  <c r="E26" i="4"/>
  <c r="A27" i="4"/>
  <c r="E27" i="4"/>
  <c r="A28" i="4"/>
  <c r="E28" i="4"/>
  <c r="A29" i="4"/>
  <c r="E29" i="4"/>
  <c r="A30" i="4"/>
  <c r="E30" i="4"/>
  <c r="A31" i="4"/>
  <c r="E31" i="4"/>
  <c r="A32" i="4"/>
  <c r="E32" i="4"/>
  <c r="A33" i="4"/>
  <c r="E33" i="4"/>
  <c r="A34" i="4"/>
  <c r="E34" i="4"/>
  <c r="A35" i="4"/>
  <c r="E35" i="4"/>
  <c r="A36" i="4"/>
  <c r="E36" i="4"/>
  <c r="A37" i="4"/>
  <c r="E37" i="4"/>
  <c r="A38" i="4"/>
  <c r="E38" i="4"/>
  <c r="A39" i="4"/>
  <c r="E39" i="4"/>
  <c r="A40" i="4"/>
  <c r="E40" i="4"/>
  <c r="A41" i="4"/>
  <c r="E41" i="4"/>
  <c r="A42" i="4"/>
  <c r="E42" i="4"/>
  <c r="A43" i="4"/>
  <c r="E43" i="4"/>
  <c r="A44" i="4"/>
  <c r="E44" i="4"/>
  <c r="A45" i="4"/>
  <c r="E45" i="4"/>
  <c r="A46" i="4"/>
  <c r="E46" i="4"/>
  <c r="A47" i="4"/>
  <c r="E47" i="4"/>
  <c r="A48" i="4"/>
  <c r="E48" i="4"/>
  <c r="A49" i="4"/>
  <c r="E49" i="4"/>
  <c r="A50" i="4"/>
  <c r="E50" i="4"/>
  <c r="A51" i="4"/>
  <c r="E51" i="4"/>
  <c r="A52" i="4"/>
  <c r="E52" i="4"/>
  <c r="A53" i="4"/>
  <c r="E53" i="4"/>
  <c r="A54" i="4"/>
  <c r="E54" i="4"/>
  <c r="A55" i="4"/>
  <c r="E55" i="4"/>
  <c r="A56" i="4"/>
  <c r="E56" i="4"/>
  <c r="A57" i="4"/>
  <c r="E57" i="4"/>
  <c r="A58" i="4"/>
  <c r="E58" i="4"/>
  <c r="A59" i="4"/>
  <c r="E59" i="4"/>
  <c r="A60" i="4"/>
  <c r="E60" i="4"/>
  <c r="A61" i="4"/>
  <c r="E61" i="4"/>
  <c r="A62" i="4"/>
  <c r="E62" i="4"/>
  <c r="A63" i="4"/>
  <c r="E63" i="4"/>
  <c r="A64" i="4"/>
  <c r="E64" i="4"/>
  <c r="A65" i="4"/>
  <c r="E65" i="4"/>
  <c r="A66" i="4"/>
  <c r="E66" i="4"/>
  <c r="A67" i="4"/>
  <c r="E67" i="4"/>
  <c r="A68" i="4"/>
  <c r="E68" i="4"/>
  <c r="A69" i="4"/>
  <c r="E69" i="4"/>
  <c r="A70" i="4"/>
  <c r="E70" i="4"/>
  <c r="A71" i="4"/>
  <c r="E71" i="4"/>
  <c r="A72" i="4"/>
  <c r="E72" i="4"/>
  <c r="A73" i="4"/>
  <c r="E73" i="4"/>
  <c r="A74" i="4"/>
  <c r="E74" i="4"/>
  <c r="A75" i="4"/>
  <c r="E75" i="4"/>
  <c r="A76" i="4"/>
  <c r="E76" i="4"/>
  <c r="A77" i="4"/>
  <c r="E77" i="4"/>
  <c r="A78" i="4"/>
  <c r="E78" i="4"/>
  <c r="A79" i="4"/>
  <c r="E79" i="4"/>
  <c r="A80" i="4"/>
  <c r="E80" i="4"/>
  <c r="A81" i="4"/>
  <c r="E81" i="4"/>
  <c r="A82" i="4"/>
  <c r="E82" i="4"/>
  <c r="A83" i="4"/>
  <c r="E83" i="4"/>
  <c r="A84" i="4"/>
  <c r="E84" i="4"/>
  <c r="A85" i="4"/>
  <c r="E85" i="4"/>
  <c r="A86" i="4"/>
  <c r="E86" i="4"/>
  <c r="A87" i="4"/>
  <c r="E87" i="4"/>
  <c r="A88" i="4"/>
  <c r="E88" i="4"/>
  <c r="A89" i="4"/>
  <c r="E89" i="4"/>
  <c r="A90" i="4"/>
  <c r="E90" i="4"/>
  <c r="A91" i="4"/>
  <c r="E91" i="4"/>
  <c r="A92" i="4"/>
  <c r="E92" i="4"/>
  <c r="A93" i="4"/>
  <c r="E93" i="4"/>
  <c r="A94" i="4"/>
  <c r="E94" i="4"/>
  <c r="A95" i="4"/>
  <c r="E95" i="4"/>
  <c r="A96" i="4"/>
  <c r="E96" i="4"/>
  <c r="A97" i="4"/>
  <c r="E97" i="4"/>
  <c r="A98" i="4"/>
  <c r="E98" i="4"/>
  <c r="A99" i="4"/>
  <c r="E99" i="4"/>
  <c r="A100" i="4"/>
  <c r="E100" i="4"/>
  <c r="A101" i="4"/>
  <c r="E101" i="4"/>
  <c r="A102" i="4"/>
  <c r="E102" i="4"/>
  <c r="A103" i="4"/>
  <c r="E103" i="4"/>
  <c r="A104" i="4"/>
  <c r="E104" i="4"/>
  <c r="A105" i="4"/>
  <c r="E105" i="4"/>
  <c r="A106" i="4"/>
  <c r="E106" i="4"/>
  <c r="A107" i="4"/>
  <c r="E107" i="4"/>
  <c r="A108" i="4"/>
  <c r="E108" i="4"/>
  <c r="A109" i="4"/>
  <c r="E109" i="4"/>
  <c r="A110" i="4"/>
  <c r="E110" i="4"/>
  <c r="A111" i="4"/>
  <c r="E111" i="4"/>
  <c r="A112" i="4"/>
  <c r="E112" i="4"/>
  <c r="A113" i="4"/>
  <c r="E113" i="4"/>
  <c r="A114" i="4"/>
  <c r="E114" i="4"/>
  <c r="A115" i="4"/>
  <c r="E115" i="4"/>
  <c r="A116" i="4"/>
  <c r="E116" i="4"/>
  <c r="A117" i="4"/>
  <c r="E117" i="4"/>
  <c r="A118" i="4"/>
  <c r="E118" i="4"/>
  <c r="A119" i="4"/>
  <c r="E119" i="4"/>
  <c r="A120" i="4"/>
  <c r="E120" i="4"/>
  <c r="A121" i="4"/>
  <c r="E121" i="4"/>
  <c r="A122" i="4"/>
  <c r="E122" i="4"/>
  <c r="A123" i="4"/>
  <c r="E123" i="4"/>
  <c r="A124" i="4"/>
  <c r="E124" i="4"/>
  <c r="A125" i="4"/>
  <c r="E125" i="4"/>
  <c r="A126" i="4"/>
  <c r="E126" i="4"/>
  <c r="A127" i="4"/>
  <c r="E127" i="4"/>
  <c r="A128" i="4"/>
  <c r="E128" i="4"/>
  <c r="A129" i="4"/>
  <c r="E129" i="4"/>
  <c r="A130" i="4"/>
  <c r="E130" i="4"/>
  <c r="A131" i="4"/>
  <c r="E131" i="4"/>
  <c r="A132" i="4"/>
  <c r="E132" i="4"/>
  <c r="A133" i="4"/>
  <c r="E133" i="4"/>
  <c r="A134" i="4"/>
  <c r="E134" i="4"/>
  <c r="A135" i="4"/>
  <c r="E135" i="4"/>
  <c r="A136" i="4"/>
  <c r="E136" i="4"/>
  <c r="A137" i="4"/>
  <c r="E137" i="4"/>
  <c r="A138" i="4"/>
  <c r="E138" i="4"/>
  <c r="A139" i="4"/>
  <c r="E139" i="4"/>
  <c r="A140" i="4"/>
  <c r="E140" i="4"/>
  <c r="A141" i="4"/>
  <c r="E141" i="4"/>
  <c r="A142" i="4"/>
  <c r="E142" i="4"/>
  <c r="A143" i="4"/>
  <c r="E143" i="4"/>
  <c r="A144" i="4"/>
  <c r="E144" i="4"/>
  <c r="A145" i="4"/>
  <c r="E145" i="4"/>
  <c r="A146" i="4"/>
  <c r="E146" i="4"/>
  <c r="A147" i="4"/>
  <c r="E147" i="4"/>
  <c r="A148" i="4"/>
  <c r="E148" i="4"/>
  <c r="A149" i="4"/>
  <c r="E149" i="4"/>
  <c r="A150" i="4"/>
  <c r="E150" i="4"/>
  <c r="A151" i="4"/>
  <c r="E151" i="4"/>
  <c r="A152" i="4"/>
  <c r="E152" i="4"/>
  <c r="A153" i="4"/>
  <c r="E153" i="4"/>
  <c r="A154" i="4"/>
  <c r="E154" i="4"/>
  <c r="A155" i="4"/>
  <c r="E155" i="4"/>
  <c r="A156" i="4"/>
  <c r="E156" i="4"/>
  <c r="A157" i="4"/>
  <c r="E157" i="4"/>
  <c r="A158" i="4"/>
  <c r="E158" i="4"/>
  <c r="A159" i="4"/>
  <c r="E159" i="4"/>
  <c r="A160" i="4"/>
  <c r="E160" i="4"/>
  <c r="A161" i="4"/>
  <c r="E161" i="4"/>
  <c r="A162" i="4"/>
  <c r="E162" i="4"/>
  <c r="A163" i="4"/>
  <c r="E163" i="4"/>
  <c r="A164" i="4"/>
  <c r="E164" i="4"/>
  <c r="A165" i="4"/>
  <c r="E165" i="4"/>
  <c r="A166" i="4"/>
  <c r="E166" i="4"/>
  <c r="A167" i="4"/>
  <c r="E167" i="4"/>
  <c r="A168" i="4"/>
  <c r="E168" i="4"/>
  <c r="A169" i="4"/>
  <c r="E169" i="4"/>
  <c r="A170" i="4"/>
  <c r="E170" i="4"/>
  <c r="A171" i="4"/>
  <c r="E171" i="4"/>
  <c r="A172" i="4"/>
  <c r="E172" i="4"/>
  <c r="A173" i="4"/>
  <c r="E173" i="4"/>
  <c r="A174" i="4"/>
  <c r="E174" i="4"/>
  <c r="D176" i="4"/>
  <c r="A3" i="40"/>
  <c r="B3" i="40"/>
  <c r="A4" i="40"/>
  <c r="B4" i="40"/>
  <c r="C4" i="40"/>
  <c r="D4" i="40"/>
  <c r="E4" i="40"/>
  <c r="F4" i="40"/>
  <c r="G4" i="40"/>
  <c r="H4" i="40"/>
  <c r="A5" i="40"/>
  <c r="B5" i="40"/>
  <c r="C5" i="40"/>
  <c r="D5" i="40"/>
  <c r="E5" i="40"/>
  <c r="F5" i="40"/>
  <c r="A6" i="40"/>
  <c r="B6" i="40"/>
  <c r="C6" i="40"/>
  <c r="D6" i="40"/>
  <c r="E6" i="40"/>
  <c r="F6" i="40"/>
  <c r="A7" i="40"/>
  <c r="B7" i="40"/>
  <c r="C7" i="40"/>
  <c r="D7" i="40"/>
  <c r="E7" i="40"/>
  <c r="F7" i="40"/>
  <c r="A8" i="40"/>
  <c r="B8" i="40"/>
  <c r="C8" i="40"/>
  <c r="D8" i="40"/>
  <c r="E8" i="40"/>
  <c r="F8" i="40"/>
  <c r="A9" i="40"/>
  <c r="B9" i="40"/>
  <c r="C9" i="40"/>
  <c r="D9" i="40"/>
  <c r="E9" i="40"/>
  <c r="F9" i="40"/>
  <c r="A10" i="40"/>
  <c r="B10" i="40"/>
  <c r="C10" i="40"/>
  <c r="D10" i="40"/>
  <c r="E10" i="40"/>
  <c r="F10" i="40"/>
  <c r="A11" i="40"/>
  <c r="B11" i="40"/>
  <c r="C11" i="40"/>
  <c r="D11" i="40"/>
  <c r="E11" i="40"/>
  <c r="F11" i="40"/>
  <c r="A12" i="40"/>
  <c r="B12" i="40"/>
  <c r="C12" i="40"/>
  <c r="D12" i="40"/>
  <c r="E12" i="40"/>
  <c r="F12" i="40"/>
  <c r="A13" i="40"/>
  <c r="B13" i="40"/>
  <c r="C13" i="40"/>
  <c r="D13" i="40"/>
  <c r="E13" i="40"/>
  <c r="F13" i="40"/>
  <c r="A14" i="40"/>
  <c r="B14" i="40"/>
  <c r="C14" i="40"/>
  <c r="D14" i="40"/>
  <c r="E14" i="40"/>
  <c r="F14" i="40"/>
  <c r="A15" i="40"/>
  <c r="B15" i="40"/>
  <c r="C15" i="40"/>
  <c r="D15" i="40"/>
  <c r="E15" i="40"/>
  <c r="F15" i="40"/>
  <c r="A16" i="40"/>
  <c r="B16" i="40"/>
  <c r="C16" i="40"/>
  <c r="D16" i="40"/>
  <c r="E16" i="40"/>
  <c r="F16" i="40"/>
  <c r="A17" i="40"/>
  <c r="B17" i="40"/>
  <c r="C17" i="40"/>
  <c r="D17" i="40"/>
  <c r="E17" i="40"/>
  <c r="F17" i="40"/>
  <c r="A18" i="40"/>
  <c r="B18" i="40"/>
  <c r="C18" i="40"/>
  <c r="D18" i="40"/>
  <c r="E18" i="40"/>
  <c r="F18" i="40"/>
  <c r="A19" i="40"/>
  <c r="B19" i="40"/>
  <c r="C19" i="40"/>
  <c r="D19" i="40"/>
  <c r="E19" i="40"/>
  <c r="F19" i="40"/>
  <c r="A20" i="40"/>
  <c r="B20" i="40"/>
  <c r="C20" i="40"/>
  <c r="D20" i="40"/>
  <c r="E20" i="40"/>
  <c r="F20" i="40"/>
  <c r="A21" i="40"/>
  <c r="B21" i="40"/>
  <c r="C21" i="40"/>
  <c r="D21" i="40"/>
  <c r="E21" i="40"/>
  <c r="F21" i="40"/>
  <c r="A22" i="40"/>
  <c r="B22" i="40"/>
  <c r="C22" i="40"/>
  <c r="D22" i="40"/>
  <c r="E22" i="40"/>
  <c r="F22" i="40"/>
  <c r="A23" i="40"/>
  <c r="B23" i="40"/>
  <c r="C23" i="40"/>
  <c r="D23" i="40"/>
  <c r="E23" i="40"/>
  <c r="F23" i="40"/>
  <c r="A24" i="40"/>
  <c r="B24" i="40"/>
  <c r="C24" i="40"/>
  <c r="D24" i="40"/>
  <c r="E24" i="40"/>
  <c r="F24" i="40"/>
  <c r="A4" i="9"/>
  <c r="B4" i="9"/>
  <c r="C4" i="9"/>
  <c r="D4" i="9"/>
  <c r="E4" i="9"/>
  <c r="F4" i="9"/>
  <c r="G4" i="9"/>
  <c r="H4" i="9"/>
  <c r="I4" i="9"/>
  <c r="J4" i="9"/>
  <c r="K4" i="9"/>
  <c r="L4" i="9"/>
  <c r="M4" i="9"/>
  <c r="A5" i="9"/>
  <c r="B5" i="9"/>
  <c r="C5" i="9"/>
  <c r="D5" i="9"/>
  <c r="E5" i="9"/>
  <c r="F5" i="9"/>
  <c r="G5" i="9"/>
  <c r="H5" i="9"/>
  <c r="I5" i="9"/>
  <c r="J5" i="9"/>
  <c r="K5" i="9"/>
  <c r="L5" i="9"/>
  <c r="M5" i="9"/>
  <c r="A6" i="9"/>
  <c r="B6" i="9"/>
  <c r="C6" i="9"/>
  <c r="D6" i="9"/>
  <c r="E6" i="9"/>
  <c r="F6" i="9"/>
  <c r="G6" i="9"/>
  <c r="H6" i="9"/>
  <c r="I6" i="9"/>
  <c r="J6" i="9"/>
  <c r="K6" i="9"/>
  <c r="L6" i="9"/>
  <c r="M6" i="9"/>
  <c r="A7" i="9"/>
  <c r="B7" i="9"/>
  <c r="C7" i="9"/>
  <c r="D7" i="9"/>
  <c r="E7" i="9"/>
  <c r="F7" i="9"/>
  <c r="G7" i="9"/>
  <c r="H7" i="9"/>
  <c r="I7" i="9"/>
  <c r="J7" i="9"/>
  <c r="K7" i="9"/>
  <c r="L7" i="9"/>
  <c r="M7" i="9"/>
  <c r="A8" i="9"/>
  <c r="B8" i="9"/>
  <c r="C8" i="9"/>
  <c r="D8" i="9"/>
  <c r="E8" i="9"/>
  <c r="F8" i="9"/>
  <c r="G8" i="9"/>
  <c r="H8" i="9"/>
  <c r="I8" i="9"/>
  <c r="J8" i="9"/>
  <c r="K8" i="9"/>
  <c r="L8" i="9"/>
  <c r="M8" i="9"/>
  <c r="A9" i="9"/>
  <c r="B9" i="9"/>
  <c r="C9" i="9"/>
  <c r="D9" i="9"/>
  <c r="E9" i="9"/>
  <c r="F9" i="9"/>
  <c r="G9" i="9"/>
  <c r="H9" i="9"/>
  <c r="I9" i="9"/>
  <c r="J9" i="9"/>
  <c r="K9" i="9"/>
  <c r="L9" i="9"/>
  <c r="M9" i="9"/>
  <c r="A10" i="9"/>
  <c r="B10" i="9"/>
  <c r="C10" i="9"/>
  <c r="D10" i="9"/>
  <c r="E10" i="9"/>
  <c r="F10" i="9"/>
  <c r="G10" i="9"/>
  <c r="H10" i="9"/>
  <c r="I10" i="9"/>
  <c r="J10" i="9"/>
  <c r="K10" i="9"/>
  <c r="L10" i="9"/>
  <c r="M10" i="9"/>
  <c r="A11" i="9"/>
  <c r="B11" i="9"/>
  <c r="C11" i="9"/>
  <c r="D11" i="9"/>
  <c r="E11" i="9"/>
  <c r="F11" i="9"/>
  <c r="G11" i="9"/>
  <c r="H11" i="9"/>
  <c r="I11" i="9"/>
  <c r="J11" i="9"/>
  <c r="K11" i="9"/>
  <c r="L11" i="9"/>
  <c r="M11" i="9"/>
  <c r="A12" i="9"/>
  <c r="B12" i="9"/>
  <c r="C12" i="9"/>
  <c r="D12" i="9"/>
  <c r="E12" i="9"/>
  <c r="F12" i="9"/>
  <c r="G12" i="9"/>
  <c r="H12" i="9"/>
  <c r="I12" i="9"/>
  <c r="J12" i="9"/>
  <c r="K12" i="9"/>
  <c r="L12" i="9"/>
  <c r="M12" i="9"/>
  <c r="A13" i="9"/>
  <c r="B13" i="9"/>
  <c r="C13" i="9"/>
  <c r="D13" i="9"/>
  <c r="E13" i="9"/>
  <c r="F13" i="9"/>
  <c r="G13" i="9"/>
  <c r="H13" i="9"/>
  <c r="I13" i="9"/>
  <c r="J13" i="9"/>
  <c r="K13" i="9"/>
  <c r="L13" i="9"/>
  <c r="M13" i="9"/>
  <c r="A14" i="9"/>
  <c r="B14" i="9"/>
  <c r="C14" i="9"/>
  <c r="D14" i="9"/>
  <c r="E14" i="9"/>
  <c r="F14" i="9"/>
  <c r="G14" i="9"/>
  <c r="H14" i="9"/>
  <c r="I14" i="9"/>
  <c r="J14" i="9"/>
  <c r="K14" i="9"/>
  <c r="L14" i="9"/>
  <c r="M14" i="9"/>
  <c r="A15" i="9"/>
  <c r="B15" i="9"/>
  <c r="C15" i="9"/>
  <c r="D15" i="9"/>
  <c r="E15" i="9"/>
  <c r="F15" i="9"/>
  <c r="G15" i="9"/>
  <c r="H15" i="9"/>
  <c r="I15" i="9"/>
  <c r="J15" i="9"/>
  <c r="K15" i="9"/>
  <c r="L15" i="9"/>
  <c r="M15" i="9"/>
  <c r="A16" i="9"/>
  <c r="B16" i="9"/>
  <c r="C16" i="9"/>
  <c r="D16" i="9"/>
  <c r="E16" i="9"/>
  <c r="F16" i="9"/>
  <c r="G16" i="9"/>
  <c r="H16" i="9"/>
  <c r="I16" i="9"/>
  <c r="J16" i="9"/>
  <c r="K16" i="9"/>
  <c r="L16" i="9"/>
  <c r="M16" i="9"/>
  <c r="A17" i="9"/>
  <c r="B17" i="9"/>
  <c r="C17" i="9"/>
  <c r="D17" i="9"/>
  <c r="E17" i="9"/>
  <c r="F17" i="9"/>
  <c r="G17" i="9"/>
  <c r="H17" i="9"/>
  <c r="I17" i="9"/>
  <c r="J17" i="9"/>
  <c r="K17" i="9"/>
  <c r="L17" i="9"/>
  <c r="M17" i="9"/>
  <c r="A18" i="9"/>
  <c r="B18" i="9"/>
  <c r="C18" i="9"/>
  <c r="D18" i="9"/>
  <c r="E18" i="9"/>
  <c r="F18" i="9"/>
  <c r="G18" i="9"/>
  <c r="H18" i="9"/>
  <c r="I18" i="9"/>
  <c r="J18" i="9"/>
  <c r="K18" i="9"/>
  <c r="L18" i="9"/>
  <c r="M18" i="9"/>
  <c r="A19" i="9"/>
  <c r="B19" i="9"/>
  <c r="C19" i="9"/>
  <c r="D19" i="9"/>
  <c r="E19" i="9"/>
  <c r="F19" i="9"/>
  <c r="G19" i="9"/>
  <c r="H19" i="9"/>
  <c r="I19" i="9"/>
  <c r="J19" i="9"/>
  <c r="K19" i="9"/>
  <c r="L19" i="9"/>
  <c r="M19" i="9"/>
  <c r="A20" i="9"/>
  <c r="B20" i="9"/>
  <c r="C20" i="9"/>
  <c r="D20" i="9"/>
  <c r="E20" i="9"/>
  <c r="F20" i="9"/>
  <c r="G20" i="9"/>
  <c r="H20" i="9"/>
  <c r="I20" i="9"/>
  <c r="J20" i="9"/>
  <c r="K20" i="9"/>
  <c r="L20" i="9"/>
  <c r="M20" i="9"/>
  <c r="A21" i="9"/>
  <c r="B21" i="9"/>
  <c r="C21" i="9"/>
  <c r="D21" i="9"/>
  <c r="E21" i="9"/>
  <c r="F21" i="9"/>
  <c r="G21" i="9"/>
  <c r="H21" i="9"/>
  <c r="I21" i="9"/>
  <c r="J21" i="9"/>
  <c r="K21" i="9"/>
  <c r="L21" i="9"/>
  <c r="M21" i="9"/>
  <c r="A22" i="9"/>
  <c r="B22" i="9"/>
  <c r="C22" i="9"/>
  <c r="D22" i="9"/>
  <c r="E22" i="9"/>
  <c r="F22" i="9"/>
  <c r="G22" i="9"/>
  <c r="H22" i="9"/>
  <c r="I22" i="9"/>
  <c r="J22" i="9"/>
  <c r="K22" i="9"/>
  <c r="L22" i="9"/>
  <c r="M22" i="9"/>
  <c r="A23" i="9"/>
  <c r="B23" i="9"/>
  <c r="C23" i="9"/>
  <c r="D23" i="9"/>
  <c r="E23" i="9"/>
  <c r="F23" i="9"/>
  <c r="G23" i="9"/>
  <c r="H23" i="9"/>
  <c r="I23" i="9"/>
  <c r="J23" i="9"/>
  <c r="K23" i="9"/>
  <c r="L23" i="9"/>
  <c r="M23" i="9"/>
  <c r="A24" i="9"/>
  <c r="B24" i="9"/>
  <c r="C24" i="9"/>
  <c r="D24" i="9"/>
  <c r="E24" i="9"/>
  <c r="F24" i="9"/>
  <c r="G24" i="9"/>
  <c r="H24" i="9"/>
  <c r="I24" i="9"/>
  <c r="J24" i="9"/>
  <c r="K24" i="9"/>
  <c r="L24" i="9"/>
  <c r="M24" i="9"/>
  <c r="A4" i="32"/>
  <c r="C4" i="32"/>
  <c r="D4" i="32"/>
  <c r="E4" i="32"/>
  <c r="F4" i="32"/>
  <c r="G4" i="32"/>
  <c r="H4" i="32"/>
  <c r="I4" i="32"/>
  <c r="J4" i="32"/>
  <c r="K4" i="32"/>
  <c r="L4" i="32"/>
  <c r="M4" i="32"/>
  <c r="A5" i="32"/>
  <c r="C5" i="32"/>
  <c r="D5" i="32"/>
  <c r="E5" i="32"/>
  <c r="F5" i="32"/>
  <c r="G5" i="32"/>
  <c r="H5" i="32"/>
  <c r="I5" i="32"/>
  <c r="J5" i="32"/>
  <c r="K5" i="32"/>
  <c r="L5" i="32"/>
  <c r="M5" i="32"/>
  <c r="A6" i="32"/>
  <c r="C6" i="32"/>
  <c r="D6" i="32"/>
  <c r="E6" i="32"/>
  <c r="F6" i="32"/>
  <c r="G6" i="32"/>
  <c r="H6" i="32"/>
  <c r="I6" i="32"/>
  <c r="J6" i="32"/>
  <c r="K6" i="32"/>
  <c r="L6" i="32"/>
  <c r="M6" i="32"/>
  <c r="A7" i="32"/>
  <c r="C7" i="32"/>
  <c r="D7" i="32"/>
  <c r="E7" i="32"/>
  <c r="F7" i="32"/>
  <c r="G7" i="32"/>
  <c r="H7" i="32"/>
  <c r="I7" i="32"/>
  <c r="J7" i="32"/>
  <c r="K7" i="32"/>
  <c r="L7" i="32"/>
  <c r="M7" i="32"/>
  <c r="A8" i="32"/>
  <c r="C8" i="32"/>
  <c r="D8" i="32"/>
  <c r="E8" i="32"/>
  <c r="F8" i="32"/>
  <c r="G8" i="32"/>
  <c r="H8" i="32"/>
  <c r="I8" i="32"/>
  <c r="J8" i="32"/>
  <c r="K8" i="32"/>
  <c r="L8" i="32"/>
  <c r="M8" i="32"/>
  <c r="A9" i="32"/>
  <c r="C9" i="32"/>
  <c r="D9" i="32"/>
  <c r="E9" i="32"/>
  <c r="F9" i="32"/>
  <c r="G9" i="32"/>
  <c r="H9" i="32"/>
  <c r="I9" i="32"/>
  <c r="J9" i="32"/>
  <c r="K9" i="32"/>
  <c r="L9" i="32"/>
  <c r="M9" i="32"/>
  <c r="A10" i="32"/>
  <c r="C10" i="32"/>
  <c r="D10" i="32"/>
  <c r="E10" i="32"/>
  <c r="F10" i="32"/>
  <c r="G10" i="32"/>
  <c r="H10" i="32"/>
  <c r="I10" i="32"/>
  <c r="J10" i="32"/>
  <c r="K10" i="32"/>
  <c r="L10" i="32"/>
  <c r="M10" i="32"/>
  <c r="A11" i="32"/>
  <c r="C11" i="32"/>
  <c r="D11" i="32"/>
  <c r="E11" i="32"/>
  <c r="F11" i="32"/>
  <c r="G11" i="32"/>
  <c r="H11" i="32"/>
  <c r="I11" i="32"/>
  <c r="J11" i="32"/>
  <c r="K11" i="32"/>
  <c r="L11" i="32"/>
  <c r="M11" i="32"/>
  <c r="A12" i="32"/>
  <c r="C12" i="32"/>
  <c r="D12" i="32"/>
  <c r="E12" i="32"/>
  <c r="F12" i="32"/>
  <c r="G12" i="32"/>
  <c r="H12" i="32"/>
  <c r="I12" i="32"/>
  <c r="J12" i="32"/>
  <c r="K12" i="32"/>
  <c r="L12" i="32"/>
  <c r="M12" i="32"/>
  <c r="A13" i="32"/>
  <c r="C13" i="32"/>
  <c r="D13" i="32"/>
  <c r="E13" i="32"/>
  <c r="F13" i="32"/>
  <c r="G13" i="32"/>
  <c r="H13" i="32"/>
  <c r="I13" i="32"/>
  <c r="J13" i="32"/>
  <c r="K13" i="32"/>
  <c r="L13" i="32"/>
  <c r="M13" i="32"/>
  <c r="A14" i="32"/>
  <c r="C14" i="32"/>
  <c r="D14" i="32"/>
  <c r="E14" i="32"/>
  <c r="F14" i="32"/>
  <c r="G14" i="32"/>
  <c r="H14" i="32"/>
  <c r="I14" i="32"/>
  <c r="J14" i="32"/>
  <c r="K14" i="32"/>
  <c r="L14" i="32"/>
  <c r="M14" i="32"/>
  <c r="A15" i="32"/>
  <c r="C15" i="32"/>
  <c r="D15" i="32"/>
  <c r="E15" i="32"/>
  <c r="F15" i="32"/>
  <c r="G15" i="32"/>
  <c r="H15" i="32"/>
  <c r="I15" i="32"/>
  <c r="J15" i="32"/>
  <c r="K15" i="32"/>
  <c r="L15" i="32"/>
  <c r="M15" i="32"/>
  <c r="A16" i="32"/>
  <c r="C16" i="32"/>
  <c r="D16" i="32"/>
  <c r="E16" i="32"/>
  <c r="F16" i="32"/>
  <c r="G16" i="32"/>
  <c r="H16" i="32"/>
  <c r="I16" i="32"/>
  <c r="J16" i="32"/>
  <c r="K16" i="32"/>
  <c r="L16" i="32"/>
  <c r="M16" i="32"/>
  <c r="A17" i="32"/>
  <c r="C17" i="32"/>
  <c r="D17" i="32"/>
  <c r="E17" i="32"/>
  <c r="F17" i="32"/>
  <c r="G17" i="32"/>
  <c r="H17" i="32"/>
  <c r="I17" i="32"/>
  <c r="J17" i="32"/>
  <c r="K17" i="32"/>
  <c r="L17" i="32"/>
  <c r="M17" i="32"/>
  <c r="A18" i="32"/>
  <c r="C18" i="32"/>
  <c r="D18" i="32"/>
  <c r="E18" i="32"/>
  <c r="F18" i="32"/>
  <c r="G18" i="32"/>
  <c r="H18" i="32"/>
  <c r="I18" i="32"/>
  <c r="J18" i="32"/>
  <c r="K18" i="32"/>
  <c r="L18" i="32"/>
  <c r="M18" i="32"/>
  <c r="A19" i="32"/>
  <c r="C19" i="32"/>
  <c r="D19" i="32"/>
  <c r="E19" i="32"/>
  <c r="F19" i="32"/>
  <c r="G19" i="32"/>
  <c r="H19" i="32"/>
  <c r="I19" i="32"/>
  <c r="J19" i="32"/>
  <c r="K19" i="32"/>
  <c r="L19" i="32"/>
  <c r="M19" i="32"/>
  <c r="A20" i="32"/>
  <c r="C20" i="32"/>
  <c r="D20" i="32"/>
  <c r="E20" i="32"/>
  <c r="F20" i="32"/>
  <c r="G20" i="32"/>
  <c r="H20" i="32"/>
  <c r="I20" i="32"/>
  <c r="J20" i="32"/>
  <c r="K20" i="32"/>
  <c r="L20" i="32"/>
  <c r="M20" i="32"/>
  <c r="A21" i="32"/>
  <c r="C21" i="32"/>
  <c r="D21" i="32"/>
  <c r="E21" i="32"/>
  <c r="F21" i="32"/>
  <c r="G21" i="32"/>
  <c r="H21" i="32"/>
  <c r="I21" i="32"/>
  <c r="J21" i="32"/>
  <c r="K21" i="32"/>
  <c r="L21" i="32"/>
  <c r="M21" i="32"/>
  <c r="A22" i="32"/>
  <c r="C22" i="32"/>
  <c r="D22" i="32"/>
  <c r="E22" i="32"/>
  <c r="F22" i="32"/>
  <c r="G22" i="32"/>
  <c r="H22" i="32"/>
  <c r="I22" i="32"/>
  <c r="J22" i="32"/>
  <c r="K22" i="32"/>
  <c r="L22" i="32"/>
  <c r="M22" i="32"/>
  <c r="A23" i="32"/>
  <c r="C23" i="32"/>
  <c r="D23" i="32"/>
  <c r="E23" i="32"/>
  <c r="F23" i="32"/>
  <c r="G23" i="32"/>
  <c r="H23" i="32"/>
  <c r="I23" i="32"/>
  <c r="J23" i="32"/>
  <c r="K23" i="32"/>
  <c r="L23" i="32"/>
  <c r="M23" i="32"/>
  <c r="A24" i="32"/>
  <c r="C24" i="32"/>
  <c r="D24" i="32"/>
  <c r="E24" i="32"/>
  <c r="F24" i="32"/>
  <c r="G24" i="32"/>
  <c r="H24" i="32"/>
  <c r="I24" i="32"/>
  <c r="J24" i="32"/>
  <c r="K24" i="32"/>
  <c r="L24" i="32"/>
  <c r="M24" i="32"/>
  <c r="A4" i="36"/>
  <c r="B4" i="36"/>
  <c r="D4" i="36"/>
  <c r="E4" i="36"/>
  <c r="F4" i="36"/>
  <c r="G4" i="36"/>
  <c r="H4" i="36"/>
  <c r="I4" i="36"/>
  <c r="J4" i="36"/>
  <c r="K4" i="36"/>
  <c r="L4" i="36"/>
  <c r="M4" i="36"/>
  <c r="A5" i="36"/>
  <c r="B5" i="36"/>
  <c r="D5" i="36"/>
  <c r="E5" i="36"/>
  <c r="F5" i="36"/>
  <c r="G5" i="36"/>
  <c r="H5" i="36"/>
  <c r="I5" i="36"/>
  <c r="J5" i="36"/>
  <c r="K5" i="36"/>
  <c r="L5" i="36"/>
  <c r="M5" i="36"/>
  <c r="A6" i="36"/>
  <c r="B6" i="36"/>
  <c r="D6" i="36"/>
  <c r="E6" i="36"/>
  <c r="F6" i="36"/>
  <c r="G6" i="36"/>
  <c r="H6" i="36"/>
  <c r="I6" i="36"/>
  <c r="J6" i="36"/>
  <c r="K6" i="36"/>
  <c r="L6" i="36"/>
  <c r="M6" i="36"/>
  <c r="A7" i="36"/>
  <c r="B7" i="36"/>
  <c r="D7" i="36"/>
  <c r="E7" i="36"/>
  <c r="F7" i="36"/>
  <c r="G7" i="36"/>
  <c r="H7" i="36"/>
  <c r="I7" i="36"/>
  <c r="J7" i="36"/>
  <c r="K7" i="36"/>
  <c r="L7" i="36"/>
  <c r="M7" i="36"/>
  <c r="A8" i="36"/>
  <c r="B8" i="36"/>
  <c r="D8" i="36"/>
  <c r="E8" i="36"/>
  <c r="F8" i="36"/>
  <c r="G8" i="36"/>
  <c r="H8" i="36"/>
  <c r="I8" i="36"/>
  <c r="J8" i="36"/>
  <c r="K8" i="36"/>
  <c r="L8" i="36"/>
  <c r="M8" i="36"/>
  <c r="A9" i="36"/>
  <c r="B9" i="36"/>
  <c r="D9" i="36"/>
  <c r="E9" i="36"/>
  <c r="F9" i="36"/>
  <c r="G9" i="36"/>
  <c r="H9" i="36"/>
  <c r="I9" i="36"/>
  <c r="J9" i="36"/>
  <c r="K9" i="36"/>
  <c r="L9" i="36"/>
  <c r="M9" i="36"/>
  <c r="A10" i="36"/>
  <c r="B10" i="36"/>
  <c r="D10" i="36"/>
  <c r="E10" i="36"/>
  <c r="F10" i="36"/>
  <c r="G10" i="36"/>
  <c r="H10" i="36"/>
  <c r="I10" i="36"/>
  <c r="J10" i="36"/>
  <c r="K10" i="36"/>
  <c r="L10" i="36"/>
  <c r="M10" i="36"/>
  <c r="A11" i="36"/>
  <c r="B11" i="36"/>
  <c r="D11" i="36"/>
  <c r="E11" i="36"/>
  <c r="F11" i="36"/>
  <c r="G11" i="36"/>
  <c r="H11" i="36"/>
  <c r="I11" i="36"/>
  <c r="J11" i="36"/>
  <c r="K11" i="36"/>
  <c r="L11" i="36"/>
  <c r="M11" i="36"/>
  <c r="A12" i="36"/>
  <c r="B12" i="36"/>
  <c r="D12" i="36"/>
  <c r="E12" i="36"/>
  <c r="F12" i="36"/>
  <c r="G12" i="36"/>
  <c r="H12" i="36"/>
  <c r="I12" i="36"/>
  <c r="J12" i="36"/>
  <c r="K12" i="36"/>
  <c r="L12" i="36"/>
  <c r="M12" i="36"/>
  <c r="A13" i="36"/>
  <c r="B13" i="36"/>
  <c r="D13" i="36"/>
  <c r="E13" i="36"/>
  <c r="F13" i="36"/>
  <c r="G13" i="36"/>
  <c r="H13" i="36"/>
  <c r="I13" i="36"/>
  <c r="J13" i="36"/>
  <c r="K13" i="36"/>
  <c r="L13" i="36"/>
  <c r="M13" i="36"/>
  <c r="A14" i="36"/>
  <c r="B14" i="36"/>
  <c r="D14" i="36"/>
  <c r="E14" i="36"/>
  <c r="F14" i="36"/>
  <c r="G14" i="36"/>
  <c r="H14" i="36"/>
  <c r="I14" i="36"/>
  <c r="J14" i="36"/>
  <c r="K14" i="36"/>
  <c r="L14" i="36"/>
  <c r="M14" i="36"/>
  <c r="A15" i="36"/>
  <c r="B15" i="36"/>
  <c r="D15" i="36"/>
  <c r="E15" i="36"/>
  <c r="F15" i="36"/>
  <c r="G15" i="36"/>
  <c r="H15" i="36"/>
  <c r="I15" i="36"/>
  <c r="J15" i="36"/>
  <c r="K15" i="36"/>
  <c r="L15" i="36"/>
  <c r="M15" i="36"/>
  <c r="A16" i="36"/>
  <c r="B16" i="36"/>
  <c r="D16" i="36"/>
  <c r="E16" i="36"/>
  <c r="F16" i="36"/>
  <c r="G16" i="36"/>
  <c r="H16" i="36"/>
  <c r="I16" i="36"/>
  <c r="J16" i="36"/>
  <c r="K16" i="36"/>
  <c r="L16" i="36"/>
  <c r="M16" i="36"/>
  <c r="A17" i="36"/>
  <c r="B17" i="36"/>
  <c r="D17" i="36"/>
  <c r="E17" i="36"/>
  <c r="F17" i="36"/>
  <c r="G17" i="36"/>
  <c r="H17" i="36"/>
  <c r="I17" i="36"/>
  <c r="J17" i="36"/>
  <c r="K17" i="36"/>
  <c r="L17" i="36"/>
  <c r="M17" i="36"/>
  <c r="A18" i="36"/>
  <c r="B18" i="36"/>
  <c r="D18" i="36"/>
  <c r="E18" i="36"/>
  <c r="F18" i="36"/>
  <c r="G18" i="36"/>
  <c r="H18" i="36"/>
  <c r="I18" i="36"/>
  <c r="J18" i="36"/>
  <c r="K18" i="36"/>
  <c r="L18" i="36"/>
  <c r="M18" i="36"/>
  <c r="A19" i="36"/>
  <c r="B19" i="36"/>
  <c r="D19" i="36"/>
  <c r="E19" i="36"/>
  <c r="F19" i="36"/>
  <c r="G19" i="36"/>
  <c r="H19" i="36"/>
  <c r="I19" i="36"/>
  <c r="J19" i="36"/>
  <c r="K19" i="36"/>
  <c r="L19" i="36"/>
  <c r="M19" i="36"/>
  <c r="A20" i="36"/>
  <c r="B20" i="36"/>
  <c r="D20" i="36"/>
  <c r="E20" i="36"/>
  <c r="F20" i="36"/>
  <c r="G20" i="36"/>
  <c r="H20" i="36"/>
  <c r="I20" i="36"/>
  <c r="J20" i="36"/>
  <c r="K20" i="36"/>
  <c r="L20" i="36"/>
  <c r="M20" i="36"/>
  <c r="A21" i="36"/>
  <c r="B21" i="36"/>
  <c r="D21" i="36"/>
  <c r="E21" i="36"/>
  <c r="F21" i="36"/>
  <c r="G21" i="36"/>
  <c r="H21" i="36"/>
  <c r="I21" i="36"/>
  <c r="J21" i="36"/>
  <c r="K21" i="36"/>
  <c r="L21" i="36"/>
  <c r="M21" i="36"/>
  <c r="A22" i="36"/>
  <c r="B22" i="36"/>
  <c r="D22" i="36"/>
  <c r="E22" i="36"/>
  <c r="F22" i="36"/>
  <c r="G22" i="36"/>
  <c r="H22" i="36"/>
  <c r="I22" i="36"/>
  <c r="J22" i="36"/>
  <c r="K22" i="36"/>
  <c r="L22" i="36"/>
  <c r="M22" i="36"/>
  <c r="A23" i="36"/>
  <c r="B23" i="36"/>
  <c r="D23" i="36"/>
  <c r="E23" i="36"/>
  <c r="F23" i="36"/>
  <c r="G23" i="36"/>
  <c r="H23" i="36"/>
  <c r="I23" i="36"/>
  <c r="J23" i="36"/>
  <c r="K23" i="36"/>
  <c r="L23" i="36"/>
  <c r="M23" i="36"/>
  <c r="A24" i="36"/>
  <c r="B24" i="36"/>
  <c r="D24" i="36"/>
  <c r="E24" i="36"/>
  <c r="F24" i="36"/>
  <c r="G24" i="36"/>
  <c r="H24" i="36"/>
  <c r="I24" i="36"/>
  <c r="J24" i="36"/>
  <c r="K24" i="36"/>
  <c r="L24" i="36"/>
  <c r="M24" i="36"/>
  <c r="D26" i="36"/>
  <c r="E26" i="36"/>
  <c r="F26" i="36"/>
  <c r="G26" i="36"/>
  <c r="H26" i="36"/>
  <c r="I26" i="36"/>
  <c r="J26" i="36"/>
  <c r="K26" i="36"/>
  <c r="L26" i="36"/>
  <c r="M26" i="36"/>
  <c r="A4" i="20"/>
  <c r="C4" i="20"/>
  <c r="D4" i="20"/>
  <c r="E4" i="20"/>
  <c r="F4" i="20"/>
  <c r="G4" i="20"/>
  <c r="H4" i="20"/>
  <c r="I4" i="20"/>
  <c r="J4" i="20"/>
  <c r="K4" i="20"/>
  <c r="L4" i="20"/>
  <c r="M4" i="20"/>
  <c r="A5" i="20"/>
  <c r="C5" i="20"/>
  <c r="D5" i="20"/>
  <c r="E5" i="20"/>
  <c r="F5" i="20"/>
  <c r="G5" i="20"/>
  <c r="H5" i="20"/>
  <c r="I5" i="20"/>
  <c r="J5" i="20"/>
  <c r="K5" i="20"/>
  <c r="L5" i="20"/>
  <c r="M5" i="20"/>
  <c r="A6" i="20"/>
  <c r="C6" i="20"/>
  <c r="D6" i="20"/>
  <c r="E6" i="20"/>
  <c r="F6" i="20"/>
  <c r="G6" i="20"/>
  <c r="H6" i="20"/>
  <c r="I6" i="20"/>
  <c r="J6" i="20"/>
  <c r="K6" i="20"/>
  <c r="L6" i="20"/>
  <c r="M6" i="20"/>
  <c r="A7" i="20"/>
  <c r="C7" i="20"/>
  <c r="D7" i="20"/>
  <c r="E7" i="20"/>
  <c r="F7" i="20"/>
  <c r="G7" i="20"/>
  <c r="H7" i="20"/>
  <c r="I7" i="20"/>
  <c r="J7" i="20"/>
  <c r="K7" i="20"/>
  <c r="L7" i="20"/>
  <c r="M7" i="20"/>
  <c r="A8" i="20"/>
  <c r="C8" i="20"/>
  <c r="D8" i="20"/>
  <c r="E8" i="20"/>
  <c r="F8" i="20"/>
  <c r="G8" i="20"/>
  <c r="H8" i="20"/>
  <c r="I8" i="20"/>
  <c r="J8" i="20"/>
  <c r="K8" i="20"/>
  <c r="L8" i="20"/>
  <c r="M8" i="20"/>
  <c r="A9" i="20"/>
  <c r="C9" i="20"/>
  <c r="D9" i="20"/>
  <c r="E9" i="20"/>
  <c r="F9" i="20"/>
  <c r="G9" i="20"/>
  <c r="H9" i="20"/>
  <c r="I9" i="20"/>
  <c r="J9" i="20"/>
  <c r="K9" i="20"/>
  <c r="L9" i="20"/>
  <c r="M9" i="20"/>
  <c r="A10" i="20"/>
  <c r="C10" i="20"/>
  <c r="D10" i="20"/>
  <c r="E10" i="20"/>
  <c r="F10" i="20"/>
  <c r="G10" i="20"/>
  <c r="H10" i="20"/>
  <c r="I10" i="20"/>
  <c r="J10" i="20"/>
  <c r="K10" i="20"/>
  <c r="L10" i="20"/>
  <c r="M10" i="20"/>
  <c r="A11" i="20"/>
  <c r="C11" i="20"/>
  <c r="D11" i="20"/>
  <c r="E11" i="20"/>
  <c r="F11" i="20"/>
  <c r="G11" i="20"/>
  <c r="H11" i="20"/>
  <c r="I11" i="20"/>
  <c r="J11" i="20"/>
  <c r="K11" i="20"/>
  <c r="L11" i="20"/>
  <c r="M11" i="20"/>
  <c r="A12" i="20"/>
  <c r="C12" i="20"/>
  <c r="D12" i="20"/>
  <c r="E12" i="20"/>
  <c r="F12" i="20"/>
  <c r="G12" i="20"/>
  <c r="H12" i="20"/>
  <c r="I12" i="20"/>
  <c r="J12" i="20"/>
  <c r="K12" i="20"/>
  <c r="L12" i="20"/>
  <c r="M12" i="20"/>
  <c r="A13" i="20"/>
  <c r="C13" i="20"/>
  <c r="D13" i="20"/>
  <c r="E13" i="20"/>
  <c r="F13" i="20"/>
  <c r="G13" i="20"/>
  <c r="H13" i="20"/>
  <c r="I13" i="20"/>
  <c r="J13" i="20"/>
  <c r="K13" i="20"/>
  <c r="L13" i="20"/>
  <c r="M13" i="20"/>
  <c r="A14" i="20"/>
  <c r="C14" i="20"/>
  <c r="D14" i="20"/>
  <c r="E14" i="20"/>
  <c r="F14" i="20"/>
  <c r="G14" i="20"/>
  <c r="H14" i="20"/>
  <c r="I14" i="20"/>
  <c r="J14" i="20"/>
  <c r="K14" i="20"/>
  <c r="L14" i="20"/>
  <c r="M14" i="20"/>
  <c r="A15" i="20"/>
  <c r="C15" i="20"/>
  <c r="D15" i="20"/>
  <c r="E15" i="20"/>
  <c r="F15" i="20"/>
  <c r="G15" i="20"/>
  <c r="H15" i="20"/>
  <c r="I15" i="20"/>
  <c r="J15" i="20"/>
  <c r="K15" i="20"/>
  <c r="L15" i="20"/>
  <c r="M15" i="20"/>
  <c r="A16" i="20"/>
  <c r="C16" i="20"/>
  <c r="D16" i="20"/>
  <c r="E16" i="20"/>
  <c r="F16" i="20"/>
  <c r="G16" i="20"/>
  <c r="H16" i="20"/>
  <c r="I16" i="20"/>
  <c r="J16" i="20"/>
  <c r="K16" i="20"/>
  <c r="L16" i="20"/>
  <c r="M16" i="20"/>
  <c r="A17" i="20"/>
  <c r="C17" i="20"/>
  <c r="D17" i="20"/>
  <c r="E17" i="20"/>
  <c r="F17" i="20"/>
  <c r="G17" i="20"/>
  <c r="H17" i="20"/>
  <c r="I17" i="20"/>
  <c r="J17" i="20"/>
  <c r="K17" i="20"/>
  <c r="L17" i="20"/>
  <c r="M17" i="20"/>
  <c r="A18" i="20"/>
  <c r="C18" i="20"/>
  <c r="D18" i="20"/>
  <c r="E18" i="20"/>
  <c r="F18" i="20"/>
  <c r="G18" i="20"/>
  <c r="H18" i="20"/>
  <c r="I18" i="20"/>
  <c r="J18" i="20"/>
  <c r="K18" i="20"/>
  <c r="L18" i="20"/>
  <c r="M18" i="20"/>
  <c r="A19" i="20"/>
  <c r="C19" i="20"/>
  <c r="D19" i="20"/>
  <c r="E19" i="20"/>
  <c r="F19" i="20"/>
  <c r="G19" i="20"/>
  <c r="H19" i="20"/>
  <c r="I19" i="20"/>
  <c r="J19" i="20"/>
  <c r="K19" i="20"/>
  <c r="L19" i="20"/>
  <c r="M19" i="20"/>
  <c r="A20" i="20"/>
  <c r="C20" i="20"/>
  <c r="D20" i="20"/>
  <c r="E20" i="20"/>
  <c r="F20" i="20"/>
  <c r="G20" i="20"/>
  <c r="H20" i="20"/>
  <c r="I20" i="20"/>
  <c r="J20" i="20"/>
  <c r="K20" i="20"/>
  <c r="L20" i="20"/>
  <c r="M20" i="20"/>
  <c r="A21" i="20"/>
  <c r="C21" i="20"/>
  <c r="D21" i="20"/>
  <c r="E21" i="20"/>
  <c r="F21" i="20"/>
  <c r="G21" i="20"/>
  <c r="H21" i="20"/>
  <c r="I21" i="20"/>
  <c r="J21" i="20"/>
  <c r="K21" i="20"/>
  <c r="L21" i="20"/>
  <c r="M21" i="20"/>
  <c r="A22" i="20"/>
  <c r="C22" i="20"/>
  <c r="D22" i="20"/>
  <c r="E22" i="20"/>
  <c r="F22" i="20"/>
  <c r="G22" i="20"/>
  <c r="H22" i="20"/>
  <c r="I22" i="20"/>
  <c r="J22" i="20"/>
  <c r="K22" i="20"/>
  <c r="L22" i="20"/>
  <c r="M22" i="20"/>
  <c r="A23" i="20"/>
  <c r="C23" i="20"/>
  <c r="D23" i="20"/>
  <c r="E23" i="20"/>
  <c r="F23" i="20"/>
  <c r="G23" i="20"/>
  <c r="H23" i="20"/>
  <c r="I23" i="20"/>
  <c r="J23" i="20"/>
  <c r="K23" i="20"/>
  <c r="L23" i="20"/>
  <c r="M23" i="20"/>
  <c r="A24" i="20"/>
  <c r="C24" i="20"/>
  <c r="D24" i="20"/>
  <c r="E24" i="20"/>
  <c r="F24" i="20"/>
  <c r="G24" i="20"/>
  <c r="H24" i="20"/>
  <c r="I24" i="20"/>
  <c r="J24" i="20"/>
  <c r="K24" i="20"/>
  <c r="L24" i="20"/>
  <c r="M24" i="20"/>
  <c r="A4" i="10"/>
  <c r="B4" i="10"/>
  <c r="C4" i="10"/>
  <c r="D4" i="10"/>
  <c r="E4" i="10"/>
  <c r="F4" i="10"/>
  <c r="G4" i="10"/>
  <c r="H4" i="10"/>
  <c r="I4" i="10"/>
  <c r="J4" i="10"/>
  <c r="K4" i="10"/>
  <c r="L4" i="10"/>
  <c r="M4" i="10"/>
  <c r="A5" i="10"/>
  <c r="B5" i="10"/>
  <c r="C5" i="10"/>
  <c r="D5" i="10"/>
  <c r="E5" i="10"/>
  <c r="F5" i="10"/>
  <c r="G5" i="10"/>
  <c r="H5" i="10"/>
  <c r="I5" i="10"/>
  <c r="J5" i="10"/>
  <c r="K5" i="10"/>
  <c r="L5" i="10"/>
  <c r="M5" i="10"/>
  <c r="A6" i="10"/>
  <c r="B6" i="10"/>
  <c r="C6" i="10"/>
  <c r="D6" i="10"/>
  <c r="E6" i="10"/>
  <c r="F6" i="10"/>
  <c r="G6" i="10"/>
  <c r="H6" i="10"/>
  <c r="I6" i="10"/>
  <c r="J6" i="10"/>
  <c r="K6" i="10"/>
  <c r="L6" i="10"/>
  <c r="M6" i="10"/>
  <c r="A7" i="10"/>
  <c r="B7" i="10"/>
  <c r="C7" i="10"/>
  <c r="D7" i="10"/>
  <c r="E7" i="10"/>
  <c r="F7" i="10"/>
  <c r="G7" i="10"/>
  <c r="H7" i="10"/>
  <c r="I7" i="10"/>
  <c r="J7" i="10"/>
  <c r="K7" i="10"/>
  <c r="L7" i="10"/>
  <c r="M7" i="10"/>
  <c r="A8" i="10"/>
  <c r="B8" i="10"/>
  <c r="C8" i="10"/>
  <c r="D8" i="10"/>
  <c r="E8" i="10"/>
  <c r="F8" i="10"/>
  <c r="G8" i="10"/>
  <c r="H8" i="10"/>
  <c r="I8" i="10"/>
  <c r="J8" i="10"/>
  <c r="K8" i="10"/>
  <c r="L8" i="10"/>
  <c r="M8" i="10"/>
  <c r="A9" i="10"/>
  <c r="B9" i="10"/>
  <c r="C9" i="10"/>
  <c r="D9" i="10"/>
  <c r="E9" i="10"/>
  <c r="F9" i="10"/>
  <c r="G9" i="10"/>
  <c r="H9" i="10"/>
  <c r="I9" i="10"/>
  <c r="J9" i="10"/>
  <c r="K9" i="10"/>
  <c r="L9" i="10"/>
  <c r="M9" i="10"/>
  <c r="A10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A11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A12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A13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A14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A15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A16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A17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A18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A19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A20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A21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A22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A23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A24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A4" i="18"/>
  <c r="B4" i="18"/>
  <c r="C4" i="18"/>
  <c r="D4" i="18"/>
  <c r="E4" i="18"/>
  <c r="F4" i="18"/>
  <c r="G4" i="18"/>
  <c r="H4" i="18"/>
  <c r="I4" i="18"/>
  <c r="J4" i="18"/>
  <c r="K4" i="18"/>
  <c r="L4" i="18"/>
  <c r="M4" i="18"/>
  <c r="A5" i="18"/>
  <c r="B5" i="18"/>
  <c r="C5" i="18"/>
  <c r="D5" i="18"/>
  <c r="E5" i="18"/>
  <c r="F5" i="18"/>
  <c r="G5" i="18"/>
  <c r="H5" i="18"/>
  <c r="I5" i="18"/>
  <c r="J5" i="18"/>
  <c r="K5" i="18"/>
  <c r="L5" i="18"/>
  <c r="M5" i="18"/>
  <c r="A6" i="18"/>
  <c r="B6" i="18"/>
  <c r="C6" i="18"/>
  <c r="D6" i="18"/>
  <c r="E6" i="18"/>
  <c r="F6" i="18"/>
  <c r="G6" i="18"/>
  <c r="H6" i="18"/>
  <c r="I6" i="18"/>
  <c r="J6" i="18"/>
  <c r="K6" i="18"/>
  <c r="L6" i="18"/>
  <c r="M6" i="18"/>
  <c r="A7" i="18"/>
  <c r="B7" i="18"/>
  <c r="C7" i="18"/>
  <c r="D7" i="18"/>
  <c r="E7" i="18"/>
  <c r="F7" i="18"/>
  <c r="G7" i="18"/>
  <c r="H7" i="18"/>
  <c r="I7" i="18"/>
  <c r="J7" i="18"/>
  <c r="K7" i="18"/>
  <c r="L7" i="18"/>
  <c r="M7" i="18"/>
  <c r="A8" i="18"/>
  <c r="B8" i="18"/>
  <c r="C8" i="18"/>
  <c r="D8" i="18"/>
  <c r="E8" i="18"/>
  <c r="F8" i="18"/>
  <c r="G8" i="18"/>
  <c r="H8" i="18"/>
  <c r="I8" i="18"/>
  <c r="J8" i="18"/>
  <c r="K8" i="18"/>
  <c r="L8" i="18"/>
  <c r="M8" i="18"/>
  <c r="A9" i="18"/>
  <c r="B9" i="18"/>
  <c r="C9" i="18"/>
  <c r="D9" i="18"/>
  <c r="E9" i="18"/>
  <c r="F9" i="18"/>
  <c r="G9" i="18"/>
  <c r="H9" i="18"/>
  <c r="I9" i="18"/>
  <c r="J9" i="18"/>
  <c r="K9" i="18"/>
  <c r="L9" i="18"/>
  <c r="M9" i="18"/>
  <c r="A10" i="18"/>
  <c r="B10" i="18"/>
  <c r="C10" i="18"/>
  <c r="D10" i="18"/>
  <c r="E10" i="18"/>
  <c r="F10" i="18"/>
  <c r="G10" i="18"/>
  <c r="H10" i="18"/>
  <c r="I10" i="18"/>
  <c r="J10" i="18"/>
  <c r="K10" i="18"/>
  <c r="L10" i="18"/>
  <c r="M10" i="18"/>
  <c r="A11" i="18"/>
  <c r="B11" i="18"/>
  <c r="C11" i="18"/>
  <c r="D11" i="18"/>
  <c r="E11" i="18"/>
  <c r="F11" i="18"/>
  <c r="G11" i="18"/>
  <c r="H11" i="18"/>
  <c r="I11" i="18"/>
  <c r="J11" i="18"/>
  <c r="K11" i="18"/>
  <c r="L11" i="18"/>
  <c r="M11" i="18"/>
  <c r="A12" i="18"/>
  <c r="B12" i="18"/>
  <c r="C12" i="18"/>
  <c r="D12" i="18"/>
  <c r="E12" i="18"/>
  <c r="F12" i="18"/>
  <c r="G12" i="18"/>
  <c r="H12" i="18"/>
  <c r="I12" i="18"/>
  <c r="J12" i="18"/>
  <c r="K12" i="18"/>
  <c r="L12" i="18"/>
  <c r="M12" i="18"/>
  <c r="A13" i="18"/>
  <c r="B13" i="18"/>
  <c r="C13" i="18"/>
  <c r="D13" i="18"/>
  <c r="E13" i="18"/>
  <c r="F13" i="18"/>
  <c r="G13" i="18"/>
  <c r="H13" i="18"/>
  <c r="I13" i="18"/>
  <c r="J13" i="18"/>
  <c r="K13" i="18"/>
  <c r="L13" i="18"/>
  <c r="M13" i="18"/>
  <c r="A14" i="18"/>
  <c r="B14" i="18"/>
  <c r="C14" i="18"/>
  <c r="D14" i="18"/>
  <c r="E14" i="18"/>
  <c r="F14" i="18"/>
  <c r="G14" i="18"/>
  <c r="H14" i="18"/>
  <c r="I14" i="18"/>
  <c r="J14" i="18"/>
  <c r="K14" i="18"/>
  <c r="L14" i="18"/>
  <c r="M14" i="18"/>
  <c r="A15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A16" i="18"/>
  <c r="B16" i="18"/>
  <c r="C16" i="18"/>
  <c r="D16" i="18"/>
  <c r="E16" i="18"/>
  <c r="F16" i="18"/>
  <c r="G16" i="18"/>
  <c r="H16" i="18"/>
  <c r="I16" i="18"/>
  <c r="J16" i="18"/>
  <c r="K16" i="18"/>
  <c r="L16" i="18"/>
  <c r="M16" i="18"/>
  <c r="A17" i="18"/>
  <c r="B17" i="18"/>
  <c r="C17" i="18"/>
  <c r="D17" i="18"/>
  <c r="E17" i="18"/>
  <c r="F17" i="18"/>
  <c r="G17" i="18"/>
  <c r="H17" i="18"/>
  <c r="I17" i="18"/>
  <c r="J17" i="18"/>
  <c r="K17" i="18"/>
  <c r="L17" i="18"/>
  <c r="M17" i="18"/>
  <c r="A18" i="18"/>
  <c r="B18" i="18"/>
  <c r="C18" i="18"/>
  <c r="D18" i="18"/>
  <c r="E18" i="18"/>
  <c r="F18" i="18"/>
  <c r="G18" i="18"/>
  <c r="H18" i="18"/>
  <c r="I18" i="18"/>
  <c r="J18" i="18"/>
  <c r="K18" i="18"/>
  <c r="L18" i="18"/>
  <c r="M18" i="18"/>
  <c r="A19" i="18"/>
  <c r="B19" i="18"/>
  <c r="C19" i="18"/>
  <c r="D19" i="18"/>
  <c r="E19" i="18"/>
  <c r="F19" i="18"/>
  <c r="G19" i="18"/>
  <c r="H19" i="18"/>
  <c r="I19" i="18"/>
  <c r="J19" i="18"/>
  <c r="K19" i="18"/>
  <c r="L19" i="18"/>
  <c r="M19" i="18"/>
  <c r="A20" i="18"/>
  <c r="B20" i="18"/>
  <c r="C20" i="18"/>
  <c r="D20" i="18"/>
  <c r="E20" i="18"/>
  <c r="F20" i="18"/>
  <c r="G20" i="18"/>
  <c r="H20" i="18"/>
  <c r="I20" i="18"/>
  <c r="J20" i="18"/>
  <c r="K20" i="18"/>
  <c r="L20" i="18"/>
  <c r="M20" i="18"/>
  <c r="A21" i="18"/>
  <c r="B21" i="18"/>
  <c r="C21" i="18"/>
  <c r="D21" i="18"/>
  <c r="E21" i="18"/>
  <c r="F21" i="18"/>
  <c r="G21" i="18"/>
  <c r="H21" i="18"/>
  <c r="I21" i="18"/>
  <c r="J21" i="18"/>
  <c r="K21" i="18"/>
  <c r="L21" i="18"/>
  <c r="M21" i="18"/>
  <c r="A22" i="18"/>
  <c r="B22" i="18"/>
  <c r="C22" i="18"/>
  <c r="D22" i="18"/>
  <c r="E22" i="18"/>
  <c r="F22" i="18"/>
  <c r="G22" i="18"/>
  <c r="H22" i="18"/>
  <c r="I22" i="18"/>
  <c r="J22" i="18"/>
  <c r="K22" i="18"/>
  <c r="L22" i="18"/>
  <c r="M22" i="18"/>
  <c r="A23" i="18"/>
  <c r="B23" i="18"/>
  <c r="C23" i="18"/>
  <c r="D23" i="18"/>
  <c r="E23" i="18"/>
  <c r="F23" i="18"/>
  <c r="G23" i="18"/>
  <c r="H23" i="18"/>
  <c r="I23" i="18"/>
  <c r="J23" i="18"/>
  <c r="K23" i="18"/>
  <c r="L23" i="18"/>
  <c r="M23" i="18"/>
  <c r="A24" i="18"/>
  <c r="B24" i="18"/>
  <c r="C24" i="18"/>
  <c r="D24" i="18"/>
  <c r="E24" i="18"/>
  <c r="F24" i="18"/>
  <c r="G24" i="18"/>
  <c r="H24" i="18"/>
  <c r="I24" i="18"/>
  <c r="J24" i="18"/>
  <c r="K24" i="18"/>
  <c r="L24" i="18"/>
  <c r="M24" i="18"/>
  <c r="A4" i="26"/>
  <c r="B4" i="26"/>
  <c r="C4" i="26"/>
  <c r="D4" i="26"/>
  <c r="E4" i="26"/>
  <c r="F4" i="26"/>
  <c r="G4" i="26"/>
  <c r="H4" i="26"/>
  <c r="I4" i="26"/>
  <c r="J4" i="26"/>
  <c r="K4" i="26"/>
  <c r="L4" i="26"/>
  <c r="M4" i="26"/>
  <c r="A5" i="26"/>
  <c r="B5" i="26"/>
  <c r="C5" i="26"/>
  <c r="D5" i="26"/>
  <c r="E5" i="26"/>
  <c r="F5" i="26"/>
  <c r="G5" i="26"/>
  <c r="H5" i="26"/>
  <c r="I5" i="26"/>
  <c r="J5" i="26"/>
  <c r="K5" i="26"/>
  <c r="L5" i="26"/>
  <c r="M5" i="26"/>
  <c r="A6" i="26"/>
  <c r="B6" i="26"/>
  <c r="C6" i="26"/>
  <c r="D6" i="26"/>
  <c r="E6" i="26"/>
  <c r="F6" i="26"/>
  <c r="G6" i="26"/>
  <c r="H6" i="26"/>
  <c r="I6" i="26"/>
  <c r="J6" i="26"/>
  <c r="K6" i="26"/>
  <c r="L6" i="26"/>
  <c r="M6" i="26"/>
  <c r="A7" i="26"/>
  <c r="B7" i="26"/>
  <c r="C7" i="26"/>
  <c r="D7" i="26"/>
  <c r="E7" i="26"/>
  <c r="F7" i="26"/>
  <c r="G7" i="26"/>
  <c r="H7" i="26"/>
  <c r="I7" i="26"/>
  <c r="J7" i="26"/>
  <c r="K7" i="26"/>
  <c r="L7" i="26"/>
  <c r="M7" i="26"/>
  <c r="A8" i="26"/>
  <c r="B8" i="26"/>
  <c r="C8" i="26"/>
  <c r="D8" i="26"/>
  <c r="E8" i="26"/>
  <c r="F8" i="26"/>
  <c r="G8" i="26"/>
  <c r="H8" i="26"/>
  <c r="I8" i="26"/>
  <c r="J8" i="26"/>
  <c r="K8" i="26"/>
  <c r="L8" i="26"/>
  <c r="M8" i="26"/>
  <c r="A9" i="26"/>
  <c r="B9" i="26"/>
  <c r="C9" i="26"/>
  <c r="D9" i="26"/>
  <c r="E9" i="26"/>
  <c r="F9" i="26"/>
  <c r="G9" i="26"/>
  <c r="H9" i="26"/>
  <c r="I9" i="26"/>
  <c r="J9" i="26"/>
  <c r="K9" i="26"/>
  <c r="L9" i="26"/>
  <c r="M9" i="26"/>
  <c r="A10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A11" i="26"/>
  <c r="B11" i="26"/>
  <c r="C11" i="26"/>
  <c r="D11" i="26"/>
  <c r="E11" i="26"/>
  <c r="F11" i="26"/>
  <c r="G11" i="26"/>
  <c r="H11" i="26"/>
  <c r="I11" i="26"/>
  <c r="J11" i="26"/>
  <c r="K11" i="26"/>
  <c r="L11" i="26"/>
  <c r="M11" i="26"/>
  <c r="A12" i="26"/>
  <c r="B12" i="26"/>
  <c r="C12" i="26"/>
  <c r="D12" i="26"/>
  <c r="E12" i="26"/>
  <c r="F12" i="26"/>
  <c r="G12" i="26"/>
  <c r="H12" i="26"/>
  <c r="I12" i="26"/>
  <c r="J12" i="26"/>
  <c r="K12" i="26"/>
  <c r="L12" i="26"/>
  <c r="M12" i="26"/>
  <c r="A13" i="26"/>
  <c r="B13" i="26"/>
  <c r="C13" i="26"/>
  <c r="D13" i="26"/>
  <c r="E13" i="26"/>
  <c r="F13" i="26"/>
  <c r="G13" i="26"/>
  <c r="H13" i="26"/>
  <c r="I13" i="26"/>
  <c r="J13" i="26"/>
  <c r="K13" i="26"/>
  <c r="L13" i="26"/>
  <c r="M13" i="26"/>
  <c r="A14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A15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A16" i="26"/>
  <c r="B16" i="26"/>
  <c r="C16" i="26"/>
  <c r="D16" i="26"/>
  <c r="E16" i="26"/>
  <c r="F16" i="26"/>
  <c r="G16" i="26"/>
  <c r="H16" i="26"/>
  <c r="I16" i="26"/>
  <c r="J16" i="26"/>
  <c r="K16" i="26"/>
  <c r="L16" i="26"/>
  <c r="M16" i="26"/>
  <c r="A17" i="26"/>
  <c r="B17" i="26"/>
  <c r="C17" i="26"/>
  <c r="D17" i="26"/>
  <c r="E17" i="26"/>
  <c r="F17" i="26"/>
  <c r="G17" i="26"/>
  <c r="H17" i="26"/>
  <c r="I17" i="26"/>
  <c r="J17" i="26"/>
  <c r="K17" i="26"/>
  <c r="L17" i="26"/>
  <c r="M17" i="26"/>
  <c r="A18" i="26"/>
  <c r="B18" i="26"/>
  <c r="C18" i="26"/>
  <c r="D18" i="26"/>
  <c r="E18" i="26"/>
  <c r="F18" i="26"/>
  <c r="G18" i="26"/>
  <c r="H18" i="26"/>
  <c r="I18" i="26"/>
  <c r="J18" i="26"/>
  <c r="K18" i="26"/>
  <c r="L18" i="26"/>
  <c r="M18" i="26"/>
  <c r="A19" i="26"/>
  <c r="B19" i="26"/>
  <c r="C19" i="26"/>
  <c r="D19" i="26"/>
  <c r="E19" i="26"/>
  <c r="F19" i="26"/>
  <c r="G19" i="26"/>
  <c r="H19" i="26"/>
  <c r="I19" i="26"/>
  <c r="J19" i="26"/>
  <c r="K19" i="26"/>
  <c r="L19" i="26"/>
  <c r="M19" i="26"/>
  <c r="A20" i="26"/>
  <c r="B20" i="26"/>
  <c r="C20" i="26"/>
  <c r="D20" i="26"/>
  <c r="E20" i="26"/>
  <c r="F20" i="26"/>
  <c r="G20" i="26"/>
  <c r="H20" i="26"/>
  <c r="I20" i="26"/>
  <c r="J20" i="26"/>
  <c r="K20" i="26"/>
  <c r="L20" i="26"/>
  <c r="M20" i="26"/>
  <c r="A21" i="26"/>
  <c r="B21" i="26"/>
  <c r="C21" i="26"/>
  <c r="D21" i="26"/>
  <c r="E21" i="26"/>
  <c r="F21" i="26"/>
  <c r="G21" i="26"/>
  <c r="H21" i="26"/>
  <c r="I21" i="26"/>
  <c r="J21" i="26"/>
  <c r="K21" i="26"/>
  <c r="L21" i="26"/>
  <c r="M21" i="26"/>
  <c r="A22" i="26"/>
  <c r="B22" i="26"/>
  <c r="C22" i="26"/>
  <c r="D22" i="26"/>
  <c r="E22" i="26"/>
  <c r="F22" i="26"/>
  <c r="G22" i="26"/>
  <c r="H22" i="26"/>
  <c r="I22" i="26"/>
  <c r="J22" i="26"/>
  <c r="K22" i="26"/>
  <c r="L22" i="26"/>
  <c r="M22" i="26"/>
  <c r="A23" i="26"/>
  <c r="B23" i="26"/>
  <c r="C23" i="26"/>
  <c r="D23" i="26"/>
  <c r="E23" i="26"/>
  <c r="F23" i="26"/>
  <c r="G23" i="26"/>
  <c r="H23" i="26"/>
  <c r="I23" i="26"/>
  <c r="J23" i="26"/>
  <c r="K23" i="26"/>
  <c r="L23" i="26"/>
  <c r="M23" i="26"/>
  <c r="A24" i="26"/>
  <c r="B24" i="26"/>
  <c r="C24" i="26"/>
  <c r="D24" i="26"/>
  <c r="E24" i="26"/>
  <c r="F24" i="26"/>
  <c r="G24" i="26"/>
  <c r="H24" i="26"/>
  <c r="I24" i="26"/>
  <c r="J24" i="26"/>
  <c r="K24" i="26"/>
  <c r="L24" i="26"/>
  <c r="M24" i="26"/>
  <c r="A4" i="46"/>
  <c r="B4" i="46"/>
  <c r="C4" i="46"/>
  <c r="D4" i="46"/>
  <c r="E4" i="46"/>
  <c r="F4" i="46"/>
  <c r="G4" i="46"/>
  <c r="H4" i="46"/>
  <c r="I4" i="46"/>
  <c r="J4" i="46"/>
  <c r="K4" i="46"/>
  <c r="L4" i="46"/>
  <c r="M4" i="46"/>
  <c r="A5" i="46"/>
  <c r="B5" i="46"/>
  <c r="C5" i="46"/>
  <c r="D5" i="46"/>
  <c r="E5" i="46"/>
  <c r="F5" i="46"/>
  <c r="G5" i="46"/>
  <c r="H5" i="46"/>
  <c r="I5" i="46"/>
  <c r="J5" i="46"/>
  <c r="K5" i="46"/>
  <c r="L5" i="46"/>
  <c r="M5" i="46"/>
  <c r="A6" i="46"/>
  <c r="B6" i="46"/>
  <c r="C6" i="46"/>
  <c r="D6" i="46"/>
  <c r="E6" i="46"/>
  <c r="F6" i="46"/>
  <c r="G6" i="46"/>
  <c r="H6" i="46"/>
  <c r="I6" i="46"/>
  <c r="J6" i="46"/>
  <c r="K6" i="46"/>
  <c r="L6" i="46"/>
  <c r="M6" i="46"/>
  <c r="A7" i="46"/>
  <c r="B7" i="46"/>
  <c r="C7" i="46"/>
  <c r="D7" i="46"/>
  <c r="E7" i="46"/>
  <c r="F7" i="46"/>
  <c r="G7" i="46"/>
  <c r="H7" i="46"/>
  <c r="I7" i="46"/>
  <c r="J7" i="46"/>
  <c r="K7" i="46"/>
  <c r="L7" i="46"/>
  <c r="M7" i="46"/>
  <c r="A8" i="46"/>
  <c r="B8" i="46"/>
  <c r="C8" i="46"/>
  <c r="D8" i="46"/>
  <c r="E8" i="46"/>
  <c r="F8" i="46"/>
  <c r="G8" i="46"/>
  <c r="H8" i="46"/>
  <c r="I8" i="46"/>
  <c r="J8" i="46"/>
  <c r="K8" i="46"/>
  <c r="L8" i="46"/>
  <c r="M8" i="46"/>
  <c r="A9" i="46"/>
  <c r="B9" i="46"/>
  <c r="C9" i="46"/>
  <c r="D9" i="46"/>
  <c r="E9" i="46"/>
  <c r="F9" i="46"/>
  <c r="G9" i="46"/>
  <c r="H9" i="46"/>
  <c r="I9" i="46"/>
  <c r="J9" i="46"/>
  <c r="K9" i="46"/>
  <c r="L9" i="46"/>
  <c r="M9" i="46"/>
  <c r="A10" i="46"/>
  <c r="B10" i="46"/>
  <c r="C10" i="46"/>
  <c r="D10" i="46"/>
  <c r="E10" i="46"/>
  <c r="F10" i="46"/>
  <c r="G10" i="46"/>
  <c r="H10" i="46"/>
  <c r="I10" i="46"/>
  <c r="J10" i="46"/>
  <c r="K10" i="46"/>
  <c r="L10" i="46"/>
  <c r="M10" i="46"/>
  <c r="A11" i="46"/>
  <c r="B11" i="46"/>
  <c r="C11" i="46"/>
  <c r="D11" i="46"/>
  <c r="E11" i="46"/>
  <c r="F11" i="46"/>
  <c r="G11" i="46"/>
  <c r="H11" i="46"/>
  <c r="I11" i="46"/>
  <c r="J11" i="46"/>
  <c r="K11" i="46"/>
  <c r="L11" i="46"/>
  <c r="M11" i="46"/>
  <c r="A12" i="46"/>
  <c r="B12" i="46"/>
  <c r="C12" i="46"/>
  <c r="D12" i="46"/>
  <c r="E12" i="46"/>
  <c r="F12" i="46"/>
  <c r="G12" i="46"/>
  <c r="H12" i="46"/>
  <c r="I12" i="46"/>
  <c r="J12" i="46"/>
  <c r="K12" i="46"/>
  <c r="L12" i="46"/>
  <c r="M12" i="46"/>
  <c r="A13" i="46"/>
  <c r="B13" i="46"/>
  <c r="C13" i="46"/>
  <c r="D13" i="46"/>
  <c r="E13" i="46"/>
  <c r="F13" i="46"/>
  <c r="G13" i="46"/>
  <c r="H13" i="46"/>
  <c r="I13" i="46"/>
  <c r="J13" i="46"/>
  <c r="K13" i="46"/>
  <c r="L13" i="46"/>
  <c r="M13" i="46"/>
  <c r="A14" i="46"/>
  <c r="B14" i="46"/>
  <c r="C14" i="46"/>
  <c r="D14" i="46"/>
  <c r="E14" i="46"/>
  <c r="F14" i="46"/>
  <c r="G14" i="46"/>
  <c r="H14" i="46"/>
  <c r="I14" i="46"/>
  <c r="J14" i="46"/>
  <c r="K14" i="46"/>
  <c r="L14" i="46"/>
  <c r="M14" i="46"/>
  <c r="A15" i="46"/>
  <c r="B15" i="46"/>
  <c r="C15" i="46"/>
  <c r="D15" i="46"/>
  <c r="E15" i="46"/>
  <c r="F15" i="46"/>
  <c r="G15" i="46"/>
  <c r="H15" i="46"/>
  <c r="I15" i="46"/>
  <c r="J15" i="46"/>
  <c r="K15" i="46"/>
  <c r="L15" i="46"/>
  <c r="M15" i="46"/>
  <c r="A16" i="46"/>
  <c r="B16" i="46"/>
  <c r="C16" i="46"/>
  <c r="D16" i="46"/>
  <c r="E16" i="46"/>
  <c r="F16" i="46"/>
  <c r="G16" i="46"/>
  <c r="H16" i="46"/>
  <c r="I16" i="46"/>
  <c r="J16" i="46"/>
  <c r="K16" i="46"/>
  <c r="L16" i="46"/>
  <c r="M16" i="46"/>
  <c r="A17" i="46"/>
  <c r="B17" i="46"/>
  <c r="C17" i="46"/>
  <c r="D17" i="46"/>
  <c r="E17" i="46"/>
  <c r="F17" i="46"/>
  <c r="G17" i="46"/>
  <c r="H17" i="46"/>
  <c r="I17" i="46"/>
  <c r="J17" i="46"/>
  <c r="K17" i="46"/>
  <c r="L17" i="46"/>
  <c r="M17" i="46"/>
  <c r="A18" i="46"/>
  <c r="B18" i="46"/>
  <c r="C18" i="46"/>
  <c r="D18" i="46"/>
  <c r="E18" i="46"/>
  <c r="F18" i="46"/>
  <c r="G18" i="46"/>
  <c r="H18" i="46"/>
  <c r="I18" i="46"/>
  <c r="J18" i="46"/>
  <c r="K18" i="46"/>
  <c r="L18" i="46"/>
  <c r="M18" i="46"/>
  <c r="A19" i="46"/>
  <c r="B19" i="46"/>
  <c r="C19" i="46"/>
  <c r="D19" i="46"/>
  <c r="E19" i="46"/>
  <c r="F19" i="46"/>
  <c r="G19" i="46"/>
  <c r="H19" i="46"/>
  <c r="I19" i="46"/>
  <c r="J19" i="46"/>
  <c r="K19" i="46"/>
  <c r="L19" i="46"/>
  <c r="M19" i="46"/>
  <c r="A20" i="46"/>
  <c r="B20" i="46"/>
  <c r="C20" i="46"/>
  <c r="D20" i="46"/>
  <c r="E20" i="46"/>
  <c r="F20" i="46"/>
  <c r="G20" i="46"/>
  <c r="H20" i="46"/>
  <c r="I20" i="46"/>
  <c r="J20" i="46"/>
  <c r="K20" i="46"/>
  <c r="L20" i="46"/>
  <c r="M20" i="46"/>
  <c r="A21" i="46"/>
  <c r="B21" i="46"/>
  <c r="C21" i="46"/>
  <c r="D21" i="46"/>
  <c r="E21" i="46"/>
  <c r="F21" i="46"/>
  <c r="G21" i="46"/>
  <c r="H21" i="46"/>
  <c r="I21" i="46"/>
  <c r="J21" i="46"/>
  <c r="K21" i="46"/>
  <c r="L21" i="46"/>
  <c r="M21" i="46"/>
  <c r="A22" i="46"/>
  <c r="B22" i="46"/>
  <c r="C22" i="46"/>
  <c r="D22" i="46"/>
  <c r="E22" i="46"/>
  <c r="F22" i="46"/>
  <c r="G22" i="46"/>
  <c r="H22" i="46"/>
  <c r="I22" i="46"/>
  <c r="J22" i="46"/>
  <c r="K22" i="46"/>
  <c r="L22" i="46"/>
  <c r="M22" i="46"/>
  <c r="A23" i="46"/>
  <c r="B23" i="46"/>
  <c r="C23" i="46"/>
  <c r="D23" i="46"/>
  <c r="E23" i="46"/>
  <c r="F23" i="46"/>
  <c r="G23" i="46"/>
  <c r="H23" i="46"/>
  <c r="I23" i="46"/>
  <c r="J23" i="46"/>
  <c r="K23" i="46"/>
  <c r="L23" i="46"/>
  <c r="M23" i="46"/>
  <c r="A24" i="46"/>
  <c r="B24" i="46"/>
  <c r="C24" i="46"/>
  <c r="D24" i="46"/>
  <c r="E24" i="46"/>
  <c r="F24" i="46"/>
  <c r="G24" i="46"/>
  <c r="H24" i="46"/>
  <c r="I24" i="46"/>
  <c r="J24" i="46"/>
  <c r="K24" i="46"/>
  <c r="L24" i="46"/>
  <c r="M24" i="46"/>
  <c r="A4" i="30"/>
  <c r="C4" i="30"/>
  <c r="D4" i="30"/>
  <c r="E4" i="30"/>
  <c r="F4" i="30"/>
  <c r="G4" i="30"/>
  <c r="H4" i="30"/>
  <c r="I4" i="30"/>
  <c r="J4" i="30"/>
  <c r="K4" i="30"/>
  <c r="L4" i="30"/>
  <c r="M4" i="30"/>
  <c r="A5" i="30"/>
  <c r="C5" i="30"/>
  <c r="D5" i="30"/>
  <c r="E5" i="30"/>
  <c r="F5" i="30"/>
  <c r="G5" i="30"/>
  <c r="H5" i="30"/>
  <c r="I5" i="30"/>
  <c r="J5" i="30"/>
  <c r="K5" i="30"/>
  <c r="L5" i="30"/>
  <c r="M5" i="30"/>
  <c r="A6" i="30"/>
  <c r="C6" i="30"/>
  <c r="D6" i="30"/>
  <c r="E6" i="30"/>
  <c r="F6" i="30"/>
  <c r="G6" i="30"/>
  <c r="H6" i="30"/>
  <c r="I6" i="30"/>
  <c r="J6" i="30"/>
  <c r="K6" i="30"/>
  <c r="L6" i="30"/>
  <c r="M6" i="30"/>
  <c r="A7" i="30"/>
  <c r="C7" i="30"/>
  <c r="D7" i="30"/>
  <c r="E7" i="30"/>
  <c r="F7" i="30"/>
  <c r="G7" i="30"/>
  <c r="H7" i="30"/>
  <c r="I7" i="30"/>
  <c r="J7" i="30"/>
  <c r="K7" i="30"/>
  <c r="L7" i="30"/>
  <c r="M7" i="30"/>
  <c r="A8" i="30"/>
  <c r="C8" i="30"/>
  <c r="D8" i="30"/>
  <c r="E8" i="30"/>
  <c r="F8" i="30"/>
  <c r="G8" i="30"/>
  <c r="H8" i="30"/>
  <c r="I8" i="30"/>
  <c r="J8" i="30"/>
  <c r="K8" i="30"/>
  <c r="L8" i="30"/>
  <c r="M8" i="30"/>
  <c r="A9" i="30"/>
  <c r="C9" i="30"/>
  <c r="D9" i="30"/>
  <c r="E9" i="30"/>
  <c r="F9" i="30"/>
  <c r="G9" i="30"/>
  <c r="H9" i="30"/>
  <c r="I9" i="30"/>
  <c r="J9" i="30"/>
  <c r="K9" i="30"/>
  <c r="L9" i="30"/>
  <c r="M9" i="30"/>
  <c r="A10" i="30"/>
  <c r="C10" i="30"/>
  <c r="D10" i="30"/>
  <c r="E10" i="30"/>
  <c r="F10" i="30"/>
  <c r="G10" i="30"/>
  <c r="H10" i="30"/>
  <c r="I10" i="30"/>
  <c r="J10" i="30"/>
  <c r="K10" i="30"/>
  <c r="L10" i="30"/>
  <c r="M10" i="30"/>
  <c r="A11" i="30"/>
  <c r="C11" i="30"/>
  <c r="D11" i="30"/>
  <c r="E11" i="30"/>
  <c r="F11" i="30"/>
  <c r="G11" i="30"/>
  <c r="H11" i="30"/>
  <c r="I11" i="30"/>
  <c r="J11" i="30"/>
  <c r="K11" i="30"/>
  <c r="L11" i="30"/>
  <c r="M11" i="30"/>
  <c r="A12" i="30"/>
  <c r="C12" i="30"/>
  <c r="D12" i="30"/>
  <c r="E12" i="30"/>
  <c r="F12" i="30"/>
  <c r="G12" i="30"/>
  <c r="H12" i="30"/>
  <c r="I12" i="30"/>
  <c r="J12" i="30"/>
  <c r="K12" i="30"/>
  <c r="L12" i="30"/>
  <c r="M12" i="30"/>
  <c r="A13" i="30"/>
  <c r="C13" i="30"/>
  <c r="D13" i="30"/>
  <c r="E13" i="30"/>
  <c r="F13" i="30"/>
  <c r="G13" i="30"/>
  <c r="H13" i="30"/>
  <c r="I13" i="30"/>
  <c r="J13" i="30"/>
  <c r="K13" i="30"/>
  <c r="L13" i="30"/>
  <c r="M13" i="30"/>
  <c r="A14" i="30"/>
  <c r="C14" i="30"/>
  <c r="D14" i="30"/>
  <c r="E14" i="30"/>
  <c r="F14" i="30"/>
  <c r="G14" i="30"/>
  <c r="H14" i="30"/>
  <c r="I14" i="30"/>
  <c r="J14" i="30"/>
  <c r="K14" i="30"/>
  <c r="L14" i="30"/>
  <c r="M14" i="30"/>
  <c r="A15" i="30"/>
  <c r="C15" i="30"/>
  <c r="D15" i="30"/>
  <c r="E15" i="30"/>
  <c r="F15" i="30"/>
  <c r="G15" i="30"/>
  <c r="H15" i="30"/>
  <c r="I15" i="30"/>
  <c r="J15" i="30"/>
  <c r="K15" i="30"/>
  <c r="L15" i="30"/>
  <c r="M15" i="30"/>
  <c r="A16" i="30"/>
  <c r="C16" i="30"/>
  <c r="D16" i="30"/>
  <c r="E16" i="30"/>
  <c r="F16" i="30"/>
  <c r="G16" i="30"/>
  <c r="H16" i="30"/>
  <c r="I16" i="30"/>
  <c r="J16" i="30"/>
  <c r="K16" i="30"/>
  <c r="L16" i="30"/>
  <c r="M16" i="30"/>
  <c r="A17" i="30"/>
  <c r="C17" i="30"/>
  <c r="D17" i="30"/>
  <c r="E17" i="30"/>
  <c r="F17" i="30"/>
  <c r="G17" i="30"/>
  <c r="H17" i="30"/>
  <c r="I17" i="30"/>
  <c r="J17" i="30"/>
  <c r="K17" i="30"/>
  <c r="L17" i="30"/>
  <c r="M17" i="30"/>
  <c r="A18" i="30"/>
  <c r="C18" i="30"/>
  <c r="D18" i="30"/>
  <c r="E18" i="30"/>
  <c r="F18" i="30"/>
  <c r="G18" i="30"/>
  <c r="H18" i="30"/>
  <c r="I18" i="30"/>
  <c r="J18" i="30"/>
  <c r="K18" i="30"/>
  <c r="L18" i="30"/>
  <c r="M18" i="30"/>
  <c r="A19" i="30"/>
  <c r="C19" i="30"/>
  <c r="D19" i="30"/>
  <c r="E19" i="30"/>
  <c r="F19" i="30"/>
  <c r="G19" i="30"/>
  <c r="H19" i="30"/>
  <c r="I19" i="30"/>
  <c r="J19" i="30"/>
  <c r="K19" i="30"/>
  <c r="L19" i="30"/>
  <c r="M19" i="30"/>
  <c r="A20" i="30"/>
  <c r="C20" i="30"/>
  <c r="D20" i="30"/>
  <c r="E20" i="30"/>
  <c r="F20" i="30"/>
  <c r="G20" i="30"/>
  <c r="H20" i="30"/>
  <c r="I20" i="30"/>
  <c r="J20" i="30"/>
  <c r="K20" i="30"/>
  <c r="L20" i="30"/>
  <c r="M20" i="30"/>
  <c r="A21" i="30"/>
  <c r="C21" i="30"/>
  <c r="D21" i="30"/>
  <c r="E21" i="30"/>
  <c r="F21" i="30"/>
  <c r="G21" i="30"/>
  <c r="H21" i="30"/>
  <c r="I21" i="30"/>
  <c r="J21" i="30"/>
  <c r="K21" i="30"/>
  <c r="L21" i="30"/>
  <c r="M21" i="30"/>
  <c r="A22" i="30"/>
  <c r="C22" i="30"/>
  <c r="D22" i="30"/>
  <c r="E22" i="30"/>
  <c r="F22" i="30"/>
  <c r="G22" i="30"/>
  <c r="H22" i="30"/>
  <c r="I22" i="30"/>
  <c r="J22" i="30"/>
  <c r="K22" i="30"/>
  <c r="L22" i="30"/>
  <c r="M22" i="30"/>
  <c r="A23" i="30"/>
  <c r="C23" i="30"/>
  <c r="D23" i="30"/>
  <c r="E23" i="30"/>
  <c r="F23" i="30"/>
  <c r="G23" i="30"/>
  <c r="H23" i="30"/>
  <c r="I23" i="30"/>
  <c r="J23" i="30"/>
  <c r="K23" i="30"/>
  <c r="L23" i="30"/>
  <c r="M23" i="30"/>
  <c r="A24" i="30"/>
  <c r="C24" i="30"/>
  <c r="D24" i="30"/>
  <c r="E24" i="30"/>
  <c r="F24" i="30"/>
  <c r="G24" i="30"/>
  <c r="H24" i="30"/>
  <c r="I24" i="30"/>
  <c r="J24" i="30"/>
  <c r="K24" i="30"/>
  <c r="L24" i="30"/>
  <c r="M24" i="30"/>
  <c r="C28" i="30"/>
  <c r="A4" i="48"/>
  <c r="B4" i="48"/>
  <c r="C4" i="48"/>
  <c r="D4" i="48"/>
  <c r="E4" i="48"/>
  <c r="F4" i="48"/>
  <c r="G4" i="48"/>
  <c r="H4" i="48"/>
  <c r="I4" i="48"/>
  <c r="J4" i="48"/>
  <c r="K4" i="48"/>
  <c r="L4" i="48"/>
  <c r="M4" i="48"/>
  <c r="A5" i="48"/>
  <c r="B5" i="48"/>
  <c r="C5" i="48"/>
  <c r="D5" i="48"/>
  <c r="E5" i="48"/>
  <c r="F5" i="48"/>
  <c r="G5" i="48"/>
  <c r="H5" i="48"/>
  <c r="I5" i="48"/>
  <c r="J5" i="48"/>
  <c r="K5" i="48"/>
  <c r="L5" i="48"/>
  <c r="M5" i="48"/>
  <c r="A6" i="48"/>
  <c r="B6" i="48"/>
  <c r="C6" i="48"/>
  <c r="D6" i="48"/>
  <c r="E6" i="48"/>
  <c r="F6" i="48"/>
  <c r="G6" i="48"/>
  <c r="H6" i="48"/>
  <c r="I6" i="48"/>
  <c r="J6" i="48"/>
  <c r="K6" i="48"/>
  <c r="L6" i="48"/>
  <c r="M6" i="48"/>
  <c r="A7" i="48"/>
  <c r="B7" i="48"/>
  <c r="C7" i="48"/>
  <c r="D7" i="48"/>
  <c r="E7" i="48"/>
  <c r="F7" i="48"/>
  <c r="G7" i="48"/>
  <c r="H7" i="48"/>
  <c r="I7" i="48"/>
  <c r="J7" i="48"/>
  <c r="K7" i="48"/>
  <c r="L7" i="48"/>
  <c r="M7" i="48"/>
  <c r="A8" i="48"/>
  <c r="B8" i="48"/>
  <c r="C8" i="48"/>
  <c r="D8" i="48"/>
  <c r="E8" i="48"/>
  <c r="F8" i="48"/>
  <c r="G8" i="48"/>
  <c r="H8" i="48"/>
  <c r="I8" i="48"/>
  <c r="J8" i="48"/>
  <c r="K8" i="48"/>
  <c r="L8" i="48"/>
  <c r="M8" i="48"/>
  <c r="A9" i="48"/>
  <c r="B9" i="48"/>
  <c r="C9" i="48"/>
  <c r="D9" i="48"/>
  <c r="E9" i="48"/>
  <c r="F9" i="48"/>
  <c r="G9" i="48"/>
  <c r="H9" i="48"/>
  <c r="I9" i="48"/>
  <c r="J9" i="48"/>
  <c r="K9" i="48"/>
  <c r="L9" i="48"/>
  <c r="M9" i="48"/>
  <c r="A10" i="48"/>
  <c r="B10" i="48"/>
  <c r="C10" i="48"/>
  <c r="D10" i="48"/>
  <c r="E10" i="48"/>
  <c r="F10" i="48"/>
  <c r="G10" i="48"/>
  <c r="H10" i="48"/>
  <c r="I10" i="48"/>
  <c r="J10" i="48"/>
  <c r="K10" i="48"/>
  <c r="L10" i="48"/>
  <c r="M10" i="48"/>
  <c r="A11" i="48"/>
  <c r="B11" i="48"/>
  <c r="C11" i="48"/>
  <c r="D11" i="48"/>
  <c r="E11" i="48"/>
  <c r="F11" i="48"/>
  <c r="G11" i="48"/>
  <c r="H11" i="48"/>
  <c r="I11" i="48"/>
  <c r="J11" i="48"/>
  <c r="K11" i="48"/>
  <c r="L11" i="48"/>
  <c r="M11" i="48"/>
  <c r="A12" i="48"/>
  <c r="B12" i="48"/>
  <c r="C12" i="48"/>
  <c r="D12" i="48"/>
  <c r="E12" i="48"/>
  <c r="F12" i="48"/>
  <c r="G12" i="48"/>
  <c r="H12" i="48"/>
  <c r="I12" i="48"/>
  <c r="J12" i="48"/>
  <c r="K12" i="48"/>
  <c r="L12" i="48"/>
  <c r="M12" i="48"/>
  <c r="A13" i="48"/>
  <c r="B13" i="48"/>
  <c r="C13" i="48"/>
  <c r="D13" i="48"/>
  <c r="E13" i="48"/>
  <c r="F13" i="48"/>
  <c r="G13" i="48"/>
  <c r="H13" i="48"/>
  <c r="I13" i="48"/>
  <c r="J13" i="48"/>
  <c r="K13" i="48"/>
  <c r="L13" i="48"/>
  <c r="M13" i="48"/>
  <c r="A14" i="48"/>
  <c r="B14" i="48"/>
  <c r="C14" i="48"/>
  <c r="D14" i="48"/>
  <c r="E14" i="48"/>
  <c r="F14" i="48"/>
  <c r="G14" i="48"/>
  <c r="H14" i="48"/>
  <c r="I14" i="48"/>
  <c r="J14" i="48"/>
  <c r="K14" i="48"/>
  <c r="L14" i="48"/>
  <c r="M14" i="48"/>
  <c r="A15" i="48"/>
  <c r="B15" i="48"/>
  <c r="C15" i="48"/>
  <c r="D15" i="48"/>
  <c r="E15" i="48"/>
  <c r="F15" i="48"/>
  <c r="G15" i="48"/>
  <c r="H15" i="48"/>
  <c r="I15" i="48"/>
  <c r="J15" i="48"/>
  <c r="K15" i="48"/>
  <c r="L15" i="48"/>
  <c r="M15" i="48"/>
  <c r="A16" i="48"/>
  <c r="B16" i="48"/>
  <c r="C16" i="48"/>
  <c r="D16" i="48"/>
  <c r="E16" i="48"/>
  <c r="F16" i="48"/>
  <c r="G16" i="48"/>
  <c r="H16" i="48"/>
  <c r="I16" i="48"/>
  <c r="J16" i="48"/>
  <c r="K16" i="48"/>
  <c r="L16" i="48"/>
  <c r="M16" i="48"/>
  <c r="A17" i="48"/>
  <c r="B17" i="48"/>
  <c r="C17" i="48"/>
  <c r="D17" i="48"/>
  <c r="E17" i="48"/>
  <c r="F17" i="48"/>
  <c r="G17" i="48"/>
  <c r="H17" i="48"/>
  <c r="I17" i="48"/>
  <c r="J17" i="48"/>
  <c r="K17" i="48"/>
  <c r="L17" i="48"/>
  <c r="M17" i="48"/>
  <c r="A18" i="48"/>
  <c r="B18" i="48"/>
  <c r="C18" i="48"/>
  <c r="D18" i="48"/>
  <c r="E18" i="48"/>
  <c r="F18" i="48"/>
  <c r="G18" i="48"/>
  <c r="H18" i="48"/>
  <c r="I18" i="48"/>
  <c r="J18" i="48"/>
  <c r="K18" i="48"/>
  <c r="L18" i="48"/>
  <c r="M18" i="48"/>
  <c r="A19" i="48"/>
  <c r="B19" i="48"/>
  <c r="C19" i="48"/>
  <c r="D19" i="48"/>
  <c r="E19" i="48"/>
  <c r="F19" i="48"/>
  <c r="G19" i="48"/>
  <c r="H19" i="48"/>
  <c r="I19" i="48"/>
  <c r="J19" i="48"/>
  <c r="K19" i="48"/>
  <c r="L19" i="48"/>
  <c r="M19" i="48"/>
  <c r="A20" i="48"/>
  <c r="B20" i="48"/>
  <c r="C20" i="48"/>
  <c r="D20" i="48"/>
  <c r="E20" i="48"/>
  <c r="F20" i="48"/>
  <c r="G20" i="48"/>
  <c r="H20" i="48"/>
  <c r="I20" i="48"/>
  <c r="J20" i="48"/>
  <c r="K20" i="48"/>
  <c r="L20" i="48"/>
  <c r="M20" i="48"/>
  <c r="A21" i="48"/>
  <c r="B21" i="48"/>
  <c r="C21" i="48"/>
  <c r="D21" i="48"/>
  <c r="E21" i="48"/>
  <c r="F21" i="48"/>
  <c r="G21" i="48"/>
  <c r="H21" i="48"/>
  <c r="I21" i="48"/>
  <c r="J21" i="48"/>
  <c r="K21" i="48"/>
  <c r="L21" i="48"/>
  <c r="M21" i="48"/>
  <c r="A22" i="48"/>
  <c r="B22" i="48"/>
  <c r="C22" i="48"/>
  <c r="D22" i="48"/>
  <c r="E22" i="48"/>
  <c r="F22" i="48"/>
  <c r="G22" i="48"/>
  <c r="H22" i="48"/>
  <c r="I22" i="48"/>
  <c r="J22" i="48"/>
  <c r="K22" i="48"/>
  <c r="L22" i="48"/>
  <c r="M22" i="48"/>
  <c r="A23" i="48"/>
  <c r="B23" i="48"/>
  <c r="C23" i="48"/>
  <c r="D23" i="48"/>
  <c r="E23" i="48"/>
  <c r="F23" i="48"/>
  <c r="G23" i="48"/>
  <c r="H23" i="48"/>
  <c r="I23" i="48"/>
  <c r="J23" i="48"/>
  <c r="K23" i="48"/>
  <c r="L23" i="48"/>
  <c r="M23" i="48"/>
  <c r="A24" i="48"/>
  <c r="B24" i="48"/>
  <c r="C24" i="48"/>
  <c r="D24" i="48"/>
  <c r="E24" i="48"/>
  <c r="F24" i="48"/>
  <c r="G24" i="48"/>
  <c r="H24" i="48"/>
  <c r="I24" i="48"/>
  <c r="J24" i="48"/>
  <c r="K24" i="48"/>
  <c r="L24" i="48"/>
  <c r="M24" i="48"/>
  <c r="A4" i="29"/>
  <c r="C4" i="29"/>
  <c r="D4" i="29"/>
  <c r="E4" i="29"/>
  <c r="F4" i="29"/>
  <c r="G4" i="29"/>
  <c r="H4" i="29"/>
  <c r="I4" i="29"/>
  <c r="J4" i="29"/>
  <c r="K4" i="29"/>
  <c r="L4" i="29"/>
  <c r="M4" i="29"/>
  <c r="A5" i="29"/>
  <c r="C5" i="29"/>
  <c r="D5" i="29"/>
  <c r="E5" i="29"/>
  <c r="F5" i="29"/>
  <c r="G5" i="29"/>
  <c r="H5" i="29"/>
  <c r="I5" i="29"/>
  <c r="J5" i="29"/>
  <c r="K5" i="29"/>
  <c r="L5" i="29"/>
  <c r="M5" i="29"/>
  <c r="A6" i="29"/>
  <c r="C6" i="29"/>
  <c r="D6" i="29"/>
  <c r="E6" i="29"/>
  <c r="F6" i="29"/>
  <c r="G6" i="29"/>
  <c r="H6" i="29"/>
  <c r="I6" i="29"/>
  <c r="J6" i="29"/>
  <c r="K6" i="29"/>
  <c r="L6" i="29"/>
  <c r="M6" i="29"/>
  <c r="A7" i="29"/>
  <c r="C7" i="29"/>
  <c r="D7" i="29"/>
  <c r="E7" i="29"/>
  <c r="F7" i="29"/>
  <c r="G7" i="29"/>
  <c r="H7" i="29"/>
  <c r="I7" i="29"/>
  <c r="J7" i="29"/>
  <c r="K7" i="29"/>
  <c r="L7" i="29"/>
  <c r="M7" i="29"/>
  <c r="A8" i="29"/>
  <c r="C8" i="29"/>
  <c r="D8" i="29"/>
  <c r="E8" i="29"/>
  <c r="F8" i="29"/>
  <c r="G8" i="29"/>
  <c r="H8" i="29"/>
  <c r="I8" i="29"/>
  <c r="J8" i="29"/>
  <c r="K8" i="29"/>
  <c r="L8" i="29"/>
  <c r="M8" i="29"/>
  <c r="A9" i="29"/>
  <c r="C9" i="29"/>
  <c r="D9" i="29"/>
  <c r="E9" i="29"/>
  <c r="F9" i="29"/>
  <c r="G9" i="29"/>
  <c r="H9" i="29"/>
  <c r="I9" i="29"/>
  <c r="J9" i="29"/>
  <c r="K9" i="29"/>
  <c r="L9" i="29"/>
  <c r="M9" i="29"/>
  <c r="A10" i="29"/>
  <c r="C10" i="29"/>
  <c r="D10" i="29"/>
  <c r="E10" i="29"/>
  <c r="F10" i="29"/>
  <c r="G10" i="29"/>
  <c r="H10" i="29"/>
  <c r="I10" i="29"/>
  <c r="J10" i="29"/>
  <c r="K10" i="29"/>
  <c r="L10" i="29"/>
  <c r="M10" i="29"/>
  <c r="A11" i="29"/>
  <c r="C11" i="29"/>
  <c r="D11" i="29"/>
  <c r="E11" i="29"/>
  <c r="F11" i="29"/>
  <c r="G11" i="29"/>
  <c r="H11" i="29"/>
  <c r="I11" i="29"/>
  <c r="J11" i="29"/>
  <c r="K11" i="29"/>
  <c r="L11" i="29"/>
  <c r="M11" i="29"/>
  <c r="A12" i="29"/>
  <c r="C12" i="29"/>
  <c r="D12" i="29"/>
  <c r="E12" i="29"/>
  <c r="F12" i="29"/>
  <c r="G12" i="29"/>
  <c r="H12" i="29"/>
  <c r="I12" i="29"/>
  <c r="J12" i="29"/>
  <c r="K12" i="29"/>
  <c r="L12" i="29"/>
  <c r="M12" i="29"/>
  <c r="A13" i="29"/>
  <c r="C13" i="29"/>
  <c r="D13" i="29"/>
  <c r="E13" i="29"/>
  <c r="F13" i="29"/>
  <c r="G13" i="29"/>
  <c r="H13" i="29"/>
  <c r="I13" i="29"/>
  <c r="J13" i="29"/>
  <c r="K13" i="29"/>
  <c r="L13" i="29"/>
  <c r="M13" i="29"/>
  <c r="A14" i="29"/>
  <c r="C14" i="29"/>
  <c r="D14" i="29"/>
  <c r="E14" i="29"/>
  <c r="F14" i="29"/>
  <c r="G14" i="29"/>
  <c r="H14" i="29"/>
  <c r="I14" i="29"/>
  <c r="J14" i="29"/>
  <c r="K14" i="29"/>
  <c r="L14" i="29"/>
  <c r="M14" i="29"/>
  <c r="A15" i="29"/>
  <c r="C15" i="29"/>
  <c r="D15" i="29"/>
  <c r="E15" i="29"/>
  <c r="F15" i="29"/>
  <c r="G15" i="29"/>
  <c r="H15" i="29"/>
  <c r="I15" i="29"/>
  <c r="J15" i="29"/>
  <c r="K15" i="29"/>
  <c r="L15" i="29"/>
  <c r="M15" i="29"/>
  <c r="A16" i="29"/>
  <c r="C16" i="29"/>
  <c r="D16" i="29"/>
  <c r="E16" i="29"/>
  <c r="F16" i="29"/>
  <c r="G16" i="29"/>
  <c r="H16" i="29"/>
  <c r="I16" i="29"/>
  <c r="J16" i="29"/>
  <c r="K16" i="29"/>
  <c r="L16" i="29"/>
  <c r="M16" i="29"/>
  <c r="A17" i="29"/>
  <c r="C17" i="29"/>
  <c r="D17" i="29"/>
  <c r="E17" i="29"/>
  <c r="F17" i="29"/>
  <c r="G17" i="29"/>
  <c r="H17" i="29"/>
  <c r="I17" i="29"/>
  <c r="J17" i="29"/>
  <c r="K17" i="29"/>
  <c r="L17" i="29"/>
  <c r="M17" i="29"/>
  <c r="A18" i="29"/>
  <c r="C18" i="29"/>
  <c r="D18" i="29"/>
  <c r="E18" i="29"/>
  <c r="F18" i="29"/>
  <c r="G18" i="29"/>
  <c r="H18" i="29"/>
  <c r="I18" i="29"/>
  <c r="J18" i="29"/>
  <c r="K18" i="29"/>
  <c r="L18" i="29"/>
  <c r="M18" i="29"/>
  <c r="A19" i="29"/>
  <c r="C19" i="29"/>
  <c r="D19" i="29"/>
  <c r="E19" i="29"/>
  <c r="F19" i="29"/>
  <c r="G19" i="29"/>
  <c r="H19" i="29"/>
  <c r="I19" i="29"/>
  <c r="J19" i="29"/>
  <c r="K19" i="29"/>
  <c r="L19" i="29"/>
  <c r="M19" i="29"/>
  <c r="A20" i="29"/>
  <c r="C20" i="29"/>
  <c r="D20" i="29"/>
  <c r="E20" i="29"/>
  <c r="F20" i="29"/>
  <c r="G20" i="29"/>
  <c r="H20" i="29"/>
  <c r="I20" i="29"/>
  <c r="J20" i="29"/>
  <c r="K20" i="29"/>
  <c r="L20" i="29"/>
  <c r="M20" i="29"/>
  <c r="A21" i="29"/>
  <c r="C21" i="29"/>
  <c r="D21" i="29"/>
  <c r="E21" i="29"/>
  <c r="F21" i="29"/>
  <c r="G21" i="29"/>
  <c r="H21" i="29"/>
  <c r="I21" i="29"/>
  <c r="J21" i="29"/>
  <c r="K21" i="29"/>
  <c r="L21" i="29"/>
  <c r="M21" i="29"/>
  <c r="A22" i="29"/>
  <c r="C22" i="29"/>
  <c r="D22" i="29"/>
  <c r="E22" i="29"/>
  <c r="F22" i="29"/>
  <c r="G22" i="29"/>
  <c r="H22" i="29"/>
  <c r="I22" i="29"/>
  <c r="J22" i="29"/>
  <c r="K22" i="29"/>
  <c r="L22" i="29"/>
  <c r="M22" i="29"/>
  <c r="A23" i="29"/>
  <c r="C23" i="29"/>
  <c r="D23" i="29"/>
  <c r="E23" i="29"/>
  <c r="F23" i="29"/>
  <c r="G23" i="29"/>
  <c r="H23" i="29"/>
  <c r="I23" i="29"/>
  <c r="J23" i="29"/>
  <c r="K23" i="29"/>
  <c r="L23" i="29"/>
  <c r="M23" i="29"/>
  <c r="A24" i="29"/>
  <c r="C24" i="29"/>
  <c r="D24" i="29"/>
  <c r="E24" i="29"/>
  <c r="F24" i="29"/>
  <c r="G24" i="29"/>
  <c r="H24" i="29"/>
  <c r="I24" i="29"/>
  <c r="J24" i="29"/>
  <c r="K24" i="29"/>
  <c r="L24" i="29"/>
  <c r="M24" i="29"/>
</calcChain>
</file>

<file path=xl/comments1.xml><?xml version="1.0" encoding="utf-8"?>
<comments xmlns="http://schemas.openxmlformats.org/spreadsheetml/2006/main">
  <authors>
    <author>dfoti</author>
  </authors>
  <commentList>
    <comment ref="Y4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10 year treasury</t>
        </r>
      </text>
    </comment>
    <comment ref="Z4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Enter: Base, High, Low</t>
        </r>
      </text>
    </comment>
    <comment ref="Y5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From enron economic forecast group</t>
        </r>
      </text>
    </comment>
    <comment ref="Z5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tied to interest rates</t>
        </r>
      </text>
    </comment>
    <comment ref="Y6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From enron economic forecast group</t>
        </r>
      </text>
    </comment>
    <comment ref="Z6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tied to interest rates</t>
        </r>
      </text>
    </comment>
    <comment ref="Z7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Enter: Base, High, Low</t>
        </r>
      </text>
    </comment>
    <comment ref="Y21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10 year treasury</t>
        </r>
      </text>
    </comment>
    <comment ref="Z21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Enter: Base, High, Low</t>
        </r>
      </text>
    </comment>
    <comment ref="Y22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From enron economic forecast group</t>
        </r>
      </text>
    </comment>
    <comment ref="Z22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tied to interest rates</t>
        </r>
      </text>
    </comment>
    <comment ref="Y23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From enron economic forecast group</t>
        </r>
      </text>
    </comment>
    <comment ref="Z23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tied to interest rates</t>
        </r>
      </text>
    </comment>
    <comment ref="Z24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Enter: Base, High, Low</t>
        </r>
      </text>
    </comment>
    <comment ref="Y37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10 year treasury</t>
        </r>
      </text>
    </comment>
    <comment ref="Z37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Enter: Base, High, Low</t>
        </r>
      </text>
    </comment>
    <comment ref="Y38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From enron economic forecast group</t>
        </r>
      </text>
    </comment>
    <comment ref="Z38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tied to interest rates</t>
        </r>
      </text>
    </comment>
    <comment ref="Y39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From enron economic forecast group</t>
        </r>
      </text>
    </comment>
    <comment ref="Z39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tied to interest rates</t>
        </r>
      </text>
    </comment>
    <comment ref="Z40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Enter: Base, High, Low</t>
        </r>
      </text>
    </comment>
  </commentList>
</comments>
</file>

<file path=xl/comments2.xml><?xml version="1.0" encoding="utf-8"?>
<comments xmlns="http://schemas.openxmlformats.org/spreadsheetml/2006/main">
  <authors>
    <author>dfoti</author>
  </authors>
  <commentList>
    <comment ref="Y4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10 year treasury</t>
        </r>
      </text>
    </comment>
    <comment ref="Z4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Enter: Base, High, Low</t>
        </r>
      </text>
    </comment>
    <comment ref="Y5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From enron economic forecast group</t>
        </r>
      </text>
    </comment>
    <comment ref="Z5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tied to interest rates</t>
        </r>
      </text>
    </comment>
    <comment ref="Y6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From enron economic forecast group</t>
        </r>
      </text>
    </comment>
    <comment ref="Z6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tied to interest rates</t>
        </r>
      </text>
    </comment>
    <comment ref="Z7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Enter: Base, High, Low</t>
        </r>
      </text>
    </comment>
    <comment ref="Y21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10 year treasury</t>
        </r>
      </text>
    </comment>
    <comment ref="Z21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Enter: Base, High, Low</t>
        </r>
      </text>
    </comment>
    <comment ref="Y22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From enron economic forecast group</t>
        </r>
      </text>
    </comment>
    <comment ref="Z22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tied to interest rates</t>
        </r>
      </text>
    </comment>
    <comment ref="Y23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From enron economic forecast group</t>
        </r>
      </text>
    </comment>
    <comment ref="Z23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tied to interest rates</t>
        </r>
      </text>
    </comment>
    <comment ref="Z24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Enter: Base, High, Low</t>
        </r>
      </text>
    </comment>
    <comment ref="Y37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10 year treasury</t>
        </r>
      </text>
    </comment>
    <comment ref="Z37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Enter: Base, High, Low</t>
        </r>
      </text>
    </comment>
    <comment ref="Y38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From enron economic forecast group</t>
        </r>
      </text>
    </comment>
    <comment ref="Z38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tied to interest rates</t>
        </r>
      </text>
    </comment>
    <comment ref="Y39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From enron economic forecast group</t>
        </r>
      </text>
    </comment>
    <comment ref="Z39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tied to interest rates</t>
        </r>
      </text>
    </comment>
    <comment ref="Z40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Enter: Base, High, Low</t>
        </r>
      </text>
    </comment>
  </commentList>
</comments>
</file>

<file path=xl/comments3.xml><?xml version="1.0" encoding="utf-8"?>
<comments xmlns="http://schemas.openxmlformats.org/spreadsheetml/2006/main">
  <authors>
    <author>dfoti</author>
  </authors>
  <commentList>
    <comment ref="A4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10 year treasury</t>
        </r>
      </text>
    </comment>
    <comment ref="B4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Enter: Base, High, Low</t>
        </r>
      </text>
    </comment>
    <comment ref="A5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From enron economic forecast group</t>
        </r>
      </text>
    </comment>
    <comment ref="B5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tied to interest rates</t>
        </r>
      </text>
    </comment>
    <comment ref="A6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From enron economic forecast group</t>
        </r>
      </text>
    </comment>
    <comment ref="B6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tied to interest rates</t>
        </r>
      </text>
    </comment>
    <comment ref="B7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Enter: Base, High, Low</t>
        </r>
      </text>
    </comment>
  </commentList>
</comments>
</file>

<file path=xl/comments4.xml><?xml version="1.0" encoding="utf-8"?>
<comments xmlns="http://schemas.openxmlformats.org/spreadsheetml/2006/main">
  <authors>
    <author>dfoti</author>
  </authors>
  <commentList>
    <comment ref="A27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Real Interest Rate on I Series Bonds
7/24/00</t>
        </r>
      </text>
    </comment>
    <comment ref="A33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5% increase in debt ratio over 5 years
</t>
        </r>
      </text>
    </comment>
    <comment ref="A34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10% debt ratio increase over 5 years</t>
        </r>
      </text>
    </comment>
  </commentList>
</comments>
</file>

<file path=xl/comments5.xml><?xml version="1.0" encoding="utf-8"?>
<comments xmlns="http://schemas.openxmlformats.org/spreadsheetml/2006/main">
  <authors>
    <author>dfoti</author>
  </authors>
  <commentList>
    <comment ref="G4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WACC on rate base</t>
        </r>
      </text>
    </comment>
    <comment ref="G7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Frozen;
1.  may include distributed generation scenario (fuel cells for distribution and new small plants for transmission;
2.  May include market rates for transmission which would then would become volitile like commodity</t>
        </r>
      </text>
    </comment>
    <comment ref="G21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inflation minus 1.0%</t>
        </r>
      </text>
    </comment>
  </commentList>
</comments>
</file>

<file path=xl/comments6.xml><?xml version="1.0" encoding="utf-8"?>
<comments xmlns="http://schemas.openxmlformats.org/spreadsheetml/2006/main">
  <authors>
    <author>dfoti</author>
  </authors>
  <commentList>
    <comment ref="G5" authorId="0" shapeId="0">
      <text>
        <r>
          <rPr>
            <b/>
            <sz val="8"/>
            <color indexed="81"/>
            <rFont val="Tahoma"/>
          </rPr>
          <t>dfoti:</t>
        </r>
        <r>
          <rPr>
            <sz val="8"/>
            <color indexed="81"/>
            <rFont val="Tahoma"/>
          </rPr>
          <t xml:space="preserve">
use assumed property tax rate of 2% until better Powerdat numbers are verified</t>
        </r>
      </text>
    </comment>
  </commentList>
</comments>
</file>

<file path=xl/sharedStrings.xml><?xml version="1.0" encoding="utf-8"?>
<sst xmlns="http://schemas.openxmlformats.org/spreadsheetml/2006/main" count="832" uniqueCount="561">
  <si>
    <t>Rank</t>
  </si>
  <si>
    <t>Utility</t>
  </si>
  <si>
    <t>Net 
Long (MWh)</t>
  </si>
  <si>
    <t xml:space="preserve">PG&amp;E </t>
  </si>
  <si>
    <t xml:space="preserve">Duke (SC) </t>
  </si>
  <si>
    <t xml:space="preserve">CentralHudson(NY) </t>
  </si>
  <si>
    <t xml:space="preserve">SCE </t>
  </si>
  <si>
    <t xml:space="preserve">TUEC </t>
  </si>
  <si>
    <t xml:space="preserve">Generic Muni Public </t>
  </si>
  <si>
    <t xml:space="preserve">OhioPower </t>
  </si>
  <si>
    <t xml:space="preserve">Memphis </t>
  </si>
  <si>
    <t xml:space="preserve">SDG&amp;E </t>
  </si>
  <si>
    <t xml:space="preserve">ComEdDA </t>
  </si>
  <si>
    <t xml:space="preserve">KCKBPU </t>
  </si>
  <si>
    <t xml:space="preserve">JCP&amp;L </t>
  </si>
  <si>
    <t xml:space="preserve">ConEd </t>
  </si>
  <si>
    <t xml:space="preserve">SPS (TX) </t>
  </si>
  <si>
    <t xml:space="preserve">PSE&amp;G </t>
  </si>
  <si>
    <t xml:space="preserve">GP </t>
  </si>
  <si>
    <t xml:space="preserve">Huntsville (AL) </t>
  </si>
  <si>
    <t xml:space="preserve">CP&amp;L (NC) </t>
  </si>
  <si>
    <t xml:space="preserve">Jackson </t>
  </si>
  <si>
    <t xml:space="preserve">Illinois Power (IL) </t>
  </si>
  <si>
    <t xml:space="preserve">TEP </t>
  </si>
  <si>
    <t xml:space="preserve">KYU </t>
  </si>
  <si>
    <t xml:space="preserve">Gulf Power (FL) </t>
  </si>
  <si>
    <t xml:space="preserve">Duke </t>
  </si>
  <si>
    <t xml:space="preserve">EntergyMS </t>
  </si>
  <si>
    <t xml:space="preserve">FPL </t>
  </si>
  <si>
    <t xml:space="preserve">Consumers </t>
  </si>
  <si>
    <t xml:space="preserve">pp&amp;l </t>
  </si>
  <si>
    <t xml:space="preserve">BECO </t>
  </si>
  <si>
    <t xml:space="preserve">Jonesboro (AR) </t>
  </si>
  <si>
    <t xml:space="preserve">peco </t>
  </si>
  <si>
    <t xml:space="preserve">Utah P&amp;L </t>
  </si>
  <si>
    <t xml:space="preserve">HLP </t>
  </si>
  <si>
    <t xml:space="preserve">ComElec (MA) </t>
  </si>
  <si>
    <t xml:space="preserve">UtdIll </t>
  </si>
  <si>
    <t xml:space="preserve">CG&amp;E </t>
  </si>
  <si>
    <t xml:space="preserve">LIPA </t>
  </si>
  <si>
    <t xml:space="preserve">Dlmrva (DE) </t>
  </si>
  <si>
    <t xml:space="preserve">CP&amp;L (SC) </t>
  </si>
  <si>
    <t xml:space="preserve">OHEdison </t>
  </si>
  <si>
    <t xml:space="preserve">APS </t>
  </si>
  <si>
    <t xml:space="preserve">Sierra Pacific </t>
  </si>
  <si>
    <t xml:space="preserve">NES </t>
  </si>
  <si>
    <t xml:space="preserve">TEC </t>
  </si>
  <si>
    <t xml:space="preserve">NSPCO </t>
  </si>
  <si>
    <t xml:space="preserve">WEPCO </t>
  </si>
  <si>
    <t xml:space="preserve">Allegheny Pow (Mon Power-WV) </t>
  </si>
  <si>
    <t xml:space="preserve">CPL(TX) </t>
  </si>
  <si>
    <t xml:space="preserve">OkG&amp;E </t>
  </si>
  <si>
    <t xml:space="preserve">DetEd </t>
  </si>
  <si>
    <t xml:space="preserve">Madison </t>
  </si>
  <si>
    <t xml:space="preserve">EPEC </t>
  </si>
  <si>
    <t xml:space="preserve">EntergyLA(LPL) </t>
  </si>
  <si>
    <t xml:space="preserve">Citizens Utilities (AZ) </t>
  </si>
  <si>
    <t xml:space="preserve">SCEG </t>
  </si>
  <si>
    <t xml:space="preserve">West Penn (Allegheny) </t>
  </si>
  <si>
    <t xml:space="preserve">NYSEG(NY) </t>
  </si>
  <si>
    <t xml:space="preserve">PSI Energy </t>
  </si>
  <si>
    <t xml:space="preserve">KCP&amp;L </t>
  </si>
  <si>
    <t xml:space="preserve">PennElec </t>
  </si>
  <si>
    <t xml:space="preserve">ClevelandEI </t>
  </si>
  <si>
    <t xml:space="preserve">MidBoro (MA) </t>
  </si>
  <si>
    <t xml:space="preserve">SRP </t>
  </si>
  <si>
    <t xml:space="preserve">TacomaPU </t>
  </si>
  <si>
    <t xml:space="preserve">SanAnton </t>
  </si>
  <si>
    <t xml:space="preserve">LADWP </t>
  </si>
  <si>
    <t xml:space="preserve">OKG&amp;E(AR) </t>
  </si>
  <si>
    <t xml:space="preserve">Alabama </t>
  </si>
  <si>
    <t xml:space="preserve">MECO (MA) </t>
  </si>
  <si>
    <t xml:space="preserve">CityofEastPoint (GA) </t>
  </si>
  <si>
    <t xml:space="preserve">OUC </t>
  </si>
  <si>
    <t xml:space="preserve">OAKDALECOOP </t>
  </si>
  <si>
    <t xml:space="preserve">IPALCO (IN) </t>
  </si>
  <si>
    <t xml:space="preserve">TauntonMuni(MA) </t>
  </si>
  <si>
    <t xml:space="preserve">MidAmerican(IA) </t>
  </si>
  <si>
    <t xml:space="preserve">duquesne </t>
  </si>
  <si>
    <t xml:space="preserve">ColumbusSn </t>
  </si>
  <si>
    <t xml:space="preserve">FPC </t>
  </si>
  <si>
    <t xml:space="preserve">ULH&amp;P </t>
  </si>
  <si>
    <t xml:space="preserve">BristolUB (VA) </t>
  </si>
  <si>
    <t xml:space="preserve">EntergyAR </t>
  </si>
  <si>
    <t xml:space="preserve">PotomacEd (MD) </t>
  </si>
  <si>
    <t xml:space="preserve">Braintree (MA) </t>
  </si>
  <si>
    <t xml:space="preserve">Austin </t>
  </si>
  <si>
    <t xml:space="preserve">Orange &amp; Rockland </t>
  </si>
  <si>
    <t xml:space="preserve">Grays Hbr PUD (WA) </t>
  </si>
  <si>
    <t xml:space="preserve">South Central PC(OH) </t>
  </si>
  <si>
    <t xml:space="preserve">Allegheny Pow (Mon Power-OH) </t>
  </si>
  <si>
    <t xml:space="preserve">KGE </t>
  </si>
  <si>
    <t xml:space="preserve">NIPSCO (IN) </t>
  </si>
  <si>
    <t xml:space="preserve">ToledoEd </t>
  </si>
  <si>
    <t xml:space="preserve">EntergyLA(NO) </t>
  </si>
  <si>
    <t xml:space="preserve">OpelikaL&amp;P </t>
  </si>
  <si>
    <t xml:space="preserve">EntergyLA(GSU) </t>
  </si>
  <si>
    <t xml:space="preserve">PSCOklahoma </t>
  </si>
  <si>
    <t xml:space="preserve">Kingsport (TN) </t>
  </si>
  <si>
    <t xml:space="preserve">NewBraunfels </t>
  </si>
  <si>
    <t xml:space="preserve">SMECO(Md) </t>
  </si>
  <si>
    <t xml:space="preserve">JEA </t>
  </si>
  <si>
    <t xml:space="preserve">PSNH </t>
  </si>
  <si>
    <t xml:space="preserve">AtlanticElec </t>
  </si>
  <si>
    <t xml:space="preserve">Riverside </t>
  </si>
  <si>
    <t xml:space="preserve">Omaha </t>
  </si>
  <si>
    <t xml:space="preserve">Narragansett </t>
  </si>
  <si>
    <t xml:space="preserve">MidAmerican (IL) </t>
  </si>
  <si>
    <t xml:space="preserve">PotomacEd-dba-AllghPwr (WV) </t>
  </si>
  <si>
    <t xml:space="preserve">GSU(TX) </t>
  </si>
  <si>
    <t xml:space="preserve">ConnL&amp;P </t>
  </si>
  <si>
    <t xml:space="preserve">South Beloit WGE </t>
  </si>
  <si>
    <t xml:space="preserve">AEP (VA) </t>
  </si>
  <si>
    <t xml:space="preserve">pepco </t>
  </si>
  <si>
    <t xml:space="preserve">City Springfield MO </t>
  </si>
  <si>
    <t xml:space="preserve">WPSC(WI) </t>
  </si>
  <si>
    <t xml:space="preserve">SeattleCL </t>
  </si>
  <si>
    <t xml:space="preserve">Lockhart PwrCo (SC) </t>
  </si>
  <si>
    <t xml:space="preserve">Brownsville(TX) </t>
  </si>
  <si>
    <t xml:space="preserve">Clay Coop (FL) </t>
  </si>
  <si>
    <t xml:space="preserve">MetEd(PA) </t>
  </si>
  <si>
    <t xml:space="preserve">NewSmyrnaBeach(FL) </t>
  </si>
  <si>
    <t xml:space="preserve">puget </t>
  </si>
  <si>
    <t xml:space="preserve">MinnPower </t>
  </si>
  <si>
    <t xml:space="preserve">BangorHydroElectr </t>
  </si>
  <si>
    <t xml:space="preserve">DentonCtyCoop </t>
  </si>
  <si>
    <t xml:space="preserve">NevadaPower </t>
  </si>
  <si>
    <t xml:space="preserve">AEP (IN-MI Pwr) </t>
  </si>
  <si>
    <t xml:space="preserve">Ocala (FL) </t>
  </si>
  <si>
    <t xml:space="preserve">Benton County (WA) </t>
  </si>
  <si>
    <t xml:space="preserve">SWEPCO(TX) </t>
  </si>
  <si>
    <t xml:space="preserve">WP&amp;L </t>
  </si>
  <si>
    <t xml:space="preserve">ImperialID </t>
  </si>
  <si>
    <t xml:space="preserve">Ameren Union Electric (IL) </t>
  </si>
  <si>
    <t xml:space="preserve">ComEd </t>
  </si>
  <si>
    <t xml:space="preserve">DP&amp;L </t>
  </si>
  <si>
    <t xml:space="preserve">PacificPower (WA) </t>
  </si>
  <si>
    <t xml:space="preserve">EasternEd (MA) </t>
  </si>
  <si>
    <t xml:space="preserve">PSColorado </t>
  </si>
  <si>
    <t xml:space="preserve">Cowlitz PUD (WA) </t>
  </si>
  <si>
    <t xml:space="preserve">CityofAlexandria(LA) </t>
  </si>
  <si>
    <t xml:space="preserve">MidTenn </t>
  </si>
  <si>
    <t xml:space="preserve">IES </t>
  </si>
  <si>
    <t xml:space="preserve">CityofOpp(AL) </t>
  </si>
  <si>
    <t xml:space="preserve">Chicopee (MA) </t>
  </si>
  <si>
    <t xml:space="preserve">WWP (WA) </t>
  </si>
  <si>
    <t xml:space="preserve">CityofRadford (VA) </t>
  </si>
  <si>
    <t xml:space="preserve">Vero Beach (FL) </t>
  </si>
  <si>
    <t xml:space="preserve">Alpena </t>
  </si>
  <si>
    <t xml:space="preserve">MainePubSvc </t>
  </si>
  <si>
    <t xml:space="preserve">Menasha Utilities(WI) </t>
  </si>
  <si>
    <t xml:space="preserve">EdisonSault </t>
  </si>
  <si>
    <t xml:space="preserve">Old Dominion(VA) </t>
  </si>
  <si>
    <t xml:space="preserve">Rockland(NJ) </t>
  </si>
  <si>
    <t xml:space="preserve">Lakeland (FL) </t>
  </si>
  <si>
    <t xml:space="preserve">Blue Ridge EMC (NC) </t>
  </si>
  <si>
    <t xml:space="preserve">AEP (WV) </t>
  </si>
  <si>
    <t xml:space="preserve">City of Concord (NC) </t>
  </si>
  <si>
    <t xml:space="preserve">City of Statesville (NC) </t>
  </si>
  <si>
    <t xml:space="preserve">City of Danville (VA) </t>
  </si>
  <si>
    <t xml:space="preserve">CLECO </t>
  </si>
  <si>
    <t xml:space="preserve">CILCO </t>
  </si>
  <si>
    <t xml:space="preserve">Centvermont </t>
  </si>
  <si>
    <t xml:space="preserve">IdahoPower </t>
  </si>
  <si>
    <t xml:space="preserve">PortlandGen </t>
  </si>
  <si>
    <t xml:space="preserve">CMP </t>
  </si>
  <si>
    <t xml:space="preserve">LG&amp;E </t>
  </si>
  <si>
    <t xml:space="preserve">Ameren UE (MO) </t>
  </si>
  <si>
    <t xml:space="preserve">CheyenneLF&amp;P </t>
  </si>
  <si>
    <t xml:space="preserve">PNM </t>
  </si>
  <si>
    <t xml:space="preserve">BGE </t>
  </si>
  <si>
    <t xml:space="preserve">NIMO </t>
  </si>
  <si>
    <t xml:space="preserve">CityofNorwood (MA) </t>
  </si>
  <si>
    <t xml:space="preserve">TNP </t>
  </si>
  <si>
    <t xml:space="preserve">RGE </t>
  </si>
  <si>
    <t xml:space="preserve">VP </t>
  </si>
  <si>
    <t>As of 6/16/00</t>
  </si>
  <si>
    <t>Company Name</t>
  </si>
  <si>
    <t>Company ID</t>
  </si>
  <si>
    <t>State</t>
  </si>
  <si>
    <t>NERC</t>
  </si>
  <si>
    <t>Holding Company</t>
  </si>
  <si>
    <t>(R) Ratebase Steam $</t>
  </si>
  <si>
    <t>(R) Ratebase Nuclear $</t>
  </si>
  <si>
    <t>(R) Ratebase Hydro $</t>
  </si>
  <si>
    <t>Ratebase - Tran$</t>
  </si>
  <si>
    <t>(R) Ratebase Trans $</t>
  </si>
  <si>
    <t>Ratebase - Dist $</t>
  </si>
  <si>
    <t>(R) Ratebase Dist $</t>
  </si>
  <si>
    <t>Ratebase - A&amp;G $</t>
  </si>
  <si>
    <t>(R) Allowed Rate of Return</t>
  </si>
  <si>
    <t>Rate of Return %</t>
  </si>
  <si>
    <t>(R) Allowed Return on Equity %</t>
  </si>
  <si>
    <t>Return on Equity %</t>
  </si>
  <si>
    <t>Tot Prod $</t>
  </si>
  <si>
    <t>Tot Prod No Fuel $</t>
  </si>
  <si>
    <t>OPS: Purch &amp; Exch $</t>
  </si>
  <si>
    <t>OPS: Tot $</t>
  </si>
  <si>
    <t>Tran O&amp;M: Tot $</t>
  </si>
  <si>
    <t>Dist O&amp;M: Tot $</t>
  </si>
  <si>
    <t>CA: Tot $</t>
  </si>
  <si>
    <t>CSI: Tot $</t>
  </si>
  <si>
    <t>SA: Tot $</t>
  </si>
  <si>
    <t>AG O&amp;M: Tot $</t>
  </si>
  <si>
    <t>Total O&amp;M $</t>
  </si>
  <si>
    <t>Employees: Full Time</t>
  </si>
  <si>
    <t>Employees: Part Time</t>
  </si>
  <si>
    <t>Employees: Total</t>
  </si>
  <si>
    <t>Boston Edison Co.</t>
  </si>
  <si>
    <t>01998</t>
  </si>
  <si>
    <t>MA</t>
  </si>
  <si>
    <t>NPCC</t>
  </si>
  <si>
    <t>BSE</t>
  </si>
  <si>
    <t>Carolina Power &amp; Light Co.</t>
  </si>
  <si>
    <t>03046</t>
  </si>
  <si>
    <t>NC</t>
  </si>
  <si>
    <t>SERC</t>
  </si>
  <si>
    <t>CPLC</t>
  </si>
  <si>
    <t>Central Hudson Gas &amp; Electric Corp.</t>
  </si>
  <si>
    <t>03249</t>
  </si>
  <si>
    <t>NY</t>
  </si>
  <si>
    <t>CHG</t>
  </si>
  <si>
    <t>IL</t>
  </si>
  <si>
    <t>MAIN</t>
  </si>
  <si>
    <t>UCM</t>
  </si>
  <si>
    <t>Consolidated Edison Co. of New York, Inc.</t>
  </si>
  <si>
    <t>04226</t>
  </si>
  <si>
    <t>COEDIN</t>
  </si>
  <si>
    <t>Consumers Energy Co.</t>
  </si>
  <si>
    <t>04254</t>
  </si>
  <si>
    <t>MI</t>
  </si>
  <si>
    <t>ECAR</t>
  </si>
  <si>
    <t>CMS</t>
  </si>
  <si>
    <t>Duke Energy Corp.</t>
  </si>
  <si>
    <t>05416</t>
  </si>
  <si>
    <t>DUPC</t>
  </si>
  <si>
    <t>Entergy Mississippi, Inc.</t>
  </si>
  <si>
    <t>12685</t>
  </si>
  <si>
    <t>MS</t>
  </si>
  <si>
    <t>ENTR</t>
  </si>
  <si>
    <t>Florida Power &amp; Light Co.</t>
  </si>
  <si>
    <t>06452</t>
  </si>
  <si>
    <t>FL</t>
  </si>
  <si>
    <t>FRCC</t>
  </si>
  <si>
    <t>FPL</t>
  </si>
  <si>
    <t>Gulf Power Co.</t>
  </si>
  <si>
    <t>07801</t>
  </si>
  <si>
    <t>SOUCOM</t>
  </si>
  <si>
    <t>Illinois Power Co.</t>
  </si>
  <si>
    <t>09208</t>
  </si>
  <si>
    <t>DYN</t>
  </si>
  <si>
    <t>Jersey Central Power &amp; Light Co.</t>
  </si>
  <si>
    <t>09726</t>
  </si>
  <si>
    <t>NJ</t>
  </si>
  <si>
    <t>MAAC</t>
  </si>
  <si>
    <t>GPU</t>
  </si>
  <si>
    <t>Kentucky Utilities Co.</t>
  </si>
  <si>
    <t>10171</t>
  </si>
  <si>
    <t>KY</t>
  </si>
  <si>
    <t>LG&amp;EE</t>
  </si>
  <si>
    <t>Ohio Power Co.</t>
  </si>
  <si>
    <t>14006</t>
  </si>
  <si>
    <t>OH</t>
  </si>
  <si>
    <t>AEP</t>
  </si>
  <si>
    <t>PPL Electric Utilities Corp.</t>
  </si>
  <si>
    <t>14715</t>
  </si>
  <si>
    <t>PA</t>
  </si>
  <si>
    <t>PPLRE</t>
  </si>
  <si>
    <t>Pacific Gas &amp; Electric Co.</t>
  </si>
  <si>
    <t>14328</t>
  </si>
  <si>
    <t>CA</t>
  </si>
  <si>
    <t>WSCC</t>
  </si>
  <si>
    <t>PG&amp;EC</t>
  </si>
  <si>
    <t>Public Service Electric &amp; Gas Co.</t>
  </si>
  <si>
    <t>15477</t>
  </si>
  <si>
    <t>PSEGI</t>
  </si>
  <si>
    <t>San Diego Gas &amp; Electric Co.</t>
  </si>
  <si>
    <t>16609</t>
  </si>
  <si>
    <t>SEMPRA</t>
  </si>
  <si>
    <t>Southern California Edison Co.</t>
  </si>
  <si>
    <t>17609</t>
  </si>
  <si>
    <t>EIX</t>
  </si>
  <si>
    <t>Southwestern Public Service Co.</t>
  </si>
  <si>
    <t>17718</t>
  </si>
  <si>
    <t>TX</t>
  </si>
  <si>
    <t>SPP</t>
  </si>
  <si>
    <t>NEWCE</t>
  </si>
  <si>
    <t>TXU Electric Co.</t>
  </si>
  <si>
    <t>44372</t>
  </si>
  <si>
    <t>ERCOT</t>
  </si>
  <si>
    <t>TUC</t>
  </si>
  <si>
    <t>(R) Payroll Tax Tran $</t>
  </si>
  <si>
    <t>(R) Payroll Tax Dist $</t>
  </si>
  <si>
    <t>(R) Dpr Exp-Gen -Tran $</t>
  </si>
  <si>
    <t>(R) Dpr Exp-Gen -Dist $</t>
  </si>
  <si>
    <t>Net Generation MWh</t>
  </si>
  <si>
    <t>Total Purchases MWh</t>
  </si>
  <si>
    <t>Exchanges Received MWh</t>
  </si>
  <si>
    <t>Exchanges Delivered MWh</t>
  </si>
  <si>
    <t>Net Exchanges MWh</t>
  </si>
  <si>
    <t>Wheeling Received MWh</t>
  </si>
  <si>
    <t>Wheeling Delivered MWh</t>
  </si>
  <si>
    <t>Net Wheeling MWh</t>
  </si>
  <si>
    <t>Wheel By Oth Losses MWh</t>
  </si>
  <si>
    <t>Total Sources MWh</t>
  </si>
  <si>
    <t>Debt to Equity Ratio</t>
  </si>
  <si>
    <t>Effective Inc Tax Rate %</t>
  </si>
  <si>
    <t>Commonwealth Edison Co.</t>
  </si>
  <si>
    <t>04110</t>
  </si>
  <si>
    <t>Rates Frozen Until</t>
  </si>
  <si>
    <t>COS</t>
  </si>
  <si>
    <t>PBR</t>
  </si>
  <si>
    <t>Rate Case Frequency</t>
  </si>
  <si>
    <t>Beta</t>
  </si>
  <si>
    <t>Load Growth (kwh)</t>
  </si>
  <si>
    <t>Rate Methodology After Freeze</t>
  </si>
  <si>
    <t>CPI</t>
  </si>
  <si>
    <t>PPI</t>
  </si>
  <si>
    <t>Expected Interest Rates</t>
  </si>
  <si>
    <t>Non Gen O&amp;M %</t>
  </si>
  <si>
    <t>------------------------------------------Predicted------------------------------------------</t>
  </si>
  <si>
    <t>-----Actual-----</t>
  </si>
  <si>
    <t>Productivity</t>
  </si>
  <si>
    <t>Market Risk</t>
  </si>
  <si>
    <t>Real Interest Rates</t>
  </si>
  <si>
    <t>MKT</t>
  </si>
  <si>
    <t>MM MWH Position</t>
  </si>
  <si>
    <t>Sample Group</t>
  </si>
  <si>
    <t xml:space="preserve">Total </t>
  </si>
  <si>
    <t>Percent of Total</t>
  </si>
  <si>
    <t>Year 2000 Base Year:</t>
  </si>
  <si>
    <t>Composite Change</t>
  </si>
  <si>
    <t>Case</t>
  </si>
  <si>
    <t>Base</t>
  </si>
  <si>
    <t>High</t>
  </si>
  <si>
    <t>Low</t>
  </si>
  <si>
    <t>Interest Rate (10 Year Bond)</t>
  </si>
  <si>
    <t>Variable</t>
  </si>
  <si>
    <t>Inflation (CPI)</t>
  </si>
  <si>
    <t>Inflation (PPI)</t>
  </si>
  <si>
    <t>1 Stdev</t>
  </si>
  <si>
    <t>2 Stdev</t>
  </si>
  <si>
    <t>3 Stdev</t>
  </si>
  <si>
    <t>Debt Rp</t>
  </si>
  <si>
    <t>Total T&amp;D (MM)</t>
  </si>
  <si>
    <t>Transmission Exposure (MM)</t>
  </si>
  <si>
    <t>Distribution Exposure (MM)</t>
  </si>
  <si>
    <t>Volatility</t>
  </si>
  <si>
    <t>`</t>
  </si>
  <si>
    <t>Extract Raw Data (Powerdat)</t>
  </si>
  <si>
    <t>21 of 30 Top Positions</t>
  </si>
  <si>
    <t>Capital Structure</t>
  </si>
  <si>
    <t>MWH</t>
  </si>
  <si>
    <t>Forecast Using</t>
  </si>
  <si>
    <t>System Expansion (Ass.)</t>
  </si>
  <si>
    <t>T&amp;D A&amp;G % (calc.)</t>
  </si>
  <si>
    <t>Productivity Factor (Ass.)</t>
  </si>
  <si>
    <t>Depreciation as % ratebase (calc.)</t>
  </si>
  <si>
    <t>Load Growth (Ass.)</t>
  </si>
  <si>
    <t>Applied Values</t>
  </si>
  <si>
    <t>WACC</t>
  </si>
  <si>
    <t>Debt Premium (Ass.)</t>
  </si>
  <si>
    <t>Risk Free Rate (Given)</t>
  </si>
  <si>
    <t>Market Premium (Ass.)</t>
  </si>
  <si>
    <t>Beta (Ass.)</t>
  </si>
  <si>
    <t>Revenue Requirement</t>
  </si>
  <si>
    <t>MWH Delivered</t>
  </si>
  <si>
    <t>Applied Criteria</t>
  </si>
  <si>
    <t>T&amp;D $/Kwh</t>
  </si>
  <si>
    <t>Duration of Rate Freeze</t>
  </si>
  <si>
    <t>Frequency of Rate Cases</t>
  </si>
  <si>
    <t>Rate Case Methodology</t>
  </si>
  <si>
    <t>Base, High, Low</t>
  </si>
  <si>
    <t>High Rf and Inflation</t>
  </si>
  <si>
    <t>Base Rf and Inflation</t>
  </si>
  <si>
    <t>Low Rf and Inflation</t>
  </si>
  <si>
    <t>Calculated Exposure</t>
  </si>
  <si>
    <t>Weighted by Position</t>
  </si>
  <si>
    <t>Extrapolated to Overall Position</t>
  </si>
  <si>
    <t>2001-2010</t>
  </si>
  <si>
    <t>Applied  Scenarios</t>
  </si>
  <si>
    <t>Worksheet</t>
  </si>
  <si>
    <t>Purpose</t>
  </si>
  <si>
    <t>Diagram</t>
  </si>
  <si>
    <t>Illustration of interplay between variables and calculations</t>
  </si>
  <si>
    <t>Assumptions</t>
  </si>
  <si>
    <t>Provides data on scenarios that can be run</t>
  </si>
  <si>
    <t>Exposure</t>
  </si>
  <si>
    <t>Input screen for scenarios - calculates exposure</t>
  </si>
  <si>
    <t>Criteria</t>
  </si>
  <si>
    <t>Utility specific assumptions on rate structure and growth</t>
  </si>
  <si>
    <t>Trans_change</t>
  </si>
  <si>
    <t>Dist_change</t>
  </si>
  <si>
    <t>Trans_$kwh</t>
  </si>
  <si>
    <t>Dist_$kwh</t>
  </si>
  <si>
    <t>Calculated distribution rate</t>
  </si>
  <si>
    <t>TransRR_COS</t>
  </si>
  <si>
    <t>DistRR_COS</t>
  </si>
  <si>
    <t>Distribution revenue requirements</t>
  </si>
  <si>
    <t>Trans_rrb</t>
  </si>
  <si>
    <t>Dist_rrb</t>
  </si>
  <si>
    <t>Weighted average cost of capital</t>
  </si>
  <si>
    <t>Cdebt</t>
  </si>
  <si>
    <t>Cost of debt</t>
  </si>
  <si>
    <t>Cequity</t>
  </si>
  <si>
    <t>Cost of equity</t>
  </si>
  <si>
    <t>Transbase</t>
  </si>
  <si>
    <t>Transmission ratebase</t>
  </si>
  <si>
    <t>Transmission return on ratebase</t>
  </si>
  <si>
    <t>Distribution return on ratebase</t>
  </si>
  <si>
    <t>Calculated transmission rate</t>
  </si>
  <si>
    <t>transmission revenue requirements</t>
  </si>
  <si>
    <t>Distbase</t>
  </si>
  <si>
    <t>Distribution ratebase</t>
  </si>
  <si>
    <t>TO&amp;M</t>
  </si>
  <si>
    <t>DO&amp;M</t>
  </si>
  <si>
    <t>CustO&amp;M</t>
  </si>
  <si>
    <t>Transmission O&amp;M</t>
  </si>
  <si>
    <t>Distribution O&amp;M</t>
  </si>
  <si>
    <t>Sales, Marketing, and Other Customer O&amp;M</t>
  </si>
  <si>
    <t>A&amp;GO&amp;M</t>
  </si>
  <si>
    <t>PayTO&amp;M</t>
  </si>
  <si>
    <t>PayDO&amp;M</t>
  </si>
  <si>
    <t>Labor Ratio</t>
  </si>
  <si>
    <t>Labor costs / Total O&amp;M</t>
  </si>
  <si>
    <t>T&amp;D portion of O&amp;M allocated by % of other O&amp;M</t>
  </si>
  <si>
    <t>TransDepr.</t>
  </si>
  <si>
    <t>Transmission depreciation</t>
  </si>
  <si>
    <t>DistDepr.</t>
  </si>
  <si>
    <t>Distribution depreciation</t>
  </si>
  <si>
    <t>Total sources of MWH</t>
  </si>
  <si>
    <t>TransDeprRt</t>
  </si>
  <si>
    <t>Transmission depreciation as a % of ratebase</t>
  </si>
  <si>
    <t>DistDeprRt</t>
  </si>
  <si>
    <t>Distribution depreciation as a % of ratebase</t>
  </si>
  <si>
    <t>Raw</t>
  </si>
  <si>
    <t>Data extract from Powerdat</t>
  </si>
  <si>
    <t>Position</t>
  </si>
  <si>
    <t>EES' positions as of 6/16/00</t>
  </si>
  <si>
    <t>Docs</t>
  </si>
  <si>
    <t>This page</t>
  </si>
  <si>
    <t>Notes:</t>
  </si>
  <si>
    <t>Macro Economic Factors</t>
  </si>
  <si>
    <t>Cumulative changes in transmission rate from base year</t>
  </si>
  <si>
    <t>Cumulative changes in distribution rate from base year</t>
  </si>
  <si>
    <t>Raw_calc</t>
  </si>
  <si>
    <t>Elec O&amp;M Transmission $</t>
  </si>
  <si>
    <t>Elec O&amp;M Distribution $</t>
  </si>
  <si>
    <t>Elec O&amp;M Cust Acct $</t>
  </si>
  <si>
    <t>Elec O&amp;M Cust Info$</t>
  </si>
  <si>
    <t>Elec O&amp;M Sales$</t>
  </si>
  <si>
    <t>Elec O&amp;M Admin &amp; Gen $</t>
  </si>
  <si>
    <t>Elec Total Dept O&amp;M $</t>
  </si>
  <si>
    <t>Labor % T&amp;D O&amp;M</t>
  </si>
  <si>
    <t>Labor:Non Labor Ratio (Calc.)</t>
  </si>
  <si>
    <t>Allocation calculations (e.g. O&amp;M, debt, labor %) from raw data</t>
  </si>
  <si>
    <t>Transmission payroll tax cost</t>
  </si>
  <si>
    <t>Distribution payroll tax cost</t>
  </si>
  <si>
    <t>T&amp;D Ratebase</t>
  </si>
  <si>
    <t>T&amp;D O&amp;M and A&amp;G</t>
  </si>
  <si>
    <t>T&amp;D Labor Expense</t>
  </si>
  <si>
    <t>T&amp;D Depreciation</t>
  </si>
  <si>
    <t>EES Portfolio Growth</t>
  </si>
  <si>
    <t>EES Portolio Growth</t>
  </si>
  <si>
    <t>EES Deliveries</t>
  </si>
  <si>
    <t>Scenario</t>
  </si>
  <si>
    <t>EES_Del</t>
  </si>
  <si>
    <t>Predicted EES Delivery obligation</t>
  </si>
  <si>
    <t>Increased by assumed growth rate</t>
  </si>
  <si>
    <t>Change in Cap. Struct. Lev.</t>
  </si>
  <si>
    <t>Increase in Leverage (Debt/Equity)</t>
  </si>
  <si>
    <t>% Portfolio</t>
  </si>
  <si>
    <t>System Diagram for T&amp;D Forecast and Sensitivity</t>
  </si>
  <si>
    <t>Exposure Calculation</t>
  </si>
  <si>
    <t>Real Rate (Given)</t>
  </si>
  <si>
    <t>Leverage Change (Ass.)</t>
  </si>
  <si>
    <t>CPI (Calc.)</t>
  </si>
  <si>
    <t>PPI (Calc.)</t>
  </si>
  <si>
    <t>Adj. Net Plant Trans $</t>
  </si>
  <si>
    <t>Adj. Net Plant Dist $</t>
  </si>
  <si>
    <t>Adj. Net Plant A&amp;G $</t>
  </si>
  <si>
    <t>Adj. Net Plant Total $</t>
  </si>
  <si>
    <t>Composite Tax Rate %</t>
  </si>
  <si>
    <t>Other Tax Trans $</t>
  </si>
  <si>
    <t>Other Tax Dist $</t>
  </si>
  <si>
    <t>Other Tax A&amp;G $</t>
  </si>
  <si>
    <t>Pre-tax Income $</t>
  </si>
  <si>
    <t>% Trans. Net Plant</t>
  </si>
  <si>
    <t>% Dist. Net Plant</t>
  </si>
  <si>
    <t>Trans. Other Tax % Net Plant</t>
  </si>
  <si>
    <t>Dist. Other Tax % Net Plant</t>
  </si>
  <si>
    <t>Annual Trans. Net Plant Growth</t>
  </si>
  <si>
    <t>Annual Dist. Net Plant Growth</t>
  </si>
  <si>
    <t>Gross-up Rev. Req. (Calc.)</t>
  </si>
  <si>
    <t>Property Tax (Ass.)</t>
  </si>
  <si>
    <t>State &amp; Fed. Income Tax Rates</t>
  </si>
  <si>
    <t>Payroll Tax</t>
  </si>
  <si>
    <t>CPI less Productivity Factor</t>
  </si>
  <si>
    <t>TransNplant</t>
  </si>
  <si>
    <t>DistNplant</t>
  </si>
  <si>
    <t>Transmission net plant</t>
  </si>
  <si>
    <t>Distribution net plant</t>
  </si>
  <si>
    <t>TransTax</t>
  </si>
  <si>
    <t>DistTax</t>
  </si>
  <si>
    <t>Transmission property tax</t>
  </si>
  <si>
    <t>Distribution property tax</t>
  </si>
  <si>
    <t>Exposure Sensitivity Sheet</t>
  </si>
  <si>
    <t>Individual Utility Assumptions</t>
  </si>
  <si>
    <t>Global Sensitivity Data &amp; Assumptions</t>
  </si>
  <si>
    <t>Calculated Transmission Return on Rate Base (WACC * transmission ratebase)</t>
  </si>
  <si>
    <t>Calculated Transmission Revenue Requirement (Trans. Return on Ratebase + Trans. O&amp;M + Alloc. A&amp;G O&amp;M + Trans. Deprec. + Trans. Payroll Tax + Trans. Property Tax) / (1 - Composite Tax Rate)</t>
  </si>
  <si>
    <t>Calculated Distribution Revenue Requirement (Dist. Return on Ratebase + Dist. O&amp;M + Alloc. A&amp;G O&amp;M + Dist. Deprec. + Dist. Payroll Tax + Dist. Property Tax) / (1 - Composite Tax Rate)</t>
  </si>
  <si>
    <t>Calculated Transmission $/kwh (Trans. Revenue Req. / Trans. Kwh)</t>
  </si>
  <si>
    <t>Cummulative Change in Transmission Rates from 2000</t>
  </si>
  <si>
    <t>Cummulative Change in Distribution Rates from 2000</t>
  </si>
  <si>
    <t>Calculated Distribution $/kwh (Dist. Revenue Req. / Dist. Kwh)</t>
  </si>
  <si>
    <t>Calculated Distribution Return on Rate Base (WACC * Dist. ratebase)</t>
  </si>
  <si>
    <t>WACC (Cost of Debt * Debt %) + (Cost of Equity * Equity %)</t>
  </si>
  <si>
    <t>Cost of Debt (Risk Free Rate + Risk Premium)</t>
  </si>
  <si>
    <t>Cost of Equity via CAPM (Rs = Rf + Beta (Rm-Rf)</t>
  </si>
  <si>
    <t>Debt as a % of Capitalization (D/E Ratio/ (D/E Ratio +1))</t>
  </si>
  <si>
    <t>Transmission Rate Base (Year0 Ratebase + expansion - depreciation)</t>
  </si>
  <si>
    <t>Distribution Rate Base (Year0 Ratebase + expansion - depreciation)</t>
  </si>
  <si>
    <t>Customer O&amp;M ( Cust. O&amp;M ) * (composite CPI/PPI inflation - productivity +1)</t>
  </si>
  <si>
    <t>Distribution O&amp;M ( Dist. O&amp;M ) * (composite CPI/PPI inflation - productivity +1)</t>
  </si>
  <si>
    <t>Transmission O&amp;M ( Trans. O&amp;M ) * (composite CPI/PPI inflation - productivity +1)</t>
  </si>
  <si>
    <t>A&amp;G O&amp;M ( A&amp;G O&amp;M ) * (composite CPI/PPI inflation - productivity +1)</t>
  </si>
  <si>
    <t>Transmission Payroll Tax (Payroll Tax * (1+CPI-Productivity)</t>
  </si>
  <si>
    <t>Distribution Payroll Tax (Payroll Tax * (1+CPI-Productivity)</t>
  </si>
  <si>
    <t>Labor Expense as a percent of total O&amp;M (T&amp;D and A&amp;G payroll expense/T&amp;D and A&amp;G O&amp;M)</t>
  </si>
  <si>
    <t>Transmission Net Plant (Transmission Net Plant - Transmission Depreciation)</t>
  </si>
  <si>
    <t>Distribution Net Plant (Distribution Net Plant - Distribution Depreciation)</t>
  </si>
  <si>
    <t>Transmission Depreciation (Transmission Depreciation Rate * Transmission Net Plant)</t>
  </si>
  <si>
    <t>Distribution Depreciation (Distribution Depreciation Rate * Distribution Net Plant)</t>
  </si>
  <si>
    <t>Distribution Depreciation Rate (Year 0 value held constant)</t>
  </si>
  <si>
    <t>Transmission Depreciation Rate (Year 0 value held constant)</t>
  </si>
  <si>
    <t>Transmission Property Tax (Net plant * Ad Valorem Rate)</t>
  </si>
  <si>
    <t>Distribution Property Tax (Net plant * Ad Valorem Rate)</t>
  </si>
  <si>
    <t>Total Sources of MWH (MWH * (1+load growth))</t>
  </si>
  <si>
    <t>EES Deliveries (EES Delivieries * (1+ portfolio growth))</t>
  </si>
  <si>
    <t>#</t>
  </si>
  <si>
    <t>High Case</t>
  </si>
  <si>
    <t>Base Case</t>
  </si>
  <si>
    <t>Low Case</t>
  </si>
  <si>
    <t>Graph</t>
  </si>
  <si>
    <t>Illustration of Exposure over time</t>
  </si>
  <si>
    <t xml:space="preserve">Interest Rate Sensitivity </t>
  </si>
  <si>
    <t>Inflation Rate Sensitivity</t>
  </si>
  <si>
    <t>Productivity Rate Sensitivity</t>
  </si>
  <si>
    <t>Net Plant Increase</t>
  </si>
  <si>
    <t>Firm Specific</t>
  </si>
  <si>
    <t>Interest</t>
  </si>
  <si>
    <t>Inflation</t>
  </si>
  <si>
    <t>Rf Volatility (Given)</t>
  </si>
  <si>
    <t>Net Plant Increase, Effect of T-zero inflation and interest rates forward</t>
  </si>
  <si>
    <t>Negative indicates increase in rates</t>
  </si>
  <si>
    <t>Transmission and Distribution</t>
  </si>
  <si>
    <t>Exposure Calculation Model</t>
  </si>
  <si>
    <t>First Draft</t>
  </si>
  <si>
    <t>Interest Delta</t>
  </si>
  <si>
    <t>Inflation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</si>
</sst>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9" formatCode="0.0%"/>
    <numFmt numFmtId="173" formatCode="_(* #,##0.000_);_(* \(#,##0.000\);_(* &quot;-&quot;??_);_(@_)"/>
    <numFmt numFmtId="174" formatCode="_(* #,##0.0000_);_(* \(#,##0.0000\);_(* &quot;-&quot;??_);_(@_)"/>
    <numFmt numFmtId="177" formatCode="_(* #,##0.000000_);_(* \(#,##0.000000\);_(* &quot;-&quot;??_);_(@_)"/>
  </numFmts>
  <fonts count="13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i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24"/>
      <name val="Arial"/>
      <family val="2"/>
    </font>
    <font>
      <i/>
      <sz val="12"/>
      <name val="Arial"/>
      <family val="2"/>
    </font>
    <font>
      <sz val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5">
    <xf numFmtId="0" fontId="0" fillId="0" borderId="0" xfId="0"/>
    <xf numFmtId="165" fontId="1" fillId="0" borderId="0" xfId="1" applyNumberFormat="1"/>
    <xf numFmtId="9" fontId="1" fillId="0" borderId="0" xfId="2"/>
    <xf numFmtId="0" fontId="3" fillId="0" borderId="0" xfId="0" applyFont="1"/>
    <xf numFmtId="165" fontId="0" fillId="0" borderId="0" xfId="1" applyNumberFormat="1" applyFont="1"/>
    <xf numFmtId="165" fontId="3" fillId="0" borderId="0" xfId="1" applyNumberFormat="1" applyFont="1"/>
    <xf numFmtId="0" fontId="0" fillId="0" borderId="0" xfId="0" applyAlignment="1">
      <alignment horizontal="center" wrapText="1"/>
    </xf>
    <xf numFmtId="43" fontId="0" fillId="0" borderId="0" xfId="1" applyFont="1"/>
    <xf numFmtId="0" fontId="3" fillId="0" borderId="1" xfId="0" applyFont="1" applyBorder="1"/>
    <xf numFmtId="9" fontId="0" fillId="0" borderId="0" xfId="2" applyFont="1"/>
    <xf numFmtId="0" fontId="3" fillId="0" borderId="1" xfId="0" applyFont="1" applyBorder="1" applyAlignment="1">
      <alignment horizontal="center" wrapText="1"/>
    </xf>
    <xf numFmtId="169" fontId="0" fillId="0" borderId="0" xfId="2" applyNumberFormat="1" applyFont="1"/>
    <xf numFmtId="0" fontId="6" fillId="0" borderId="0" xfId="0" quotePrefix="1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6" fillId="0" borderId="0" xfId="0" quotePrefix="1" applyFont="1"/>
    <xf numFmtId="10" fontId="0" fillId="0" borderId="0" xfId="2" applyNumberFormat="1" applyFont="1"/>
    <xf numFmtId="165" fontId="0" fillId="0" borderId="0" xfId="0" applyNumberFormat="1"/>
    <xf numFmtId="10" fontId="1" fillId="0" borderId="0" xfId="2" applyNumberFormat="1"/>
    <xf numFmtId="10" fontId="0" fillId="0" borderId="0" xfId="0" applyNumberFormat="1"/>
    <xf numFmtId="9" fontId="0" fillId="0" borderId="0" xfId="0" applyNumberFormat="1"/>
    <xf numFmtId="9" fontId="0" fillId="0" borderId="0" xfId="2" applyNumberFormat="1" applyFont="1"/>
    <xf numFmtId="2" fontId="0" fillId="0" borderId="0" xfId="0" applyNumberFormat="1"/>
    <xf numFmtId="173" fontId="1" fillId="0" borderId="0" xfId="1" applyNumberFormat="1"/>
    <xf numFmtId="0" fontId="0" fillId="0" borderId="0" xfId="0" quotePrefix="1"/>
    <xf numFmtId="0" fontId="7" fillId="0" borderId="0" xfId="0" applyFont="1"/>
    <xf numFmtId="0" fontId="0" fillId="0" borderId="0" xfId="0" applyAlignment="1">
      <alignment horizontal="center"/>
    </xf>
    <xf numFmtId="174" fontId="0" fillId="0" borderId="0" xfId="0" applyNumberFormat="1"/>
    <xf numFmtId="0" fontId="0" fillId="0" borderId="2" xfId="0" applyBorder="1"/>
    <xf numFmtId="177" fontId="0" fillId="0" borderId="2" xfId="0" applyNumberFormat="1" applyBorder="1"/>
    <xf numFmtId="165" fontId="0" fillId="0" borderId="2" xfId="0" applyNumberFormat="1" applyBorder="1"/>
    <xf numFmtId="174" fontId="0" fillId="0" borderId="0" xfId="1" applyNumberFormat="1" applyFont="1"/>
    <xf numFmtId="174" fontId="1" fillId="0" borderId="0" xfId="1" applyNumberFormat="1" applyFont="1"/>
    <xf numFmtId="174" fontId="1" fillId="0" borderId="0" xfId="1" applyNumberFormat="1"/>
    <xf numFmtId="177" fontId="1" fillId="0" borderId="0" xfId="1" applyNumberFormat="1" applyFont="1"/>
    <xf numFmtId="177" fontId="0" fillId="0" borderId="0" xfId="1" applyNumberFormat="1" applyFont="1"/>
    <xf numFmtId="0" fontId="3" fillId="0" borderId="0" xfId="0" applyFont="1" applyAlignment="1">
      <alignment horizontal="center"/>
    </xf>
    <xf numFmtId="0" fontId="3" fillId="0" borderId="2" xfId="0" applyFont="1" applyBorder="1"/>
    <xf numFmtId="43" fontId="0" fillId="0" borderId="0" xfId="0" applyNumberFormat="1"/>
    <xf numFmtId="0" fontId="3" fillId="0" borderId="1" xfId="0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wrapText="1"/>
    </xf>
    <xf numFmtId="0" fontId="0" fillId="0" borderId="0" xfId="0" applyBorder="1"/>
    <xf numFmtId="0" fontId="0" fillId="0" borderId="3" xfId="0" applyBorder="1"/>
    <xf numFmtId="0" fontId="0" fillId="0" borderId="6" xfId="0" applyBorder="1" applyAlignment="1">
      <alignment wrapText="1"/>
    </xf>
    <xf numFmtId="0" fontId="0" fillId="0" borderId="4" xfId="0" applyBorder="1"/>
    <xf numFmtId="0" fontId="0" fillId="0" borderId="7" xfId="0" applyBorder="1"/>
    <xf numFmtId="0" fontId="0" fillId="0" borderId="6" xfId="0" applyBorder="1" applyAlignment="1">
      <alignment vertical="center"/>
    </xf>
    <xf numFmtId="0" fontId="6" fillId="0" borderId="1" xfId="0" applyFont="1" applyBorder="1" applyAlignment="1">
      <alignment horizontal="center" wrapText="1"/>
    </xf>
    <xf numFmtId="0" fontId="0" fillId="0" borderId="1" xfId="0" applyBorder="1"/>
    <xf numFmtId="0" fontId="6" fillId="0" borderId="1" xfId="0" applyFont="1" applyBorder="1" applyAlignment="1">
      <alignment horizontal="center"/>
    </xf>
    <xf numFmtId="0" fontId="0" fillId="2" borderId="0" xfId="0" applyFill="1"/>
    <xf numFmtId="165" fontId="0" fillId="0" borderId="0" xfId="1" applyNumberFormat="1" applyFont="1" applyFill="1"/>
    <xf numFmtId="9" fontId="0" fillId="0" borderId="0" xfId="2" applyFont="1" applyFill="1"/>
    <xf numFmtId="0" fontId="8" fillId="0" borderId="0" xfId="0" applyFont="1" applyBorder="1"/>
    <xf numFmtId="0" fontId="3" fillId="0" borderId="0" xfId="0" applyFont="1" applyBorder="1"/>
    <xf numFmtId="165" fontId="0" fillId="0" borderId="0" xfId="1" applyNumberFormat="1" applyFont="1" applyAlignment="1">
      <alignment horizontal="left"/>
    </xf>
    <xf numFmtId="165" fontId="3" fillId="0" borderId="0" xfId="1" applyNumberFormat="1" applyFont="1" applyFill="1" applyAlignment="1">
      <alignment horizontal="center" wrapText="1"/>
    </xf>
    <xf numFmtId="169" fontId="0" fillId="0" borderId="0" xfId="0" applyNumberFormat="1"/>
    <xf numFmtId="0" fontId="9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3" fillId="2" borderId="0" xfId="0" applyFont="1" applyFill="1"/>
    <xf numFmtId="165" fontId="0" fillId="2" borderId="0" xfId="1" applyNumberFormat="1" applyFont="1" applyFill="1" applyAlignment="1">
      <alignment horizontal="left"/>
    </xf>
    <xf numFmtId="165" fontId="3" fillId="2" borderId="0" xfId="1" applyNumberFormat="1" applyFont="1" applyFill="1"/>
    <xf numFmtId="165" fontId="0" fillId="2" borderId="0" xfId="1" applyNumberFormat="1" applyFont="1" applyFill="1"/>
    <xf numFmtId="43" fontId="0" fillId="0" borderId="0" xfId="1" applyFont="1" applyAlignment="1">
      <alignment horizontal="left"/>
    </xf>
    <xf numFmtId="0" fontId="0" fillId="0" borderId="0" xfId="0" applyAlignment="1">
      <alignment horizontal="left" wrapText="1"/>
    </xf>
    <xf numFmtId="169" fontId="1" fillId="0" borderId="0" xfId="2" applyNumberFormat="1"/>
    <xf numFmtId="43" fontId="0" fillId="0" borderId="0" xfId="1" applyNumberFormat="1" applyFont="1"/>
    <xf numFmtId="43" fontId="1" fillId="0" borderId="0" xfId="1" applyNumberFormat="1"/>
    <xf numFmtId="43" fontId="1" fillId="0" borderId="0" xfId="1" applyNumberFormat="1" applyFont="1"/>
    <xf numFmtId="10" fontId="0" fillId="0" borderId="0" xfId="2" applyNumberFormat="1" applyFont="1" applyFill="1"/>
    <xf numFmtId="0" fontId="0" fillId="0" borderId="0" xfId="0" applyFill="1"/>
    <xf numFmtId="0" fontId="10" fillId="0" borderId="0" xfId="0" applyFont="1" applyAlignment="1">
      <alignment horizontal="centerContinuous"/>
    </xf>
    <xf numFmtId="22" fontId="11" fillId="0" borderId="0" xfId="0" applyNumberFormat="1" applyFont="1" applyAlignment="1">
      <alignment horizontal="centerContinuous"/>
    </xf>
    <xf numFmtId="0" fontId="12" fillId="0" borderId="0" xfId="0" applyFont="1" applyAlignment="1">
      <alignment horizontal="centerContinuous"/>
    </xf>
    <xf numFmtId="0" fontId="0" fillId="0" borderId="0" xfId="0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Transmission &amp; Distribution Exposure Calculation</a:t>
            </a:r>
          </a:p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No Portfolio Growth</a:t>
            </a:r>
          </a:p>
        </c:rich>
      </c:tx>
      <c:layout>
        <c:manualLayout>
          <c:xMode val="edge"/>
          <c:yMode val="edge"/>
          <c:x val="0.1692508595401066"/>
          <c:y val="2.99401781206690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04674636469734"/>
          <c:y val="0.18962112809757067"/>
          <c:w val="0.64599564709964352"/>
          <c:h val="0.69461213239952202"/>
        </c:manualLayout>
      </c:layout>
      <c:lineChart>
        <c:grouping val="standard"/>
        <c:varyColors val="0"/>
        <c:ser>
          <c:idx val="0"/>
          <c:order val="0"/>
          <c:tx>
            <c:strRef>
              <c:f>Graph!$Y$51</c:f>
              <c:strCache>
                <c:ptCount val="1"/>
                <c:pt idx="0">
                  <c:v>High Case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Graph!$AA$50:$AK$50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Graph!$AA$51:$AK$51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54.585457387574259</c:v>
                </c:pt>
                <c:pt idx="2">
                  <c:v>143.72627988562141</c:v>
                </c:pt>
                <c:pt idx="3">
                  <c:v>148.49804798635577</c:v>
                </c:pt>
                <c:pt idx="4">
                  <c:v>153.40796739728367</c:v>
                </c:pt>
                <c:pt idx="5">
                  <c:v>193.71172098674626</c:v>
                </c:pt>
                <c:pt idx="6">
                  <c:v>244.02605030037549</c:v>
                </c:pt>
                <c:pt idx="7">
                  <c:v>249.31266223688903</c:v>
                </c:pt>
                <c:pt idx="8">
                  <c:v>254.73643478064528</c:v>
                </c:pt>
                <c:pt idx="9">
                  <c:v>260.31187814829241</c:v>
                </c:pt>
                <c:pt idx="10">
                  <c:v>266.040401646021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E-4DFC-AF85-67374B4BD7C6}"/>
            </c:ext>
          </c:extLst>
        </c:ser>
        <c:ser>
          <c:idx val="1"/>
          <c:order val="1"/>
          <c:tx>
            <c:strRef>
              <c:f>Graph!$Y$52</c:f>
              <c:strCache>
                <c:ptCount val="1"/>
                <c:pt idx="0">
                  <c:v>Base Case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Graph!$AA$50:$AK$50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Graph!$AA$52:$AK$52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0.76014240523224397</c:v>
                </c:pt>
                <c:pt idx="2">
                  <c:v>-10.573656113075657</c:v>
                </c:pt>
                <c:pt idx="3">
                  <c:v>-8.4822314234668639</c:v>
                </c:pt>
                <c:pt idx="4">
                  <c:v>-6.4071528689321111</c:v>
                </c:pt>
                <c:pt idx="5">
                  <c:v>-20.358262980620257</c:v>
                </c:pt>
                <c:pt idx="6">
                  <c:v>-57.452598903242318</c:v>
                </c:pt>
                <c:pt idx="7">
                  <c:v>-55.477019691174199</c:v>
                </c:pt>
                <c:pt idx="8">
                  <c:v>-53.528585174076198</c:v>
                </c:pt>
                <c:pt idx="9">
                  <c:v>-51.59747488585738</c:v>
                </c:pt>
                <c:pt idx="10">
                  <c:v>-49.685514367256175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E-4DFC-AF85-67374B4BD7C6}"/>
            </c:ext>
          </c:extLst>
        </c:ser>
        <c:ser>
          <c:idx val="2"/>
          <c:order val="2"/>
          <c:tx>
            <c:strRef>
              <c:f>Graph!$Y$53</c:f>
              <c:strCache>
                <c:ptCount val="1"/>
                <c:pt idx="0">
                  <c:v>Low Case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cat>
            <c:numRef>
              <c:f>Graph!$AA$50:$AK$50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Graph!$AA$53:$AK$53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-56.36521442173165</c:v>
                </c:pt>
                <c:pt idx="2">
                  <c:v>-176.58279050782281</c:v>
                </c:pt>
                <c:pt idx="3">
                  <c:v>-177.46868097507536</c:v>
                </c:pt>
                <c:pt idx="4">
                  <c:v>-178.39870963207869</c:v>
                </c:pt>
                <c:pt idx="5">
                  <c:v>-250.93087283659079</c:v>
                </c:pt>
                <c:pt idx="6">
                  <c:v>-377.73883263522748</c:v>
                </c:pt>
                <c:pt idx="7">
                  <c:v>-378.82303233170262</c:v>
                </c:pt>
                <c:pt idx="8">
                  <c:v>-379.9451750020001</c:v>
                </c:pt>
                <c:pt idx="9">
                  <c:v>-381.09391046749028</c:v>
                </c:pt>
                <c:pt idx="10">
                  <c:v>-382.26801924121531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6E-4DFC-AF85-67374B4BD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151408"/>
        <c:axId val="1"/>
      </c:lineChart>
      <c:catAx>
        <c:axId val="51115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3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7674478755953698"/>
              <c:y val="0.908185402993627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Exposure - Delta from Year 2000
(Million $'s)</a:t>
                </a:r>
              </a:p>
            </c:rich>
          </c:tx>
          <c:layout>
            <c:manualLayout>
              <c:xMode val="edge"/>
              <c:yMode val="edge"/>
              <c:x val="5.5555625650569346E-2"/>
              <c:y val="0.23153737746650735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1151408"/>
        <c:crosses val="autoZero"/>
        <c:crossBetween val="between"/>
        <c:maj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625429770053306"/>
          <c:y val="0.48103886180541611"/>
          <c:w val="0.14341103365612087"/>
          <c:h val="0.13373279560565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3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Interest Rate Sensitivity</a:t>
            </a:r>
          </a:p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75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I</a:t>
            </a:r>
            <a:r>
              <a:rPr lang="en-US" sz="1075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nflation Constant, Productivity 0%, and Cap Structure Constant</a:t>
            </a:r>
          </a:p>
        </c:rich>
      </c:tx>
      <c:layout>
        <c:manualLayout>
          <c:xMode val="edge"/>
          <c:yMode val="edge"/>
          <c:x val="0.23514241554427026"/>
          <c:y val="3.35051968040190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06731224174369"/>
          <c:y val="0.17010330685117345"/>
          <c:w val="0.79586663722676088"/>
          <c:h val="0.76804220366135889"/>
        </c:manualLayout>
      </c:layout>
      <c:lineChart>
        <c:grouping val="standard"/>
        <c:varyColors val="0"/>
        <c:ser>
          <c:idx val="0"/>
          <c:order val="0"/>
          <c:tx>
            <c:strRef>
              <c:f>Graph!$BD$3</c:f>
              <c:strCache>
                <c:ptCount val="1"/>
                <c:pt idx="0">
                  <c:v>7.5%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Graph!$AW$4:$AW$14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Graph!$BD$4:$BD$14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38.975126681543244</c:v>
                </c:pt>
                <c:pt idx="2">
                  <c:v>95.424404830886772</c:v>
                </c:pt>
                <c:pt idx="3">
                  <c:v>95.4244048308868</c:v>
                </c:pt>
                <c:pt idx="4">
                  <c:v>95.4244048308868</c:v>
                </c:pt>
                <c:pt idx="5">
                  <c:v>93.709621876580854</c:v>
                </c:pt>
                <c:pt idx="6">
                  <c:v>91.035299520647982</c:v>
                </c:pt>
                <c:pt idx="7">
                  <c:v>91.035299520647868</c:v>
                </c:pt>
                <c:pt idx="8">
                  <c:v>91.035299520647925</c:v>
                </c:pt>
                <c:pt idx="9">
                  <c:v>91.035299520647982</c:v>
                </c:pt>
                <c:pt idx="10">
                  <c:v>91.035299520647953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3-4385-B797-A1F25DE1846F}"/>
            </c:ext>
          </c:extLst>
        </c:ser>
        <c:ser>
          <c:idx val="1"/>
          <c:order val="1"/>
          <c:tx>
            <c:strRef>
              <c:f>Graph!$BC$3</c:f>
              <c:strCache>
                <c:ptCount val="1"/>
                <c:pt idx="0">
                  <c:v>7.0%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Graph!$AW$4:$AW$14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Graph!$BC$4:$BC$14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25.983417787695696</c:v>
                </c:pt>
                <c:pt idx="2">
                  <c:v>63.616269887258056</c:v>
                </c:pt>
                <c:pt idx="3">
                  <c:v>63.616269887258056</c:v>
                </c:pt>
                <c:pt idx="4">
                  <c:v>63.616269887258063</c:v>
                </c:pt>
                <c:pt idx="5">
                  <c:v>62.473081251053628</c:v>
                </c:pt>
                <c:pt idx="6">
                  <c:v>60.690199680431817</c:v>
                </c:pt>
                <c:pt idx="7">
                  <c:v>60.690199680431789</c:v>
                </c:pt>
                <c:pt idx="8">
                  <c:v>60.69019968043176</c:v>
                </c:pt>
                <c:pt idx="9">
                  <c:v>60.690199680431817</c:v>
                </c:pt>
                <c:pt idx="10">
                  <c:v>60.690199680431846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F3-4385-B797-A1F25DE1846F}"/>
            </c:ext>
          </c:extLst>
        </c:ser>
        <c:ser>
          <c:idx val="2"/>
          <c:order val="2"/>
          <c:tx>
            <c:strRef>
              <c:f>Graph!$BB$3</c:f>
              <c:strCache>
                <c:ptCount val="1"/>
                <c:pt idx="0">
                  <c:v>6.5%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Graph!$AW$4:$AW$14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Graph!$BB$4:$BB$14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12.991708893847882</c:v>
                </c:pt>
                <c:pt idx="2">
                  <c:v>31.808134943629057</c:v>
                </c:pt>
                <c:pt idx="3">
                  <c:v>31.808134943629057</c:v>
                </c:pt>
                <c:pt idx="4">
                  <c:v>31.808134943629049</c:v>
                </c:pt>
                <c:pt idx="5">
                  <c:v>31.236540625526885</c:v>
                </c:pt>
                <c:pt idx="6">
                  <c:v>30.345099840215937</c:v>
                </c:pt>
                <c:pt idx="7">
                  <c:v>30.345099840215909</c:v>
                </c:pt>
                <c:pt idx="8">
                  <c:v>30.345099840215909</c:v>
                </c:pt>
                <c:pt idx="9">
                  <c:v>30.345099840215994</c:v>
                </c:pt>
                <c:pt idx="10">
                  <c:v>30.345099840215937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F3-4385-B797-A1F25DE1846F}"/>
            </c:ext>
          </c:extLst>
        </c:ser>
        <c:ser>
          <c:idx val="3"/>
          <c:order val="3"/>
          <c:tx>
            <c:strRef>
              <c:f>Graph!$BA$3</c:f>
              <c:strCache>
                <c:ptCount val="1"/>
                <c:pt idx="0">
                  <c:v>6.0%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Graph!$AW$4:$AW$14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Graph!$BA$4:$BA$14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F3-4385-B797-A1F25DE1846F}"/>
            </c:ext>
          </c:extLst>
        </c:ser>
        <c:ser>
          <c:idx val="4"/>
          <c:order val="4"/>
          <c:tx>
            <c:strRef>
              <c:f>Graph!$AZ$3</c:f>
              <c:strCache>
                <c:ptCount val="1"/>
                <c:pt idx="0">
                  <c:v>5.5%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Graph!$AW$4:$AW$14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Graph!$AZ$4:$AZ$14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-12.991708893847782</c:v>
                </c:pt>
                <c:pt idx="2">
                  <c:v>-31.808134943628957</c:v>
                </c:pt>
                <c:pt idx="3">
                  <c:v>-31.808134943628964</c:v>
                </c:pt>
                <c:pt idx="4">
                  <c:v>-31.808134943628957</c:v>
                </c:pt>
                <c:pt idx="5">
                  <c:v>-31.236540625526729</c:v>
                </c:pt>
                <c:pt idx="6">
                  <c:v>-30.345099840215539</c:v>
                </c:pt>
                <c:pt idx="7">
                  <c:v>-30.345099840215624</c:v>
                </c:pt>
                <c:pt idx="8">
                  <c:v>-30.345099840215624</c:v>
                </c:pt>
                <c:pt idx="9">
                  <c:v>-30.345099840215539</c:v>
                </c:pt>
                <c:pt idx="10">
                  <c:v>-30.345099840215596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F3-4385-B797-A1F25DE1846F}"/>
            </c:ext>
          </c:extLst>
        </c:ser>
        <c:ser>
          <c:idx val="5"/>
          <c:order val="5"/>
          <c:tx>
            <c:strRef>
              <c:f>Graph!$AY$3</c:f>
              <c:strCache>
                <c:ptCount val="1"/>
                <c:pt idx="0">
                  <c:v>5.0%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Graph!$AW$4:$AW$14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Graph!$AY$4:$AY$14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-25.983417787695434</c:v>
                </c:pt>
                <c:pt idx="2">
                  <c:v>-63.616269887257772</c:v>
                </c:pt>
                <c:pt idx="3">
                  <c:v>-63.616269887257772</c:v>
                </c:pt>
                <c:pt idx="4">
                  <c:v>-63.616269887257772</c:v>
                </c:pt>
                <c:pt idx="5">
                  <c:v>-62.473081251053614</c:v>
                </c:pt>
                <c:pt idx="6">
                  <c:v>-60.69019968043159</c:v>
                </c:pt>
                <c:pt idx="7">
                  <c:v>-60.690199680431647</c:v>
                </c:pt>
                <c:pt idx="8">
                  <c:v>-60.690199680431647</c:v>
                </c:pt>
                <c:pt idx="9">
                  <c:v>-60.690199680431562</c:v>
                </c:pt>
                <c:pt idx="10">
                  <c:v>-60.690199680431618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F3-4385-B797-A1F25DE1846F}"/>
            </c:ext>
          </c:extLst>
        </c:ser>
        <c:ser>
          <c:idx val="6"/>
          <c:order val="6"/>
          <c:tx>
            <c:strRef>
              <c:f>Graph!$AX$3</c:f>
              <c:strCache>
                <c:ptCount val="1"/>
                <c:pt idx="0">
                  <c:v>4.5%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numRef>
              <c:f>Graph!$AW$4:$AW$14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Graph!$AX$4:$AX$14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-38.975126681543266</c:v>
                </c:pt>
                <c:pt idx="2">
                  <c:v>-95.424404830886814</c:v>
                </c:pt>
                <c:pt idx="3">
                  <c:v>-95.424404830886814</c:v>
                </c:pt>
                <c:pt idx="4">
                  <c:v>-95.4244048308868</c:v>
                </c:pt>
                <c:pt idx="5">
                  <c:v>-93.709621876580528</c:v>
                </c:pt>
                <c:pt idx="6">
                  <c:v>-91.035299520647428</c:v>
                </c:pt>
                <c:pt idx="7">
                  <c:v>-91.035299520647499</c:v>
                </c:pt>
                <c:pt idx="8">
                  <c:v>-91.035299520647484</c:v>
                </c:pt>
                <c:pt idx="9">
                  <c:v>-91.035299520647413</c:v>
                </c:pt>
                <c:pt idx="10">
                  <c:v>-91.035299520647456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F3-4385-B797-A1F25DE18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52336"/>
        <c:axId val="1"/>
      </c:lineChart>
      <c:catAx>
        <c:axId val="51115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-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Exposure (MM$)</a:t>
                </a:r>
              </a:p>
            </c:rich>
          </c:tx>
          <c:layout>
            <c:manualLayout>
              <c:xMode val="edge"/>
              <c:yMode val="edge"/>
              <c:x val="2.0671860707188593E-2"/>
              <c:y val="0.3582478735198956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1152336"/>
        <c:crosses val="autoZero"/>
        <c:crossBetween val="between"/>
        <c:maj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1458537046967"/>
          <c:y val="0.3917530703239146"/>
          <c:w val="7.7519477651957228E-2"/>
          <c:h val="0.345361259364503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05295315682282"/>
          <c:y val="9.4545454545454544E-2"/>
          <c:w val="0.71690427698574333"/>
          <c:h val="0.81454545454545457"/>
        </c:manualLayout>
      </c:layout>
      <c:lineChart>
        <c:grouping val="standard"/>
        <c:varyColors val="0"/>
        <c:ser>
          <c:idx val="1"/>
          <c:order val="0"/>
          <c:tx>
            <c:strRef>
              <c:f>Graph!$AM$5</c:f>
              <c:strCache>
                <c:ptCount val="1"/>
                <c:pt idx="0">
                  <c:v>2001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Graph!$AN$3:$AT$3</c:f>
              <c:numCache>
                <c:formatCode>0.0%</c:formatCode>
                <c:ptCount val="7"/>
                <c:pt idx="0">
                  <c:v>4.4999999999999998E-2</c:v>
                </c:pt>
                <c:pt idx="1">
                  <c:v>0.05</c:v>
                </c:pt>
                <c:pt idx="2">
                  <c:v>5.5E-2</c:v>
                </c:pt>
                <c:pt idx="3">
                  <c:v>0.06</c:v>
                </c:pt>
                <c:pt idx="4">
                  <c:v>6.5000000000000002E-2</c:v>
                </c:pt>
                <c:pt idx="5">
                  <c:v>7.0000000000000007E-2</c:v>
                </c:pt>
                <c:pt idx="6">
                  <c:v>7.4999999999999997E-2</c:v>
                </c:pt>
              </c:numCache>
            </c:numRef>
          </c:cat>
          <c:val>
            <c:numRef>
              <c:f>Graph!$AN$5:$AT$5</c:f>
              <c:numCache>
                <c:formatCode>_(* #,##0_);_(* \(#,##0\);_(* "-"??_);_(@_)</c:formatCode>
                <c:ptCount val="7"/>
                <c:pt idx="0">
                  <c:v>-26.738331025424262</c:v>
                </c:pt>
                <c:pt idx="1">
                  <c:v>-13.74662213157643</c:v>
                </c:pt>
                <c:pt idx="2">
                  <c:v>-0.75491323772877883</c:v>
                </c:pt>
                <c:pt idx="3">
                  <c:v>12.236795656119003</c:v>
                </c:pt>
                <c:pt idx="4">
                  <c:v>25.228504549966885</c:v>
                </c:pt>
                <c:pt idx="5">
                  <c:v>38.2202134438147</c:v>
                </c:pt>
                <c:pt idx="6">
                  <c:v>51.211922337662244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4-4E45-B85E-693B3F3C3E0C}"/>
            </c:ext>
          </c:extLst>
        </c:ser>
        <c:ser>
          <c:idx val="0"/>
          <c:order val="1"/>
          <c:tx>
            <c:strRef>
              <c:f>Graph!$AM$9</c:f>
              <c:strCache>
                <c:ptCount val="1"/>
                <c:pt idx="0">
                  <c:v>2005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Graph!$AN$3:$AT$3</c:f>
              <c:numCache>
                <c:formatCode>0.0%</c:formatCode>
                <c:ptCount val="7"/>
                <c:pt idx="0">
                  <c:v>4.4999999999999998E-2</c:v>
                </c:pt>
                <c:pt idx="1">
                  <c:v>0.05</c:v>
                </c:pt>
                <c:pt idx="2">
                  <c:v>5.5E-2</c:v>
                </c:pt>
                <c:pt idx="3">
                  <c:v>0.06</c:v>
                </c:pt>
                <c:pt idx="4">
                  <c:v>6.5000000000000002E-2</c:v>
                </c:pt>
                <c:pt idx="5">
                  <c:v>7.0000000000000007E-2</c:v>
                </c:pt>
                <c:pt idx="6">
                  <c:v>7.4999999999999997E-2</c:v>
                </c:pt>
              </c:numCache>
            </c:numRef>
          </c:cat>
          <c:val>
            <c:numRef>
              <c:f>Graph!$AN$9:$AT$9</c:f>
              <c:numCache>
                <c:formatCode>_(* #,##0_);_(* \(#,##0\);_(* "-"??_);_(@_)</c:formatCode>
                <c:ptCount val="7"/>
                <c:pt idx="0">
                  <c:v>9.7772624762141493</c:v>
                </c:pt>
                <c:pt idx="1">
                  <c:v>41.013803101741061</c:v>
                </c:pt>
                <c:pt idx="2">
                  <c:v>72.250343727267946</c:v>
                </c:pt>
                <c:pt idx="3">
                  <c:v>103.48688435279468</c:v>
                </c:pt>
                <c:pt idx="4">
                  <c:v>134.72342497832156</c:v>
                </c:pt>
                <c:pt idx="5">
                  <c:v>165.9599656038483</c:v>
                </c:pt>
                <c:pt idx="6">
                  <c:v>197.19650622937553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4-4E45-B85E-693B3F3C3E0C}"/>
            </c:ext>
          </c:extLst>
        </c:ser>
        <c:ser>
          <c:idx val="2"/>
          <c:order val="2"/>
          <c:tx>
            <c:strRef>
              <c:f>Graph!$AM$14</c:f>
              <c:strCache>
                <c:ptCount val="1"/>
                <c:pt idx="0">
                  <c:v>2010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Graph!$AO$70:$AV$70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04-4E45-B85E-693B3F3C3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54656"/>
        <c:axId val="1"/>
      </c:lineChart>
      <c:catAx>
        <c:axId val="511154656"/>
        <c:scaling>
          <c:orientation val="minMax"/>
        </c:scaling>
        <c:delete val="0"/>
        <c:axPos val="b"/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1154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336048879837068"/>
          <c:y val="0.38545454545454544"/>
          <c:w val="0.13034623217922606"/>
          <c:h val="0.2327272727272727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Inflation Rate Sensitivity</a:t>
            </a:r>
          </a:p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Interest Rates Constant</a:t>
            </a:r>
            <a:r>
              <a:rPr lang="en-US" sz="11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, Productivity 0%, and Cap Structure Constant</a:t>
            </a:r>
          </a:p>
        </c:rich>
      </c:tx>
      <c:layout>
        <c:manualLayout>
          <c:xMode val="edge"/>
          <c:yMode val="edge"/>
          <c:x val="0.21161303655055227"/>
          <c:y val="3.3078962604769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93554809447335"/>
          <c:y val="0.17302841977879438"/>
          <c:w val="0.79612953385177287"/>
          <c:h val="0.76590521107966336"/>
        </c:manualLayout>
      </c:layout>
      <c:lineChart>
        <c:grouping val="standard"/>
        <c:varyColors val="0"/>
        <c:ser>
          <c:idx val="0"/>
          <c:order val="0"/>
          <c:tx>
            <c:strRef>
              <c:f>Graph!$BD$18</c:f>
              <c:strCache>
                <c:ptCount val="1"/>
                <c:pt idx="0">
                  <c:v>6.0%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Graph!$AW$19:$AW$29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Graph!$BD$19:$BD$29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13.200167378487686</c:v>
                </c:pt>
                <c:pt idx="2">
                  <c:v>53.06340887990843</c:v>
                </c:pt>
                <c:pt idx="3">
                  <c:v>55.616203146816858</c:v>
                </c:pt>
                <c:pt idx="4">
                  <c:v>58.413622581468445</c:v>
                </c:pt>
                <c:pt idx="5">
                  <c:v>113.38275514896277</c:v>
                </c:pt>
                <c:pt idx="6">
                  <c:v>205.68444660825907</c:v>
                </c:pt>
                <c:pt idx="7">
                  <c:v>209.33082297406565</c:v>
                </c:pt>
                <c:pt idx="8">
                  <c:v>213.30297427479246</c:v>
                </c:pt>
                <c:pt idx="9">
                  <c:v>217.62472670065395</c:v>
                </c:pt>
                <c:pt idx="10">
                  <c:v>222.32150720104181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0-4548-8D7C-341CCF34B10E}"/>
            </c:ext>
          </c:extLst>
        </c:ser>
        <c:ser>
          <c:idx val="6"/>
          <c:order val="1"/>
          <c:tx>
            <c:strRef>
              <c:f>Graph!$BC$18</c:f>
              <c:strCache>
                <c:ptCount val="1"/>
                <c:pt idx="0">
                  <c:v>5.0%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numRef>
              <c:f>Graph!$AW$19:$AW$29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Graph!$BC$19:$BC$29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6.6000836892438191</c:v>
                </c:pt>
                <c:pt idx="2">
                  <c:v>26.431758769076005</c:v>
                </c:pt>
                <c:pt idx="3">
                  <c:v>27.685431044655729</c:v>
                </c:pt>
                <c:pt idx="4">
                  <c:v>29.04751568987875</c:v>
                </c:pt>
                <c:pt idx="5">
                  <c:v>55.87976797959179</c:v>
                </c:pt>
                <c:pt idx="6">
                  <c:v>100.54402801218947</c:v>
                </c:pt>
                <c:pt idx="7">
                  <c:v>102.27661570578636</c:v>
                </c:pt>
                <c:pt idx="8">
                  <c:v>104.14932896054916</c:v>
                </c:pt>
                <c:pt idx="9">
                  <c:v>106.17131390159554</c:v>
                </c:pt>
                <c:pt idx="10">
                  <c:v>108.35225955418161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0-4548-8D7C-341CCF34B10E}"/>
            </c:ext>
          </c:extLst>
        </c:ser>
        <c:ser>
          <c:idx val="5"/>
          <c:order val="2"/>
          <c:tx>
            <c:strRef>
              <c:f>Graph!$BB$18</c:f>
              <c:strCache>
                <c:ptCount val="1"/>
                <c:pt idx="0">
                  <c:v>4.0%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Graph!$AW$19:$AW$29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Graph!$BB$19:$BB$29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0-4548-8D7C-341CCF34B10E}"/>
            </c:ext>
          </c:extLst>
        </c:ser>
        <c:ser>
          <c:idx val="4"/>
          <c:order val="3"/>
          <c:tx>
            <c:strRef>
              <c:f>Graph!$BA$18</c:f>
              <c:strCache>
                <c:ptCount val="1"/>
                <c:pt idx="0">
                  <c:v>3.0%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Graph!$AW$19:$AW$29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Graph!$BA$19:$BA$29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-6.6000836892439594</c:v>
                </c:pt>
                <c:pt idx="2">
                  <c:v>-26.231867427319884</c:v>
                </c:pt>
                <c:pt idx="3">
                  <c:v>-27.440724169230766</c:v>
                </c:pt>
                <c:pt idx="4">
                  <c:v>-28.731575369263318</c:v>
                </c:pt>
                <c:pt idx="5">
                  <c:v>-54.297426248201667</c:v>
                </c:pt>
                <c:pt idx="6">
                  <c:v>-96.109142933263271</c:v>
                </c:pt>
                <c:pt idx="7">
                  <c:v>-97.672527735351252</c:v>
                </c:pt>
                <c:pt idx="8">
                  <c:v>-99.336310257987918</c:v>
                </c:pt>
                <c:pt idx="9">
                  <c:v>-101.10564227984919</c:v>
                </c:pt>
                <c:pt idx="10">
                  <c:v>-102.98591572685353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20-4548-8D7C-341CCF34B10E}"/>
            </c:ext>
          </c:extLst>
        </c:ser>
        <c:ser>
          <c:idx val="3"/>
          <c:order val="4"/>
          <c:tx>
            <c:strRef>
              <c:f>Graph!$AZ$18</c:f>
              <c:strCache>
                <c:ptCount val="1"/>
                <c:pt idx="0">
                  <c:v>2.0%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Graph!$AW$19:$AW$29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Graph!$AZ$19:$AZ$29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-13.200167378487693</c:v>
                </c:pt>
                <c:pt idx="2">
                  <c:v>-52.263843512883341</c:v>
                </c:pt>
                <c:pt idx="3">
                  <c:v>-54.637375645116521</c:v>
                </c:pt>
                <c:pt idx="4">
                  <c:v>-57.149835931723018</c:v>
                </c:pt>
                <c:pt idx="5">
                  <c:v>-107.0526096407954</c:v>
                </c:pt>
                <c:pt idx="6">
                  <c:v>-187.94063288794624</c:v>
                </c:pt>
                <c:pt idx="7">
                  <c:v>-190.9096104508385</c:v>
                </c:pt>
                <c:pt idx="8">
                  <c:v>-194.04495991796068</c:v>
                </c:pt>
                <c:pt idx="9">
                  <c:v>-197.35428842151629</c:v>
                </c:pt>
                <c:pt idx="10">
                  <c:v>-200.84552642411757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20-4548-8D7C-341CCF34B10E}"/>
            </c:ext>
          </c:extLst>
        </c:ser>
        <c:ser>
          <c:idx val="2"/>
          <c:order val="5"/>
          <c:tx>
            <c:strRef>
              <c:f>Graph!$AY$18</c:f>
              <c:strCache>
                <c:ptCount val="1"/>
                <c:pt idx="0">
                  <c:v>1.0%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Graph!$AW$19:$AW$29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Graph!$AY$19:$AY$29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-19.800251067731494</c:v>
                </c:pt>
                <c:pt idx="2">
                  <c:v>-78.095928256690542</c:v>
                </c:pt>
                <c:pt idx="3">
                  <c:v>-81.590588609737637</c:v>
                </c:pt>
                <c:pt idx="4">
                  <c:v>-85.257381833908198</c:v>
                </c:pt>
                <c:pt idx="5">
                  <c:v>-158.30487795733018</c:v>
                </c:pt>
                <c:pt idx="6">
                  <c:v>-275.64750418518963</c:v>
                </c:pt>
                <c:pt idx="7">
                  <c:v>-279.87512673828883</c:v>
                </c:pt>
                <c:pt idx="8">
                  <c:v>-284.30551404637708</c:v>
                </c:pt>
                <c:pt idx="9">
                  <c:v>-288.94711329818267</c:v>
                </c:pt>
                <c:pt idx="10">
                  <c:v>-293.80871293596823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20-4548-8D7C-341CCF34B10E}"/>
            </c:ext>
          </c:extLst>
        </c:ser>
        <c:ser>
          <c:idx val="1"/>
          <c:order val="6"/>
          <c:tx>
            <c:strRef>
              <c:f>Graph!$AX$18</c:f>
              <c:strCache>
                <c:ptCount val="1"/>
                <c:pt idx="0">
                  <c:v>0.0%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Graph!$AW$19:$AW$29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Graph!$AX$19:$AX$29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-26.400334756975617</c:v>
                </c:pt>
                <c:pt idx="2">
                  <c:v>-103.72812165874183</c:v>
                </c:pt>
                <c:pt idx="3">
                  <c:v>-108.3009972451747</c:v>
                </c:pt>
                <c:pt idx="4">
                  <c:v>-113.05678785506488</c:v>
                </c:pt>
                <c:pt idx="5">
                  <c:v>-208.09279536749165</c:v>
                </c:pt>
                <c:pt idx="6">
                  <c:v>-359.37866832172409</c:v>
                </c:pt>
                <c:pt idx="7">
                  <c:v>-364.72828597032759</c:v>
                </c:pt>
                <c:pt idx="8">
                  <c:v>-370.29188832487523</c:v>
                </c:pt>
                <c:pt idx="9">
                  <c:v>-376.07803477360483</c:v>
                </c:pt>
                <c:pt idx="10">
                  <c:v>-382.09562708028352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20-4548-8D7C-341CCF34B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55584"/>
        <c:axId val="1"/>
      </c:lineChart>
      <c:catAx>
        <c:axId val="51115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Exposure (MM$)</a:t>
                </a:r>
              </a:p>
            </c:rich>
          </c:tx>
          <c:layout>
            <c:manualLayout>
              <c:xMode val="edge"/>
              <c:yMode val="edge"/>
              <c:x val="2.0645174297614855E-2"/>
              <c:y val="0.36132405306748239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1155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25863927585638"/>
          <c:y val="0.39440301567225189"/>
          <c:w val="7.7419403616055704E-2"/>
          <c:h val="0.340967768387624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3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Productivity Rate Sensitivity</a:t>
            </a:r>
          </a:p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75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Con</a:t>
            </a:r>
            <a:r>
              <a:rPr lang="en-US" sz="875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stant </a:t>
            </a:r>
            <a:r>
              <a:rPr lang="en-US" sz="975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Interest Rates</a:t>
            </a:r>
            <a:r>
              <a:rPr lang="en-US" sz="1075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, Inflation and Cap Structure Constant</a:t>
            </a:r>
          </a:p>
        </c:rich>
      </c:tx>
      <c:layout>
        <c:manualLayout>
          <c:xMode val="edge"/>
          <c:yMode val="edge"/>
          <c:x val="0.24902216427640156"/>
          <c:y val="3.37662765907525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99869621903521"/>
          <c:y val="0.17402619473695558"/>
          <c:w val="0.79400260756192964"/>
          <c:h val="0.7636373321293275"/>
        </c:manualLayout>
      </c:layout>
      <c:lineChart>
        <c:grouping val="standard"/>
        <c:varyColors val="0"/>
        <c:ser>
          <c:idx val="1"/>
          <c:order val="0"/>
          <c:tx>
            <c:strRef>
              <c:f>Graph!$AX$33</c:f>
              <c:strCache>
                <c:ptCount val="1"/>
                <c:pt idx="0">
                  <c:v>0%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Graph!$AW$34:$AW$44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Graph!$AX$34:$AX$44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0-4C33-8B5E-441DD6DBA9FD}"/>
            </c:ext>
          </c:extLst>
        </c:ser>
        <c:ser>
          <c:idx val="2"/>
          <c:order val="1"/>
          <c:tx>
            <c:strRef>
              <c:f>Graph!$AY$33</c:f>
              <c:strCache>
                <c:ptCount val="1"/>
                <c:pt idx="0">
                  <c:v>0.5%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Graph!$AW$34:$AW$44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Graph!$AY$34:$AY$44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-3.3000418446219957</c:v>
                </c:pt>
                <c:pt idx="2">
                  <c:v>-13.161214786295901</c:v>
                </c:pt>
                <c:pt idx="3">
                  <c:v>-13.761633525194611</c:v>
                </c:pt>
                <c:pt idx="4">
                  <c:v>-14.400723179826613</c:v>
                </c:pt>
                <c:pt idx="5">
                  <c:v>-27.484503718991149</c:v>
                </c:pt>
                <c:pt idx="6">
                  <c:v>-49.088084796523134</c:v>
                </c:pt>
                <c:pt idx="7">
                  <c:v>-49.85498656959507</c:v>
                </c:pt>
                <c:pt idx="8">
                  <c:v>-50.668718757958487</c:v>
                </c:pt>
                <c:pt idx="9">
                  <c:v>-51.531550384514446</c:v>
                </c:pt>
                <c:pt idx="10">
                  <c:v>-52.44584980961784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30-4C33-8B5E-441DD6DBA9FD}"/>
            </c:ext>
          </c:extLst>
        </c:ser>
        <c:ser>
          <c:idx val="3"/>
          <c:order val="2"/>
          <c:tx>
            <c:strRef>
              <c:f>Graph!$AZ$33</c:f>
              <c:strCache>
                <c:ptCount val="1"/>
                <c:pt idx="0">
                  <c:v>1.0%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Graph!$AW$34:$AW$44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Graph!$AZ$34:$AZ$44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-6.6000836892439958</c:v>
                </c:pt>
                <c:pt idx="2">
                  <c:v>-26.272456737152392</c:v>
                </c:pt>
                <c:pt idx="3">
                  <c:v>-27.462237778866271</c:v>
                </c:pt>
                <c:pt idx="4">
                  <c:v>-28.723072314250409</c:v>
                </c:pt>
                <c:pt idx="5">
                  <c:v>-54.576811291897883</c:v>
                </c:pt>
                <c:pt idx="6">
                  <c:v>-97.078748278457866</c:v>
                </c:pt>
                <c:pt idx="7">
                  <c:v>-98.572917668467497</c:v>
                </c:pt>
                <c:pt idx="8">
                  <c:v>-100.15206027351672</c:v>
                </c:pt>
                <c:pt idx="9">
                  <c:v>-101.82002256353532</c:v>
                </c:pt>
                <c:pt idx="10">
                  <c:v>-103.58080921963173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30-4C33-8B5E-441DD6DBA9FD}"/>
            </c:ext>
          </c:extLst>
        </c:ser>
        <c:ser>
          <c:idx val="0"/>
          <c:order val="3"/>
          <c:tx>
            <c:strRef>
              <c:f>Graph!$BA$33</c:f>
              <c:strCache>
                <c:ptCount val="1"/>
                <c:pt idx="0">
                  <c:v>1.5%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Graph!$AW$34:$AW$44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Graph!$BA$34:$BA$44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-9.9001255338658254</c:v>
                </c:pt>
                <c:pt idx="2">
                  <c:v>-39.333725852570005</c:v>
                </c:pt>
                <c:pt idx="3">
                  <c:v>-41.101892033775492</c:v>
                </c:pt>
                <c:pt idx="4">
                  <c:v>-42.967373436279274</c:v>
                </c:pt>
                <c:pt idx="5">
                  <c:v>-81.28192675086737</c:v>
                </c:pt>
                <c:pt idx="6">
                  <c:v>-143.99162319510236</c:v>
                </c:pt>
                <c:pt idx="7">
                  <c:v>-146.17480372730893</c:v>
                </c:pt>
                <c:pt idx="8">
                  <c:v>-148.47303568910672</c:v>
                </c:pt>
                <c:pt idx="9">
                  <c:v>-150.89119463254309</c:v>
                </c:pt>
                <c:pt idx="10">
                  <c:v>-153.4343460689451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30-4C33-8B5E-441DD6DBA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49552"/>
        <c:axId val="1"/>
      </c:lineChart>
      <c:catAx>
        <c:axId val="51114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Exposure (MM$)</a:t>
                </a:r>
              </a:p>
            </c:rich>
          </c:tx>
          <c:layout>
            <c:manualLayout>
              <c:xMode val="edge"/>
              <c:yMode val="edge"/>
              <c:x val="2.0860495436766623E-2"/>
              <c:y val="0.35844201304029655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1149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34289439374183"/>
          <c:y val="0.46493565459574698"/>
          <c:w val="7.822685788787484E-2"/>
          <c:h val="0.200000253652919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Change from Firm Specific Factors</a:t>
            </a:r>
          </a:p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Con</a:t>
            </a:r>
            <a:r>
              <a:rPr lang="en-US" sz="9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stant </a:t>
            </a:r>
            <a:r>
              <a:rPr lang="en-US" sz="10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Interest Rates</a:t>
            </a:r>
            <a:r>
              <a:rPr lang="en-US" sz="11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, Inflation and Cap Structure Constant; Productivity 0%</a:t>
            </a:r>
          </a:p>
        </c:rich>
      </c:tx>
      <c:layout>
        <c:manualLayout>
          <c:xMode val="edge"/>
          <c:yMode val="edge"/>
          <c:x val="0.1731773035396621"/>
          <c:y val="3.29113924050632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656374176501179E-2"/>
          <c:y val="0.17215189873417722"/>
          <c:w val="0.5585944602895867"/>
          <c:h val="0.72405063291139238"/>
        </c:manualLayout>
      </c:layout>
      <c:lineChart>
        <c:grouping val="standard"/>
        <c:varyColors val="0"/>
        <c:ser>
          <c:idx val="1"/>
          <c:order val="0"/>
          <c:tx>
            <c:strRef>
              <c:f>Graph!$AN$49</c:f>
              <c:strCache>
                <c:ptCount val="1"/>
                <c:pt idx="0">
                  <c:v>Net Plant Increase, Effect of T-zero inflation and interest rates forward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Graph!$AM$50:$AM$60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Graph!$AN$50:$AN$60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14.575303257011669</c:v>
                </c:pt>
                <c:pt idx="2">
                  <c:v>49.088723916018019</c:v>
                </c:pt>
                <c:pt idx="3">
                  <c:v>53.136336005841407</c:v>
                </c:pt>
                <c:pt idx="4">
                  <c:v>57.328447847271484</c:v>
                </c:pt>
                <c:pt idx="5">
                  <c:v>109.10946166538946</c:v>
                </c:pt>
                <c:pt idx="6">
                  <c:v>181.70576354840557</c:v>
                </c:pt>
                <c:pt idx="7">
                  <c:v>186.36306972004013</c:v>
                </c:pt>
                <c:pt idx="8">
                  <c:v>191.18664172200207</c:v>
                </c:pt>
                <c:pt idx="9">
                  <c:v>196.182415244434</c:v>
                </c:pt>
                <c:pt idx="10">
                  <c:v>201.35653788161676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B-49D1-A095-F8A591394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842144"/>
        <c:axId val="1"/>
      </c:lineChart>
      <c:catAx>
        <c:axId val="54284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Exposure (MM$)</a:t>
                </a:r>
              </a:p>
            </c:rich>
          </c:tx>
          <c:layout>
            <c:manualLayout>
              <c:xMode val="edge"/>
              <c:yMode val="edge"/>
              <c:x val="2.083335982432025E-2"/>
              <c:y val="0.34177215189873417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842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05737693453081"/>
          <c:y val="0.50126582278481013"/>
          <c:w val="0.31901082230990385"/>
          <c:h val="8.607594936708860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Exposure Decomposition - High Case</a:t>
            </a:r>
          </a:p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No Portfolio Growth</a:t>
            </a:r>
          </a:p>
        </c:rich>
      </c:tx>
      <c:layout>
        <c:manualLayout>
          <c:xMode val="edge"/>
          <c:yMode val="edge"/>
          <c:x val="0.24802110817941952"/>
          <c:y val="3.024196525521088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20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3878627968337732E-2"/>
          <c:y val="0.14112917119098412"/>
          <c:w val="0.74406332453825863"/>
          <c:h val="0.74395234527818765"/>
        </c:manualLayout>
      </c:layout>
      <c:area3DChart>
        <c:grouping val="standard"/>
        <c:varyColors val="0"/>
        <c:ser>
          <c:idx val="0"/>
          <c:order val="0"/>
          <c:tx>
            <c:strRef>
              <c:f>Graph!$Z$65</c:f>
              <c:strCache>
                <c:ptCount val="1"/>
                <c:pt idx="0">
                  <c:v>Productivity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Graph!$AA$64:$AK$64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Graph!$AA$65:$AK$65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1">
                  <c:v>-10.760699060088911</c:v>
                </c:pt>
                <c:pt idx="2">
                  <c:v>-28.333466804060272</c:v>
                </c:pt>
                <c:pt idx="3">
                  <c:v>-29.2741488643378</c:v>
                </c:pt>
                <c:pt idx="4">
                  <c:v>-30.242065370288177</c:v>
                </c:pt>
                <c:pt idx="5">
                  <c:v>-38.187342081790298</c:v>
                </c:pt>
                <c:pt idx="6">
                  <c:v>-48.106052706672251</c:v>
                </c:pt>
                <c:pt idx="7">
                  <c:v>-49.148228458583162</c:v>
                </c:pt>
                <c:pt idx="8">
                  <c:v>-50.217443354032945</c:v>
                </c:pt>
                <c:pt idx="9">
                  <c:v>-51.316557863229619</c:v>
                </c:pt>
                <c:pt idx="10">
                  <c:v>-52.44584980961784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6-4ADB-98B4-75184B6D23C1}"/>
            </c:ext>
          </c:extLst>
        </c:ser>
        <c:ser>
          <c:idx val="1"/>
          <c:order val="1"/>
          <c:tx>
            <c:strRef>
              <c:f>Graph!$Z$66</c:f>
              <c:strCache>
                <c:ptCount val="1"/>
                <c:pt idx="0">
                  <c:v>Firm Specific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Graph!$AA$64:$AK$64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Graph!$AA$66:$AK$66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1">
                  <c:v>30.553096326788797</c:v>
                </c:pt>
                <c:pt idx="2">
                  <c:v>80.447853406391403</c:v>
                </c:pt>
                <c:pt idx="3">
                  <c:v>83.118753265224896</c:v>
                </c:pt>
                <c:pt idx="4">
                  <c:v>85.866980501899107</c:v>
                </c:pt>
                <c:pt idx="5">
                  <c:v>108.4261844489622</c:v>
                </c:pt>
                <c:pt idx="6">
                  <c:v>136.58860395974983</c:v>
                </c:pt>
                <c:pt idx="7">
                  <c:v>139.54767715376536</c:v>
                </c:pt>
                <c:pt idx="8">
                  <c:v>142.58352319985346</c:v>
                </c:pt>
                <c:pt idx="9">
                  <c:v>145.70426389580035</c:v>
                </c:pt>
                <c:pt idx="10">
                  <c:v>148.91068807199892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36-4ADB-98B4-75184B6D23C1}"/>
            </c:ext>
          </c:extLst>
        </c:ser>
        <c:ser>
          <c:idx val="2"/>
          <c:order val="2"/>
          <c:tx>
            <c:strRef>
              <c:f>Graph!$Z$67</c:f>
              <c:strCache>
                <c:ptCount val="1"/>
                <c:pt idx="0">
                  <c:v>Interest Delta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Graph!$AA$64:$AK$64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Graph!$AA$67:$AK$67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1">
                  <c:v>49.231475369988189</c:v>
                </c:pt>
                <c:pt idx="2">
                  <c:v>129.62897348222526</c:v>
                </c:pt>
                <c:pt idx="3">
                  <c:v>133.93270555603721</c:v>
                </c:pt>
                <c:pt idx="4">
                  <c:v>138.36103845121505</c:v>
                </c:pt>
                <c:pt idx="5">
                  <c:v>174.71162241846386</c:v>
                </c:pt>
                <c:pt idx="6">
                  <c:v>220.09090076312577</c:v>
                </c:pt>
                <c:pt idx="7">
                  <c:v>224.85897852228359</c:v>
                </c:pt>
                <c:pt idx="8">
                  <c:v>229.75076357236432</c:v>
                </c:pt>
                <c:pt idx="9">
                  <c:v>234.77934290407416</c:v>
                </c:pt>
                <c:pt idx="10">
                  <c:v>239.94598759264687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36-4ADB-98B4-75184B6D23C1}"/>
            </c:ext>
          </c:extLst>
        </c:ser>
        <c:ser>
          <c:idx val="3"/>
          <c:order val="3"/>
          <c:tx>
            <c:strRef>
              <c:f>Graph!$Z$68</c:f>
              <c:strCache>
                <c:ptCount val="1"/>
                <c:pt idx="0">
                  <c:v>Inflation Delta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Graph!$AA$64:$AK$64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Graph!$AA$68:$AK$68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1">
                  <c:v>54.690021108745611</c:v>
                </c:pt>
                <c:pt idx="2">
                  <c:v>144.00160147078739</c:v>
                </c:pt>
                <c:pt idx="3">
                  <c:v>148.78251035467278</c:v>
                </c:pt>
                <c:pt idx="4">
                  <c:v>153.70183519094343</c:v>
                </c:pt>
                <c:pt idx="5">
                  <c:v>194.0827945171385</c:v>
                </c:pt>
                <c:pt idx="6">
                  <c:v>244.49350579316331</c:v>
                </c:pt>
                <c:pt idx="7">
                  <c:v>249.7902447459725</c:v>
                </c:pt>
                <c:pt idx="8">
                  <c:v>255.22440705042885</c:v>
                </c:pt>
                <c:pt idx="9">
                  <c:v>260.81053071890341</c:v>
                </c:pt>
                <c:pt idx="10">
                  <c:v>266.55002775724898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36-4ADB-98B4-75184B6D2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800704"/>
        <c:axId val="1"/>
        <c:axId val="2"/>
      </c:area3DChart>
      <c:catAx>
        <c:axId val="51080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0800704"/>
        <c:crosses val="autoZero"/>
        <c:crossBetween val="midCat"/>
      </c:valAx>
      <c:serAx>
        <c:axId val="2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245382585751981"/>
          <c:y val="0.45967787187920539"/>
          <c:w val="0.15699208443271767"/>
          <c:h val="0.195564708650363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Transmission &amp; Distribution Exposure Calculation</a:t>
            </a:r>
          </a:p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5% Annual Portfolio Growth</a:t>
            </a:r>
          </a:p>
        </c:rich>
      </c:tx>
      <c:layout>
        <c:manualLayout>
          <c:xMode val="edge"/>
          <c:yMode val="edge"/>
          <c:x val="0.1692508595401066"/>
          <c:y val="2.99401781206690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04674636469734"/>
          <c:y val="0.18962112809757067"/>
          <c:w val="0.64599564709964352"/>
          <c:h val="0.69461213239952202"/>
        </c:manualLayout>
      </c:layout>
      <c:lineChart>
        <c:grouping val="standard"/>
        <c:varyColors val="0"/>
        <c:ser>
          <c:idx val="0"/>
          <c:order val="0"/>
          <c:tx>
            <c:strRef>
              <c:f>'5%Growth'!$Y$51</c:f>
              <c:strCache>
                <c:ptCount val="1"/>
                <c:pt idx="0">
                  <c:v>High Case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'5%Growth'!$AA$50:$AK$50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'5%Growth'!$AA$51:$AK$51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60.779774193806219</c:v>
                </c:pt>
                <c:pt idx="2">
                  <c:v>173.03424010045836</c:v>
                </c:pt>
                <c:pt idx="3">
                  <c:v>187.93488746677372</c:v>
                </c:pt>
                <c:pt idx="4">
                  <c:v>204.12428505140531</c:v>
                </c:pt>
                <c:pt idx="5">
                  <c:v>282.73764852580848</c:v>
                </c:pt>
                <c:pt idx="6">
                  <c:v>393.6919797056749</c:v>
                </c:pt>
                <c:pt idx="7">
                  <c:v>422.00873099144292</c:v>
                </c:pt>
                <c:pt idx="8">
                  <c:v>452.4664825440675</c:v>
                </c:pt>
                <c:pt idx="9">
                  <c:v>485.25048474648383</c:v>
                </c:pt>
                <c:pt idx="10">
                  <c:v>520.54085247592707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6-4029-985F-AB7B324FBDAE}"/>
            </c:ext>
          </c:extLst>
        </c:ser>
        <c:ser>
          <c:idx val="1"/>
          <c:order val="1"/>
          <c:tx>
            <c:strRef>
              <c:f>'5%Growth'!$Y$52</c:f>
              <c:strCache>
                <c:ptCount val="1"/>
                <c:pt idx="0">
                  <c:v>Base Case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'5%Growth'!$AA$50:$AK$50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'5%Growth'!$AA$52:$AK$52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0.79814952549385598</c:v>
                </c:pt>
                <c:pt idx="2">
                  <c:v>-11.657455864665916</c:v>
                </c:pt>
                <c:pt idx="3">
                  <c:v>-9.8192431515908289</c:v>
                </c:pt>
                <c:pt idx="4">
                  <c:v>-7.7879343568924133</c:v>
                </c:pt>
                <c:pt idx="5">
                  <c:v>-25.982875686691937</c:v>
                </c:pt>
                <c:pt idx="6">
                  <c:v>-76.991977332811715</c:v>
                </c:pt>
                <c:pt idx="7">
                  <c:v>-78.061737855160345</c:v>
                </c:pt>
                <c:pt idx="8">
                  <c:v>-79.086099563765401</c:v>
                </c:pt>
                <c:pt idx="9">
                  <c:v>-80.044618663673418</c:v>
                </c:pt>
                <c:pt idx="10">
                  <c:v>-80.932467381496991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6-4029-985F-AB7B324FBDAE}"/>
            </c:ext>
          </c:extLst>
        </c:ser>
        <c:ser>
          <c:idx val="2"/>
          <c:order val="2"/>
          <c:tx>
            <c:strRef>
              <c:f>'5%Growth'!$Y$53</c:f>
              <c:strCache>
                <c:ptCount val="1"/>
                <c:pt idx="0">
                  <c:v>Low Case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cat>
            <c:numRef>
              <c:f>'5%Growth'!$AA$50:$AK$50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'5%Growth'!$AA$53:$AK$53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-59.183475142818239</c:v>
                </c:pt>
                <c:pt idx="2">
                  <c:v>-194.68252653487468</c:v>
                </c:pt>
                <c:pt idx="3">
                  <c:v>-205.44218181377167</c:v>
                </c:pt>
                <c:pt idx="4">
                  <c:v>-216.84474654972692</c:v>
                </c:pt>
                <c:pt idx="5">
                  <c:v>-320.25844646337305</c:v>
                </c:pt>
                <c:pt idx="6">
                  <c:v>-506.20616290924511</c:v>
                </c:pt>
                <c:pt idx="7">
                  <c:v>-533.04204890586129</c:v>
                </c:pt>
                <c:pt idx="8">
                  <c:v>-561.35206714809328</c:v>
                </c:pt>
                <c:pt idx="9">
                  <c:v>-591.20173624580798</c:v>
                </c:pt>
                <c:pt idx="10">
                  <c:v>-622.67432253087134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E6-4029-985F-AB7B324FB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568752"/>
        <c:axId val="1"/>
      </c:lineChart>
      <c:catAx>
        <c:axId val="51456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3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7674478755953698"/>
              <c:y val="0.908185402993627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Exposure - Delta from Year 2000
(Million $'s)</a:t>
                </a:r>
              </a:p>
            </c:rich>
          </c:tx>
          <c:layout>
            <c:manualLayout>
              <c:xMode val="edge"/>
              <c:yMode val="edge"/>
              <c:x val="5.5555625650569346E-2"/>
              <c:y val="0.23153737746650735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4568752"/>
        <c:crosses val="autoZero"/>
        <c:crossBetween val="between"/>
        <c:majorUnit val="1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625429770053306"/>
          <c:y val="0.48103886180541611"/>
          <c:w val="0.14341103365612087"/>
          <c:h val="0.13373279560565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05295315682282"/>
          <c:y val="9.4545454545454544E-2"/>
          <c:w val="0.71690427698574333"/>
          <c:h val="0.81454545454545457"/>
        </c:manualLayout>
      </c:layout>
      <c:lineChart>
        <c:grouping val="standard"/>
        <c:varyColors val="0"/>
        <c:ser>
          <c:idx val="1"/>
          <c:order val="0"/>
          <c:tx>
            <c:strRef>
              <c:f>'5%Growth'!$AM$5</c:f>
              <c:strCache>
                <c:ptCount val="1"/>
                <c:pt idx="0">
                  <c:v>2001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'5%Growth'!$AN$3:$AT$3</c:f>
              <c:numCache>
                <c:formatCode>0.0%</c:formatCode>
                <c:ptCount val="7"/>
                <c:pt idx="0">
                  <c:v>4.4999999999999998E-2</c:v>
                </c:pt>
                <c:pt idx="1">
                  <c:v>0.05</c:v>
                </c:pt>
                <c:pt idx="2">
                  <c:v>5.5E-2</c:v>
                </c:pt>
                <c:pt idx="3">
                  <c:v>0.06</c:v>
                </c:pt>
                <c:pt idx="4">
                  <c:v>6.5000000000000002E-2</c:v>
                </c:pt>
                <c:pt idx="5">
                  <c:v>7.0000000000000007E-2</c:v>
                </c:pt>
                <c:pt idx="6">
                  <c:v>7.4999999999999997E-2</c:v>
                </c:pt>
              </c:numCache>
            </c:numRef>
          </c:cat>
          <c:val>
            <c:numRef>
              <c:f>'5%Growth'!$AN$5:$AT$5</c:f>
              <c:numCache>
                <c:formatCode>_(* #,##0_);_(* \(#,##0\);_(* "-"??_);_(@_)</c:formatCode>
                <c:ptCount val="7"/>
                <c:pt idx="0">
                  <c:v>-30.706009818348392</c:v>
                </c:pt>
                <c:pt idx="1">
                  <c:v>-17.714300924500542</c:v>
                </c:pt>
                <c:pt idx="2">
                  <c:v>-4.7225920306527609</c:v>
                </c:pt>
                <c:pt idx="3">
                  <c:v>8.2691168631950038</c:v>
                </c:pt>
                <c:pt idx="4">
                  <c:v>21.260825757042753</c:v>
                </c:pt>
                <c:pt idx="5">
                  <c:v>34.252534650890603</c:v>
                </c:pt>
                <c:pt idx="6">
                  <c:v>47.244243544738382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BF-4D90-95B8-040B208071F5}"/>
            </c:ext>
          </c:extLst>
        </c:ser>
        <c:ser>
          <c:idx val="0"/>
          <c:order val="1"/>
          <c:tx>
            <c:strRef>
              <c:f>'5%Growth'!$AM$9</c:f>
              <c:strCache>
                <c:ptCount val="1"/>
                <c:pt idx="0">
                  <c:v>2005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'5%Growth'!$AN$3:$AT$3</c:f>
              <c:numCache>
                <c:formatCode>0.0%</c:formatCode>
                <c:ptCount val="7"/>
                <c:pt idx="0">
                  <c:v>4.4999999999999998E-2</c:v>
                </c:pt>
                <c:pt idx="1">
                  <c:v>0.05</c:v>
                </c:pt>
                <c:pt idx="2">
                  <c:v>5.5E-2</c:v>
                </c:pt>
                <c:pt idx="3">
                  <c:v>0.06</c:v>
                </c:pt>
                <c:pt idx="4">
                  <c:v>6.5000000000000002E-2</c:v>
                </c:pt>
                <c:pt idx="5">
                  <c:v>7.0000000000000007E-2</c:v>
                </c:pt>
                <c:pt idx="6">
                  <c:v>7.4999999999999997E-2</c:v>
                </c:pt>
              </c:numCache>
            </c:numRef>
          </c:cat>
          <c:val>
            <c:numRef>
              <c:f>'5%Growth'!$AN$9:$AT$9</c:f>
              <c:numCache>
                <c:formatCode>_(* #,##0_);_(* \(#,##0\);_(* "-"??_);_(@_)</c:formatCode>
                <c:ptCount val="7"/>
                <c:pt idx="0">
                  <c:v>-25.014181995651334</c:v>
                </c:pt>
                <c:pt idx="1">
                  <c:v>6.2223586298757771</c:v>
                </c:pt>
                <c:pt idx="2">
                  <c:v>37.458899255402457</c:v>
                </c:pt>
                <c:pt idx="3">
                  <c:v>68.695439880929172</c:v>
                </c:pt>
                <c:pt idx="4">
                  <c:v>99.931980506456014</c:v>
                </c:pt>
                <c:pt idx="5">
                  <c:v>131.16852113198306</c:v>
                </c:pt>
                <c:pt idx="6">
                  <c:v>162.40506175750986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BF-4D90-95B8-040B208071F5}"/>
            </c:ext>
          </c:extLst>
        </c:ser>
        <c:ser>
          <c:idx val="2"/>
          <c:order val="2"/>
          <c:tx>
            <c:strRef>
              <c:f>'5%Growth'!$AM$14</c:f>
              <c:strCache>
                <c:ptCount val="1"/>
                <c:pt idx="0">
                  <c:v>2010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'5%Growth'!$AO$70:$AV$70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BF-4D90-95B8-040B20807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72000"/>
        <c:axId val="1"/>
      </c:lineChart>
      <c:catAx>
        <c:axId val="514572000"/>
        <c:scaling>
          <c:orientation val="minMax"/>
        </c:scaling>
        <c:delete val="0"/>
        <c:axPos val="b"/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4572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336048879837068"/>
          <c:y val="0.38545454545454544"/>
          <c:w val="0.13034623217922606"/>
          <c:h val="0.2327272727272727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10</xdr:row>
      <xdr:rowOff>47625</xdr:rowOff>
    </xdr:from>
    <xdr:to>
      <xdr:col>3</xdr:col>
      <xdr:colOff>352425</xdr:colOff>
      <xdr:row>10</xdr:row>
      <xdr:rowOff>47625</xdr:rowOff>
    </xdr:to>
    <xdr:sp macro="" textlink="">
      <xdr:nvSpPr>
        <xdr:cNvPr id="3073" name="Line 1">
          <a:extLst>
            <a:ext uri="{FF2B5EF4-FFF2-40B4-BE49-F238E27FC236}">
              <a16:creationId xmlns:a16="http://schemas.microsoft.com/office/drawing/2014/main" id="{76CB59A2-6D35-D620-4353-DF3CE510BB8F}"/>
            </a:ext>
          </a:extLst>
        </xdr:cNvPr>
        <xdr:cNvSpPr>
          <a:spLocks noChangeShapeType="1"/>
        </xdr:cNvSpPr>
      </xdr:nvSpPr>
      <xdr:spPr bwMode="auto">
        <a:xfrm>
          <a:off x="2733675" y="2305050"/>
          <a:ext cx="219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95250</xdr:colOff>
      <xdr:row>12</xdr:row>
      <xdr:rowOff>76200</xdr:rowOff>
    </xdr:from>
    <xdr:to>
      <xdr:col>3</xdr:col>
      <xdr:colOff>390525</xdr:colOff>
      <xdr:row>12</xdr:row>
      <xdr:rowOff>76200</xdr:rowOff>
    </xdr:to>
    <xdr:sp macro="" textlink="">
      <xdr:nvSpPr>
        <xdr:cNvPr id="3074" name="Line 2">
          <a:extLst>
            <a:ext uri="{FF2B5EF4-FFF2-40B4-BE49-F238E27FC236}">
              <a16:creationId xmlns:a16="http://schemas.microsoft.com/office/drawing/2014/main" id="{7C5003FB-58C2-C536-A55E-D01B0E360A1A}"/>
            </a:ext>
          </a:extLst>
        </xdr:cNvPr>
        <xdr:cNvSpPr>
          <a:spLocks noChangeShapeType="1"/>
        </xdr:cNvSpPr>
      </xdr:nvSpPr>
      <xdr:spPr bwMode="auto">
        <a:xfrm>
          <a:off x="2695575" y="3000375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1019175</xdr:colOff>
      <xdr:row>13</xdr:row>
      <xdr:rowOff>66675</xdr:rowOff>
    </xdr:from>
    <xdr:to>
      <xdr:col>5</xdr:col>
      <xdr:colOff>200025</xdr:colOff>
      <xdr:row>14</xdr:row>
      <xdr:rowOff>114300</xdr:rowOff>
    </xdr:to>
    <xdr:sp macro="" textlink="">
      <xdr:nvSpPr>
        <xdr:cNvPr id="3075" name="Line 3">
          <a:extLst>
            <a:ext uri="{FF2B5EF4-FFF2-40B4-BE49-F238E27FC236}">
              <a16:creationId xmlns:a16="http://schemas.microsoft.com/office/drawing/2014/main" id="{42479431-D13F-0A67-994D-246C7E706003}"/>
            </a:ext>
          </a:extLst>
        </xdr:cNvPr>
        <xdr:cNvSpPr>
          <a:spLocks noChangeShapeType="1"/>
        </xdr:cNvSpPr>
      </xdr:nvSpPr>
      <xdr:spPr bwMode="auto">
        <a:xfrm>
          <a:off x="4057650" y="3324225"/>
          <a:ext cx="209550" cy="209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171450</xdr:colOff>
      <xdr:row>15</xdr:row>
      <xdr:rowOff>190500</xdr:rowOff>
    </xdr:from>
    <xdr:to>
      <xdr:col>5</xdr:col>
      <xdr:colOff>85725</xdr:colOff>
      <xdr:row>15</xdr:row>
      <xdr:rowOff>190500</xdr:rowOff>
    </xdr:to>
    <xdr:sp macro="" textlink="">
      <xdr:nvSpPr>
        <xdr:cNvPr id="3076" name="Line 4">
          <a:extLst>
            <a:ext uri="{FF2B5EF4-FFF2-40B4-BE49-F238E27FC236}">
              <a16:creationId xmlns:a16="http://schemas.microsoft.com/office/drawing/2014/main" id="{0C016A21-135D-AD50-D472-E5AAE4ABA11F}"/>
            </a:ext>
          </a:extLst>
        </xdr:cNvPr>
        <xdr:cNvSpPr>
          <a:spLocks noChangeShapeType="1"/>
        </xdr:cNvSpPr>
      </xdr:nvSpPr>
      <xdr:spPr bwMode="auto">
        <a:xfrm>
          <a:off x="2771775" y="3781425"/>
          <a:ext cx="1381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95250</xdr:colOff>
      <xdr:row>16</xdr:row>
      <xdr:rowOff>123825</xdr:rowOff>
    </xdr:from>
    <xdr:to>
      <xdr:col>5</xdr:col>
      <xdr:colOff>180975</xdr:colOff>
      <xdr:row>23</xdr:row>
      <xdr:rowOff>57150</xdr:rowOff>
    </xdr:to>
    <xdr:sp macro="" textlink="">
      <xdr:nvSpPr>
        <xdr:cNvPr id="3077" name="Line 5">
          <a:extLst>
            <a:ext uri="{FF2B5EF4-FFF2-40B4-BE49-F238E27FC236}">
              <a16:creationId xmlns:a16="http://schemas.microsoft.com/office/drawing/2014/main" id="{2D11CCD9-75B8-8140-52CC-DC234C9F0F03}"/>
            </a:ext>
          </a:extLst>
        </xdr:cNvPr>
        <xdr:cNvSpPr>
          <a:spLocks noChangeShapeType="1"/>
        </xdr:cNvSpPr>
      </xdr:nvSpPr>
      <xdr:spPr bwMode="auto">
        <a:xfrm flipV="1">
          <a:off x="2695575" y="4048125"/>
          <a:ext cx="1552575" cy="1924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161925</xdr:colOff>
      <xdr:row>30</xdr:row>
      <xdr:rowOff>123825</xdr:rowOff>
    </xdr:from>
    <xdr:to>
      <xdr:col>5</xdr:col>
      <xdr:colOff>142875</xdr:colOff>
      <xdr:row>32</xdr:row>
      <xdr:rowOff>38100</xdr:rowOff>
    </xdr:to>
    <xdr:sp macro="" textlink="">
      <xdr:nvSpPr>
        <xdr:cNvPr id="3078" name="Line 6">
          <a:extLst>
            <a:ext uri="{FF2B5EF4-FFF2-40B4-BE49-F238E27FC236}">
              <a16:creationId xmlns:a16="http://schemas.microsoft.com/office/drawing/2014/main" id="{B241066A-88F2-3130-82D5-5A99108F50FC}"/>
            </a:ext>
          </a:extLst>
        </xdr:cNvPr>
        <xdr:cNvSpPr>
          <a:spLocks noChangeShapeType="1"/>
        </xdr:cNvSpPr>
      </xdr:nvSpPr>
      <xdr:spPr bwMode="auto">
        <a:xfrm flipV="1">
          <a:off x="2762250" y="7696200"/>
          <a:ext cx="1447800" cy="257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981075</xdr:colOff>
      <xdr:row>9</xdr:row>
      <xdr:rowOff>257175</xdr:rowOff>
    </xdr:from>
    <xdr:to>
      <xdr:col>1</xdr:col>
      <xdr:colOff>200025</xdr:colOff>
      <xdr:row>9</xdr:row>
      <xdr:rowOff>257175</xdr:rowOff>
    </xdr:to>
    <xdr:sp macro="" textlink="">
      <xdr:nvSpPr>
        <xdr:cNvPr id="3079" name="Line 7">
          <a:extLst>
            <a:ext uri="{FF2B5EF4-FFF2-40B4-BE49-F238E27FC236}">
              <a16:creationId xmlns:a16="http://schemas.microsoft.com/office/drawing/2014/main" id="{047F1279-85EF-9796-FA87-6941FEF42E12}"/>
            </a:ext>
          </a:extLst>
        </xdr:cNvPr>
        <xdr:cNvSpPr>
          <a:spLocks noChangeShapeType="1"/>
        </xdr:cNvSpPr>
      </xdr:nvSpPr>
      <xdr:spPr bwMode="auto">
        <a:xfrm>
          <a:off x="981075" y="2190750"/>
          <a:ext cx="314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1028700</xdr:colOff>
      <xdr:row>12</xdr:row>
      <xdr:rowOff>161925</xdr:rowOff>
    </xdr:from>
    <xdr:to>
      <xdr:col>1</xdr:col>
      <xdr:colOff>190500</xdr:colOff>
      <xdr:row>12</xdr:row>
      <xdr:rowOff>161925</xdr:rowOff>
    </xdr:to>
    <xdr:sp macro="" textlink="">
      <xdr:nvSpPr>
        <xdr:cNvPr id="3080" name="Line 8">
          <a:extLst>
            <a:ext uri="{FF2B5EF4-FFF2-40B4-BE49-F238E27FC236}">
              <a16:creationId xmlns:a16="http://schemas.microsoft.com/office/drawing/2014/main" id="{D864B2B3-0785-D51F-96DB-979D4DDFC1F8}"/>
            </a:ext>
          </a:extLst>
        </xdr:cNvPr>
        <xdr:cNvSpPr>
          <a:spLocks noChangeShapeType="1"/>
        </xdr:cNvSpPr>
      </xdr:nvSpPr>
      <xdr:spPr bwMode="auto">
        <a:xfrm>
          <a:off x="1028700" y="3086100"/>
          <a:ext cx="2571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66675</xdr:colOff>
      <xdr:row>16</xdr:row>
      <xdr:rowOff>85725</xdr:rowOff>
    </xdr:from>
    <xdr:to>
      <xdr:col>1</xdr:col>
      <xdr:colOff>238125</xdr:colOff>
      <xdr:row>16</xdr:row>
      <xdr:rowOff>85725</xdr:rowOff>
    </xdr:to>
    <xdr:sp macro="" textlink="">
      <xdr:nvSpPr>
        <xdr:cNvPr id="3081" name="Line 9">
          <a:extLst>
            <a:ext uri="{FF2B5EF4-FFF2-40B4-BE49-F238E27FC236}">
              <a16:creationId xmlns:a16="http://schemas.microsoft.com/office/drawing/2014/main" id="{79A4DFBE-A195-6F77-6806-848ADDD635E3}"/>
            </a:ext>
          </a:extLst>
        </xdr:cNvPr>
        <xdr:cNvSpPr>
          <a:spLocks noChangeShapeType="1"/>
        </xdr:cNvSpPr>
      </xdr:nvSpPr>
      <xdr:spPr bwMode="auto">
        <a:xfrm>
          <a:off x="1162050" y="4010025"/>
          <a:ext cx="171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38100</xdr:colOff>
      <xdr:row>23</xdr:row>
      <xdr:rowOff>200025</xdr:rowOff>
    </xdr:from>
    <xdr:to>
      <xdr:col>1</xdr:col>
      <xdr:colOff>228600</xdr:colOff>
      <xdr:row>23</xdr:row>
      <xdr:rowOff>200025</xdr:rowOff>
    </xdr:to>
    <xdr:sp macro="" textlink="">
      <xdr:nvSpPr>
        <xdr:cNvPr id="3082" name="Line 10">
          <a:extLst>
            <a:ext uri="{FF2B5EF4-FFF2-40B4-BE49-F238E27FC236}">
              <a16:creationId xmlns:a16="http://schemas.microsoft.com/office/drawing/2014/main" id="{D7700ECD-D33C-B3A8-DC89-139EA8AFF7D5}"/>
            </a:ext>
          </a:extLst>
        </xdr:cNvPr>
        <xdr:cNvSpPr>
          <a:spLocks noChangeShapeType="1"/>
        </xdr:cNvSpPr>
      </xdr:nvSpPr>
      <xdr:spPr bwMode="auto">
        <a:xfrm>
          <a:off x="1133475" y="6115050"/>
          <a:ext cx="190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809625</xdr:colOff>
      <xdr:row>32</xdr:row>
      <xdr:rowOff>95250</xdr:rowOff>
    </xdr:from>
    <xdr:to>
      <xdr:col>1</xdr:col>
      <xdr:colOff>161925</xdr:colOff>
      <xdr:row>32</xdr:row>
      <xdr:rowOff>95250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E779DE48-C2ED-EA49-8EEE-8F34B6347160}"/>
            </a:ext>
          </a:extLst>
        </xdr:cNvPr>
        <xdr:cNvSpPr>
          <a:spLocks noChangeShapeType="1"/>
        </xdr:cNvSpPr>
      </xdr:nvSpPr>
      <xdr:spPr bwMode="auto">
        <a:xfrm>
          <a:off x="809625" y="8010525"/>
          <a:ext cx="4476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1047750</xdr:colOff>
      <xdr:row>16</xdr:row>
      <xdr:rowOff>66675</xdr:rowOff>
    </xdr:from>
    <xdr:to>
      <xdr:col>7</xdr:col>
      <xdr:colOff>142875</xdr:colOff>
      <xdr:row>18</xdr:row>
      <xdr:rowOff>161925</xdr:rowOff>
    </xdr:to>
    <xdr:sp macro="" textlink="">
      <xdr:nvSpPr>
        <xdr:cNvPr id="3084" name="Line 12">
          <a:extLst>
            <a:ext uri="{FF2B5EF4-FFF2-40B4-BE49-F238E27FC236}">
              <a16:creationId xmlns:a16="http://schemas.microsoft.com/office/drawing/2014/main" id="{D31D54C0-04DB-150C-4C49-DDB9B95F39B7}"/>
            </a:ext>
          </a:extLst>
        </xdr:cNvPr>
        <xdr:cNvSpPr>
          <a:spLocks noChangeShapeType="1"/>
        </xdr:cNvSpPr>
      </xdr:nvSpPr>
      <xdr:spPr bwMode="auto">
        <a:xfrm>
          <a:off x="5372100" y="3990975"/>
          <a:ext cx="180975" cy="4286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676275</xdr:colOff>
      <xdr:row>20</xdr:row>
      <xdr:rowOff>66675</xdr:rowOff>
    </xdr:from>
    <xdr:to>
      <xdr:col>7</xdr:col>
      <xdr:colOff>209550</xdr:colOff>
      <xdr:row>29</xdr:row>
      <xdr:rowOff>114300</xdr:rowOff>
    </xdr:to>
    <xdr:sp macro="" textlink="">
      <xdr:nvSpPr>
        <xdr:cNvPr id="3085" name="Line 13">
          <a:extLst>
            <a:ext uri="{FF2B5EF4-FFF2-40B4-BE49-F238E27FC236}">
              <a16:creationId xmlns:a16="http://schemas.microsoft.com/office/drawing/2014/main" id="{7ABCA11D-EEFF-C312-AA0C-3F468D838776}"/>
            </a:ext>
          </a:extLst>
        </xdr:cNvPr>
        <xdr:cNvSpPr>
          <a:spLocks noChangeShapeType="1"/>
        </xdr:cNvSpPr>
      </xdr:nvSpPr>
      <xdr:spPr bwMode="auto">
        <a:xfrm flipV="1">
          <a:off x="5000625" y="5153025"/>
          <a:ext cx="619125" cy="2362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85725</xdr:colOff>
      <xdr:row>19</xdr:row>
      <xdr:rowOff>209550</xdr:rowOff>
    </xdr:from>
    <xdr:to>
      <xdr:col>11</xdr:col>
      <xdr:colOff>247650</xdr:colOff>
      <xdr:row>19</xdr:row>
      <xdr:rowOff>209550</xdr:rowOff>
    </xdr:to>
    <xdr:sp macro="" textlink="">
      <xdr:nvSpPr>
        <xdr:cNvPr id="3086" name="Line 14">
          <a:extLst>
            <a:ext uri="{FF2B5EF4-FFF2-40B4-BE49-F238E27FC236}">
              <a16:creationId xmlns:a16="http://schemas.microsoft.com/office/drawing/2014/main" id="{779CFC9B-EA69-D54D-5B7A-5742CB889638}"/>
            </a:ext>
          </a:extLst>
        </xdr:cNvPr>
        <xdr:cNvSpPr>
          <a:spLocks noChangeShapeType="1"/>
        </xdr:cNvSpPr>
      </xdr:nvSpPr>
      <xdr:spPr bwMode="auto">
        <a:xfrm>
          <a:off x="9086850" y="4800600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85725</xdr:colOff>
      <xdr:row>20</xdr:row>
      <xdr:rowOff>114300</xdr:rowOff>
    </xdr:from>
    <xdr:to>
      <xdr:col>11</xdr:col>
      <xdr:colOff>257175</xdr:colOff>
      <xdr:row>20</xdr:row>
      <xdr:rowOff>114300</xdr:rowOff>
    </xdr:to>
    <xdr:sp macro="" textlink="">
      <xdr:nvSpPr>
        <xdr:cNvPr id="3087" name="Line 15">
          <a:extLst>
            <a:ext uri="{FF2B5EF4-FFF2-40B4-BE49-F238E27FC236}">
              <a16:creationId xmlns:a16="http://schemas.microsoft.com/office/drawing/2014/main" id="{448D4916-F064-6153-CB58-723937039E52}"/>
            </a:ext>
          </a:extLst>
        </xdr:cNvPr>
        <xdr:cNvSpPr>
          <a:spLocks noChangeShapeType="1"/>
        </xdr:cNvSpPr>
      </xdr:nvSpPr>
      <xdr:spPr bwMode="auto">
        <a:xfrm>
          <a:off x="9086850" y="5200650"/>
          <a:ext cx="171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66675</xdr:colOff>
      <xdr:row>19</xdr:row>
      <xdr:rowOff>323850</xdr:rowOff>
    </xdr:from>
    <xdr:to>
      <xdr:col>1</xdr:col>
      <xdr:colOff>247650</xdr:colOff>
      <xdr:row>19</xdr:row>
      <xdr:rowOff>323850</xdr:rowOff>
    </xdr:to>
    <xdr:sp macro="" textlink="">
      <xdr:nvSpPr>
        <xdr:cNvPr id="3088" name="Line 16">
          <a:extLst>
            <a:ext uri="{FF2B5EF4-FFF2-40B4-BE49-F238E27FC236}">
              <a16:creationId xmlns:a16="http://schemas.microsoft.com/office/drawing/2014/main" id="{A9461107-49F5-DE97-A6D1-95D1699F0234}"/>
            </a:ext>
          </a:extLst>
        </xdr:cNvPr>
        <xdr:cNvSpPr>
          <a:spLocks noChangeShapeType="1"/>
        </xdr:cNvSpPr>
      </xdr:nvSpPr>
      <xdr:spPr bwMode="auto">
        <a:xfrm>
          <a:off x="1162050" y="4914900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161925</xdr:colOff>
      <xdr:row>16</xdr:row>
      <xdr:rowOff>152400</xdr:rowOff>
    </xdr:from>
    <xdr:to>
      <xdr:col>6</xdr:col>
      <xdr:colOff>447675</xdr:colOff>
      <xdr:row>26</xdr:row>
      <xdr:rowOff>152400</xdr:rowOff>
    </xdr:to>
    <xdr:sp macro="" textlink="">
      <xdr:nvSpPr>
        <xdr:cNvPr id="3089" name="Line 17">
          <a:extLst>
            <a:ext uri="{FF2B5EF4-FFF2-40B4-BE49-F238E27FC236}">
              <a16:creationId xmlns:a16="http://schemas.microsoft.com/office/drawing/2014/main" id="{8ECCFE3B-34A7-041C-5A80-E32D022D8EDC}"/>
            </a:ext>
          </a:extLst>
        </xdr:cNvPr>
        <xdr:cNvSpPr>
          <a:spLocks noChangeShapeType="1"/>
        </xdr:cNvSpPr>
      </xdr:nvSpPr>
      <xdr:spPr bwMode="auto">
        <a:xfrm flipV="1">
          <a:off x="2762250" y="4076700"/>
          <a:ext cx="2009775" cy="26574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26</xdr:row>
      <xdr:rowOff>238125</xdr:rowOff>
    </xdr:from>
    <xdr:to>
      <xdr:col>1</xdr:col>
      <xdr:colOff>219075</xdr:colOff>
      <xdr:row>26</xdr:row>
      <xdr:rowOff>238125</xdr:rowOff>
    </xdr:to>
    <xdr:sp macro="" textlink="">
      <xdr:nvSpPr>
        <xdr:cNvPr id="3090" name="Line 18">
          <a:extLst>
            <a:ext uri="{FF2B5EF4-FFF2-40B4-BE49-F238E27FC236}">
              <a16:creationId xmlns:a16="http://schemas.microsoft.com/office/drawing/2014/main" id="{7C61247F-29BF-56AD-887F-43280C47522C}"/>
            </a:ext>
          </a:extLst>
        </xdr:cNvPr>
        <xdr:cNvSpPr>
          <a:spLocks noChangeShapeType="1"/>
        </xdr:cNvSpPr>
      </xdr:nvSpPr>
      <xdr:spPr bwMode="auto">
        <a:xfrm>
          <a:off x="1095375" y="6819900"/>
          <a:ext cx="219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27</xdr:row>
      <xdr:rowOff>200025</xdr:rowOff>
    </xdr:from>
    <xdr:to>
      <xdr:col>1</xdr:col>
      <xdr:colOff>219075</xdr:colOff>
      <xdr:row>27</xdr:row>
      <xdr:rowOff>200025</xdr:rowOff>
    </xdr:to>
    <xdr:sp macro="" textlink="">
      <xdr:nvSpPr>
        <xdr:cNvPr id="3092" name="Line 20">
          <a:extLst>
            <a:ext uri="{FF2B5EF4-FFF2-40B4-BE49-F238E27FC236}">
              <a16:creationId xmlns:a16="http://schemas.microsoft.com/office/drawing/2014/main" id="{2838D14B-0D4A-AE38-7405-D41A99311F09}"/>
            </a:ext>
          </a:extLst>
        </xdr:cNvPr>
        <xdr:cNvSpPr>
          <a:spLocks noChangeShapeType="1"/>
        </xdr:cNvSpPr>
      </xdr:nvSpPr>
      <xdr:spPr bwMode="auto">
        <a:xfrm>
          <a:off x="1095375" y="7105650"/>
          <a:ext cx="219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47625</xdr:rowOff>
    </xdr:from>
    <xdr:to>
      <xdr:col>10</xdr:col>
      <xdr:colOff>114300</xdr:colOff>
      <xdr:row>29</xdr:row>
      <xdr:rowOff>104775</xdr:rowOff>
    </xdr:to>
    <xdr:graphicFrame macro="">
      <xdr:nvGraphicFramePr>
        <xdr:cNvPr id="12314" name="Chart 26">
          <a:extLst>
            <a:ext uri="{FF2B5EF4-FFF2-40B4-BE49-F238E27FC236}">
              <a16:creationId xmlns:a16="http://schemas.microsoft.com/office/drawing/2014/main" id="{83B46493-AAEF-010F-8A1A-740D27179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30</xdr:row>
      <xdr:rowOff>133350</xdr:rowOff>
    </xdr:from>
    <xdr:to>
      <xdr:col>10</xdr:col>
      <xdr:colOff>123825</xdr:colOff>
      <xdr:row>53</xdr:row>
      <xdr:rowOff>66675</xdr:rowOff>
    </xdr:to>
    <xdr:graphicFrame macro="">
      <xdr:nvGraphicFramePr>
        <xdr:cNvPr id="12339" name="Chart 51">
          <a:extLst>
            <a:ext uri="{FF2B5EF4-FFF2-40B4-BE49-F238E27FC236}">
              <a16:creationId xmlns:a16="http://schemas.microsoft.com/office/drawing/2014/main" id="{D6B4F36C-5826-C419-DB65-139F066F0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190500</xdr:colOff>
      <xdr:row>67</xdr:row>
      <xdr:rowOff>152400</xdr:rowOff>
    </xdr:from>
    <xdr:to>
      <xdr:col>65</xdr:col>
      <xdr:colOff>600075</xdr:colOff>
      <xdr:row>84</xdr:row>
      <xdr:rowOff>19050</xdr:rowOff>
    </xdr:to>
    <xdr:graphicFrame macro="">
      <xdr:nvGraphicFramePr>
        <xdr:cNvPr id="12341" name="Chart 53">
          <a:extLst>
            <a:ext uri="{FF2B5EF4-FFF2-40B4-BE49-F238E27FC236}">
              <a16:creationId xmlns:a16="http://schemas.microsoft.com/office/drawing/2014/main" id="{504CFE8B-B068-85FC-7F19-38E8B8455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54</xdr:row>
      <xdr:rowOff>38100</xdr:rowOff>
    </xdr:from>
    <xdr:to>
      <xdr:col>10</xdr:col>
      <xdr:colOff>123825</xdr:colOff>
      <xdr:row>77</xdr:row>
      <xdr:rowOff>57150</xdr:rowOff>
    </xdr:to>
    <xdr:graphicFrame macro="">
      <xdr:nvGraphicFramePr>
        <xdr:cNvPr id="12342" name="Chart 54">
          <a:extLst>
            <a:ext uri="{FF2B5EF4-FFF2-40B4-BE49-F238E27FC236}">
              <a16:creationId xmlns:a16="http://schemas.microsoft.com/office/drawing/2014/main" id="{6A980A9D-E03D-8CF1-4BD1-94193ABB7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228600</xdr:colOff>
      <xdr:row>31</xdr:row>
      <xdr:rowOff>0</xdr:rowOff>
    </xdr:from>
    <xdr:to>
      <xdr:col>22</xdr:col>
      <xdr:colOff>495300</xdr:colOff>
      <xdr:row>53</xdr:row>
      <xdr:rowOff>66675</xdr:rowOff>
    </xdr:to>
    <xdr:graphicFrame macro="">
      <xdr:nvGraphicFramePr>
        <xdr:cNvPr id="12343" name="Chart 55">
          <a:extLst>
            <a:ext uri="{FF2B5EF4-FFF2-40B4-BE49-F238E27FC236}">
              <a16:creationId xmlns:a16="http://schemas.microsoft.com/office/drawing/2014/main" id="{2002629A-102E-A116-D22B-23FF77808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3</xdr:col>
      <xdr:colOff>428625</xdr:colOff>
      <xdr:row>10</xdr:row>
      <xdr:rowOff>28575</xdr:rowOff>
    </xdr:from>
    <xdr:ext cx="2577372" cy="170560"/>
    <xdr:sp macro="" textlink="">
      <xdr:nvSpPr>
        <xdr:cNvPr id="12344" name="Text Box 56">
          <a:extLst>
            <a:ext uri="{FF2B5EF4-FFF2-40B4-BE49-F238E27FC236}">
              <a16:creationId xmlns:a16="http://schemas.microsoft.com/office/drawing/2014/main" id="{8BFC5401-B2C2-CE24-C806-E428E48BDD77}"/>
            </a:ext>
          </a:extLst>
        </xdr:cNvPr>
        <xdr:cNvSpPr txBox="1">
          <a:spLocks noChangeArrowheads="1"/>
        </xdr:cNvSpPr>
      </xdr:nvSpPr>
      <xdr:spPr bwMode="auto">
        <a:xfrm>
          <a:off x="3600450" y="1647825"/>
          <a:ext cx="2577372" cy="1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7.4% R,  4.25% Inflation, &amp; 0.5% Productivity</a:t>
          </a:r>
        </a:p>
      </xdr:txBody>
    </xdr:sp>
    <xdr:clientData/>
  </xdr:oneCellAnchor>
  <xdr:twoCellAnchor>
    <xdr:from>
      <xdr:col>7</xdr:col>
      <xdr:colOff>228600</xdr:colOff>
      <xdr:row>7</xdr:row>
      <xdr:rowOff>114300</xdr:rowOff>
    </xdr:from>
    <xdr:to>
      <xdr:col>7</xdr:col>
      <xdr:colOff>447675</xdr:colOff>
      <xdr:row>9</xdr:row>
      <xdr:rowOff>152400</xdr:rowOff>
    </xdr:to>
    <xdr:sp macro="" textlink="">
      <xdr:nvSpPr>
        <xdr:cNvPr id="12345" name="Line 57">
          <a:extLst>
            <a:ext uri="{FF2B5EF4-FFF2-40B4-BE49-F238E27FC236}">
              <a16:creationId xmlns:a16="http://schemas.microsoft.com/office/drawing/2014/main" id="{7388EC60-853F-F4A0-9E0A-92015827474A}"/>
            </a:ext>
          </a:extLst>
        </xdr:cNvPr>
        <xdr:cNvSpPr>
          <a:spLocks noChangeShapeType="1"/>
        </xdr:cNvSpPr>
      </xdr:nvSpPr>
      <xdr:spPr bwMode="auto">
        <a:xfrm flipV="1">
          <a:off x="5838825" y="1247775"/>
          <a:ext cx="219075" cy="361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247650</xdr:colOff>
      <xdr:row>54</xdr:row>
      <xdr:rowOff>19050</xdr:rowOff>
    </xdr:from>
    <xdr:to>
      <xdr:col>22</xdr:col>
      <xdr:colOff>523875</xdr:colOff>
      <xdr:row>77</xdr:row>
      <xdr:rowOff>57150</xdr:rowOff>
    </xdr:to>
    <xdr:graphicFrame macro="">
      <xdr:nvGraphicFramePr>
        <xdr:cNvPr id="12348" name="Chart 60">
          <a:extLst>
            <a:ext uri="{FF2B5EF4-FFF2-40B4-BE49-F238E27FC236}">
              <a16:creationId xmlns:a16="http://schemas.microsoft.com/office/drawing/2014/main" id="{673C12A5-9E9D-9D6E-128E-C0D3A4DC4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4</xdr:col>
      <xdr:colOff>419100</xdr:colOff>
      <xdr:row>26</xdr:row>
      <xdr:rowOff>95250</xdr:rowOff>
    </xdr:from>
    <xdr:ext cx="2506071" cy="170560"/>
    <xdr:sp macro="" textlink="">
      <xdr:nvSpPr>
        <xdr:cNvPr id="12349" name="Text Box 61">
          <a:extLst>
            <a:ext uri="{FF2B5EF4-FFF2-40B4-BE49-F238E27FC236}">
              <a16:creationId xmlns:a16="http://schemas.microsoft.com/office/drawing/2014/main" id="{7756C4EF-D5D0-D471-4CAC-ACA5C54C52EC}"/>
            </a:ext>
          </a:extLst>
        </xdr:cNvPr>
        <xdr:cNvSpPr txBox="1">
          <a:spLocks noChangeArrowheads="1"/>
        </xdr:cNvSpPr>
      </xdr:nvSpPr>
      <xdr:spPr bwMode="auto">
        <a:xfrm>
          <a:off x="4200525" y="4324350"/>
          <a:ext cx="2506071" cy="1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4.4% R,  0.1% Inflation, &amp; 1.5% Productivity</a:t>
          </a:r>
        </a:p>
      </xdr:txBody>
    </xdr:sp>
    <xdr:clientData/>
  </xdr:oneCellAnchor>
  <xdr:oneCellAnchor>
    <xdr:from>
      <xdr:col>4</xdr:col>
      <xdr:colOff>0</xdr:colOff>
      <xdr:row>18</xdr:row>
      <xdr:rowOff>114300</xdr:rowOff>
    </xdr:from>
    <xdr:ext cx="2506071" cy="170560"/>
    <xdr:sp macro="" textlink="">
      <xdr:nvSpPr>
        <xdr:cNvPr id="12351" name="Text Box 63">
          <a:extLst>
            <a:ext uri="{FF2B5EF4-FFF2-40B4-BE49-F238E27FC236}">
              <a16:creationId xmlns:a16="http://schemas.microsoft.com/office/drawing/2014/main" id="{CBAA66A7-7092-40BE-BAFA-D24F14B5BD2A}"/>
            </a:ext>
          </a:extLst>
        </xdr:cNvPr>
        <xdr:cNvSpPr txBox="1">
          <a:spLocks noChangeArrowheads="1"/>
        </xdr:cNvSpPr>
      </xdr:nvSpPr>
      <xdr:spPr bwMode="auto">
        <a:xfrm>
          <a:off x="3781425" y="3048000"/>
          <a:ext cx="2506071" cy="1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5.9% R,  2.2% Inflation, &amp; 1.0% Productivity</a:t>
          </a:r>
        </a:p>
      </xdr:txBody>
    </xdr:sp>
    <xdr:clientData/>
  </xdr:oneCellAnchor>
  <xdr:twoCellAnchor>
    <xdr:from>
      <xdr:col>7</xdr:col>
      <xdr:colOff>228600</xdr:colOff>
      <xdr:row>16</xdr:row>
      <xdr:rowOff>28575</xdr:rowOff>
    </xdr:from>
    <xdr:to>
      <xdr:col>7</xdr:col>
      <xdr:colOff>428625</xdr:colOff>
      <xdr:row>18</xdr:row>
      <xdr:rowOff>76200</xdr:rowOff>
    </xdr:to>
    <xdr:sp macro="" textlink="">
      <xdr:nvSpPr>
        <xdr:cNvPr id="12352" name="Line 64">
          <a:extLst>
            <a:ext uri="{FF2B5EF4-FFF2-40B4-BE49-F238E27FC236}">
              <a16:creationId xmlns:a16="http://schemas.microsoft.com/office/drawing/2014/main" id="{5C04D757-EC44-A68A-A8F2-60C6A262E95B}"/>
            </a:ext>
          </a:extLst>
        </xdr:cNvPr>
        <xdr:cNvSpPr>
          <a:spLocks noChangeShapeType="1"/>
        </xdr:cNvSpPr>
      </xdr:nvSpPr>
      <xdr:spPr bwMode="auto">
        <a:xfrm flipV="1">
          <a:off x="5838825" y="2638425"/>
          <a:ext cx="200025" cy="3714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285750</xdr:colOff>
      <xdr:row>0</xdr:row>
      <xdr:rowOff>85725</xdr:rowOff>
    </xdr:from>
    <xdr:to>
      <xdr:col>22</xdr:col>
      <xdr:colOff>466725</xdr:colOff>
      <xdr:row>29</xdr:row>
      <xdr:rowOff>95250</xdr:rowOff>
    </xdr:to>
    <xdr:graphicFrame macro="">
      <xdr:nvGraphicFramePr>
        <xdr:cNvPr id="12354" name="Chart 66">
          <a:extLst>
            <a:ext uri="{FF2B5EF4-FFF2-40B4-BE49-F238E27FC236}">
              <a16:creationId xmlns:a16="http://schemas.microsoft.com/office/drawing/2014/main" id="{334E70F0-582E-4D47-8BCB-AD747AD24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485775</xdr:colOff>
      <xdr:row>25</xdr:row>
      <xdr:rowOff>28575</xdr:rowOff>
    </xdr:from>
    <xdr:to>
      <xdr:col>7</xdr:col>
      <xdr:colOff>485775</xdr:colOff>
      <xdr:row>26</xdr:row>
      <xdr:rowOff>47625</xdr:rowOff>
    </xdr:to>
    <xdr:sp macro="" textlink="">
      <xdr:nvSpPr>
        <xdr:cNvPr id="12356" name="Line 68">
          <a:extLst>
            <a:ext uri="{FF2B5EF4-FFF2-40B4-BE49-F238E27FC236}">
              <a16:creationId xmlns:a16="http://schemas.microsoft.com/office/drawing/2014/main" id="{E304379F-0DCA-B212-329F-DC17F066A3AB}"/>
            </a:ext>
          </a:extLst>
        </xdr:cNvPr>
        <xdr:cNvSpPr>
          <a:spLocks noChangeShapeType="1"/>
        </xdr:cNvSpPr>
      </xdr:nvSpPr>
      <xdr:spPr bwMode="auto">
        <a:xfrm flipV="1">
          <a:off x="6096000" y="4095750"/>
          <a:ext cx="0" cy="180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1581150</xdr:colOff>
      <xdr:row>19</xdr:row>
      <xdr:rowOff>76200</xdr:rowOff>
    </xdr:from>
    <xdr:ext cx="1343025" cy="200025"/>
    <xdr:sp macro="" textlink="">
      <xdr:nvSpPr>
        <xdr:cNvPr id="12357" name="Text Box 69">
          <a:extLst>
            <a:ext uri="{FF2B5EF4-FFF2-40B4-BE49-F238E27FC236}">
              <a16:creationId xmlns:a16="http://schemas.microsoft.com/office/drawing/2014/main" id="{76EEE5DF-2B85-A7CF-9E7A-C6CC5B59789D}"/>
            </a:ext>
          </a:extLst>
        </xdr:cNvPr>
        <xdr:cNvSpPr txBox="1">
          <a:spLocks noChangeArrowheads="1"/>
        </xdr:cNvSpPr>
      </xdr:nvSpPr>
      <xdr:spPr bwMode="auto">
        <a:xfrm>
          <a:off x="1581150" y="3171825"/>
          <a:ext cx="134302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6.1% R,  4.2% Inflation</a:t>
          </a:r>
        </a:p>
      </xdr:txBody>
    </xdr:sp>
    <xdr:clientData/>
  </xdr:oneCellAnchor>
  <xdr:twoCellAnchor>
    <xdr:from>
      <xdr:col>0</xdr:col>
      <xdr:colOff>1781175</xdr:colOff>
      <xdr:row>14</xdr:row>
      <xdr:rowOff>152400</xdr:rowOff>
    </xdr:from>
    <xdr:to>
      <xdr:col>0</xdr:col>
      <xdr:colOff>1781175</xdr:colOff>
      <xdr:row>18</xdr:row>
      <xdr:rowOff>142875</xdr:rowOff>
    </xdr:to>
    <xdr:sp macro="" textlink="">
      <xdr:nvSpPr>
        <xdr:cNvPr id="12358" name="Line 70">
          <a:extLst>
            <a:ext uri="{FF2B5EF4-FFF2-40B4-BE49-F238E27FC236}">
              <a16:creationId xmlns:a16="http://schemas.microsoft.com/office/drawing/2014/main" id="{EB44412A-0E08-775A-F7C7-B9E8882228EC}"/>
            </a:ext>
          </a:extLst>
        </xdr:cNvPr>
        <xdr:cNvSpPr>
          <a:spLocks noChangeShapeType="1"/>
        </xdr:cNvSpPr>
      </xdr:nvSpPr>
      <xdr:spPr bwMode="auto">
        <a:xfrm flipV="1">
          <a:off x="1781175" y="2419350"/>
          <a:ext cx="0" cy="657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47625</xdr:rowOff>
    </xdr:from>
    <xdr:to>
      <xdr:col>10</xdr:col>
      <xdr:colOff>114300</xdr:colOff>
      <xdr:row>29</xdr:row>
      <xdr:rowOff>104775</xdr:rowOff>
    </xdr:to>
    <xdr:graphicFrame macro="">
      <xdr:nvGraphicFramePr>
        <xdr:cNvPr id="14337" name="Chart 1">
          <a:extLst>
            <a:ext uri="{FF2B5EF4-FFF2-40B4-BE49-F238E27FC236}">
              <a16:creationId xmlns:a16="http://schemas.microsoft.com/office/drawing/2014/main" id="{2D3816D7-3A85-3D8A-5DA6-C804B8F11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190500</xdr:colOff>
      <xdr:row>67</xdr:row>
      <xdr:rowOff>152400</xdr:rowOff>
    </xdr:from>
    <xdr:to>
      <xdr:col>65</xdr:col>
      <xdr:colOff>600075</xdr:colOff>
      <xdr:row>84</xdr:row>
      <xdr:rowOff>19050</xdr:rowOff>
    </xdr:to>
    <xdr:graphicFrame macro="">
      <xdr:nvGraphicFramePr>
        <xdr:cNvPr id="14360" name="Chart 24">
          <a:extLst>
            <a:ext uri="{FF2B5EF4-FFF2-40B4-BE49-F238E27FC236}">
              <a16:creationId xmlns:a16="http://schemas.microsoft.com/office/drawing/2014/main" id="{BDBE6A13-55E0-FE1D-A8AE-457306AC6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3</xdr:col>
      <xdr:colOff>485775</xdr:colOff>
      <xdr:row>11</xdr:row>
      <xdr:rowOff>47625</xdr:rowOff>
    </xdr:from>
    <xdr:ext cx="2577372" cy="170560"/>
    <xdr:sp macro="" textlink="">
      <xdr:nvSpPr>
        <xdr:cNvPr id="14363" name="Text Box 27">
          <a:extLst>
            <a:ext uri="{FF2B5EF4-FFF2-40B4-BE49-F238E27FC236}">
              <a16:creationId xmlns:a16="http://schemas.microsoft.com/office/drawing/2014/main" id="{18F71788-D2EF-1A11-0E73-F661473D3E18}"/>
            </a:ext>
          </a:extLst>
        </xdr:cNvPr>
        <xdr:cNvSpPr txBox="1">
          <a:spLocks noChangeArrowheads="1"/>
        </xdr:cNvSpPr>
      </xdr:nvSpPr>
      <xdr:spPr bwMode="auto">
        <a:xfrm>
          <a:off x="3657600" y="1828800"/>
          <a:ext cx="2577372" cy="1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7.4% R,  4.25% Inflation, &amp; 0.5% Productivity</a:t>
          </a:r>
        </a:p>
      </xdr:txBody>
    </xdr:sp>
    <xdr:clientData/>
  </xdr:oneCellAnchor>
  <xdr:twoCellAnchor>
    <xdr:from>
      <xdr:col>7</xdr:col>
      <xdr:colOff>295275</xdr:colOff>
      <xdr:row>7</xdr:row>
      <xdr:rowOff>114300</xdr:rowOff>
    </xdr:from>
    <xdr:to>
      <xdr:col>7</xdr:col>
      <xdr:colOff>447675</xdr:colOff>
      <xdr:row>10</xdr:row>
      <xdr:rowOff>152400</xdr:rowOff>
    </xdr:to>
    <xdr:sp macro="" textlink="">
      <xdr:nvSpPr>
        <xdr:cNvPr id="14364" name="Line 28">
          <a:extLst>
            <a:ext uri="{FF2B5EF4-FFF2-40B4-BE49-F238E27FC236}">
              <a16:creationId xmlns:a16="http://schemas.microsoft.com/office/drawing/2014/main" id="{5F0479AF-3AC7-0ADD-167E-8503FE9E32F7}"/>
            </a:ext>
          </a:extLst>
        </xdr:cNvPr>
        <xdr:cNvSpPr>
          <a:spLocks noChangeShapeType="1"/>
        </xdr:cNvSpPr>
      </xdr:nvSpPr>
      <xdr:spPr bwMode="auto">
        <a:xfrm flipV="1">
          <a:off x="5905500" y="1247775"/>
          <a:ext cx="152400" cy="523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0</xdr:colOff>
      <xdr:row>24</xdr:row>
      <xdr:rowOff>133350</xdr:rowOff>
    </xdr:from>
    <xdr:ext cx="2506071" cy="170560"/>
    <xdr:sp macro="" textlink="">
      <xdr:nvSpPr>
        <xdr:cNvPr id="14366" name="Text Box 30">
          <a:extLst>
            <a:ext uri="{FF2B5EF4-FFF2-40B4-BE49-F238E27FC236}">
              <a16:creationId xmlns:a16="http://schemas.microsoft.com/office/drawing/2014/main" id="{E1BDDE40-F6EB-2261-47D1-6A1EF64F00BF}"/>
            </a:ext>
          </a:extLst>
        </xdr:cNvPr>
        <xdr:cNvSpPr txBox="1">
          <a:spLocks noChangeArrowheads="1"/>
        </xdr:cNvSpPr>
      </xdr:nvSpPr>
      <xdr:spPr bwMode="auto">
        <a:xfrm>
          <a:off x="1952625" y="4038600"/>
          <a:ext cx="2506071" cy="1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4.4% R,  0.1% Inflation, &amp; 1.5% Productivity</a:t>
          </a:r>
        </a:p>
      </xdr:txBody>
    </xdr:sp>
    <xdr:clientData/>
  </xdr:oneCellAnchor>
  <xdr:twoCellAnchor>
    <xdr:from>
      <xdr:col>5</xdr:col>
      <xdr:colOff>85725</xdr:colOff>
      <xdr:row>24</xdr:row>
      <xdr:rowOff>123825</xdr:rowOff>
    </xdr:from>
    <xdr:to>
      <xdr:col>7</xdr:col>
      <xdr:colOff>323850</xdr:colOff>
      <xdr:row>25</xdr:row>
      <xdr:rowOff>76200</xdr:rowOff>
    </xdr:to>
    <xdr:sp macro="" textlink="">
      <xdr:nvSpPr>
        <xdr:cNvPr id="14367" name="Line 31">
          <a:extLst>
            <a:ext uri="{FF2B5EF4-FFF2-40B4-BE49-F238E27FC236}">
              <a16:creationId xmlns:a16="http://schemas.microsoft.com/office/drawing/2014/main" id="{E0C77C22-A64B-6087-CF19-CD57522D17F6}"/>
            </a:ext>
          </a:extLst>
        </xdr:cNvPr>
        <xdr:cNvSpPr>
          <a:spLocks noChangeShapeType="1"/>
        </xdr:cNvSpPr>
      </xdr:nvSpPr>
      <xdr:spPr bwMode="auto">
        <a:xfrm flipV="1">
          <a:off x="4476750" y="4029075"/>
          <a:ext cx="1457325" cy="114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142875</xdr:colOff>
      <xdr:row>18</xdr:row>
      <xdr:rowOff>133350</xdr:rowOff>
    </xdr:from>
    <xdr:ext cx="2506071" cy="170560"/>
    <xdr:sp macro="" textlink="">
      <xdr:nvSpPr>
        <xdr:cNvPr id="14368" name="Text Box 32">
          <a:extLst>
            <a:ext uri="{FF2B5EF4-FFF2-40B4-BE49-F238E27FC236}">
              <a16:creationId xmlns:a16="http://schemas.microsoft.com/office/drawing/2014/main" id="{8E9BB3C2-AC40-DBEF-78D9-FBF19B7894C5}"/>
            </a:ext>
          </a:extLst>
        </xdr:cNvPr>
        <xdr:cNvSpPr txBox="1">
          <a:spLocks noChangeArrowheads="1"/>
        </xdr:cNvSpPr>
      </xdr:nvSpPr>
      <xdr:spPr bwMode="auto">
        <a:xfrm>
          <a:off x="3924300" y="3067050"/>
          <a:ext cx="2506071" cy="1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5.9% R,  2.2% Inflation, &amp; 1.0% Productivity</a:t>
          </a:r>
        </a:p>
      </xdr:txBody>
    </xdr:sp>
    <xdr:clientData/>
  </xdr:oneCellAnchor>
  <xdr:twoCellAnchor>
    <xdr:from>
      <xdr:col>7</xdr:col>
      <xdr:colOff>238125</xdr:colOff>
      <xdr:row>16</xdr:row>
      <xdr:rowOff>123825</xdr:rowOff>
    </xdr:from>
    <xdr:to>
      <xdr:col>7</xdr:col>
      <xdr:colOff>438150</xdr:colOff>
      <xdr:row>19</xdr:row>
      <xdr:rowOff>9525</xdr:rowOff>
    </xdr:to>
    <xdr:sp macro="" textlink="">
      <xdr:nvSpPr>
        <xdr:cNvPr id="14369" name="Line 33">
          <a:extLst>
            <a:ext uri="{FF2B5EF4-FFF2-40B4-BE49-F238E27FC236}">
              <a16:creationId xmlns:a16="http://schemas.microsoft.com/office/drawing/2014/main" id="{44987936-596F-1CCD-3559-A22961FBF74E}"/>
            </a:ext>
          </a:extLst>
        </xdr:cNvPr>
        <xdr:cNvSpPr>
          <a:spLocks noChangeShapeType="1"/>
        </xdr:cNvSpPr>
      </xdr:nvSpPr>
      <xdr:spPr bwMode="auto">
        <a:xfrm flipV="1">
          <a:off x="5848350" y="2733675"/>
          <a:ext cx="200025" cy="3714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1571625</xdr:colOff>
      <xdr:row>20</xdr:row>
      <xdr:rowOff>47625</xdr:rowOff>
    </xdr:from>
    <xdr:ext cx="1343025" cy="200025"/>
    <xdr:sp macro="" textlink="">
      <xdr:nvSpPr>
        <xdr:cNvPr id="14372" name="Text Box 36">
          <a:extLst>
            <a:ext uri="{FF2B5EF4-FFF2-40B4-BE49-F238E27FC236}">
              <a16:creationId xmlns:a16="http://schemas.microsoft.com/office/drawing/2014/main" id="{D399BC76-0723-9CF8-41F7-E6B1FFA4486E}"/>
            </a:ext>
          </a:extLst>
        </xdr:cNvPr>
        <xdr:cNvSpPr txBox="1">
          <a:spLocks noChangeArrowheads="1"/>
        </xdr:cNvSpPr>
      </xdr:nvSpPr>
      <xdr:spPr bwMode="auto">
        <a:xfrm>
          <a:off x="1571625" y="3305175"/>
          <a:ext cx="134302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6.1% R,  4.2% Inflation</a:t>
          </a:r>
        </a:p>
      </xdr:txBody>
    </xdr:sp>
    <xdr:clientData/>
  </xdr:oneCellAnchor>
  <xdr:twoCellAnchor>
    <xdr:from>
      <xdr:col>0</xdr:col>
      <xdr:colOff>1771650</xdr:colOff>
      <xdr:row>15</xdr:row>
      <xdr:rowOff>114300</xdr:rowOff>
    </xdr:from>
    <xdr:to>
      <xdr:col>0</xdr:col>
      <xdr:colOff>1771650</xdr:colOff>
      <xdr:row>19</xdr:row>
      <xdr:rowOff>114300</xdr:rowOff>
    </xdr:to>
    <xdr:sp macro="" textlink="">
      <xdr:nvSpPr>
        <xdr:cNvPr id="14373" name="Line 37">
          <a:extLst>
            <a:ext uri="{FF2B5EF4-FFF2-40B4-BE49-F238E27FC236}">
              <a16:creationId xmlns:a16="http://schemas.microsoft.com/office/drawing/2014/main" id="{A143A32D-62C3-C588-5703-30D663240FC3}"/>
            </a:ext>
          </a:extLst>
        </xdr:cNvPr>
        <xdr:cNvSpPr>
          <a:spLocks noChangeShapeType="1"/>
        </xdr:cNvSpPr>
      </xdr:nvSpPr>
      <xdr:spPr bwMode="auto">
        <a:xfrm flipV="1">
          <a:off x="1771650" y="2552700"/>
          <a:ext cx="0" cy="657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nfl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nual"/>
      <sheetName val="Monthly"/>
    </sheetNames>
    <sheetDataSet>
      <sheetData sheetId="0">
        <row r="6">
          <cell r="B6">
            <v>3.5700000000000003E-2</v>
          </cell>
          <cell r="C6">
            <v>4.6300000000000001E-2</v>
          </cell>
        </row>
        <row r="7">
          <cell r="B7">
            <v>3.1E-2</v>
          </cell>
          <cell r="C7">
            <v>3.2000000000000001E-2</v>
          </cell>
        </row>
        <row r="8">
          <cell r="B8">
            <v>0.03</v>
          </cell>
          <cell r="C8">
            <v>2.9000000000000001E-2</v>
          </cell>
        </row>
        <row r="9">
          <cell r="B9">
            <v>2.9000000000000001E-2</v>
          </cell>
          <cell r="C9">
            <v>2.7E-2</v>
          </cell>
        </row>
        <row r="10">
          <cell r="B10">
            <v>2.8500000000000001E-2</v>
          </cell>
          <cell r="C10">
            <v>2.53E-2</v>
          </cell>
        </row>
        <row r="11">
          <cell r="B11">
            <v>2.8000000000000001E-2</v>
          </cell>
          <cell r="C11">
            <v>2.4E-2</v>
          </cell>
        </row>
        <row r="12">
          <cell r="B12">
            <v>2.7199999999999998E-2</v>
          </cell>
          <cell r="C12">
            <v>2.2499999999999999E-2</v>
          </cell>
        </row>
        <row r="13">
          <cell r="B13">
            <v>2.6700000000000002E-2</v>
          </cell>
          <cell r="C13">
            <v>2.1000000000000001E-2</v>
          </cell>
        </row>
        <row r="14">
          <cell r="B14">
            <v>2.6200000000000001E-2</v>
          </cell>
          <cell r="C14">
            <v>0.02</v>
          </cell>
        </row>
        <row r="15">
          <cell r="B15">
            <v>2.58E-2</v>
          </cell>
          <cell r="C15">
            <v>1.9199999999999998E-2</v>
          </cell>
        </row>
        <row r="16">
          <cell r="B16">
            <v>2.5399999999999999E-2</v>
          </cell>
          <cell r="C16">
            <v>1.7999999999999999E-2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39"/>
  <sheetViews>
    <sheetView workbookViewId="0">
      <selection activeCell="H17" sqref="H17"/>
    </sheetView>
  </sheetViews>
  <sheetFormatPr defaultRowHeight="12.75" x14ac:dyDescent="0.2"/>
  <cols>
    <col min="1" max="1" width="14.7109375" bestFit="1" customWidth="1"/>
  </cols>
  <sheetData>
    <row r="14" spans="1:9" ht="30" x14ac:dyDescent="0.4">
      <c r="A14" s="81" t="s">
        <v>556</v>
      </c>
      <c r="B14" s="65"/>
      <c r="C14" s="65"/>
      <c r="D14" s="65"/>
      <c r="E14" s="65"/>
      <c r="F14" s="65"/>
      <c r="G14" s="65"/>
      <c r="H14" s="65"/>
      <c r="I14" s="65"/>
    </row>
    <row r="15" spans="1:9" ht="30" x14ac:dyDescent="0.4">
      <c r="A15" s="81" t="s">
        <v>557</v>
      </c>
      <c r="B15" s="65"/>
      <c r="C15" s="65"/>
      <c r="D15" s="65"/>
      <c r="E15" s="65"/>
      <c r="F15" s="65"/>
      <c r="G15" s="65"/>
      <c r="H15" s="65"/>
      <c r="I15" s="65"/>
    </row>
    <row r="16" spans="1:9" x14ac:dyDescent="0.2">
      <c r="A16" s="65"/>
      <c r="B16" s="65"/>
      <c r="C16" s="65"/>
      <c r="D16" s="65"/>
      <c r="E16" s="65"/>
      <c r="F16" s="65"/>
      <c r="G16" s="65"/>
      <c r="H16" s="65"/>
      <c r="I16" s="65"/>
    </row>
    <row r="17" spans="1:9" x14ac:dyDescent="0.2">
      <c r="B17" s="65"/>
      <c r="C17" s="65"/>
      <c r="D17" s="65"/>
      <c r="E17" s="65"/>
      <c r="F17" s="65"/>
      <c r="G17" s="65"/>
      <c r="H17" s="65"/>
      <c r="I17" s="65"/>
    </row>
    <row r="19" spans="1:9" ht="23.25" x14ac:dyDescent="0.35">
      <c r="A19" s="83" t="s">
        <v>558</v>
      </c>
      <c r="B19" s="65"/>
      <c r="C19" s="65"/>
      <c r="D19" s="65"/>
      <c r="E19" s="65"/>
      <c r="F19" s="65"/>
      <c r="G19" s="65"/>
      <c r="H19" s="65"/>
      <c r="I19" s="65"/>
    </row>
    <row r="32" spans="1:9" x14ac:dyDescent="0.2">
      <c r="B32" s="65"/>
      <c r="C32" s="65"/>
      <c r="D32" s="65"/>
      <c r="E32" s="65"/>
      <c r="F32" s="65"/>
      <c r="G32" s="65"/>
      <c r="H32" s="65"/>
      <c r="I32" s="65"/>
    </row>
    <row r="39" spans="1:9" ht="15" x14ac:dyDescent="0.2">
      <c r="A39" s="82">
        <f ca="1">NOW()</f>
        <v>36740.697757754628</v>
      </c>
      <c r="B39" s="65"/>
      <c r="C39" s="65"/>
      <c r="D39" s="65"/>
      <c r="E39" s="65"/>
      <c r="F39" s="65"/>
      <c r="G39" s="65"/>
      <c r="H39" s="65"/>
      <c r="I39" s="65"/>
    </row>
  </sheetData>
  <pageMargins left="0.75" right="0.75" top="1" bottom="1" header="0.5" footer="0.5"/>
  <pageSetup orientation="portrait" verticalDpi="0" r:id="rId1"/>
  <headerFooter alignWithMargins="0">
    <oddFooter>&amp;L&amp;F&amp;R&amp;A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topLeftCell="B1" workbookViewId="0">
      <selection activeCell="E25" sqref="E25"/>
    </sheetView>
  </sheetViews>
  <sheetFormatPr defaultRowHeight="12.75" x14ac:dyDescent="0.2"/>
  <cols>
    <col min="1" max="1" width="36.140625" bestFit="1" customWidth="1"/>
    <col min="2" max="2" width="10.7109375" bestFit="1" customWidth="1"/>
    <col min="3" max="3" width="5" bestFit="1" customWidth="1"/>
    <col min="4" max="13" width="14.85546875" bestFit="1" customWidth="1"/>
  </cols>
  <sheetData>
    <row r="1" spans="1:13" x14ac:dyDescent="0.2">
      <c r="A1" t="s">
        <v>514</v>
      </c>
    </row>
    <row r="2" spans="1:13" x14ac:dyDescent="0.2">
      <c r="D2">
        <v>5</v>
      </c>
    </row>
    <row r="3" spans="1:13" x14ac:dyDescent="0.2">
      <c r="A3" s="8" t="s">
        <v>177</v>
      </c>
      <c r="B3" s="8" t="s">
        <v>471</v>
      </c>
      <c r="C3" s="8">
        <v>2000</v>
      </c>
      <c r="D3" s="8">
        <v>2001</v>
      </c>
      <c r="E3" s="8">
        <v>2002</v>
      </c>
      <c r="F3" s="8">
        <v>2003</v>
      </c>
      <c r="G3" s="8">
        <v>2004</v>
      </c>
      <c r="H3" s="8">
        <v>2005</v>
      </c>
      <c r="I3" s="8">
        <v>2006</v>
      </c>
      <c r="J3" s="8">
        <v>2007</v>
      </c>
      <c r="K3" s="8">
        <v>2008</v>
      </c>
      <c r="L3" s="8">
        <v>2009</v>
      </c>
      <c r="M3" s="8">
        <v>2010</v>
      </c>
    </row>
    <row r="4" spans="1:13" x14ac:dyDescent="0.2">
      <c r="A4" t="str">
        <f>raw!A4</f>
        <v>Boston Edison Co.</v>
      </c>
      <c r="B4" s="2">
        <f>criteria!J4/criteria!$J$26</f>
        <v>7.0254818958986357E-3</v>
      </c>
      <c r="C4" s="22"/>
      <c r="D4" s="33">
        <f>('Dist_$kwh'!$C4-'Dist_$kwh'!D4)*$B4</f>
        <v>0</v>
      </c>
      <c r="E4" s="33">
        <f>('Dist_$kwh'!$C4-'Dist_$kwh'!E4)*$B4</f>
        <v>1.6943189741288488E-6</v>
      </c>
      <c r="F4" s="33">
        <f>('Dist_$kwh'!$C4-'Dist_$kwh'!F4)*$B4</f>
        <v>1.6943189741288488E-6</v>
      </c>
      <c r="G4" s="33">
        <f>('Dist_$kwh'!$C4-'Dist_$kwh'!G4)*$B4</f>
        <v>1.6943189741288488E-6</v>
      </c>
      <c r="H4" s="33">
        <f>('Dist_$kwh'!$C4-'Dist_$kwh'!H4)*$B4</f>
        <v>1.6943189741288488E-6</v>
      </c>
      <c r="I4" s="33">
        <f>('Dist_$kwh'!$C4-'Dist_$kwh'!I4)*$B4</f>
        <v>8.1754413207256172E-6</v>
      </c>
      <c r="J4" s="33">
        <f>('Dist_$kwh'!$C4-'Dist_$kwh'!J4)*$B4</f>
        <v>8.1754413207256172E-6</v>
      </c>
      <c r="K4" s="33">
        <f>('Dist_$kwh'!$C4-'Dist_$kwh'!K4)*$B4</f>
        <v>8.1754413207256172E-6</v>
      </c>
      <c r="L4" s="33">
        <f>('Dist_$kwh'!$C4-'Dist_$kwh'!L4)*$B4</f>
        <v>8.1754413207256172E-6</v>
      </c>
      <c r="M4" s="33">
        <f>('Dist_$kwh'!$C4-'Dist_$kwh'!M4)*$B4</f>
        <v>8.1754413207256172E-6</v>
      </c>
    </row>
    <row r="5" spans="1:13" x14ac:dyDescent="0.2">
      <c r="A5" t="str">
        <f>raw!A5</f>
        <v>Carolina Power &amp; Light Co.</v>
      </c>
      <c r="B5" s="2">
        <f>criteria!J5/criteria!$J$26</f>
        <v>1.8270024665796233E-2</v>
      </c>
      <c r="C5" s="22"/>
      <c r="D5" s="33">
        <f>('Dist_$kwh'!$C5-'Dist_$kwh'!D5)*$B5</f>
        <v>0</v>
      </c>
      <c r="E5" s="33">
        <f>('Dist_$kwh'!$C5-'Dist_$kwh'!E5)*$B5</f>
        <v>1.7279091259321921E-6</v>
      </c>
      <c r="F5" s="33">
        <f>('Dist_$kwh'!$C5-'Dist_$kwh'!F5)*$B5</f>
        <v>1.7279091259321921E-6</v>
      </c>
      <c r="G5" s="33">
        <f>('Dist_$kwh'!$C5-'Dist_$kwh'!G5)*$B5</f>
        <v>1.7279091259321921E-6</v>
      </c>
      <c r="H5" s="33">
        <f>('Dist_$kwh'!$C5-'Dist_$kwh'!H5)*$B5</f>
        <v>1.7279091259321921E-6</v>
      </c>
      <c r="I5" s="33">
        <f>('Dist_$kwh'!$C5-'Dist_$kwh'!I5)*$B5</f>
        <v>7.5234864737944064E-6</v>
      </c>
      <c r="J5" s="33">
        <f>('Dist_$kwh'!$C5-'Dist_$kwh'!J5)*$B5</f>
        <v>7.5234864737944064E-6</v>
      </c>
      <c r="K5" s="33">
        <f>('Dist_$kwh'!$C5-'Dist_$kwh'!K5)*$B5</f>
        <v>7.5234864737944064E-6</v>
      </c>
      <c r="L5" s="33">
        <f>('Dist_$kwh'!$C5-'Dist_$kwh'!L5)*$B5</f>
        <v>7.5234864737944064E-6</v>
      </c>
      <c r="M5" s="33">
        <f>('Dist_$kwh'!$C5-'Dist_$kwh'!M5)*$B5</f>
        <v>7.5234864737944064E-6</v>
      </c>
    </row>
    <row r="6" spans="1:13" x14ac:dyDescent="0.2">
      <c r="A6" t="str">
        <f>raw!A6</f>
        <v>Central Hudson Gas &amp; Electric Corp.</v>
      </c>
      <c r="B6" s="2">
        <f>criteria!J6/criteria!$J$26</f>
        <v>0.11986169313122438</v>
      </c>
      <c r="C6" s="22"/>
      <c r="D6" s="33">
        <f>('Dist_$kwh'!$C6-'Dist_$kwh'!D6)*$B6</f>
        <v>0</v>
      </c>
      <c r="E6" s="33">
        <f>('Dist_$kwh'!$C6-'Dist_$kwh'!E6)*$B6</f>
        <v>1.4606268023161306E-5</v>
      </c>
      <c r="F6" s="33">
        <f>('Dist_$kwh'!$C6-'Dist_$kwh'!F6)*$B6</f>
        <v>1.4606268023161306E-5</v>
      </c>
      <c r="G6" s="33">
        <f>('Dist_$kwh'!$C6-'Dist_$kwh'!G6)*$B6</f>
        <v>1.4606268023161306E-5</v>
      </c>
      <c r="H6" s="33">
        <f>('Dist_$kwh'!$C6-'Dist_$kwh'!H6)*$B6</f>
        <v>1.4606268023161306E-5</v>
      </c>
      <c r="I6" s="33">
        <f>('Dist_$kwh'!$C6-'Dist_$kwh'!I6)*$B6</f>
        <v>8.0585622612165453E-5</v>
      </c>
      <c r="J6" s="33">
        <f>('Dist_$kwh'!$C6-'Dist_$kwh'!J6)*$B6</f>
        <v>8.0585622612165453E-5</v>
      </c>
      <c r="K6" s="33">
        <f>('Dist_$kwh'!$C6-'Dist_$kwh'!K6)*$B6</f>
        <v>8.0585622612165453E-5</v>
      </c>
      <c r="L6" s="33">
        <f>('Dist_$kwh'!$C6-'Dist_$kwh'!L6)*$B6</f>
        <v>8.0585622612165453E-5</v>
      </c>
      <c r="M6" s="33">
        <f>('Dist_$kwh'!$C6-'Dist_$kwh'!M6)*$B6</f>
        <v>8.0585622612165453E-5</v>
      </c>
    </row>
    <row r="7" spans="1:13" x14ac:dyDescent="0.2">
      <c r="A7" t="str">
        <f>raw!A7</f>
        <v>Commonwealth Edison Co.</v>
      </c>
      <c r="B7" s="2">
        <f>criteria!J7/criteria!$J$26</f>
        <v>3.0995672029051791E-2</v>
      </c>
      <c r="C7" s="22"/>
      <c r="D7" s="33">
        <f>('Dist_$kwh'!$C7-'Dist_$kwh'!D7)*$B7</f>
        <v>0</v>
      </c>
      <c r="E7" s="33">
        <f>('Dist_$kwh'!$C7-'Dist_$kwh'!E7)*$B7</f>
        <v>0</v>
      </c>
      <c r="F7" s="33">
        <f>('Dist_$kwh'!$C7-'Dist_$kwh'!F7)*$B7</f>
        <v>0</v>
      </c>
      <c r="G7" s="33">
        <f>('Dist_$kwh'!$C7-'Dist_$kwh'!G7)*$B7</f>
        <v>0</v>
      </c>
      <c r="H7" s="33">
        <f>('Dist_$kwh'!$C7-'Dist_$kwh'!H7)*$B7</f>
        <v>0</v>
      </c>
      <c r="I7" s="33">
        <f>('Dist_$kwh'!$C7-'Dist_$kwh'!I7)*$B7</f>
        <v>0</v>
      </c>
      <c r="J7" s="33">
        <f>('Dist_$kwh'!$C7-'Dist_$kwh'!J7)*$B7</f>
        <v>0</v>
      </c>
      <c r="K7" s="33">
        <f>('Dist_$kwh'!$C7-'Dist_$kwh'!K7)*$B7</f>
        <v>0</v>
      </c>
      <c r="L7" s="33">
        <f>('Dist_$kwh'!$C7-'Dist_$kwh'!L7)*$B7</f>
        <v>0</v>
      </c>
      <c r="M7" s="33">
        <f>('Dist_$kwh'!$C7-'Dist_$kwh'!M7)*$B7</f>
        <v>0</v>
      </c>
    </row>
    <row r="8" spans="1:13" x14ac:dyDescent="0.2">
      <c r="A8" t="str">
        <f>raw!A8</f>
        <v>Consolidated Edison Co. of New York, Inc.</v>
      </c>
      <c r="B8" s="2">
        <f>criteria!J8/criteria!$J$26</f>
        <v>2.8926824355510476E-2</v>
      </c>
      <c r="C8" s="22"/>
      <c r="D8" s="33">
        <f>('Dist_$kwh'!$C8-'Dist_$kwh'!D8)*$B8</f>
        <v>0</v>
      </c>
      <c r="E8" s="33">
        <f>('Dist_$kwh'!$C8-'Dist_$kwh'!E8)*$B8</f>
        <v>1.7759422373376949E-5</v>
      </c>
      <c r="F8" s="33">
        <f>('Dist_$kwh'!$C8-'Dist_$kwh'!F8)*$B8</f>
        <v>1.7759422373376949E-5</v>
      </c>
      <c r="G8" s="33">
        <f>('Dist_$kwh'!$C8-'Dist_$kwh'!G8)*$B8</f>
        <v>1.7759422373376949E-5</v>
      </c>
      <c r="H8" s="33">
        <f>('Dist_$kwh'!$C8-'Dist_$kwh'!H8)*$B8</f>
        <v>1.7759422373376949E-5</v>
      </c>
      <c r="I8" s="33">
        <f>('Dist_$kwh'!$C8-'Dist_$kwh'!I8)*$B8</f>
        <v>7.0693050659144057E-5</v>
      </c>
      <c r="J8" s="33">
        <f>('Dist_$kwh'!$C8-'Dist_$kwh'!J8)*$B8</f>
        <v>7.0693050659144057E-5</v>
      </c>
      <c r="K8" s="33">
        <f>('Dist_$kwh'!$C8-'Dist_$kwh'!K8)*$B8</f>
        <v>7.0693050659144057E-5</v>
      </c>
      <c r="L8" s="33">
        <f>('Dist_$kwh'!$C8-'Dist_$kwh'!L8)*$B8</f>
        <v>7.0693050659144057E-5</v>
      </c>
      <c r="M8" s="33">
        <f>('Dist_$kwh'!$C8-'Dist_$kwh'!M8)*$B8</f>
        <v>7.0693050659144057E-5</v>
      </c>
    </row>
    <row r="9" spans="1:13" x14ac:dyDescent="0.2">
      <c r="A9" t="str">
        <f>raw!A9</f>
        <v>Consumers Energy Co.</v>
      </c>
      <c r="B9" s="2">
        <f>criteria!J9/criteria!$J$26</f>
        <v>7.6296090123242977E-3</v>
      </c>
      <c r="C9" s="22"/>
      <c r="D9" s="33">
        <f>('Dist_$kwh'!$C9-'Dist_$kwh'!D9)*$B9</f>
        <v>0</v>
      </c>
      <c r="E9" s="33">
        <f>('Dist_$kwh'!$C9-'Dist_$kwh'!E9)*$B9</f>
        <v>8.5451601533691053E-7</v>
      </c>
      <c r="F9" s="33">
        <f>('Dist_$kwh'!$C9-'Dist_$kwh'!F9)*$B9</f>
        <v>8.5451601533691053E-7</v>
      </c>
      <c r="G9" s="33">
        <f>('Dist_$kwh'!$C9-'Dist_$kwh'!G9)*$B9</f>
        <v>8.5451601533691053E-7</v>
      </c>
      <c r="H9" s="33">
        <f>('Dist_$kwh'!$C9-'Dist_$kwh'!H9)*$B9</f>
        <v>8.5451601533691053E-7</v>
      </c>
      <c r="I9" s="33">
        <f>('Dist_$kwh'!$C9-'Dist_$kwh'!I9)*$B9</f>
        <v>4.020400209854419E-6</v>
      </c>
      <c r="J9" s="33">
        <f>('Dist_$kwh'!$C9-'Dist_$kwh'!J9)*$B9</f>
        <v>4.020400209854419E-6</v>
      </c>
      <c r="K9" s="33">
        <f>('Dist_$kwh'!$C9-'Dist_$kwh'!K9)*$B9</f>
        <v>4.020400209854419E-6</v>
      </c>
      <c r="L9" s="33">
        <f>('Dist_$kwh'!$C9-'Dist_$kwh'!L9)*$B9</f>
        <v>4.020400209854419E-6</v>
      </c>
      <c r="M9" s="33">
        <f>('Dist_$kwh'!$C9-'Dist_$kwh'!M9)*$B9</f>
        <v>4.020400209854419E-6</v>
      </c>
    </row>
    <row r="10" spans="1:13" x14ac:dyDescent="0.2">
      <c r="A10" t="str">
        <f>raw!A10</f>
        <v>Duke Energy Corp.</v>
      </c>
      <c r="B10" s="2">
        <f>criteria!J10/criteria!$J$26</f>
        <v>0.12236998761483853</v>
      </c>
      <c r="C10" s="22"/>
      <c r="D10" s="33">
        <f>('Dist_$kwh'!$C10-'Dist_$kwh'!D10)*$B10</f>
        <v>0</v>
      </c>
      <c r="E10" s="33">
        <f>('Dist_$kwh'!$C10-'Dist_$kwh'!E10)*$B10</f>
        <v>2.196498283898622E-5</v>
      </c>
      <c r="F10" s="33">
        <f>('Dist_$kwh'!$C10-'Dist_$kwh'!F10)*$B10</f>
        <v>2.196498283898622E-5</v>
      </c>
      <c r="G10" s="33">
        <f>('Dist_$kwh'!$C10-'Dist_$kwh'!G10)*$B10</f>
        <v>2.196498283898622E-5</v>
      </c>
      <c r="H10" s="33">
        <f>('Dist_$kwh'!$C10-'Dist_$kwh'!H10)*$B10</f>
        <v>2.196498283898622E-5</v>
      </c>
      <c r="I10" s="33">
        <f>('Dist_$kwh'!$C10-'Dist_$kwh'!I10)*$B10</f>
        <v>7.9398841067157246E-5</v>
      </c>
      <c r="J10" s="33">
        <f>('Dist_$kwh'!$C10-'Dist_$kwh'!J10)*$B10</f>
        <v>7.9398841067157246E-5</v>
      </c>
      <c r="K10" s="33">
        <f>('Dist_$kwh'!$C10-'Dist_$kwh'!K10)*$B10</f>
        <v>7.9398841067157246E-5</v>
      </c>
      <c r="L10" s="33">
        <f>('Dist_$kwh'!$C10-'Dist_$kwh'!L10)*$B10</f>
        <v>7.9398841067157246E-5</v>
      </c>
      <c r="M10" s="33">
        <f>('Dist_$kwh'!$C10-'Dist_$kwh'!M10)*$B10</f>
        <v>7.9398841067157246E-5</v>
      </c>
    </row>
    <row r="11" spans="1:13" x14ac:dyDescent="0.2">
      <c r="A11" t="str">
        <f>raw!A11</f>
        <v>Entergy Mississippi, Inc.</v>
      </c>
      <c r="B11" s="2">
        <f>criteria!J11/criteria!$J$26</f>
        <v>8.5624785503883201E-3</v>
      </c>
      <c r="C11" s="22"/>
      <c r="D11" s="33">
        <f>('Dist_$kwh'!$C11-'Dist_$kwh'!D11)*$B11</f>
        <v>0</v>
      </c>
      <c r="E11" s="33">
        <f>('Dist_$kwh'!$C11-'Dist_$kwh'!E11)*$B11</f>
        <v>7.313307859796015E-7</v>
      </c>
      <c r="F11" s="33">
        <f>('Dist_$kwh'!$C11-'Dist_$kwh'!F11)*$B11</f>
        <v>7.313307859796015E-7</v>
      </c>
      <c r="G11" s="33">
        <f>('Dist_$kwh'!$C11-'Dist_$kwh'!G11)*$B11</f>
        <v>7.313307859796015E-7</v>
      </c>
      <c r="H11" s="33">
        <f>('Dist_$kwh'!$C11-'Dist_$kwh'!H11)*$B11</f>
        <v>7.313307859796015E-7</v>
      </c>
      <c r="I11" s="33">
        <f>('Dist_$kwh'!$C11-'Dist_$kwh'!I11)*$B11</f>
        <v>4.2349813022795059E-6</v>
      </c>
      <c r="J11" s="33">
        <f>('Dist_$kwh'!$C11-'Dist_$kwh'!J11)*$B11</f>
        <v>4.2349813022795059E-6</v>
      </c>
      <c r="K11" s="33">
        <f>('Dist_$kwh'!$C11-'Dist_$kwh'!K11)*$B11</f>
        <v>4.2349813022795059E-6</v>
      </c>
      <c r="L11" s="33">
        <f>('Dist_$kwh'!$C11-'Dist_$kwh'!L11)*$B11</f>
        <v>4.2349813022795059E-6</v>
      </c>
      <c r="M11" s="33">
        <f>('Dist_$kwh'!$C11-'Dist_$kwh'!M11)*$B11</f>
        <v>4.2349813022795059E-6</v>
      </c>
    </row>
    <row r="12" spans="1:13" x14ac:dyDescent="0.2">
      <c r="A12" t="str">
        <f>raw!A12</f>
        <v>Florida Power &amp; Light Co.</v>
      </c>
      <c r="B12" s="2">
        <f>criteria!J12/criteria!$J$26</f>
        <v>7.6548281697734174E-3</v>
      </c>
      <c r="C12" s="22"/>
      <c r="D12" s="33">
        <f>('Dist_$kwh'!$C12-'Dist_$kwh'!D12)*$B12</f>
        <v>0</v>
      </c>
      <c r="E12" s="33">
        <f>('Dist_$kwh'!$C12-'Dist_$kwh'!E12)*$B12</f>
        <v>1.5418239659870183E-6</v>
      </c>
      <c r="F12" s="33">
        <f>('Dist_$kwh'!$C12-'Dist_$kwh'!F12)*$B12</f>
        <v>1.5418239659870183E-6</v>
      </c>
      <c r="G12" s="33">
        <f>('Dist_$kwh'!$C12-'Dist_$kwh'!G12)*$B12</f>
        <v>1.5418239659870183E-6</v>
      </c>
      <c r="H12" s="33">
        <f>('Dist_$kwh'!$C12-'Dist_$kwh'!H12)*$B12</f>
        <v>1.5418239659870183E-6</v>
      </c>
      <c r="I12" s="33">
        <f>('Dist_$kwh'!$C12-'Dist_$kwh'!I12)*$B12</f>
        <v>6.317655831086621E-6</v>
      </c>
      <c r="J12" s="33">
        <f>('Dist_$kwh'!$C12-'Dist_$kwh'!J12)*$B12</f>
        <v>6.317655831086621E-6</v>
      </c>
      <c r="K12" s="33">
        <f>('Dist_$kwh'!$C12-'Dist_$kwh'!K12)*$B12</f>
        <v>6.317655831086621E-6</v>
      </c>
      <c r="L12" s="33">
        <f>('Dist_$kwh'!$C12-'Dist_$kwh'!L12)*$B12</f>
        <v>6.317655831086621E-6</v>
      </c>
      <c r="M12" s="33">
        <f>('Dist_$kwh'!$C12-'Dist_$kwh'!M12)*$B12</f>
        <v>6.317655831086621E-6</v>
      </c>
    </row>
    <row r="13" spans="1:13" x14ac:dyDescent="0.2">
      <c r="A13" t="str">
        <f>raw!A13</f>
        <v>Gulf Power Co.</v>
      </c>
      <c r="B13" s="2">
        <f>criteria!J13/criteria!$J$26</f>
        <v>2.0393624641022158E-2</v>
      </c>
      <c r="C13" s="22"/>
      <c r="D13" s="33">
        <f>('Dist_$kwh'!$C13-'Dist_$kwh'!D13)*$B13</f>
        <v>0</v>
      </c>
      <c r="E13" s="33">
        <f>('Dist_$kwh'!$C13-'Dist_$kwh'!E13)*$B13</f>
        <v>2.0673362420879352E-6</v>
      </c>
      <c r="F13" s="33">
        <f>('Dist_$kwh'!$C13-'Dist_$kwh'!F13)*$B13</f>
        <v>2.0673362420879352E-6</v>
      </c>
      <c r="G13" s="33">
        <f>('Dist_$kwh'!$C13-'Dist_$kwh'!G13)*$B13</f>
        <v>2.0673362420879352E-6</v>
      </c>
      <c r="H13" s="33">
        <f>('Dist_$kwh'!$C13-'Dist_$kwh'!H13)*$B13</f>
        <v>2.0673362420879352E-6</v>
      </c>
      <c r="I13" s="33">
        <f>('Dist_$kwh'!$C13-'Dist_$kwh'!I13)*$B13</f>
        <v>9.2709694543317424E-6</v>
      </c>
      <c r="J13" s="33">
        <f>('Dist_$kwh'!$C13-'Dist_$kwh'!J13)*$B13</f>
        <v>9.2709694543317424E-6</v>
      </c>
      <c r="K13" s="33">
        <f>('Dist_$kwh'!$C13-'Dist_$kwh'!K13)*$B13</f>
        <v>9.2709694543317424E-6</v>
      </c>
      <c r="L13" s="33">
        <f>('Dist_$kwh'!$C13-'Dist_$kwh'!L13)*$B13</f>
        <v>9.2709694543317424E-6</v>
      </c>
      <c r="M13" s="33">
        <f>('Dist_$kwh'!$C13-'Dist_$kwh'!M13)*$B13</f>
        <v>9.2709694543317424E-6</v>
      </c>
    </row>
    <row r="14" spans="1:13" x14ac:dyDescent="0.2">
      <c r="A14" t="str">
        <f>raw!A14</f>
        <v>Illinois Power Co.</v>
      </c>
      <c r="B14" s="2">
        <f>criteria!J14/criteria!$J$26</f>
        <v>1.4431686036396194E-2</v>
      </c>
      <c r="C14" s="22"/>
      <c r="D14" s="33">
        <f>('Dist_$kwh'!$C14-'Dist_$kwh'!D14)*$B14</f>
        <v>0</v>
      </c>
      <c r="E14" s="33">
        <f>('Dist_$kwh'!$C14-'Dist_$kwh'!E14)*$B14</f>
        <v>9.0355507362940942E-7</v>
      </c>
      <c r="F14" s="33">
        <f>('Dist_$kwh'!$C14-'Dist_$kwh'!F14)*$B14</f>
        <v>9.0355507362940942E-7</v>
      </c>
      <c r="G14" s="33">
        <f>('Dist_$kwh'!$C14-'Dist_$kwh'!G14)*$B14</f>
        <v>9.0355507362940942E-7</v>
      </c>
      <c r="H14" s="33">
        <f>('Dist_$kwh'!$C14-'Dist_$kwh'!H14)*$B14</f>
        <v>9.0355507362940942E-7</v>
      </c>
      <c r="I14" s="33">
        <f>('Dist_$kwh'!$C14-'Dist_$kwh'!I14)*$B14</f>
        <v>4.8206280491681814E-6</v>
      </c>
      <c r="J14" s="33">
        <f>('Dist_$kwh'!$C14-'Dist_$kwh'!J14)*$B14</f>
        <v>4.8206280491681814E-6</v>
      </c>
      <c r="K14" s="33">
        <f>('Dist_$kwh'!$C14-'Dist_$kwh'!K14)*$B14</f>
        <v>4.8206280491681814E-6</v>
      </c>
      <c r="L14" s="33">
        <f>('Dist_$kwh'!$C14-'Dist_$kwh'!L14)*$B14</f>
        <v>4.8206280491681814E-6</v>
      </c>
      <c r="M14" s="33">
        <f>('Dist_$kwh'!$C14-'Dist_$kwh'!M14)*$B14</f>
        <v>4.8206280491681814E-6</v>
      </c>
    </row>
    <row r="15" spans="1:13" x14ac:dyDescent="0.2">
      <c r="A15" t="str">
        <f>raw!A15</f>
        <v>Jersey Central Power &amp; Light Co.</v>
      </c>
      <c r="B15" s="2">
        <f>criteria!J15/criteria!$J$26</f>
        <v>2.9798254934043946E-2</v>
      </c>
      <c r="C15" s="22"/>
      <c r="D15" s="33">
        <f>('Dist_$kwh'!$C15-'Dist_$kwh'!D15)*$B15</f>
        <v>0</v>
      </c>
      <c r="E15" s="33">
        <f>('Dist_$kwh'!$C15-'Dist_$kwh'!E15)*$B15</f>
        <v>4.6169136395122887E-6</v>
      </c>
      <c r="F15" s="33">
        <f>('Dist_$kwh'!$C15-'Dist_$kwh'!F15)*$B15</f>
        <v>4.6169136395122887E-6</v>
      </c>
      <c r="G15" s="33">
        <f>('Dist_$kwh'!$C15-'Dist_$kwh'!G15)*$B15</f>
        <v>4.6169136395122887E-6</v>
      </c>
      <c r="H15" s="33">
        <f>('Dist_$kwh'!$C15-'Dist_$kwh'!H15)*$B15</f>
        <v>4.6169136395122887E-6</v>
      </c>
      <c r="I15" s="33">
        <f>('Dist_$kwh'!$C15-'Dist_$kwh'!I15)*$B15</f>
        <v>2.2882046464708365E-5</v>
      </c>
      <c r="J15" s="33">
        <f>('Dist_$kwh'!$C15-'Dist_$kwh'!J15)*$B15</f>
        <v>2.2882046464708365E-5</v>
      </c>
      <c r="K15" s="33">
        <f>('Dist_$kwh'!$C15-'Dist_$kwh'!K15)*$B15</f>
        <v>2.2882046464708365E-5</v>
      </c>
      <c r="L15" s="33">
        <f>('Dist_$kwh'!$C15-'Dist_$kwh'!L15)*$B15</f>
        <v>2.2882046464708365E-5</v>
      </c>
      <c r="M15" s="33">
        <f>('Dist_$kwh'!$C15-'Dist_$kwh'!M15)*$B15</f>
        <v>2.2882046464708365E-5</v>
      </c>
    </row>
    <row r="16" spans="1:13" x14ac:dyDescent="0.2">
      <c r="A16" t="str">
        <f>raw!A16</f>
        <v>Kentucky Utilities Co.</v>
      </c>
      <c r="B16" s="2">
        <f>criteria!J16/criteria!$J$26</f>
        <v>1.2158078015114359E-2</v>
      </c>
      <c r="C16" s="22"/>
      <c r="D16" s="33">
        <f>('Dist_$kwh'!$C16-'Dist_$kwh'!D16)*$B16</f>
        <v>0</v>
      </c>
      <c r="E16" s="33">
        <f>('Dist_$kwh'!$C16-'Dist_$kwh'!E16)*$B16</f>
        <v>3.9085679383325591E-7</v>
      </c>
      <c r="F16" s="33">
        <f>('Dist_$kwh'!$C16-'Dist_$kwh'!F16)*$B16</f>
        <v>3.9085679383325591E-7</v>
      </c>
      <c r="G16" s="33">
        <f>('Dist_$kwh'!$C16-'Dist_$kwh'!G16)*$B16</f>
        <v>3.9085679383325591E-7</v>
      </c>
      <c r="H16" s="33">
        <f>('Dist_$kwh'!$C16-'Dist_$kwh'!H16)*$B16</f>
        <v>3.9085679383325591E-7</v>
      </c>
      <c r="I16" s="33">
        <f>('Dist_$kwh'!$C16-'Dist_$kwh'!I16)*$B16</f>
        <v>3.1622607149743646E-6</v>
      </c>
      <c r="J16" s="33">
        <f>('Dist_$kwh'!$C16-'Dist_$kwh'!J16)*$B16</f>
        <v>3.1622607149743646E-6</v>
      </c>
      <c r="K16" s="33">
        <f>('Dist_$kwh'!$C16-'Dist_$kwh'!K16)*$B16</f>
        <v>3.1622607149743646E-6</v>
      </c>
      <c r="L16" s="33">
        <f>('Dist_$kwh'!$C16-'Dist_$kwh'!L16)*$B16</f>
        <v>3.1622607149743646E-6</v>
      </c>
      <c r="M16" s="33">
        <f>('Dist_$kwh'!$C16-'Dist_$kwh'!M16)*$B16</f>
        <v>3.1622607149743646E-6</v>
      </c>
    </row>
    <row r="17" spans="1:13" x14ac:dyDescent="0.2">
      <c r="A17" t="str">
        <f>raw!A17</f>
        <v>Ohio Power Co.</v>
      </c>
      <c r="B17" s="2">
        <f>criteria!J17/criteria!$J$26</f>
        <v>5.6880412323402907E-2</v>
      </c>
      <c r="C17" s="22"/>
      <c r="D17" s="33">
        <f>('Dist_$kwh'!$C17-'Dist_$kwh'!D17)*$B17</f>
        <v>0</v>
      </c>
      <c r="E17" s="33">
        <f>('Dist_$kwh'!$C17-'Dist_$kwh'!E17)*$B17</f>
        <v>1.5512845963020586E-6</v>
      </c>
      <c r="F17" s="33">
        <f>('Dist_$kwh'!$C17-'Dist_$kwh'!F17)*$B17</f>
        <v>1.5512845963020586E-6</v>
      </c>
      <c r="G17" s="33">
        <f>('Dist_$kwh'!$C17-'Dist_$kwh'!G17)*$B17</f>
        <v>1.5512845963020586E-6</v>
      </c>
      <c r="H17" s="33">
        <f>('Dist_$kwh'!$C17-'Dist_$kwh'!H17)*$B17</f>
        <v>1.5512845963020586E-6</v>
      </c>
      <c r="I17" s="33">
        <f>('Dist_$kwh'!$C17-'Dist_$kwh'!I17)*$B17</f>
        <v>9.7945423519540911E-6</v>
      </c>
      <c r="J17" s="33">
        <f>('Dist_$kwh'!$C17-'Dist_$kwh'!J17)*$B17</f>
        <v>9.7945423519540911E-6</v>
      </c>
      <c r="K17" s="33">
        <f>('Dist_$kwh'!$C17-'Dist_$kwh'!K17)*$B17</f>
        <v>9.7945423519540911E-6</v>
      </c>
      <c r="L17" s="33">
        <f>('Dist_$kwh'!$C17-'Dist_$kwh'!L17)*$B17</f>
        <v>9.7945423519540911E-6</v>
      </c>
      <c r="M17" s="33">
        <f>('Dist_$kwh'!$C17-'Dist_$kwh'!M17)*$B17</f>
        <v>9.7945423519540911E-6</v>
      </c>
    </row>
    <row r="18" spans="1:13" x14ac:dyDescent="0.2">
      <c r="A18" t="str">
        <f>raw!A18</f>
        <v>PPL Electric Utilities Corp.</v>
      </c>
      <c r="B18" s="2">
        <f>criteria!J18/criteria!$J$26</f>
        <v>7.6148870487336463E-3</v>
      </c>
      <c r="C18" s="22"/>
      <c r="D18" s="33">
        <f>('Dist_$kwh'!$C18-'Dist_$kwh'!D18)*$B18</f>
        <v>0</v>
      </c>
      <c r="E18" s="33">
        <f>('Dist_$kwh'!$C18-'Dist_$kwh'!E18)*$B18</f>
        <v>6.3614762223358394E-7</v>
      </c>
      <c r="F18" s="33">
        <f>('Dist_$kwh'!$C18-'Dist_$kwh'!F18)*$B18</f>
        <v>6.3614762223358394E-7</v>
      </c>
      <c r="G18" s="33">
        <f>('Dist_$kwh'!$C18-'Dist_$kwh'!G18)*$B18</f>
        <v>6.3614762223358394E-7</v>
      </c>
      <c r="H18" s="33">
        <f>('Dist_$kwh'!$C18-'Dist_$kwh'!H18)*$B18</f>
        <v>6.3614762223358394E-7</v>
      </c>
      <c r="I18" s="33">
        <f>('Dist_$kwh'!$C18-'Dist_$kwh'!I18)*$B18</f>
        <v>3.2450063235187166E-6</v>
      </c>
      <c r="J18" s="33">
        <f>('Dist_$kwh'!$C18-'Dist_$kwh'!J18)*$B18</f>
        <v>3.2450063235187166E-6</v>
      </c>
      <c r="K18" s="33">
        <f>('Dist_$kwh'!$C18-'Dist_$kwh'!K18)*$B18</f>
        <v>3.2450063235187166E-6</v>
      </c>
      <c r="L18" s="33">
        <f>('Dist_$kwh'!$C18-'Dist_$kwh'!L18)*$B18</f>
        <v>3.2450063235187166E-6</v>
      </c>
      <c r="M18" s="33">
        <f>('Dist_$kwh'!$C18-'Dist_$kwh'!M18)*$B18</f>
        <v>3.2450063235187166E-6</v>
      </c>
    </row>
    <row r="19" spans="1:13" x14ac:dyDescent="0.2">
      <c r="A19" t="str">
        <f>raw!A19</f>
        <v>Pacific Gas &amp; Electric Co.</v>
      </c>
      <c r="B19" s="2">
        <f>criteria!J19/criteria!$J$26</f>
        <v>0.26603233667486931</v>
      </c>
      <c r="C19" s="22"/>
      <c r="D19" s="33">
        <f>('Dist_$kwh'!$C19-'Dist_$kwh'!D19)*$B19</f>
        <v>6.3607047581945165E-6</v>
      </c>
      <c r="E19" s="33">
        <f>('Dist_$kwh'!$C19-'Dist_$kwh'!E19)*$B19</f>
        <v>6.3607047581945165E-6</v>
      </c>
      <c r="F19" s="33">
        <f>('Dist_$kwh'!$C19-'Dist_$kwh'!F19)*$B19</f>
        <v>6.3607047581945165E-6</v>
      </c>
      <c r="G19" s="33">
        <f>('Dist_$kwh'!$C19-'Dist_$kwh'!G19)*$B19</f>
        <v>6.3607047581945165E-6</v>
      </c>
      <c r="H19" s="33">
        <f>('Dist_$kwh'!$C19-'Dist_$kwh'!H19)*$B19</f>
        <v>1.5644137205883085E-4</v>
      </c>
      <c r="I19" s="33">
        <f>('Dist_$kwh'!$C19-'Dist_$kwh'!I19)*$B19</f>
        <v>1.5644137205883085E-4</v>
      </c>
      <c r="J19" s="33">
        <f>('Dist_$kwh'!$C19-'Dist_$kwh'!J19)*$B19</f>
        <v>1.5644137205883085E-4</v>
      </c>
      <c r="K19" s="33">
        <f>('Dist_$kwh'!$C19-'Dist_$kwh'!K19)*$B19</f>
        <v>1.5644137205883085E-4</v>
      </c>
      <c r="L19" s="33">
        <f>('Dist_$kwh'!$C19-'Dist_$kwh'!L19)*$B19</f>
        <v>1.5644137205883085E-4</v>
      </c>
      <c r="M19" s="33">
        <f>('Dist_$kwh'!$C19-'Dist_$kwh'!M19)*$B19</f>
        <v>1.5644137205883085E-4</v>
      </c>
    </row>
    <row r="20" spans="1:13" x14ac:dyDescent="0.2">
      <c r="A20" t="str">
        <f>raw!A20</f>
        <v>Public Service Electric &amp; Gas Co.</v>
      </c>
      <c r="B20" s="2">
        <f>criteria!J20/criteria!$J$26</f>
        <v>2.1868374998346568E-2</v>
      </c>
      <c r="C20" s="22"/>
      <c r="D20" s="33">
        <f>('Dist_$kwh'!$C20-'Dist_$kwh'!D20)*$B20</f>
        <v>0</v>
      </c>
      <c r="E20" s="33">
        <f>('Dist_$kwh'!$C20-'Dist_$kwh'!E20)*$B20</f>
        <v>2.6718216120498378E-6</v>
      </c>
      <c r="F20" s="33">
        <f>('Dist_$kwh'!$C20-'Dist_$kwh'!F20)*$B20</f>
        <v>2.6718216120498378E-6</v>
      </c>
      <c r="G20" s="33">
        <f>('Dist_$kwh'!$C20-'Dist_$kwh'!G20)*$B20</f>
        <v>2.6718216120498378E-6</v>
      </c>
      <c r="H20" s="33">
        <f>('Dist_$kwh'!$C20-'Dist_$kwh'!H20)*$B20</f>
        <v>2.6718216120498378E-6</v>
      </c>
      <c r="I20" s="33">
        <f>('Dist_$kwh'!$C20-'Dist_$kwh'!I20)*$B20</f>
        <v>1.281249595544397E-5</v>
      </c>
      <c r="J20" s="33">
        <f>('Dist_$kwh'!$C20-'Dist_$kwh'!J20)*$B20</f>
        <v>1.281249595544397E-5</v>
      </c>
      <c r="K20" s="33">
        <f>('Dist_$kwh'!$C20-'Dist_$kwh'!K20)*$B20</f>
        <v>1.281249595544397E-5</v>
      </c>
      <c r="L20" s="33">
        <f>('Dist_$kwh'!$C20-'Dist_$kwh'!L20)*$B20</f>
        <v>1.281249595544397E-5</v>
      </c>
      <c r="M20" s="33">
        <f>('Dist_$kwh'!$C20-'Dist_$kwh'!M20)*$B20</f>
        <v>1.281249595544397E-5</v>
      </c>
    </row>
    <row r="21" spans="1:13" x14ac:dyDescent="0.2">
      <c r="A21" t="str">
        <f>raw!A21</f>
        <v>San Diego Gas &amp; Electric Co.</v>
      </c>
      <c r="B21" s="2">
        <f>criteria!J21/criteria!$J$26</f>
        <v>3.1914435048348344E-2</v>
      </c>
      <c r="C21" s="22"/>
      <c r="D21" s="33">
        <f>('Dist_$kwh'!$C21-'Dist_$kwh'!D21)*$B21</f>
        <v>-2.3255638595477174E-5</v>
      </c>
      <c r="E21" s="33">
        <f>('Dist_$kwh'!$C21-'Dist_$kwh'!E21)*$B21</f>
        <v>-4.5868978601174618E-5</v>
      </c>
      <c r="F21" s="33">
        <f>('Dist_$kwh'!$C21-'Dist_$kwh'!F21)*$B21</f>
        <v>-6.7781305066695396E-5</v>
      </c>
      <c r="G21" s="33">
        <f>('Dist_$kwh'!$C21-'Dist_$kwh'!G21)*$B21</f>
        <v>-8.9522369401683045E-5</v>
      </c>
      <c r="H21" s="33">
        <f>('Dist_$kwh'!$C21-'Dist_$kwh'!H21)*$B21</f>
        <v>-1.1106717656132251E-4</v>
      </c>
      <c r="I21" s="33">
        <f>('Dist_$kwh'!$C21-'Dist_$kwh'!I21)*$B21</f>
        <v>-1.3202500741923471E-4</v>
      </c>
      <c r="J21" s="33">
        <f>('Dist_$kwh'!$C21-'Dist_$kwh'!J21)*$B21</f>
        <v>-1.5272359478334886E-4</v>
      </c>
      <c r="K21" s="33">
        <f>('Dist_$kwh'!$C21-'Dist_$kwh'!K21)*$B21</f>
        <v>-1.7313778107820745E-4</v>
      </c>
      <c r="L21" s="33">
        <f>('Dist_$kwh'!$C21-'Dist_$kwh'!L21)*$B21</f>
        <v>-1.9337045753393571E-4</v>
      </c>
      <c r="M21" s="33">
        <f>('Dist_$kwh'!$C21-'Dist_$kwh'!M21)*$B21</f>
        <v>-2.1340249754997508E-4</v>
      </c>
    </row>
    <row r="22" spans="1:13" x14ac:dyDescent="0.2">
      <c r="A22" t="str">
        <f>raw!A22</f>
        <v>Southern California Edison Co.</v>
      </c>
      <c r="B22" s="2">
        <f>criteria!J22/criteria!$J$26</f>
        <v>9.9143415829012579E-2</v>
      </c>
      <c r="C22" s="22"/>
      <c r="D22" s="33">
        <f>('Dist_$kwh'!$C22-'Dist_$kwh'!D22)*$B22</f>
        <v>0</v>
      </c>
      <c r="E22" s="33">
        <f>('Dist_$kwh'!$C22-'Dist_$kwh'!E22)*$B22</f>
        <v>2.8041741244976042E-5</v>
      </c>
      <c r="F22" s="33">
        <f>('Dist_$kwh'!$C22-'Dist_$kwh'!F22)*$B22</f>
        <v>2.8041741244976042E-5</v>
      </c>
      <c r="G22" s="33">
        <f>('Dist_$kwh'!$C22-'Dist_$kwh'!G22)*$B22</f>
        <v>2.8041741244976042E-5</v>
      </c>
      <c r="H22" s="33">
        <f>('Dist_$kwh'!$C22-'Dist_$kwh'!H22)*$B22</f>
        <v>2.8041741244976042E-5</v>
      </c>
      <c r="I22" s="33">
        <f>('Dist_$kwh'!$C22-'Dist_$kwh'!I22)*$B22</f>
        <v>1.0861992765012255E-4</v>
      </c>
      <c r="J22" s="33">
        <f>('Dist_$kwh'!$C22-'Dist_$kwh'!J22)*$B22</f>
        <v>1.0861992765012255E-4</v>
      </c>
      <c r="K22" s="33">
        <f>('Dist_$kwh'!$C22-'Dist_$kwh'!K22)*$B22</f>
        <v>1.0861992765012255E-4</v>
      </c>
      <c r="L22" s="33">
        <f>('Dist_$kwh'!$C22-'Dist_$kwh'!L22)*$B22</f>
        <v>1.0861992765012255E-4</v>
      </c>
      <c r="M22" s="33">
        <f>('Dist_$kwh'!$C22-'Dist_$kwh'!M22)*$B22</f>
        <v>1.0861992765012255E-4</v>
      </c>
    </row>
    <row r="23" spans="1:13" x14ac:dyDescent="0.2">
      <c r="A23" t="str">
        <f>raw!A23</f>
        <v>Southwestern Public Service Co.</v>
      </c>
      <c r="B23" s="2">
        <f>criteria!J23/criteria!$J$26</f>
        <v>2.6917382673191936E-2</v>
      </c>
      <c r="C23" s="22"/>
      <c r="D23" s="33">
        <f>('Dist_$kwh'!$C23-'Dist_$kwh'!D23)*$B23</f>
        <v>0</v>
      </c>
      <c r="E23" s="33">
        <f>('Dist_$kwh'!$C23-'Dist_$kwh'!E23)*$B23</f>
        <v>1.0285183605367013E-6</v>
      </c>
      <c r="F23" s="33">
        <f>('Dist_$kwh'!$C23-'Dist_$kwh'!F23)*$B23</f>
        <v>1.0285183605367013E-6</v>
      </c>
      <c r="G23" s="33">
        <f>('Dist_$kwh'!$C23-'Dist_$kwh'!G23)*$B23</f>
        <v>1.0285183605367013E-6</v>
      </c>
      <c r="H23" s="33">
        <f>('Dist_$kwh'!$C23-'Dist_$kwh'!H23)*$B23</f>
        <v>1.0285183605367013E-6</v>
      </c>
      <c r="I23" s="33">
        <f>('Dist_$kwh'!$C23-'Dist_$kwh'!I23)*$B23</f>
        <v>5.0775042251074271E-6</v>
      </c>
      <c r="J23" s="33">
        <f>('Dist_$kwh'!$C23-'Dist_$kwh'!J23)*$B23</f>
        <v>5.0775042251074271E-6</v>
      </c>
      <c r="K23" s="33">
        <f>('Dist_$kwh'!$C23-'Dist_$kwh'!K23)*$B23</f>
        <v>5.0775042251074271E-6</v>
      </c>
      <c r="L23" s="33">
        <f>('Dist_$kwh'!$C23-'Dist_$kwh'!L23)*$B23</f>
        <v>5.0775042251074271E-6</v>
      </c>
      <c r="M23" s="33">
        <f>('Dist_$kwh'!$C23-'Dist_$kwh'!M23)*$B23</f>
        <v>5.0775042251074271E-6</v>
      </c>
    </row>
    <row r="24" spans="1:13" x14ac:dyDescent="0.2">
      <c r="A24" t="str">
        <f>raw!A24</f>
        <v>TXU Electric Co.</v>
      </c>
      <c r="B24" s="2">
        <f>criteria!J24/criteria!$J$26</f>
        <v>6.1550512352711896E-2</v>
      </c>
      <c r="C24" s="22"/>
      <c r="D24" s="33">
        <f>('Dist_$kwh'!$C24-'Dist_$kwh'!D24)*$B24</f>
        <v>0</v>
      </c>
      <c r="E24" s="33">
        <f>('Dist_$kwh'!$C24-'Dist_$kwh'!E24)*$B24</f>
        <v>3.0817906514841208E-6</v>
      </c>
      <c r="F24" s="33">
        <f>('Dist_$kwh'!$C24-'Dist_$kwh'!F24)*$B24</f>
        <v>3.0817906514841208E-6</v>
      </c>
      <c r="G24" s="33">
        <f>('Dist_$kwh'!$C24-'Dist_$kwh'!G24)*$B24</f>
        <v>3.0817906514841208E-6</v>
      </c>
      <c r="H24" s="33">
        <f>('Dist_$kwh'!$C24-'Dist_$kwh'!H24)*$B24</f>
        <v>3.0817906514841208E-6</v>
      </c>
      <c r="I24" s="33">
        <f>('Dist_$kwh'!$C24-'Dist_$kwh'!I24)*$B24</f>
        <v>1.7447361643000296E-5</v>
      </c>
      <c r="J24" s="33">
        <f>('Dist_$kwh'!$C24-'Dist_$kwh'!J24)*$B24</f>
        <v>1.7447361643000296E-5</v>
      </c>
      <c r="K24" s="33">
        <f>('Dist_$kwh'!$C24-'Dist_$kwh'!K24)*$B24</f>
        <v>1.7447361643000296E-5</v>
      </c>
      <c r="L24" s="33">
        <f>('Dist_$kwh'!$C24-'Dist_$kwh'!L24)*$B24</f>
        <v>1.7447361643000296E-5</v>
      </c>
      <c r="M24" s="33">
        <f>('Dist_$kwh'!$C24-'Dist_$kwh'!M24)*$B24</f>
        <v>1.7447361643000296E-5</v>
      </c>
    </row>
    <row r="26" spans="1:13" ht="13.5" thickBot="1" x14ac:dyDescent="0.25">
      <c r="A26" s="27" t="s">
        <v>331</v>
      </c>
      <c r="B26" s="27"/>
      <c r="C26" s="27"/>
      <c r="D26" s="28">
        <f t="shared" ref="D26:M26" si="0">SUM(D4:D24)</f>
        <v>-1.689493383728266E-5</v>
      </c>
      <c r="E26" s="28">
        <f t="shared" si="0"/>
        <v>6.6362264096554154E-5</v>
      </c>
      <c r="F26" s="28">
        <f t="shared" si="0"/>
        <v>4.444993763103339E-5</v>
      </c>
      <c r="G26" s="28">
        <f t="shared" si="0"/>
        <v>2.2708873296045738E-5</v>
      </c>
      <c r="H26" s="28">
        <f t="shared" si="0"/>
        <v>1.512447334370426E-4</v>
      </c>
      <c r="I26" s="28">
        <f t="shared" si="0"/>
        <v>4.824985869481332E-4</v>
      </c>
      <c r="J26" s="28">
        <f t="shared" si="0"/>
        <v>4.6179999958401906E-4</v>
      </c>
      <c r="K26" s="28">
        <f t="shared" si="0"/>
        <v>4.4138581328916044E-4</v>
      </c>
      <c r="L26" s="28">
        <f t="shared" si="0"/>
        <v>4.2115313683343218E-4</v>
      </c>
      <c r="M26" s="28">
        <f t="shared" si="0"/>
        <v>4.0112109681739286E-4</v>
      </c>
    </row>
    <row r="27" spans="1:13" ht="13.5" thickTop="1" x14ac:dyDescent="0.2">
      <c r="C27" s="23"/>
    </row>
    <row r="28" spans="1:13" x14ac:dyDescent="0.2">
      <c r="D28" s="23"/>
    </row>
    <row r="29" spans="1:13" x14ac:dyDescent="0.2">
      <c r="A29" s="24" t="s">
        <v>441</v>
      </c>
    </row>
    <row r="30" spans="1:13" x14ac:dyDescent="0.2">
      <c r="A30" t="s">
        <v>555</v>
      </c>
      <c r="C30" s="23"/>
    </row>
    <row r="31" spans="1:13" x14ac:dyDescent="0.2">
      <c r="C31" s="23"/>
      <c r="E31" s="34"/>
    </row>
    <row r="32" spans="1:13" x14ac:dyDescent="0.2">
      <c r="C32" s="23"/>
      <c r="E32" s="15"/>
    </row>
  </sheetData>
  <pageMargins left="0.75" right="0.75" top="1" bottom="1" header="0.5" footer="0.5"/>
  <pageSetup scale="61" orientation="landscape" verticalDpi="0" r:id="rId1"/>
  <headerFooter alignWithMargins="0">
    <oddFooter>Page &amp;P&amp;R&amp;A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3"/>
  <sheetViews>
    <sheetView topLeftCell="B1" workbookViewId="0">
      <selection activeCell="E25" sqref="E25"/>
    </sheetView>
  </sheetViews>
  <sheetFormatPr defaultRowHeight="12.75" x14ac:dyDescent="0.2"/>
  <cols>
    <col min="1" max="1" width="36.140625" bestFit="1" customWidth="1"/>
    <col min="2" max="2" width="5" bestFit="1" customWidth="1"/>
    <col min="3" max="13" width="14.85546875" bestFit="1" customWidth="1"/>
  </cols>
  <sheetData>
    <row r="1" spans="1:13" x14ac:dyDescent="0.2">
      <c r="A1" t="s">
        <v>512</v>
      </c>
    </row>
    <row r="2" spans="1:13" x14ac:dyDescent="0.2">
      <c r="D2">
        <v>5</v>
      </c>
    </row>
    <row r="3" spans="1:13" x14ac:dyDescent="0.2">
      <c r="A3" s="8" t="s">
        <v>177</v>
      </c>
      <c r="B3" s="8">
        <v>1998</v>
      </c>
      <c r="C3" s="8">
        <v>2000</v>
      </c>
      <c r="D3" s="8">
        <v>2001</v>
      </c>
      <c r="E3" s="8">
        <v>2002</v>
      </c>
      <c r="F3" s="8">
        <v>2003</v>
      </c>
      <c r="G3" s="8">
        <v>2004</v>
      </c>
      <c r="H3" s="8">
        <v>2005</v>
      </c>
      <c r="I3" s="8">
        <v>2006</v>
      </c>
      <c r="J3" s="8">
        <v>2007</v>
      </c>
      <c r="K3" s="8">
        <v>2008</v>
      </c>
      <c r="L3" s="8">
        <v>2009</v>
      </c>
      <c r="M3" s="8">
        <v>2010</v>
      </c>
    </row>
    <row r="4" spans="1:13" x14ac:dyDescent="0.2">
      <c r="A4" t="str">
        <f>raw!A4</f>
        <v>Boston Edison Co.</v>
      </c>
      <c r="C4" s="22">
        <f>TransRevR!C4/(Mwh!C4*1000)</f>
        <v>1.0625394977417549E-2</v>
      </c>
      <c r="D4" s="31">
        <f>IF(D$3&lt;VLOOKUP($A4,criteria!$A$4:$I$24,$D$2,FALSE),C4,(IF(AND(criteria!$G4="COS",D$3=criteria!$E4),TransRevR!D4/(Mwh!D4*1000),(IF(AND(criteria!$G4="COS",D$3=criteria!$E4+criteria!$F4),TransRevR!D4/(Mwh!D4*1000),(IF(AND(criteria!$G4="COS",D$3&lt;&gt;criteria!$E4+criteria!$F4),C4,(IF(VLOOKUP($A4,criteria!$A$4:$I$24,7,FALSE)="PBR",(C4*(1+exposure!D$5-exposure!D$7)),(IF(VLOOKUP($A4,criteria!$A$4:$I$24,7,FALSE)="MKT",C4,999)))))))))))</f>
        <v>1.0625394977417549E-2</v>
      </c>
      <c r="E4" s="31">
        <f>IF(E$3&lt;VLOOKUP($A4,criteria!$A$4:$I$24,$D$2,FALSE),D4,(IF(AND(criteria!$G4="COS",E$3=criteria!$E4),TransRevR!E4/(Mwh!E4*1000),(IF(AND(criteria!$G4="COS",E$3=criteria!$E4+criteria!$F4),TransRevR!E4/(Mwh!E4*1000),(IF(AND(criteria!$G4="COS",E$3&lt;&gt;criteria!$E4+criteria!$F4),D4,(IF(VLOOKUP($A4,criteria!$A$4:$I$24,7,FALSE)="PBR",(D4*(1+exposure!E$5-exposure!E$7)),(IF(VLOOKUP($A4,criteria!$A$4:$I$24,7,FALSE)="MKT",D4,999)))))))))))</f>
        <v>1.0481562986782442E-2</v>
      </c>
      <c r="F4" s="31">
        <f>IF(F$3&lt;VLOOKUP($A4,criteria!$A$4:$I$24,$D$2,FALSE),E4,(IF(AND(criteria!$G4="COS",F$3=criteria!$E4),TransRevR!F4/(Mwh!F4*1000),(IF(AND(criteria!$G4="COS",F$3=criteria!$E4+criteria!$F4),TransRevR!F4/(Mwh!F4*1000),(IF(AND(criteria!$G4="COS",F$3&lt;&gt;criteria!$E4+criteria!$F4),E4,(IF(VLOOKUP($A4,criteria!$A$4:$I$24,7,FALSE)="PBR",(E4*(1+exposure!F$5-exposure!F$7)),(IF(VLOOKUP($A4,criteria!$A$4:$I$24,7,FALSE)="MKT",E4,999)))))))))))</f>
        <v>1.0481562986782442E-2</v>
      </c>
      <c r="G4" s="31">
        <f>IF(G$3&lt;VLOOKUP($A4,criteria!$A$4:$I$24,$D$2,FALSE),F4,(IF(AND(criteria!$G4="COS",G$3=criteria!$E4),TransRevR!G4/(Mwh!G4*1000),(IF(AND(criteria!$G4="COS",G$3=criteria!$E4+criteria!$F4),TransRevR!G4/(Mwh!G4*1000),(IF(AND(criteria!$G4="COS",G$3&lt;&gt;criteria!$E4+criteria!$F4),F4,(IF(VLOOKUP($A4,criteria!$A$4:$I$24,7,FALSE)="PBR",(F4*(1+exposure!G$5-exposure!G$7)),(IF(VLOOKUP($A4,criteria!$A$4:$I$24,7,FALSE)="MKT",F4,999)))))))))))</f>
        <v>1.0481562986782442E-2</v>
      </c>
      <c r="H4" s="31">
        <f>IF(H$3&lt;VLOOKUP($A4,criteria!$A$4:$I$24,$D$2,FALSE),G4,(IF(AND(criteria!$G4="COS",H$3=criteria!$E4),TransRevR!H4/(Mwh!H4*1000),(IF(AND(criteria!$G4="COS",H$3=criteria!$E4+criteria!$F4),TransRevR!H4/(Mwh!H4*1000),(IF(AND(criteria!$G4="COS",H$3&lt;&gt;criteria!$E4+criteria!$F4),G4,(IF(VLOOKUP($A4,criteria!$A$4:$I$24,7,FALSE)="PBR",(G4*(1+exposure!H$5-exposure!H$7)),(IF(VLOOKUP($A4,criteria!$A$4:$I$24,7,FALSE)="MKT",G4,999)))))))))))</f>
        <v>1.0481562986782442E-2</v>
      </c>
      <c r="I4" s="31">
        <f>IF(I$3&lt;VLOOKUP($A4,criteria!$A$4:$I$24,$D$2,FALSE),H4,(IF(AND(criteria!$G4="COS",I$3=criteria!$E4),TransRevR!I4/(Mwh!I4*1000),(IF(AND(criteria!$G4="COS",I$3=criteria!$E4+criteria!$F4),TransRevR!I4/(Mwh!I4*1000),(IF(AND(criteria!$G4="COS",I$3&lt;&gt;criteria!$E4+criteria!$F4),H4,(IF(VLOOKUP($A4,criteria!$A$4:$I$24,7,FALSE)="PBR",(H4*(1+exposure!I$5-exposure!I$7)),(IF(VLOOKUP($A4,criteria!$A$4:$I$24,7,FALSE)="MKT",H4,999)))))))))))</f>
        <v>1.0099029391251329E-2</v>
      </c>
      <c r="J4" s="31">
        <f>IF(J$3&lt;VLOOKUP($A4,criteria!$A$4:$I$24,$D$2,FALSE),I4,(IF(AND(criteria!$G4="COS",J$3=criteria!$E4),TransRevR!J4/(Mwh!J4*1000),(IF(AND(criteria!$G4="COS",J$3=criteria!$E4+criteria!$F4),TransRevR!J4/(Mwh!J4*1000),(IF(AND(criteria!$G4="COS",J$3&lt;&gt;criteria!$E4+criteria!$F4),I4,(IF(VLOOKUP($A4,criteria!$A$4:$I$24,7,FALSE)="PBR",(I4*(1+exposure!J$5-exposure!J$7)),(IF(VLOOKUP($A4,criteria!$A$4:$I$24,7,FALSE)="MKT",I4,999)))))))))))</f>
        <v>1.0099029391251329E-2</v>
      </c>
      <c r="K4" s="31">
        <f>IF(K$3&lt;VLOOKUP($A4,criteria!$A$4:$I$24,$D$2,FALSE),J4,(IF(AND(criteria!$G4="COS",K$3=criteria!$E4),TransRevR!K4/(Mwh!K4*1000),(IF(AND(criteria!$G4="COS",K$3=criteria!$E4+criteria!$F4),TransRevR!K4/(Mwh!K4*1000),(IF(AND(criteria!$G4="COS",K$3&lt;&gt;criteria!$E4+criteria!$F4),J4,(IF(VLOOKUP($A4,criteria!$A$4:$I$24,7,FALSE)="PBR",(J4*(1+exposure!K$5-exposure!K$7)),(IF(VLOOKUP($A4,criteria!$A$4:$I$24,7,FALSE)="MKT",J4,999)))))))))))</f>
        <v>1.0099029391251329E-2</v>
      </c>
      <c r="L4" s="31">
        <f>IF(L$3&lt;VLOOKUP($A4,criteria!$A$4:$I$24,$D$2,FALSE),K4,(IF(AND(criteria!$G4="COS",L$3=criteria!$E4),TransRevR!L4/(Mwh!L4*1000),(IF(AND(criteria!$G4="COS",L$3=criteria!$E4+criteria!$F4),TransRevR!L4/(Mwh!L4*1000),(IF(AND(criteria!$G4="COS",L$3&lt;&gt;criteria!$E4+criteria!$F4),K4,(IF(VLOOKUP($A4,criteria!$A$4:$I$24,7,FALSE)="PBR",(K4*(1+exposure!L$5-exposure!L$7)),(IF(VLOOKUP($A4,criteria!$A$4:$I$24,7,FALSE)="MKT",K4,999)))))))))))</f>
        <v>1.0099029391251329E-2</v>
      </c>
      <c r="M4" s="31">
        <f>IF(M$3&lt;VLOOKUP($A4,criteria!$A$4:$I$24,$D$2,FALSE),L4,(IF(AND(criteria!$G4="COS",M$3=criteria!$E4),TransRevR!M4/(Mwh!M4*1000),(IF(AND(criteria!$G4="COS",M$3=criteria!$E4+criteria!$F4),TransRevR!M4/(Mwh!M4*1000),(IF(AND(criteria!$G4="COS",M$3&lt;&gt;criteria!$E4+criteria!$F4),L4,(IF(VLOOKUP($A4,criteria!$A$4:$I$24,7,FALSE)="PBR",(L4*(1+exposure!M$5-exposure!M$7)),(IF(VLOOKUP($A4,criteria!$A$4:$I$24,7,FALSE)="MKT",L4,999)))))))))))</f>
        <v>1.0099029391251329E-2</v>
      </c>
    </row>
    <row r="5" spans="1:13" x14ac:dyDescent="0.2">
      <c r="A5" t="str">
        <f>raw!A5</f>
        <v>Carolina Power &amp; Light Co.</v>
      </c>
      <c r="C5" s="22">
        <f>TransRevR!C5/(Mwh!C5*1000)</f>
        <v>4.3748911261954097E-3</v>
      </c>
      <c r="D5" s="31">
        <f>IF(D$3&lt;VLOOKUP($A5,criteria!$A$4:$I$24,$D$2,FALSE),C5,(IF(AND(criteria!$G5="COS",D$3=criteria!$E5),TransRevR!D5/(Mwh!D5*1000),(IF(AND(criteria!$G5="COS",D$3=criteria!$E5+criteria!$F5),TransRevR!D5/(Mwh!D5*1000),(IF(AND(criteria!$G5="COS",D$3&lt;&gt;criteria!$E5+criteria!$F5),C5,(IF(VLOOKUP($A5,criteria!$A$4:$I$24,7,FALSE)="PBR",(C5*(1+exposure!D$5-exposure!D$7)),(IF(VLOOKUP($A5,criteria!$A$4:$I$24,7,FALSE)="MKT",C5,999)))))))))))</f>
        <v>4.3748911261954097E-3</v>
      </c>
      <c r="E5" s="31">
        <f>IF(E$3&lt;VLOOKUP($A5,criteria!$A$4:$I$24,$D$2,FALSE),D5,(IF(AND(criteria!$G5="COS",E$3=criteria!$E5),TransRevR!E5/(Mwh!E5*1000),(IF(AND(criteria!$G5="COS",E$3=criteria!$E5+criteria!$F5),TransRevR!E5/(Mwh!E5*1000),(IF(AND(criteria!$G5="COS",E$3&lt;&gt;criteria!$E5+criteria!$F5),D5,(IF(VLOOKUP($A5,criteria!$A$4:$I$24,7,FALSE)="PBR",(D5*(1+exposure!E$5-exposure!E$7)),(IF(VLOOKUP($A5,criteria!$A$4:$I$24,7,FALSE)="MKT",D5,999)))))))))))</f>
        <v>4.272674031689125E-3</v>
      </c>
      <c r="F5" s="31">
        <f>IF(F$3&lt;VLOOKUP($A5,criteria!$A$4:$I$24,$D$2,FALSE),E5,(IF(AND(criteria!$G5="COS",F$3=criteria!$E5),TransRevR!F5/(Mwh!F5*1000),(IF(AND(criteria!$G5="COS",F$3=criteria!$E5+criteria!$F5),TransRevR!F5/(Mwh!F5*1000),(IF(AND(criteria!$G5="COS",F$3&lt;&gt;criteria!$E5+criteria!$F5),E5,(IF(VLOOKUP($A5,criteria!$A$4:$I$24,7,FALSE)="PBR",(E5*(1+exposure!F$5-exposure!F$7)),(IF(VLOOKUP($A5,criteria!$A$4:$I$24,7,FALSE)="MKT",E5,999)))))))))))</f>
        <v>4.272674031689125E-3</v>
      </c>
      <c r="G5" s="31">
        <f>IF(G$3&lt;VLOOKUP($A5,criteria!$A$4:$I$24,$D$2,FALSE),F5,(IF(AND(criteria!$G5="COS",G$3=criteria!$E5),TransRevR!G5/(Mwh!G5*1000),(IF(AND(criteria!$G5="COS",G$3=criteria!$E5+criteria!$F5),TransRevR!G5/(Mwh!G5*1000),(IF(AND(criteria!$G5="COS",G$3&lt;&gt;criteria!$E5+criteria!$F5),F5,(IF(VLOOKUP($A5,criteria!$A$4:$I$24,7,FALSE)="PBR",(F5*(1+exposure!G$5-exposure!G$7)),(IF(VLOOKUP($A5,criteria!$A$4:$I$24,7,FALSE)="MKT",F5,999)))))))))))</f>
        <v>4.272674031689125E-3</v>
      </c>
      <c r="H5" s="31">
        <f>IF(H$3&lt;VLOOKUP($A5,criteria!$A$4:$I$24,$D$2,FALSE),G5,(IF(AND(criteria!$G5="COS",H$3=criteria!$E5),TransRevR!H5/(Mwh!H5*1000),(IF(AND(criteria!$G5="COS",H$3=criteria!$E5+criteria!$F5),TransRevR!H5/(Mwh!H5*1000),(IF(AND(criteria!$G5="COS",H$3&lt;&gt;criteria!$E5+criteria!$F5),G5,(IF(VLOOKUP($A5,criteria!$A$4:$I$24,7,FALSE)="PBR",(G5*(1+exposure!H$5-exposure!H$7)),(IF(VLOOKUP($A5,criteria!$A$4:$I$24,7,FALSE)="MKT",G5,999)))))))))))</f>
        <v>4.272674031689125E-3</v>
      </c>
      <c r="I5" s="31">
        <f>IF(I$3&lt;VLOOKUP($A5,criteria!$A$4:$I$24,$D$2,FALSE),H5,(IF(AND(criteria!$G5="COS",I$3=criteria!$E5),TransRevR!I5/(Mwh!I5*1000),(IF(AND(criteria!$G5="COS",I$3=criteria!$E5+criteria!$F5),TransRevR!I5/(Mwh!I5*1000),(IF(AND(criteria!$G5="COS",I$3&lt;&gt;criteria!$E5+criteria!$F5),H5,(IF(VLOOKUP($A5,criteria!$A$4:$I$24,7,FALSE)="PBR",(H5*(1+exposure!I$5-exposure!I$7)),(IF(VLOOKUP($A5,criteria!$A$4:$I$24,7,FALSE)="MKT",H5,999)))))))))))</f>
        <v>4.0586019433119505E-3</v>
      </c>
      <c r="J5" s="31">
        <f>IF(J$3&lt;VLOOKUP($A5,criteria!$A$4:$I$24,$D$2,FALSE),I5,(IF(AND(criteria!$G5="COS",J$3=criteria!$E5),TransRevR!J5/(Mwh!J5*1000),(IF(AND(criteria!$G5="COS",J$3=criteria!$E5+criteria!$F5),TransRevR!J5/(Mwh!J5*1000),(IF(AND(criteria!$G5="COS",J$3&lt;&gt;criteria!$E5+criteria!$F5),I5,(IF(VLOOKUP($A5,criteria!$A$4:$I$24,7,FALSE)="PBR",(I5*(1+exposure!J$5-exposure!J$7)),(IF(VLOOKUP($A5,criteria!$A$4:$I$24,7,FALSE)="MKT",I5,999)))))))))))</f>
        <v>4.0586019433119505E-3</v>
      </c>
      <c r="K5" s="31">
        <f>IF(K$3&lt;VLOOKUP($A5,criteria!$A$4:$I$24,$D$2,FALSE),J5,(IF(AND(criteria!$G5="COS",K$3=criteria!$E5),TransRevR!K5/(Mwh!K5*1000),(IF(AND(criteria!$G5="COS",K$3=criteria!$E5+criteria!$F5),TransRevR!K5/(Mwh!K5*1000),(IF(AND(criteria!$G5="COS",K$3&lt;&gt;criteria!$E5+criteria!$F5),J5,(IF(VLOOKUP($A5,criteria!$A$4:$I$24,7,FALSE)="PBR",(J5*(1+exposure!K$5-exposure!K$7)),(IF(VLOOKUP($A5,criteria!$A$4:$I$24,7,FALSE)="MKT",J5,999)))))))))))</f>
        <v>4.0586019433119505E-3</v>
      </c>
      <c r="L5" s="31">
        <f>IF(L$3&lt;VLOOKUP($A5,criteria!$A$4:$I$24,$D$2,FALSE),K5,(IF(AND(criteria!$G5="COS",L$3=criteria!$E5),TransRevR!L5/(Mwh!L5*1000),(IF(AND(criteria!$G5="COS",L$3=criteria!$E5+criteria!$F5),TransRevR!L5/(Mwh!L5*1000),(IF(AND(criteria!$G5="COS",L$3&lt;&gt;criteria!$E5+criteria!$F5),K5,(IF(VLOOKUP($A5,criteria!$A$4:$I$24,7,FALSE)="PBR",(K5*(1+exposure!L$5-exposure!L$7)),(IF(VLOOKUP($A5,criteria!$A$4:$I$24,7,FALSE)="MKT",K5,999)))))))))))</f>
        <v>4.0586019433119505E-3</v>
      </c>
      <c r="M5" s="31">
        <f>IF(M$3&lt;VLOOKUP($A5,criteria!$A$4:$I$24,$D$2,FALSE),L5,(IF(AND(criteria!$G5="COS",M$3=criteria!$E5),TransRevR!M5/(Mwh!M5*1000),(IF(AND(criteria!$G5="COS",M$3=criteria!$E5+criteria!$F5),TransRevR!M5/(Mwh!M5*1000),(IF(AND(criteria!$G5="COS",M$3&lt;&gt;criteria!$E5+criteria!$F5),L5,(IF(VLOOKUP($A5,criteria!$A$4:$I$24,7,FALSE)="PBR",(L5*(1+exposure!M$5-exposure!M$7)),(IF(VLOOKUP($A5,criteria!$A$4:$I$24,7,FALSE)="MKT",L5,999)))))))))))</f>
        <v>4.0586019433119505E-3</v>
      </c>
    </row>
    <row r="6" spans="1:13" x14ac:dyDescent="0.2">
      <c r="A6" t="str">
        <f>raw!A6</f>
        <v>Central Hudson Gas &amp; Electric Corp.</v>
      </c>
      <c r="C6" s="22">
        <f>TransRevR!C6/(Mwh!C6*1000)</f>
        <v>9.2652084880606757E-3</v>
      </c>
      <c r="D6" s="31">
        <f>IF(D$3&lt;VLOOKUP($A6,criteria!$A$4:$I$24,$D$2,FALSE),C6,(IF(AND(criteria!$G6="COS",D$3=criteria!$E6),TransRevR!D6/(Mwh!D6*1000),(IF(AND(criteria!$G6="COS",D$3=criteria!$E6+criteria!$F6),TransRevR!D6/(Mwh!D6*1000),(IF(AND(criteria!$G6="COS",D$3&lt;&gt;criteria!$E6+criteria!$F6),C6,(IF(VLOOKUP($A6,criteria!$A$4:$I$24,7,FALSE)="PBR",(C6*(1+exposure!D$5-exposure!D$7)),(IF(VLOOKUP($A6,criteria!$A$4:$I$24,7,FALSE)="MKT",C6,999)))))))))))</f>
        <v>9.2652084880606757E-3</v>
      </c>
      <c r="E6" s="31">
        <f>IF(E$3&lt;VLOOKUP($A6,criteria!$A$4:$I$24,$D$2,FALSE),D6,(IF(AND(criteria!$G6="COS",E$3=criteria!$E6),TransRevR!E6/(Mwh!E6*1000),(IF(AND(criteria!$G6="COS",E$3=criteria!$E6+criteria!$F6),TransRevR!E6/(Mwh!E6*1000),(IF(AND(criteria!$G6="COS",E$3&lt;&gt;criteria!$E6+criteria!$F6),D6,(IF(VLOOKUP($A6,criteria!$A$4:$I$24,7,FALSE)="PBR",(D6*(1+exposure!E$5-exposure!E$7)),(IF(VLOOKUP($A6,criteria!$A$4:$I$24,7,FALSE)="MKT",D6,999)))))))))))</f>
        <v>9.1619871804802817E-3</v>
      </c>
      <c r="F6" s="31">
        <f>IF(F$3&lt;VLOOKUP($A6,criteria!$A$4:$I$24,$D$2,FALSE),E6,(IF(AND(criteria!$G6="COS",F$3=criteria!$E6),TransRevR!F6/(Mwh!F6*1000),(IF(AND(criteria!$G6="COS",F$3=criteria!$E6+criteria!$F6),TransRevR!F6/(Mwh!F6*1000),(IF(AND(criteria!$G6="COS",F$3&lt;&gt;criteria!$E6+criteria!$F6),E6,(IF(VLOOKUP($A6,criteria!$A$4:$I$24,7,FALSE)="PBR",(E6*(1+exposure!F$5-exposure!F$7)),(IF(VLOOKUP($A6,criteria!$A$4:$I$24,7,FALSE)="MKT",E6,999)))))))))))</f>
        <v>9.1619871804802817E-3</v>
      </c>
      <c r="G6" s="31">
        <f>IF(G$3&lt;VLOOKUP($A6,criteria!$A$4:$I$24,$D$2,FALSE),F6,(IF(AND(criteria!$G6="COS",G$3=criteria!$E6),TransRevR!G6/(Mwh!G6*1000),(IF(AND(criteria!$G6="COS",G$3=criteria!$E6+criteria!$F6),TransRevR!G6/(Mwh!G6*1000),(IF(AND(criteria!$G6="COS",G$3&lt;&gt;criteria!$E6+criteria!$F6),F6,(IF(VLOOKUP($A6,criteria!$A$4:$I$24,7,FALSE)="PBR",(F6*(1+exposure!G$5-exposure!G$7)),(IF(VLOOKUP($A6,criteria!$A$4:$I$24,7,FALSE)="MKT",F6,999)))))))))))</f>
        <v>9.1619871804802817E-3</v>
      </c>
      <c r="H6" s="31">
        <f>IF(H$3&lt;VLOOKUP($A6,criteria!$A$4:$I$24,$D$2,FALSE),G6,(IF(AND(criteria!$G6="COS",H$3=criteria!$E6),TransRevR!H6/(Mwh!H6*1000),(IF(AND(criteria!$G6="COS",H$3=criteria!$E6+criteria!$F6),TransRevR!H6/(Mwh!H6*1000),(IF(AND(criteria!$G6="COS",H$3&lt;&gt;criteria!$E6+criteria!$F6),G6,(IF(VLOOKUP($A6,criteria!$A$4:$I$24,7,FALSE)="PBR",(G6*(1+exposure!H$5-exposure!H$7)),(IF(VLOOKUP($A6,criteria!$A$4:$I$24,7,FALSE)="MKT",G6,999)))))))))))</f>
        <v>9.1619871804802817E-3</v>
      </c>
      <c r="I6" s="31">
        <f>IF(I$3&lt;VLOOKUP($A6,criteria!$A$4:$I$24,$D$2,FALSE),H6,(IF(AND(criteria!$G6="COS",I$3=criteria!$E6),TransRevR!I6/(Mwh!I6*1000),(IF(AND(criteria!$G6="COS",I$3=criteria!$E6+criteria!$F6),TransRevR!I6/(Mwh!I6*1000),(IF(AND(criteria!$G6="COS",I$3&lt;&gt;criteria!$E6+criteria!$F6),H6,(IF(VLOOKUP($A6,criteria!$A$4:$I$24,7,FALSE)="PBR",(H6*(1+exposure!I$5-exposure!I$7)),(IF(VLOOKUP($A6,criteria!$A$4:$I$24,7,FALSE)="MKT",H6,999)))))))))))</f>
        <v>8.868432084457022E-3</v>
      </c>
      <c r="J6" s="31">
        <f>IF(J$3&lt;VLOOKUP($A6,criteria!$A$4:$I$24,$D$2,FALSE),I6,(IF(AND(criteria!$G6="COS",J$3=criteria!$E6),TransRevR!J6/(Mwh!J6*1000),(IF(AND(criteria!$G6="COS",J$3=criteria!$E6+criteria!$F6),TransRevR!J6/(Mwh!J6*1000),(IF(AND(criteria!$G6="COS",J$3&lt;&gt;criteria!$E6+criteria!$F6),I6,(IF(VLOOKUP($A6,criteria!$A$4:$I$24,7,FALSE)="PBR",(I6*(1+exposure!J$5-exposure!J$7)),(IF(VLOOKUP($A6,criteria!$A$4:$I$24,7,FALSE)="MKT",I6,999)))))))))))</f>
        <v>8.868432084457022E-3</v>
      </c>
      <c r="K6" s="31">
        <f>IF(K$3&lt;VLOOKUP($A6,criteria!$A$4:$I$24,$D$2,FALSE),J6,(IF(AND(criteria!$G6="COS",K$3=criteria!$E6),TransRevR!K6/(Mwh!K6*1000),(IF(AND(criteria!$G6="COS",K$3=criteria!$E6+criteria!$F6),TransRevR!K6/(Mwh!K6*1000),(IF(AND(criteria!$G6="COS",K$3&lt;&gt;criteria!$E6+criteria!$F6),J6,(IF(VLOOKUP($A6,criteria!$A$4:$I$24,7,FALSE)="PBR",(J6*(1+exposure!K$5-exposure!K$7)),(IF(VLOOKUP($A6,criteria!$A$4:$I$24,7,FALSE)="MKT",J6,999)))))))))))</f>
        <v>8.868432084457022E-3</v>
      </c>
      <c r="L6" s="31">
        <f>IF(L$3&lt;VLOOKUP($A6,criteria!$A$4:$I$24,$D$2,FALSE),K6,(IF(AND(criteria!$G6="COS",L$3=criteria!$E6),TransRevR!L6/(Mwh!L6*1000),(IF(AND(criteria!$G6="COS",L$3=criteria!$E6+criteria!$F6),TransRevR!L6/(Mwh!L6*1000),(IF(AND(criteria!$G6="COS",L$3&lt;&gt;criteria!$E6+criteria!$F6),K6,(IF(VLOOKUP($A6,criteria!$A$4:$I$24,7,FALSE)="PBR",(K6*(1+exposure!L$5-exposure!L$7)),(IF(VLOOKUP($A6,criteria!$A$4:$I$24,7,FALSE)="MKT",K6,999)))))))))))</f>
        <v>8.868432084457022E-3</v>
      </c>
      <c r="M6" s="31">
        <f>IF(M$3&lt;VLOOKUP($A6,criteria!$A$4:$I$24,$D$2,FALSE),L6,(IF(AND(criteria!$G6="COS",M$3=criteria!$E6),TransRevR!M6/(Mwh!M6*1000),(IF(AND(criteria!$G6="COS",M$3=criteria!$E6+criteria!$F6),TransRevR!M6/(Mwh!M6*1000),(IF(AND(criteria!$G6="COS",M$3&lt;&gt;criteria!$E6+criteria!$F6),L6,(IF(VLOOKUP($A6,criteria!$A$4:$I$24,7,FALSE)="PBR",(L6*(1+exposure!M$5-exposure!M$7)),(IF(VLOOKUP($A6,criteria!$A$4:$I$24,7,FALSE)="MKT",L6,999)))))))))))</f>
        <v>8.868432084457022E-3</v>
      </c>
    </row>
    <row r="7" spans="1:13" x14ac:dyDescent="0.2">
      <c r="A7" t="str">
        <f>raw!A7</f>
        <v>Commonwealth Edison Co.</v>
      </c>
      <c r="C7" s="22">
        <f>TransRevR!C7/(Mwh!C7*1000)</f>
        <v>5.0885561915116695E-3</v>
      </c>
      <c r="D7" s="31">
        <f>IF(D$3&lt;VLOOKUP($A7,criteria!$A$4:$I$24,$D$2,FALSE),C7,(IF(AND(criteria!$G7="COS",D$3=criteria!$E7),TransRevR!D7/(Mwh!D7*1000),(IF(AND(criteria!$G7="COS",D$3=criteria!$E7+criteria!$F7),TransRevR!D7/(Mwh!D7*1000),(IF(AND(criteria!$G7="COS",D$3&lt;&gt;criteria!$E7+criteria!$F7),C7,(IF(VLOOKUP($A7,criteria!$A$4:$I$24,7,FALSE)="PBR",(C7*(1+exposure!D$5-exposure!D$7)),(IF(VLOOKUP($A7,criteria!$A$4:$I$24,7,FALSE)="MKT",C7,999)))))))))))</f>
        <v>5.0885561915116695E-3</v>
      </c>
      <c r="E7" s="31">
        <f>IF(E$3&lt;VLOOKUP($A7,criteria!$A$4:$I$24,$D$2,FALSE),D7,(IF(AND(criteria!$G7="COS",E$3=criteria!$E7),TransRevR!E7/(Mwh!E7*1000),(IF(AND(criteria!$G7="COS",E$3=criteria!$E7+criteria!$F7),TransRevR!E7/(Mwh!E7*1000),(IF(AND(criteria!$G7="COS",E$3&lt;&gt;criteria!$E7+criteria!$F7),D7,(IF(VLOOKUP($A7,criteria!$A$4:$I$24,7,FALSE)="PBR",(D7*(1+exposure!E$5-exposure!E$7)),(IF(VLOOKUP($A7,criteria!$A$4:$I$24,7,FALSE)="MKT",D7,999)))))))))))</f>
        <v>5.0885561915116695E-3</v>
      </c>
      <c r="F7" s="31">
        <f>IF(F$3&lt;VLOOKUP($A7,criteria!$A$4:$I$24,$D$2,FALSE),E7,(IF(AND(criteria!$G7="COS",F$3=criteria!$E7),TransRevR!F7/(Mwh!F7*1000),(IF(AND(criteria!$G7="COS",F$3=criteria!$E7+criteria!$F7),TransRevR!F7/(Mwh!F7*1000),(IF(AND(criteria!$G7="COS",F$3&lt;&gt;criteria!$E7+criteria!$F7),E7,(IF(VLOOKUP($A7,criteria!$A$4:$I$24,7,FALSE)="PBR",(E7*(1+exposure!F$5-exposure!F$7)),(IF(VLOOKUP($A7,criteria!$A$4:$I$24,7,FALSE)="MKT",E7,999)))))))))))</f>
        <v>5.0885561915116695E-3</v>
      </c>
      <c r="G7" s="31">
        <f>IF(G$3&lt;VLOOKUP($A7,criteria!$A$4:$I$24,$D$2,FALSE),F7,(IF(AND(criteria!$G7="COS",G$3=criteria!$E7),TransRevR!G7/(Mwh!G7*1000),(IF(AND(criteria!$G7="COS",G$3=criteria!$E7+criteria!$F7),TransRevR!G7/(Mwh!G7*1000),(IF(AND(criteria!$G7="COS",G$3&lt;&gt;criteria!$E7+criteria!$F7),F7,(IF(VLOOKUP($A7,criteria!$A$4:$I$24,7,FALSE)="PBR",(F7*(1+exposure!G$5-exposure!G$7)),(IF(VLOOKUP($A7,criteria!$A$4:$I$24,7,FALSE)="MKT",F7,999)))))))))))</f>
        <v>5.0885561915116695E-3</v>
      </c>
      <c r="H7" s="31">
        <f>IF(H$3&lt;VLOOKUP($A7,criteria!$A$4:$I$24,$D$2,FALSE),G7,(IF(AND(criteria!$G7="COS",H$3=criteria!$E7),TransRevR!H7/(Mwh!H7*1000),(IF(AND(criteria!$G7="COS",H$3=criteria!$E7+criteria!$F7),TransRevR!H7/(Mwh!H7*1000),(IF(AND(criteria!$G7="COS",H$3&lt;&gt;criteria!$E7+criteria!$F7),G7,(IF(VLOOKUP($A7,criteria!$A$4:$I$24,7,FALSE)="PBR",(G7*(1+exposure!H$5-exposure!H$7)),(IF(VLOOKUP($A7,criteria!$A$4:$I$24,7,FALSE)="MKT",G7,999)))))))))))</f>
        <v>5.0885561915116695E-3</v>
      </c>
      <c r="I7" s="31">
        <f>IF(I$3&lt;VLOOKUP($A7,criteria!$A$4:$I$24,$D$2,FALSE),H7,(IF(AND(criteria!$G7="COS",I$3=criteria!$E7),TransRevR!I7/(Mwh!I7*1000),(IF(AND(criteria!$G7="COS",I$3=criteria!$E7+criteria!$F7),TransRevR!I7/(Mwh!I7*1000),(IF(AND(criteria!$G7="COS",I$3&lt;&gt;criteria!$E7+criteria!$F7),H7,(IF(VLOOKUP($A7,criteria!$A$4:$I$24,7,FALSE)="PBR",(H7*(1+exposure!I$5-exposure!I$7)),(IF(VLOOKUP($A7,criteria!$A$4:$I$24,7,FALSE)="MKT",H7,999)))))))))))</f>
        <v>5.0885561915116695E-3</v>
      </c>
      <c r="J7" s="31">
        <f>IF(J$3&lt;VLOOKUP($A7,criteria!$A$4:$I$24,$D$2,FALSE),I7,(IF(AND(criteria!$G7="COS",J$3=criteria!$E7),TransRevR!J7/(Mwh!J7*1000),(IF(AND(criteria!$G7="COS",J$3=criteria!$E7+criteria!$F7),TransRevR!J7/(Mwh!J7*1000),(IF(AND(criteria!$G7="COS",J$3&lt;&gt;criteria!$E7+criteria!$F7),I7,(IF(VLOOKUP($A7,criteria!$A$4:$I$24,7,FALSE)="PBR",(I7*(1+exposure!J$5-exposure!J$7)),(IF(VLOOKUP($A7,criteria!$A$4:$I$24,7,FALSE)="MKT",I7,999)))))))))))</f>
        <v>5.0885561915116695E-3</v>
      </c>
      <c r="K7" s="31">
        <f>IF(K$3&lt;VLOOKUP($A7,criteria!$A$4:$I$24,$D$2,FALSE),J7,(IF(AND(criteria!$G7="COS",K$3=criteria!$E7),TransRevR!K7/(Mwh!K7*1000),(IF(AND(criteria!$G7="COS",K$3=criteria!$E7+criteria!$F7),TransRevR!K7/(Mwh!K7*1000),(IF(AND(criteria!$G7="COS",K$3&lt;&gt;criteria!$E7+criteria!$F7),J7,(IF(VLOOKUP($A7,criteria!$A$4:$I$24,7,FALSE)="PBR",(J7*(1+exposure!K$5-exposure!K$7)),(IF(VLOOKUP($A7,criteria!$A$4:$I$24,7,FALSE)="MKT",J7,999)))))))))))</f>
        <v>5.0885561915116695E-3</v>
      </c>
      <c r="L7" s="31">
        <f>IF(L$3&lt;VLOOKUP($A7,criteria!$A$4:$I$24,$D$2,FALSE),K7,(IF(AND(criteria!$G7="COS",L$3=criteria!$E7),TransRevR!L7/(Mwh!L7*1000),(IF(AND(criteria!$G7="COS",L$3=criteria!$E7+criteria!$F7),TransRevR!L7/(Mwh!L7*1000),(IF(AND(criteria!$G7="COS",L$3&lt;&gt;criteria!$E7+criteria!$F7),K7,(IF(VLOOKUP($A7,criteria!$A$4:$I$24,7,FALSE)="PBR",(K7*(1+exposure!L$5-exposure!L$7)),(IF(VLOOKUP($A7,criteria!$A$4:$I$24,7,FALSE)="MKT",K7,999)))))))))))</f>
        <v>5.0885561915116695E-3</v>
      </c>
      <c r="M7" s="31">
        <f>IF(M$3&lt;VLOOKUP($A7,criteria!$A$4:$I$24,$D$2,FALSE),L7,(IF(AND(criteria!$G7="COS",M$3=criteria!$E7),TransRevR!M7/(Mwh!M7*1000),(IF(AND(criteria!$G7="COS",M$3=criteria!$E7+criteria!$F7),TransRevR!M7/(Mwh!M7*1000),(IF(AND(criteria!$G7="COS",M$3&lt;&gt;criteria!$E7+criteria!$F7),L7,(IF(VLOOKUP($A7,criteria!$A$4:$I$24,7,FALSE)="PBR",(L7*(1+exposure!M$5-exposure!M$7)),(IF(VLOOKUP($A7,criteria!$A$4:$I$24,7,FALSE)="MKT",L7,999)))))))))))</f>
        <v>5.0885561915116695E-3</v>
      </c>
    </row>
    <row r="8" spans="1:13" x14ac:dyDescent="0.2">
      <c r="A8" t="str">
        <f>raw!A8</f>
        <v>Consolidated Edison Co. of New York, Inc.</v>
      </c>
      <c r="C8" s="22">
        <f>TransRevR!C8/(Mwh!C8*1000)</f>
        <v>1.6817208874032843E-2</v>
      </c>
      <c r="D8" s="31">
        <f>IF(D$3&lt;VLOOKUP($A8,criteria!$A$4:$I$24,$D$2,FALSE),C8,(IF(AND(criteria!$G8="COS",D$3=criteria!$E8),TransRevR!D8/(Mwh!D8*1000),(IF(AND(criteria!$G8="COS",D$3=criteria!$E8+criteria!$F8),TransRevR!D8/(Mwh!D8*1000),(IF(AND(criteria!$G8="COS",D$3&lt;&gt;criteria!$E8+criteria!$F8),C8,(IF(VLOOKUP($A8,criteria!$A$4:$I$24,7,FALSE)="PBR",(C8*(1+exposure!D$5-exposure!D$7)),(IF(VLOOKUP($A8,criteria!$A$4:$I$24,7,FALSE)="MKT",C8,999)))))))))))</f>
        <v>1.6817208874032843E-2</v>
      </c>
      <c r="E8" s="31">
        <f>IF(E$3&lt;VLOOKUP($A8,criteria!$A$4:$I$24,$D$2,FALSE),D8,(IF(AND(criteria!$G8="COS",E$3=criteria!$E8),TransRevR!E8/(Mwh!E8*1000),(IF(AND(criteria!$G8="COS",E$3=criteria!$E8+criteria!$F8),TransRevR!E8/(Mwh!E8*1000),(IF(AND(criteria!$G8="COS",E$3&lt;&gt;criteria!$E8+criteria!$F8),D8,(IF(VLOOKUP($A8,criteria!$A$4:$I$24,7,FALSE)="PBR",(D8*(1+exposure!E$5-exposure!E$7)),(IF(VLOOKUP($A8,criteria!$A$4:$I$24,7,FALSE)="MKT",D8,999)))))))))))</f>
        <v>1.6524102071095958E-2</v>
      </c>
      <c r="F8" s="31">
        <f>IF(F$3&lt;VLOOKUP($A8,criteria!$A$4:$I$24,$D$2,FALSE),E8,(IF(AND(criteria!$G8="COS",F$3=criteria!$E8),TransRevR!F8/(Mwh!F8*1000),(IF(AND(criteria!$G8="COS",F$3=criteria!$E8+criteria!$F8),TransRevR!F8/(Mwh!F8*1000),(IF(AND(criteria!$G8="COS",F$3&lt;&gt;criteria!$E8+criteria!$F8),E8,(IF(VLOOKUP($A8,criteria!$A$4:$I$24,7,FALSE)="PBR",(E8*(1+exposure!F$5-exposure!F$7)),(IF(VLOOKUP($A8,criteria!$A$4:$I$24,7,FALSE)="MKT",E8,999)))))))))))</f>
        <v>1.6524102071095958E-2</v>
      </c>
      <c r="G8" s="31">
        <f>IF(G$3&lt;VLOOKUP($A8,criteria!$A$4:$I$24,$D$2,FALSE),F8,(IF(AND(criteria!$G8="COS",G$3=criteria!$E8),TransRevR!G8/(Mwh!G8*1000),(IF(AND(criteria!$G8="COS",G$3=criteria!$E8+criteria!$F8),TransRevR!G8/(Mwh!G8*1000),(IF(AND(criteria!$G8="COS",G$3&lt;&gt;criteria!$E8+criteria!$F8),F8,(IF(VLOOKUP($A8,criteria!$A$4:$I$24,7,FALSE)="PBR",(F8*(1+exposure!G$5-exposure!G$7)),(IF(VLOOKUP($A8,criteria!$A$4:$I$24,7,FALSE)="MKT",F8,999)))))))))))</f>
        <v>1.6524102071095958E-2</v>
      </c>
      <c r="H8" s="31">
        <f>IF(H$3&lt;VLOOKUP($A8,criteria!$A$4:$I$24,$D$2,FALSE),G8,(IF(AND(criteria!$G8="COS",H$3=criteria!$E8),TransRevR!H8/(Mwh!H8*1000),(IF(AND(criteria!$G8="COS",H$3=criteria!$E8+criteria!$F8),TransRevR!H8/(Mwh!H8*1000),(IF(AND(criteria!$G8="COS",H$3&lt;&gt;criteria!$E8+criteria!$F8),G8,(IF(VLOOKUP($A8,criteria!$A$4:$I$24,7,FALSE)="PBR",(G8*(1+exposure!H$5-exposure!H$7)),(IF(VLOOKUP($A8,criteria!$A$4:$I$24,7,FALSE)="MKT",G8,999)))))))))))</f>
        <v>1.6524102071095958E-2</v>
      </c>
      <c r="I8" s="31">
        <f>IF(I$3&lt;VLOOKUP($A8,criteria!$A$4:$I$24,$D$2,FALSE),H8,(IF(AND(criteria!$G8="COS",I$3=criteria!$E8),TransRevR!I8/(Mwh!I8*1000),(IF(AND(criteria!$G8="COS",I$3=criteria!$E8+criteria!$F8),TransRevR!I8/(Mwh!I8*1000),(IF(AND(criteria!$G8="COS",I$3&lt;&gt;criteria!$E8+criteria!$F8),H8,(IF(VLOOKUP($A8,criteria!$A$4:$I$24,7,FALSE)="PBR",(H8*(1+exposure!I$5-exposure!I$7)),(IF(VLOOKUP($A8,criteria!$A$4:$I$24,7,FALSE)="MKT",H8,999)))))))))))</f>
        <v>1.5804249468668055E-2</v>
      </c>
      <c r="J8" s="31">
        <f>IF(J$3&lt;VLOOKUP($A8,criteria!$A$4:$I$24,$D$2,FALSE),I8,(IF(AND(criteria!$G8="COS",J$3=criteria!$E8),TransRevR!J8/(Mwh!J8*1000),(IF(AND(criteria!$G8="COS",J$3=criteria!$E8+criteria!$F8),TransRevR!J8/(Mwh!J8*1000),(IF(AND(criteria!$G8="COS",J$3&lt;&gt;criteria!$E8+criteria!$F8),I8,(IF(VLOOKUP($A8,criteria!$A$4:$I$24,7,FALSE)="PBR",(I8*(1+exposure!J$5-exposure!J$7)),(IF(VLOOKUP($A8,criteria!$A$4:$I$24,7,FALSE)="MKT",I8,999)))))))))))</f>
        <v>1.5804249468668055E-2</v>
      </c>
      <c r="K8" s="31">
        <f>IF(K$3&lt;VLOOKUP($A8,criteria!$A$4:$I$24,$D$2,FALSE),J8,(IF(AND(criteria!$G8="COS",K$3=criteria!$E8),TransRevR!K8/(Mwh!K8*1000),(IF(AND(criteria!$G8="COS",K$3=criteria!$E8+criteria!$F8),TransRevR!K8/(Mwh!K8*1000),(IF(AND(criteria!$G8="COS",K$3&lt;&gt;criteria!$E8+criteria!$F8),J8,(IF(VLOOKUP($A8,criteria!$A$4:$I$24,7,FALSE)="PBR",(J8*(1+exposure!K$5-exposure!K$7)),(IF(VLOOKUP($A8,criteria!$A$4:$I$24,7,FALSE)="MKT",J8,999)))))))))))</f>
        <v>1.5804249468668055E-2</v>
      </c>
      <c r="L8" s="31">
        <f>IF(L$3&lt;VLOOKUP($A8,criteria!$A$4:$I$24,$D$2,FALSE),K8,(IF(AND(criteria!$G8="COS",L$3=criteria!$E8),TransRevR!L8/(Mwh!L8*1000),(IF(AND(criteria!$G8="COS",L$3=criteria!$E8+criteria!$F8),TransRevR!L8/(Mwh!L8*1000),(IF(AND(criteria!$G8="COS",L$3&lt;&gt;criteria!$E8+criteria!$F8),K8,(IF(VLOOKUP($A8,criteria!$A$4:$I$24,7,FALSE)="PBR",(K8*(1+exposure!L$5-exposure!L$7)),(IF(VLOOKUP($A8,criteria!$A$4:$I$24,7,FALSE)="MKT",K8,999)))))))))))</f>
        <v>1.5804249468668055E-2</v>
      </c>
      <c r="M8" s="31">
        <f>IF(M$3&lt;VLOOKUP($A8,criteria!$A$4:$I$24,$D$2,FALSE),L8,(IF(AND(criteria!$G8="COS",M$3=criteria!$E8),TransRevR!M8/(Mwh!M8*1000),(IF(AND(criteria!$G8="COS",M$3=criteria!$E8+criteria!$F8),TransRevR!M8/(Mwh!M8*1000),(IF(AND(criteria!$G8="COS",M$3&lt;&gt;criteria!$E8+criteria!$F8),L8,(IF(VLOOKUP($A8,criteria!$A$4:$I$24,7,FALSE)="PBR",(L8*(1+exposure!M$5-exposure!M$7)),(IF(VLOOKUP($A8,criteria!$A$4:$I$24,7,FALSE)="MKT",L8,999)))))))))))</f>
        <v>1.5804249468668055E-2</v>
      </c>
    </row>
    <row r="9" spans="1:13" x14ac:dyDescent="0.2">
      <c r="A9" t="str">
        <f>raw!A9</f>
        <v>Consumers Energy Co.</v>
      </c>
      <c r="C9" s="22">
        <f>TransRevR!C9/(Mwh!C9*1000)</f>
        <v>4.5297961624725684E-3</v>
      </c>
      <c r="D9" s="31">
        <f>IF(D$3&lt;VLOOKUP($A9,criteria!$A$4:$I$24,$D$2,FALSE),C9,(IF(AND(criteria!$G9="COS",D$3=criteria!$E9),TransRevR!D9/(Mwh!D9*1000),(IF(AND(criteria!$G9="COS",D$3=criteria!$E9+criteria!$F9),TransRevR!D9/(Mwh!D9*1000),(IF(AND(criteria!$G9="COS",D$3&lt;&gt;criteria!$E9+criteria!$F9),C9,(IF(VLOOKUP($A9,criteria!$A$4:$I$24,7,FALSE)="PBR",(C9*(1+exposure!D$5-exposure!D$7)),(IF(VLOOKUP($A9,criteria!$A$4:$I$24,7,FALSE)="MKT",C9,999)))))))))))</f>
        <v>4.5297961624725684E-3</v>
      </c>
      <c r="E9" s="31">
        <f>IF(E$3&lt;VLOOKUP($A9,criteria!$A$4:$I$24,$D$2,FALSE),D9,(IF(AND(criteria!$G9="COS",E$3=criteria!$E9),TransRevR!E9/(Mwh!E9*1000),(IF(AND(criteria!$G9="COS",E$3=criteria!$E9+criteria!$F9),TransRevR!E9/(Mwh!E9*1000),(IF(AND(criteria!$G9="COS",E$3&lt;&gt;criteria!$E9+criteria!$F9),D9,(IF(VLOOKUP($A9,criteria!$A$4:$I$24,7,FALSE)="PBR",(D9*(1+exposure!E$5-exposure!E$7)),(IF(VLOOKUP($A9,criteria!$A$4:$I$24,7,FALSE)="MKT",D9,999)))))))))))</f>
        <v>4.4263366039819022E-3</v>
      </c>
      <c r="F9" s="31">
        <f>IF(F$3&lt;VLOOKUP($A9,criteria!$A$4:$I$24,$D$2,FALSE),E9,(IF(AND(criteria!$G9="COS",F$3=criteria!$E9),TransRevR!F9/(Mwh!F9*1000),(IF(AND(criteria!$G9="COS",F$3=criteria!$E9+criteria!$F9),TransRevR!F9/(Mwh!F9*1000),(IF(AND(criteria!$G9="COS",F$3&lt;&gt;criteria!$E9+criteria!$F9),E9,(IF(VLOOKUP($A9,criteria!$A$4:$I$24,7,FALSE)="PBR",(E9*(1+exposure!F$5-exposure!F$7)),(IF(VLOOKUP($A9,criteria!$A$4:$I$24,7,FALSE)="MKT",E9,999)))))))))))</f>
        <v>4.4263366039819022E-3</v>
      </c>
      <c r="G9" s="31">
        <f>IF(G$3&lt;VLOOKUP($A9,criteria!$A$4:$I$24,$D$2,FALSE),F9,(IF(AND(criteria!$G9="COS",G$3=criteria!$E9),TransRevR!G9/(Mwh!G9*1000),(IF(AND(criteria!$G9="COS",G$3=criteria!$E9+criteria!$F9),TransRevR!G9/(Mwh!G9*1000),(IF(AND(criteria!$G9="COS",G$3&lt;&gt;criteria!$E9+criteria!$F9),F9,(IF(VLOOKUP($A9,criteria!$A$4:$I$24,7,FALSE)="PBR",(F9*(1+exposure!G$5-exposure!G$7)),(IF(VLOOKUP($A9,criteria!$A$4:$I$24,7,FALSE)="MKT",F9,999)))))))))))</f>
        <v>4.4263366039819022E-3</v>
      </c>
      <c r="H9" s="31">
        <f>IF(H$3&lt;VLOOKUP($A9,criteria!$A$4:$I$24,$D$2,FALSE),G9,(IF(AND(criteria!$G9="COS",H$3=criteria!$E9),TransRevR!H9/(Mwh!H9*1000),(IF(AND(criteria!$G9="COS",H$3=criteria!$E9+criteria!$F9),TransRevR!H9/(Mwh!H9*1000),(IF(AND(criteria!$G9="COS",H$3&lt;&gt;criteria!$E9+criteria!$F9),G9,(IF(VLOOKUP($A9,criteria!$A$4:$I$24,7,FALSE)="PBR",(G9*(1+exposure!H$5-exposure!H$7)),(IF(VLOOKUP($A9,criteria!$A$4:$I$24,7,FALSE)="MKT",G9,999)))))))))))</f>
        <v>4.4263366039819022E-3</v>
      </c>
      <c r="I9" s="31">
        <f>IF(I$3&lt;VLOOKUP($A9,criteria!$A$4:$I$24,$D$2,FALSE),H9,(IF(AND(criteria!$G9="COS",I$3=criteria!$E9),TransRevR!I9/(Mwh!I9*1000),(IF(AND(criteria!$G9="COS",I$3=criteria!$E9+criteria!$F9),TransRevR!I9/(Mwh!I9*1000),(IF(AND(criteria!$G9="COS",I$3&lt;&gt;criteria!$E9+criteria!$F9),H9,(IF(VLOOKUP($A9,criteria!$A$4:$I$24,7,FALSE)="PBR",(H9*(1+exposure!I$5-exposure!I$7)),(IF(VLOOKUP($A9,criteria!$A$4:$I$24,7,FALSE)="MKT",H9,999)))))))))))</f>
        <v>4.2079221262395772E-3</v>
      </c>
      <c r="J9" s="31">
        <f>IF(J$3&lt;VLOOKUP($A9,criteria!$A$4:$I$24,$D$2,FALSE),I9,(IF(AND(criteria!$G9="COS",J$3=criteria!$E9),TransRevR!J9/(Mwh!J9*1000),(IF(AND(criteria!$G9="COS",J$3=criteria!$E9+criteria!$F9),TransRevR!J9/(Mwh!J9*1000),(IF(AND(criteria!$G9="COS",J$3&lt;&gt;criteria!$E9+criteria!$F9),I9,(IF(VLOOKUP($A9,criteria!$A$4:$I$24,7,FALSE)="PBR",(I9*(1+exposure!J$5-exposure!J$7)),(IF(VLOOKUP($A9,criteria!$A$4:$I$24,7,FALSE)="MKT",I9,999)))))))))))</f>
        <v>4.2079221262395772E-3</v>
      </c>
      <c r="K9" s="31">
        <f>IF(K$3&lt;VLOOKUP($A9,criteria!$A$4:$I$24,$D$2,FALSE),J9,(IF(AND(criteria!$G9="COS",K$3=criteria!$E9),TransRevR!K9/(Mwh!K9*1000),(IF(AND(criteria!$G9="COS",K$3=criteria!$E9+criteria!$F9),TransRevR!K9/(Mwh!K9*1000),(IF(AND(criteria!$G9="COS",K$3&lt;&gt;criteria!$E9+criteria!$F9),J9,(IF(VLOOKUP($A9,criteria!$A$4:$I$24,7,FALSE)="PBR",(J9*(1+exposure!K$5-exposure!K$7)),(IF(VLOOKUP($A9,criteria!$A$4:$I$24,7,FALSE)="MKT",J9,999)))))))))))</f>
        <v>4.2079221262395772E-3</v>
      </c>
      <c r="L9" s="31">
        <f>IF(L$3&lt;VLOOKUP($A9,criteria!$A$4:$I$24,$D$2,FALSE),K9,(IF(AND(criteria!$G9="COS",L$3=criteria!$E9),TransRevR!L9/(Mwh!L9*1000),(IF(AND(criteria!$G9="COS",L$3=criteria!$E9+criteria!$F9),TransRevR!L9/(Mwh!L9*1000),(IF(AND(criteria!$G9="COS",L$3&lt;&gt;criteria!$E9+criteria!$F9),K9,(IF(VLOOKUP($A9,criteria!$A$4:$I$24,7,FALSE)="PBR",(K9*(1+exposure!L$5-exposure!L$7)),(IF(VLOOKUP($A9,criteria!$A$4:$I$24,7,FALSE)="MKT",K9,999)))))))))))</f>
        <v>4.2079221262395772E-3</v>
      </c>
      <c r="M9" s="31">
        <f>IF(M$3&lt;VLOOKUP($A9,criteria!$A$4:$I$24,$D$2,FALSE),L9,(IF(AND(criteria!$G9="COS",M$3=criteria!$E9),TransRevR!M9/(Mwh!M9*1000),(IF(AND(criteria!$G9="COS",M$3=criteria!$E9+criteria!$F9),TransRevR!M9/(Mwh!M9*1000),(IF(AND(criteria!$G9="COS",M$3&lt;&gt;criteria!$E9+criteria!$F9),L9,(IF(VLOOKUP($A9,criteria!$A$4:$I$24,7,FALSE)="PBR",(L9*(1+exposure!M$5-exposure!M$7)),(IF(VLOOKUP($A9,criteria!$A$4:$I$24,7,FALSE)="MKT",L9,999)))))))))))</f>
        <v>4.2079221262395772E-3</v>
      </c>
    </row>
    <row r="10" spans="1:13" x14ac:dyDescent="0.2">
      <c r="A10" t="str">
        <f>raw!A10</f>
        <v>Duke Energy Corp.</v>
      </c>
      <c r="C10" s="22">
        <f>TransRevR!C10/(Mwh!C10*1000)</f>
        <v>4.8018947907196418E-3</v>
      </c>
      <c r="D10" s="31">
        <f>IF(D$3&lt;VLOOKUP($A10,criteria!$A$4:$I$24,$D$2,FALSE),C10,(IF(AND(criteria!$G10="COS",D$3=criteria!$E10),TransRevR!D10/(Mwh!D10*1000),(IF(AND(criteria!$G10="COS",D$3=criteria!$E10+criteria!$F10),TransRevR!D10/(Mwh!D10*1000),(IF(AND(criteria!$G10="COS",D$3&lt;&gt;criteria!$E10+criteria!$F10),C10,(IF(VLOOKUP($A10,criteria!$A$4:$I$24,7,FALSE)="PBR",(C10*(1+exposure!D$5-exposure!D$7)),(IF(VLOOKUP($A10,criteria!$A$4:$I$24,7,FALSE)="MKT",C10,999)))))))))))</f>
        <v>4.8018947907196418E-3</v>
      </c>
      <c r="E10" s="31">
        <f>IF(E$3&lt;VLOOKUP($A10,criteria!$A$4:$I$24,$D$2,FALSE),D10,(IF(AND(criteria!$G10="COS",E$3=criteria!$E10),TransRevR!E10/(Mwh!E10*1000),(IF(AND(criteria!$G10="COS",E$3=criteria!$E10+criteria!$F10),TransRevR!E10/(Mwh!E10*1000),(IF(AND(criteria!$G10="COS",E$3&lt;&gt;criteria!$E10+criteria!$F10),D10,(IF(VLOOKUP($A10,criteria!$A$4:$I$24,7,FALSE)="PBR",(D10*(1+exposure!E$5-exposure!E$7)),(IF(VLOOKUP($A10,criteria!$A$4:$I$24,7,FALSE)="MKT",D10,999)))))))))))</f>
        <v>4.6928409529843089E-3</v>
      </c>
      <c r="F10" s="31">
        <f>IF(F$3&lt;VLOOKUP($A10,criteria!$A$4:$I$24,$D$2,FALSE),E10,(IF(AND(criteria!$G10="COS",F$3=criteria!$E10),TransRevR!F10/(Mwh!F10*1000),(IF(AND(criteria!$G10="COS",F$3=criteria!$E10+criteria!$F10),TransRevR!F10/(Mwh!F10*1000),(IF(AND(criteria!$G10="COS",F$3&lt;&gt;criteria!$E10+criteria!$F10),E10,(IF(VLOOKUP($A10,criteria!$A$4:$I$24,7,FALSE)="PBR",(E10*(1+exposure!F$5-exposure!F$7)),(IF(VLOOKUP($A10,criteria!$A$4:$I$24,7,FALSE)="MKT",E10,999)))))))))))</f>
        <v>4.6928409529843089E-3</v>
      </c>
      <c r="G10" s="31">
        <f>IF(G$3&lt;VLOOKUP($A10,criteria!$A$4:$I$24,$D$2,FALSE),F10,(IF(AND(criteria!$G10="COS",G$3=criteria!$E10),TransRevR!G10/(Mwh!G10*1000),(IF(AND(criteria!$G10="COS",G$3=criteria!$E10+criteria!$F10),TransRevR!G10/(Mwh!G10*1000),(IF(AND(criteria!$G10="COS",G$3&lt;&gt;criteria!$E10+criteria!$F10),F10,(IF(VLOOKUP($A10,criteria!$A$4:$I$24,7,FALSE)="PBR",(F10*(1+exposure!G$5-exposure!G$7)),(IF(VLOOKUP($A10,criteria!$A$4:$I$24,7,FALSE)="MKT",F10,999)))))))))))</f>
        <v>4.6928409529843089E-3</v>
      </c>
      <c r="H10" s="31">
        <f>IF(H$3&lt;VLOOKUP($A10,criteria!$A$4:$I$24,$D$2,FALSE),G10,(IF(AND(criteria!$G10="COS",H$3=criteria!$E10),TransRevR!H10/(Mwh!H10*1000),(IF(AND(criteria!$G10="COS",H$3=criteria!$E10+criteria!$F10),TransRevR!H10/(Mwh!H10*1000),(IF(AND(criteria!$G10="COS",H$3&lt;&gt;criteria!$E10+criteria!$F10),G10,(IF(VLOOKUP($A10,criteria!$A$4:$I$24,7,FALSE)="PBR",(G10*(1+exposure!H$5-exposure!H$7)),(IF(VLOOKUP($A10,criteria!$A$4:$I$24,7,FALSE)="MKT",G10,999)))))))))))</f>
        <v>4.6928409529843089E-3</v>
      </c>
      <c r="I10" s="31">
        <f>IF(I$3&lt;VLOOKUP($A10,criteria!$A$4:$I$24,$D$2,FALSE),H10,(IF(AND(criteria!$G10="COS",I$3=criteria!$E10),TransRevR!I10/(Mwh!I10*1000),(IF(AND(criteria!$G10="COS",I$3=criteria!$E10+criteria!$F10),TransRevR!I10/(Mwh!I10*1000),(IF(AND(criteria!$G10="COS",I$3&lt;&gt;criteria!$E10+criteria!$F10),H10,(IF(VLOOKUP($A10,criteria!$A$4:$I$24,7,FALSE)="PBR",(H10*(1+exposure!I$5-exposure!I$7)),(IF(VLOOKUP($A10,criteria!$A$4:$I$24,7,FALSE)="MKT",H10,999)))))))))))</f>
        <v>4.459453808090698E-3</v>
      </c>
      <c r="J10" s="31">
        <f>IF(J$3&lt;VLOOKUP($A10,criteria!$A$4:$I$24,$D$2,FALSE),I10,(IF(AND(criteria!$G10="COS",J$3=criteria!$E10),TransRevR!J10/(Mwh!J10*1000),(IF(AND(criteria!$G10="COS",J$3=criteria!$E10+criteria!$F10),TransRevR!J10/(Mwh!J10*1000),(IF(AND(criteria!$G10="COS",J$3&lt;&gt;criteria!$E10+criteria!$F10),I10,(IF(VLOOKUP($A10,criteria!$A$4:$I$24,7,FALSE)="PBR",(I10*(1+exposure!J$5-exposure!J$7)),(IF(VLOOKUP($A10,criteria!$A$4:$I$24,7,FALSE)="MKT",I10,999)))))))))))</f>
        <v>4.459453808090698E-3</v>
      </c>
      <c r="K10" s="31">
        <f>IF(K$3&lt;VLOOKUP($A10,criteria!$A$4:$I$24,$D$2,FALSE),J10,(IF(AND(criteria!$G10="COS",K$3=criteria!$E10),TransRevR!K10/(Mwh!K10*1000),(IF(AND(criteria!$G10="COS",K$3=criteria!$E10+criteria!$F10),TransRevR!K10/(Mwh!K10*1000),(IF(AND(criteria!$G10="COS",K$3&lt;&gt;criteria!$E10+criteria!$F10),J10,(IF(VLOOKUP($A10,criteria!$A$4:$I$24,7,FALSE)="PBR",(J10*(1+exposure!K$5-exposure!K$7)),(IF(VLOOKUP($A10,criteria!$A$4:$I$24,7,FALSE)="MKT",J10,999)))))))))))</f>
        <v>4.459453808090698E-3</v>
      </c>
      <c r="L10" s="31">
        <f>IF(L$3&lt;VLOOKUP($A10,criteria!$A$4:$I$24,$D$2,FALSE),K10,(IF(AND(criteria!$G10="COS",L$3=criteria!$E10),TransRevR!L10/(Mwh!L10*1000),(IF(AND(criteria!$G10="COS",L$3=criteria!$E10+criteria!$F10),TransRevR!L10/(Mwh!L10*1000),(IF(AND(criteria!$G10="COS",L$3&lt;&gt;criteria!$E10+criteria!$F10),K10,(IF(VLOOKUP($A10,criteria!$A$4:$I$24,7,FALSE)="PBR",(K10*(1+exposure!L$5-exposure!L$7)),(IF(VLOOKUP($A10,criteria!$A$4:$I$24,7,FALSE)="MKT",K10,999)))))))))))</f>
        <v>4.459453808090698E-3</v>
      </c>
      <c r="M10" s="31">
        <f>IF(M$3&lt;VLOOKUP($A10,criteria!$A$4:$I$24,$D$2,FALSE),L10,(IF(AND(criteria!$G10="COS",M$3=criteria!$E10),TransRevR!M10/(Mwh!M10*1000),(IF(AND(criteria!$G10="COS",M$3=criteria!$E10+criteria!$F10),TransRevR!M10/(Mwh!M10*1000),(IF(AND(criteria!$G10="COS",M$3&lt;&gt;criteria!$E10+criteria!$F10),L10,(IF(VLOOKUP($A10,criteria!$A$4:$I$24,7,FALSE)="PBR",(L10*(1+exposure!M$5-exposure!M$7)),(IF(VLOOKUP($A10,criteria!$A$4:$I$24,7,FALSE)="MKT",L10,999)))))))))))</f>
        <v>4.459453808090698E-3</v>
      </c>
    </row>
    <row r="11" spans="1:13" x14ac:dyDescent="0.2">
      <c r="A11" t="str">
        <f>raw!A11</f>
        <v>Entergy Mississippi, Inc.</v>
      </c>
      <c r="C11" s="22">
        <f>TransRevR!C11/(Mwh!C11*1000)</f>
        <v>5.3367491320007662E-3</v>
      </c>
      <c r="D11" s="31">
        <f>IF(D$3&lt;VLOOKUP($A11,criteria!$A$4:$I$24,$D$2,FALSE),C11,(IF(AND(criteria!$G11="COS",D$3=criteria!$E11),TransRevR!D11/(Mwh!D11*1000),(IF(AND(criteria!$G11="COS",D$3=criteria!$E11+criteria!$F11),TransRevR!D11/(Mwh!D11*1000),(IF(AND(criteria!$G11="COS",D$3&lt;&gt;criteria!$E11+criteria!$F11),C11,(IF(VLOOKUP($A11,criteria!$A$4:$I$24,7,FALSE)="PBR",(C11*(1+exposure!D$5-exposure!D$7)),(IF(VLOOKUP($A11,criteria!$A$4:$I$24,7,FALSE)="MKT",C11,999)))))))))))</f>
        <v>5.3367491320007662E-3</v>
      </c>
      <c r="E11" s="31">
        <f>IF(E$3&lt;VLOOKUP($A11,criteria!$A$4:$I$24,$D$2,FALSE),D11,(IF(AND(criteria!$G11="COS",E$3=criteria!$E11),TransRevR!E11/(Mwh!E11*1000),(IF(AND(criteria!$G11="COS",E$3=criteria!$E11+criteria!$F11),TransRevR!E11/(Mwh!E11*1000),(IF(AND(criteria!$G11="COS",E$3&lt;&gt;criteria!$E11+criteria!$F11),D11,(IF(VLOOKUP($A11,criteria!$A$4:$I$24,7,FALSE)="PBR",(D11*(1+exposure!E$5-exposure!E$7)),(IF(VLOOKUP($A11,criteria!$A$4:$I$24,7,FALSE)="MKT",D11,999)))))))))))</f>
        <v>5.1964138531372028E-3</v>
      </c>
      <c r="F11" s="31">
        <f>IF(F$3&lt;VLOOKUP($A11,criteria!$A$4:$I$24,$D$2,FALSE),E11,(IF(AND(criteria!$G11="COS",F$3=criteria!$E11),TransRevR!F11/(Mwh!F11*1000),(IF(AND(criteria!$G11="COS",F$3=criteria!$E11+criteria!$F11),TransRevR!F11/(Mwh!F11*1000),(IF(AND(criteria!$G11="COS",F$3&lt;&gt;criteria!$E11+criteria!$F11),E11,(IF(VLOOKUP($A11,criteria!$A$4:$I$24,7,FALSE)="PBR",(E11*(1+exposure!F$5-exposure!F$7)),(IF(VLOOKUP($A11,criteria!$A$4:$I$24,7,FALSE)="MKT",E11,999)))))))))))</f>
        <v>5.1964138531372028E-3</v>
      </c>
      <c r="G11" s="31">
        <f>IF(G$3&lt;VLOOKUP($A11,criteria!$A$4:$I$24,$D$2,FALSE),F11,(IF(AND(criteria!$G11="COS",G$3=criteria!$E11),TransRevR!G11/(Mwh!G11*1000),(IF(AND(criteria!$G11="COS",G$3=criteria!$E11+criteria!$F11),TransRevR!G11/(Mwh!G11*1000),(IF(AND(criteria!$G11="COS",G$3&lt;&gt;criteria!$E11+criteria!$F11),F11,(IF(VLOOKUP($A11,criteria!$A$4:$I$24,7,FALSE)="PBR",(F11*(1+exposure!G$5-exposure!G$7)),(IF(VLOOKUP($A11,criteria!$A$4:$I$24,7,FALSE)="MKT",F11,999)))))))))))</f>
        <v>5.1964138531372028E-3</v>
      </c>
      <c r="H11" s="31">
        <f>IF(H$3&lt;VLOOKUP($A11,criteria!$A$4:$I$24,$D$2,FALSE),G11,(IF(AND(criteria!$G11="COS",H$3=criteria!$E11),TransRevR!H11/(Mwh!H11*1000),(IF(AND(criteria!$G11="COS",H$3=criteria!$E11+criteria!$F11),TransRevR!H11/(Mwh!H11*1000),(IF(AND(criteria!$G11="COS",H$3&lt;&gt;criteria!$E11+criteria!$F11),G11,(IF(VLOOKUP($A11,criteria!$A$4:$I$24,7,FALSE)="PBR",(G11*(1+exposure!H$5-exposure!H$7)),(IF(VLOOKUP($A11,criteria!$A$4:$I$24,7,FALSE)="MKT",G11,999)))))))))))</f>
        <v>5.1964138531372028E-3</v>
      </c>
      <c r="I11" s="31">
        <f>IF(I$3&lt;VLOOKUP($A11,criteria!$A$4:$I$24,$D$2,FALSE),H11,(IF(AND(criteria!$G11="COS",I$3=criteria!$E11),TransRevR!I11/(Mwh!I11*1000),(IF(AND(criteria!$G11="COS",I$3=criteria!$E11+criteria!$F11),TransRevR!I11/(Mwh!I11*1000),(IF(AND(criteria!$G11="COS",I$3&lt;&gt;criteria!$E11+criteria!$F11),H11,(IF(VLOOKUP($A11,criteria!$A$4:$I$24,7,FALSE)="PBR",(H11*(1+exposure!I$5-exposure!I$7)),(IF(VLOOKUP($A11,criteria!$A$4:$I$24,7,FALSE)="MKT",H11,999)))))))))))</f>
        <v>4.9113154811951353E-3</v>
      </c>
      <c r="J11" s="31">
        <f>IF(J$3&lt;VLOOKUP($A11,criteria!$A$4:$I$24,$D$2,FALSE),I11,(IF(AND(criteria!$G11="COS",J$3=criteria!$E11),TransRevR!J11/(Mwh!J11*1000),(IF(AND(criteria!$G11="COS",J$3=criteria!$E11+criteria!$F11),TransRevR!J11/(Mwh!J11*1000),(IF(AND(criteria!$G11="COS",J$3&lt;&gt;criteria!$E11+criteria!$F11),I11,(IF(VLOOKUP($A11,criteria!$A$4:$I$24,7,FALSE)="PBR",(I11*(1+exposure!J$5-exposure!J$7)),(IF(VLOOKUP($A11,criteria!$A$4:$I$24,7,FALSE)="MKT",I11,999)))))))))))</f>
        <v>4.9113154811951353E-3</v>
      </c>
      <c r="K11" s="31">
        <f>IF(K$3&lt;VLOOKUP($A11,criteria!$A$4:$I$24,$D$2,FALSE),J11,(IF(AND(criteria!$G11="COS",K$3=criteria!$E11),TransRevR!K11/(Mwh!K11*1000),(IF(AND(criteria!$G11="COS",K$3=criteria!$E11+criteria!$F11),TransRevR!K11/(Mwh!K11*1000),(IF(AND(criteria!$G11="COS",K$3&lt;&gt;criteria!$E11+criteria!$F11),J11,(IF(VLOOKUP($A11,criteria!$A$4:$I$24,7,FALSE)="PBR",(J11*(1+exposure!K$5-exposure!K$7)),(IF(VLOOKUP($A11,criteria!$A$4:$I$24,7,FALSE)="MKT",J11,999)))))))))))</f>
        <v>4.9113154811951353E-3</v>
      </c>
      <c r="L11" s="31">
        <f>IF(L$3&lt;VLOOKUP($A11,criteria!$A$4:$I$24,$D$2,FALSE),K11,(IF(AND(criteria!$G11="COS",L$3=criteria!$E11),TransRevR!L11/(Mwh!L11*1000),(IF(AND(criteria!$G11="COS",L$3=criteria!$E11+criteria!$F11),TransRevR!L11/(Mwh!L11*1000),(IF(AND(criteria!$G11="COS",L$3&lt;&gt;criteria!$E11+criteria!$F11),K11,(IF(VLOOKUP($A11,criteria!$A$4:$I$24,7,FALSE)="PBR",(K11*(1+exposure!L$5-exposure!L$7)),(IF(VLOOKUP($A11,criteria!$A$4:$I$24,7,FALSE)="MKT",K11,999)))))))))))</f>
        <v>4.9113154811951353E-3</v>
      </c>
      <c r="M11" s="31">
        <f>IF(M$3&lt;VLOOKUP($A11,criteria!$A$4:$I$24,$D$2,FALSE),L11,(IF(AND(criteria!$G11="COS",M$3=criteria!$E11),TransRevR!M11/(Mwh!M11*1000),(IF(AND(criteria!$G11="COS",M$3=criteria!$E11+criteria!$F11),TransRevR!M11/(Mwh!M11*1000),(IF(AND(criteria!$G11="COS",M$3&lt;&gt;criteria!$E11+criteria!$F11),L11,(IF(VLOOKUP($A11,criteria!$A$4:$I$24,7,FALSE)="PBR",(L11*(1+exposure!M$5-exposure!M$7)),(IF(VLOOKUP($A11,criteria!$A$4:$I$24,7,FALSE)="MKT",L11,999)))))))))))</f>
        <v>4.9113154811951353E-3</v>
      </c>
    </row>
    <row r="12" spans="1:13" x14ac:dyDescent="0.2">
      <c r="A12" t="str">
        <f>raw!A12</f>
        <v>Florida Power &amp; Light Co.</v>
      </c>
      <c r="C12" s="22">
        <f>TransRevR!C12/(Mwh!C12*1000)</f>
        <v>5.1656669035917589E-3</v>
      </c>
      <c r="D12" s="31">
        <f>IF(D$3&lt;VLOOKUP($A12,criteria!$A$4:$I$24,$D$2,FALSE),C12,(IF(AND(criteria!$G12="COS",D$3=criteria!$E12),TransRevR!D12/(Mwh!D12*1000),(IF(AND(criteria!$G12="COS",D$3=criteria!$E12+criteria!$F12),TransRevR!D12/(Mwh!D12*1000),(IF(AND(criteria!$G12="COS",D$3&lt;&gt;criteria!$E12+criteria!$F12),C12,(IF(VLOOKUP($A12,criteria!$A$4:$I$24,7,FALSE)="PBR",(C12*(1+exposure!D$5-exposure!D$7)),(IF(VLOOKUP($A12,criteria!$A$4:$I$24,7,FALSE)="MKT",C12,999)))))))))))</f>
        <v>5.1656669035917589E-3</v>
      </c>
      <c r="E12" s="31">
        <f>IF(E$3&lt;VLOOKUP($A12,criteria!$A$4:$I$24,$D$2,FALSE),D12,(IF(AND(criteria!$G12="COS",E$3=criteria!$E12),TransRevR!E12/(Mwh!E12*1000),(IF(AND(criteria!$G12="COS",E$3=criteria!$E12+criteria!$F12),TransRevR!E12/(Mwh!E12*1000),(IF(AND(criteria!$G12="COS",E$3&lt;&gt;criteria!$E12+criteria!$F12),D12,(IF(VLOOKUP($A12,criteria!$A$4:$I$24,7,FALSE)="PBR",(D12*(1+exposure!E$5-exposure!E$7)),(IF(VLOOKUP($A12,criteria!$A$4:$I$24,7,FALSE)="MKT",D12,999)))))))))))</f>
        <v>5.0280706218560249E-3</v>
      </c>
      <c r="F12" s="31">
        <f>IF(F$3&lt;VLOOKUP($A12,criteria!$A$4:$I$24,$D$2,FALSE),E12,(IF(AND(criteria!$G12="COS",F$3=criteria!$E12),TransRevR!F12/(Mwh!F12*1000),(IF(AND(criteria!$G12="COS",F$3=criteria!$E12+criteria!$F12),TransRevR!F12/(Mwh!F12*1000),(IF(AND(criteria!$G12="COS",F$3&lt;&gt;criteria!$E12+criteria!$F12),E12,(IF(VLOOKUP($A12,criteria!$A$4:$I$24,7,FALSE)="PBR",(E12*(1+exposure!F$5-exposure!F$7)),(IF(VLOOKUP($A12,criteria!$A$4:$I$24,7,FALSE)="MKT",E12,999)))))))))))</f>
        <v>5.0280706218560249E-3</v>
      </c>
      <c r="G12" s="31">
        <f>IF(G$3&lt;VLOOKUP($A12,criteria!$A$4:$I$24,$D$2,FALSE),F12,(IF(AND(criteria!$G12="COS",G$3=criteria!$E12),TransRevR!G12/(Mwh!G12*1000),(IF(AND(criteria!$G12="COS",G$3=criteria!$E12+criteria!$F12),TransRevR!G12/(Mwh!G12*1000),(IF(AND(criteria!$G12="COS",G$3&lt;&gt;criteria!$E12+criteria!$F12),F12,(IF(VLOOKUP($A12,criteria!$A$4:$I$24,7,FALSE)="PBR",(F12*(1+exposure!G$5-exposure!G$7)),(IF(VLOOKUP($A12,criteria!$A$4:$I$24,7,FALSE)="MKT",F12,999)))))))))))</f>
        <v>5.0280706218560249E-3</v>
      </c>
      <c r="H12" s="31">
        <f>IF(H$3&lt;VLOOKUP($A12,criteria!$A$4:$I$24,$D$2,FALSE),G12,(IF(AND(criteria!$G12="COS",H$3=criteria!$E12),TransRevR!H12/(Mwh!H12*1000),(IF(AND(criteria!$G12="COS",H$3=criteria!$E12+criteria!$F12),TransRevR!H12/(Mwh!H12*1000),(IF(AND(criteria!$G12="COS",H$3&lt;&gt;criteria!$E12+criteria!$F12),G12,(IF(VLOOKUP($A12,criteria!$A$4:$I$24,7,FALSE)="PBR",(G12*(1+exposure!H$5-exposure!H$7)),(IF(VLOOKUP($A12,criteria!$A$4:$I$24,7,FALSE)="MKT",G12,999)))))))))))</f>
        <v>5.0280706218560249E-3</v>
      </c>
      <c r="I12" s="31">
        <f>IF(I$3&lt;VLOOKUP($A12,criteria!$A$4:$I$24,$D$2,FALSE),H12,(IF(AND(criteria!$G12="COS",I$3=criteria!$E12),TransRevR!I12/(Mwh!I12*1000),(IF(AND(criteria!$G12="COS",I$3=criteria!$E12+criteria!$F12),TransRevR!I12/(Mwh!I12*1000),(IF(AND(criteria!$G12="COS",I$3&lt;&gt;criteria!$E12+criteria!$F12),H12,(IF(VLOOKUP($A12,criteria!$A$4:$I$24,7,FALSE)="PBR",(H12*(1+exposure!I$5-exposure!I$7)),(IF(VLOOKUP($A12,criteria!$A$4:$I$24,7,FALSE)="MKT",H12,999)))))))))))</f>
        <v>4.7454844244514006E-3</v>
      </c>
      <c r="J12" s="31">
        <f>IF(J$3&lt;VLOOKUP($A12,criteria!$A$4:$I$24,$D$2,FALSE),I12,(IF(AND(criteria!$G12="COS",J$3=criteria!$E12),TransRevR!J12/(Mwh!J12*1000),(IF(AND(criteria!$G12="COS",J$3=criteria!$E12+criteria!$F12),TransRevR!J12/(Mwh!J12*1000),(IF(AND(criteria!$G12="COS",J$3&lt;&gt;criteria!$E12+criteria!$F12),I12,(IF(VLOOKUP($A12,criteria!$A$4:$I$24,7,FALSE)="PBR",(I12*(1+exposure!J$5-exposure!J$7)),(IF(VLOOKUP($A12,criteria!$A$4:$I$24,7,FALSE)="MKT",I12,999)))))))))))</f>
        <v>4.7454844244514006E-3</v>
      </c>
      <c r="K12" s="31">
        <f>IF(K$3&lt;VLOOKUP($A12,criteria!$A$4:$I$24,$D$2,FALSE),J12,(IF(AND(criteria!$G12="COS",K$3=criteria!$E12),TransRevR!K12/(Mwh!K12*1000),(IF(AND(criteria!$G12="COS",K$3=criteria!$E12+criteria!$F12),TransRevR!K12/(Mwh!K12*1000),(IF(AND(criteria!$G12="COS",K$3&lt;&gt;criteria!$E12+criteria!$F12),J12,(IF(VLOOKUP($A12,criteria!$A$4:$I$24,7,FALSE)="PBR",(J12*(1+exposure!K$5-exposure!K$7)),(IF(VLOOKUP($A12,criteria!$A$4:$I$24,7,FALSE)="MKT",J12,999)))))))))))</f>
        <v>4.7454844244514006E-3</v>
      </c>
      <c r="L12" s="31">
        <f>IF(L$3&lt;VLOOKUP($A12,criteria!$A$4:$I$24,$D$2,FALSE),K12,(IF(AND(criteria!$G12="COS",L$3=criteria!$E12),TransRevR!L12/(Mwh!L12*1000),(IF(AND(criteria!$G12="COS",L$3=criteria!$E12+criteria!$F12),TransRevR!L12/(Mwh!L12*1000),(IF(AND(criteria!$G12="COS",L$3&lt;&gt;criteria!$E12+criteria!$F12),K12,(IF(VLOOKUP($A12,criteria!$A$4:$I$24,7,FALSE)="PBR",(K12*(1+exposure!L$5-exposure!L$7)),(IF(VLOOKUP($A12,criteria!$A$4:$I$24,7,FALSE)="MKT",K12,999)))))))))))</f>
        <v>4.7454844244514006E-3</v>
      </c>
      <c r="M12" s="31">
        <f>IF(M$3&lt;VLOOKUP($A12,criteria!$A$4:$I$24,$D$2,FALSE),L12,(IF(AND(criteria!$G12="COS",M$3=criteria!$E12),TransRevR!M12/(Mwh!M12*1000),(IF(AND(criteria!$G12="COS",M$3=criteria!$E12+criteria!$F12),TransRevR!M12/(Mwh!M12*1000),(IF(AND(criteria!$G12="COS",M$3&lt;&gt;criteria!$E12+criteria!$F12),L12,(IF(VLOOKUP($A12,criteria!$A$4:$I$24,7,FALSE)="PBR",(L12*(1+exposure!M$5-exposure!M$7)),(IF(VLOOKUP($A12,criteria!$A$4:$I$24,7,FALSE)="MKT",L12,999)))))))))))</f>
        <v>4.7454844244514006E-3</v>
      </c>
    </row>
    <row r="13" spans="1:13" x14ac:dyDescent="0.2">
      <c r="A13" t="str">
        <f>raw!A13</f>
        <v>Gulf Power Co.</v>
      </c>
      <c r="C13" s="22">
        <f>TransRevR!C13/(Mwh!C13*1000)</f>
        <v>4.0189464636078811E-3</v>
      </c>
      <c r="D13" s="31">
        <f>IF(D$3&lt;VLOOKUP($A13,criteria!$A$4:$I$24,$D$2,FALSE),C13,(IF(AND(criteria!$G13="COS",D$3=criteria!$E13),TransRevR!D13/(Mwh!D13*1000),(IF(AND(criteria!$G13="COS",D$3=criteria!$E13+criteria!$F13),TransRevR!D13/(Mwh!D13*1000),(IF(AND(criteria!$G13="COS",D$3&lt;&gt;criteria!$E13+criteria!$F13),C13,(IF(VLOOKUP($A13,criteria!$A$4:$I$24,7,FALSE)="PBR",(C13*(1+exposure!D$5-exposure!D$7)),(IF(VLOOKUP($A13,criteria!$A$4:$I$24,7,FALSE)="MKT",C13,999)))))))))))</f>
        <v>4.0189464636078811E-3</v>
      </c>
      <c r="E13" s="31">
        <f>IF(E$3&lt;VLOOKUP($A13,criteria!$A$4:$I$24,$D$2,FALSE),D13,(IF(AND(criteria!$G13="COS",E$3=criteria!$E13),TransRevR!E13/(Mwh!E13*1000),(IF(AND(criteria!$G13="COS",E$3=criteria!$E13+criteria!$F13),TransRevR!E13/(Mwh!E13*1000),(IF(AND(criteria!$G13="COS",E$3&lt;&gt;criteria!$E13+criteria!$F13),D13,(IF(VLOOKUP($A13,criteria!$A$4:$I$24,7,FALSE)="PBR",(D13*(1+exposure!E$5-exposure!E$7)),(IF(VLOOKUP($A13,criteria!$A$4:$I$24,7,FALSE)="MKT",D13,999)))))))))))</f>
        <v>3.9480585239111436E-3</v>
      </c>
      <c r="F13" s="31">
        <f>IF(F$3&lt;VLOOKUP($A13,criteria!$A$4:$I$24,$D$2,FALSE),E13,(IF(AND(criteria!$G13="COS",F$3=criteria!$E13),TransRevR!F13/(Mwh!F13*1000),(IF(AND(criteria!$G13="COS",F$3=criteria!$E13+criteria!$F13),TransRevR!F13/(Mwh!F13*1000),(IF(AND(criteria!$G13="COS",F$3&lt;&gt;criteria!$E13+criteria!$F13),E13,(IF(VLOOKUP($A13,criteria!$A$4:$I$24,7,FALSE)="PBR",(E13*(1+exposure!F$5-exposure!F$7)),(IF(VLOOKUP($A13,criteria!$A$4:$I$24,7,FALSE)="MKT",E13,999)))))))))))</f>
        <v>3.9480585239111436E-3</v>
      </c>
      <c r="G13" s="31">
        <f>IF(G$3&lt;VLOOKUP($A13,criteria!$A$4:$I$24,$D$2,FALSE),F13,(IF(AND(criteria!$G13="COS",G$3=criteria!$E13),TransRevR!G13/(Mwh!G13*1000),(IF(AND(criteria!$G13="COS",G$3=criteria!$E13+criteria!$F13),TransRevR!G13/(Mwh!G13*1000),(IF(AND(criteria!$G13="COS",G$3&lt;&gt;criteria!$E13+criteria!$F13),F13,(IF(VLOOKUP($A13,criteria!$A$4:$I$24,7,FALSE)="PBR",(F13*(1+exposure!G$5-exposure!G$7)),(IF(VLOOKUP($A13,criteria!$A$4:$I$24,7,FALSE)="MKT",F13,999)))))))))))</f>
        <v>3.9480585239111436E-3</v>
      </c>
      <c r="H13" s="31">
        <f>IF(H$3&lt;VLOOKUP($A13,criteria!$A$4:$I$24,$D$2,FALSE),G13,(IF(AND(criteria!$G13="COS",H$3=criteria!$E13),TransRevR!H13/(Mwh!H13*1000),(IF(AND(criteria!$G13="COS",H$3=criteria!$E13+criteria!$F13),TransRevR!H13/(Mwh!H13*1000),(IF(AND(criteria!$G13="COS",H$3&lt;&gt;criteria!$E13+criteria!$F13),G13,(IF(VLOOKUP($A13,criteria!$A$4:$I$24,7,FALSE)="PBR",(G13*(1+exposure!H$5-exposure!H$7)),(IF(VLOOKUP($A13,criteria!$A$4:$I$24,7,FALSE)="MKT",G13,999)))))))))))</f>
        <v>3.9480585239111436E-3</v>
      </c>
      <c r="I13" s="31">
        <f>IF(I$3&lt;VLOOKUP($A13,criteria!$A$4:$I$24,$D$2,FALSE),H13,(IF(AND(criteria!$G13="COS",I$3=criteria!$E13),TransRevR!I13/(Mwh!I13*1000),(IF(AND(criteria!$G13="COS",I$3=criteria!$E13+criteria!$F13),TransRevR!I13/(Mwh!I13*1000),(IF(AND(criteria!$G13="COS",I$3&lt;&gt;criteria!$E13+criteria!$F13),H13,(IF(VLOOKUP($A13,criteria!$A$4:$I$24,7,FALSE)="PBR",(H13*(1+exposure!I$5-exposure!I$7)),(IF(VLOOKUP($A13,criteria!$A$4:$I$24,7,FALSE)="MKT",H13,999)))))))))))</f>
        <v>3.7810580665906075E-3</v>
      </c>
      <c r="J13" s="31">
        <f>IF(J$3&lt;VLOOKUP($A13,criteria!$A$4:$I$24,$D$2,FALSE),I13,(IF(AND(criteria!$G13="COS",J$3=criteria!$E13),TransRevR!J13/(Mwh!J13*1000),(IF(AND(criteria!$G13="COS",J$3=criteria!$E13+criteria!$F13),TransRevR!J13/(Mwh!J13*1000),(IF(AND(criteria!$G13="COS",J$3&lt;&gt;criteria!$E13+criteria!$F13),I13,(IF(VLOOKUP($A13,criteria!$A$4:$I$24,7,FALSE)="PBR",(I13*(1+exposure!J$5-exposure!J$7)),(IF(VLOOKUP($A13,criteria!$A$4:$I$24,7,FALSE)="MKT",I13,999)))))))))))</f>
        <v>3.7810580665906075E-3</v>
      </c>
      <c r="K13" s="31">
        <f>IF(K$3&lt;VLOOKUP($A13,criteria!$A$4:$I$24,$D$2,FALSE),J13,(IF(AND(criteria!$G13="COS",K$3=criteria!$E13),TransRevR!K13/(Mwh!K13*1000),(IF(AND(criteria!$G13="COS",K$3=criteria!$E13+criteria!$F13),TransRevR!K13/(Mwh!K13*1000),(IF(AND(criteria!$G13="COS",K$3&lt;&gt;criteria!$E13+criteria!$F13),J13,(IF(VLOOKUP($A13,criteria!$A$4:$I$24,7,FALSE)="PBR",(J13*(1+exposure!K$5-exposure!K$7)),(IF(VLOOKUP($A13,criteria!$A$4:$I$24,7,FALSE)="MKT",J13,999)))))))))))</f>
        <v>3.7810580665906075E-3</v>
      </c>
      <c r="L13" s="31">
        <f>IF(L$3&lt;VLOOKUP($A13,criteria!$A$4:$I$24,$D$2,FALSE),K13,(IF(AND(criteria!$G13="COS",L$3=criteria!$E13),TransRevR!L13/(Mwh!L13*1000),(IF(AND(criteria!$G13="COS",L$3=criteria!$E13+criteria!$F13),TransRevR!L13/(Mwh!L13*1000),(IF(AND(criteria!$G13="COS",L$3&lt;&gt;criteria!$E13+criteria!$F13),K13,(IF(VLOOKUP($A13,criteria!$A$4:$I$24,7,FALSE)="PBR",(K13*(1+exposure!L$5-exposure!L$7)),(IF(VLOOKUP($A13,criteria!$A$4:$I$24,7,FALSE)="MKT",K13,999)))))))))))</f>
        <v>3.7810580665906075E-3</v>
      </c>
      <c r="M13" s="31">
        <f>IF(M$3&lt;VLOOKUP($A13,criteria!$A$4:$I$24,$D$2,FALSE),L13,(IF(AND(criteria!$G13="COS",M$3=criteria!$E13),TransRevR!M13/(Mwh!M13*1000),(IF(AND(criteria!$G13="COS",M$3=criteria!$E13+criteria!$F13),TransRevR!M13/(Mwh!M13*1000),(IF(AND(criteria!$G13="COS",M$3&lt;&gt;criteria!$E13+criteria!$F13),L13,(IF(VLOOKUP($A13,criteria!$A$4:$I$24,7,FALSE)="PBR",(L13*(1+exposure!M$5-exposure!M$7)),(IF(VLOOKUP($A13,criteria!$A$4:$I$24,7,FALSE)="MKT",L13,999)))))))))))</f>
        <v>3.7810580665906075E-3</v>
      </c>
    </row>
    <row r="14" spans="1:13" x14ac:dyDescent="0.2">
      <c r="A14" t="str">
        <f>raw!A14</f>
        <v>Illinois Power Co.</v>
      </c>
      <c r="C14" s="22">
        <f>TransRevR!C14/(Mwh!C14*1000)</f>
        <v>2.7513688259949249E-3</v>
      </c>
      <c r="D14" s="31">
        <f>IF(D$3&lt;VLOOKUP($A14,criteria!$A$4:$I$24,$D$2,FALSE),C14,(IF(AND(criteria!$G14="COS",D$3=criteria!$E14),TransRevR!D14/(Mwh!D14*1000),(IF(AND(criteria!$G14="COS",D$3=criteria!$E14+criteria!$F14),TransRevR!D14/(Mwh!D14*1000),(IF(AND(criteria!$G14="COS",D$3&lt;&gt;criteria!$E14+criteria!$F14),C14,(IF(VLOOKUP($A14,criteria!$A$4:$I$24,7,FALSE)="PBR",(C14*(1+exposure!D$5-exposure!D$7)),(IF(VLOOKUP($A14,criteria!$A$4:$I$24,7,FALSE)="MKT",C14,999)))))))))))</f>
        <v>2.7513688259949249E-3</v>
      </c>
      <c r="E14" s="31">
        <f>IF(E$3&lt;VLOOKUP($A14,criteria!$A$4:$I$24,$D$2,FALSE),D14,(IF(AND(criteria!$G14="COS",E$3=criteria!$E14),TransRevR!E14/(Mwh!E14*1000),(IF(AND(criteria!$G14="COS",E$3=criteria!$E14+criteria!$F14),TransRevR!E14/(Mwh!E14*1000),(IF(AND(criteria!$G14="COS",E$3&lt;&gt;criteria!$E14+criteria!$F14),D14,(IF(VLOOKUP($A14,criteria!$A$4:$I$24,7,FALSE)="PBR",(D14*(1+exposure!E$5-exposure!E$7)),(IF(VLOOKUP($A14,criteria!$A$4:$I$24,7,FALSE)="MKT",D14,999)))))))))))</f>
        <v>2.7030910271046466E-3</v>
      </c>
      <c r="F14" s="31">
        <f>IF(F$3&lt;VLOOKUP($A14,criteria!$A$4:$I$24,$D$2,FALSE),E14,(IF(AND(criteria!$G14="COS",F$3=criteria!$E14),TransRevR!F14/(Mwh!F14*1000),(IF(AND(criteria!$G14="COS",F$3=criteria!$E14+criteria!$F14),TransRevR!F14/(Mwh!F14*1000),(IF(AND(criteria!$G14="COS",F$3&lt;&gt;criteria!$E14+criteria!$F14),E14,(IF(VLOOKUP($A14,criteria!$A$4:$I$24,7,FALSE)="PBR",(E14*(1+exposure!F$5-exposure!F$7)),(IF(VLOOKUP($A14,criteria!$A$4:$I$24,7,FALSE)="MKT",E14,999)))))))))))</f>
        <v>2.7030910271046466E-3</v>
      </c>
      <c r="G14" s="31">
        <f>IF(G$3&lt;VLOOKUP($A14,criteria!$A$4:$I$24,$D$2,FALSE),F14,(IF(AND(criteria!$G14="COS",G$3=criteria!$E14),TransRevR!G14/(Mwh!G14*1000),(IF(AND(criteria!$G14="COS",G$3=criteria!$E14+criteria!$F14),TransRevR!G14/(Mwh!G14*1000),(IF(AND(criteria!$G14="COS",G$3&lt;&gt;criteria!$E14+criteria!$F14),F14,(IF(VLOOKUP($A14,criteria!$A$4:$I$24,7,FALSE)="PBR",(F14*(1+exposure!G$5-exposure!G$7)),(IF(VLOOKUP($A14,criteria!$A$4:$I$24,7,FALSE)="MKT",F14,999)))))))))))</f>
        <v>2.7030910271046466E-3</v>
      </c>
      <c r="H14" s="31">
        <f>IF(H$3&lt;VLOOKUP($A14,criteria!$A$4:$I$24,$D$2,FALSE),G14,(IF(AND(criteria!$G14="COS",H$3=criteria!$E14),TransRevR!H14/(Mwh!H14*1000),(IF(AND(criteria!$G14="COS",H$3=criteria!$E14+criteria!$F14),TransRevR!H14/(Mwh!H14*1000),(IF(AND(criteria!$G14="COS",H$3&lt;&gt;criteria!$E14+criteria!$F14),G14,(IF(VLOOKUP($A14,criteria!$A$4:$I$24,7,FALSE)="PBR",(G14*(1+exposure!H$5-exposure!H$7)),(IF(VLOOKUP($A14,criteria!$A$4:$I$24,7,FALSE)="MKT",G14,999)))))))))))</f>
        <v>2.7030910271046466E-3</v>
      </c>
      <c r="I14" s="31">
        <f>IF(I$3&lt;VLOOKUP($A14,criteria!$A$4:$I$24,$D$2,FALSE),H14,(IF(AND(criteria!$G14="COS",I$3=criteria!$E14),TransRevR!I14/(Mwh!I14*1000),(IF(AND(criteria!$G14="COS",I$3=criteria!$E14+criteria!$F14),TransRevR!I14/(Mwh!I14*1000),(IF(AND(criteria!$G14="COS",I$3&lt;&gt;criteria!$E14+criteria!$F14),H14,(IF(VLOOKUP($A14,criteria!$A$4:$I$24,7,FALSE)="PBR",(H14*(1+exposure!I$5-exposure!I$7)),(IF(VLOOKUP($A14,criteria!$A$4:$I$24,7,FALSE)="MKT",H14,999)))))))))))</f>
        <v>2.5910299782375122E-3</v>
      </c>
      <c r="J14" s="31">
        <f>IF(J$3&lt;VLOOKUP($A14,criteria!$A$4:$I$24,$D$2,FALSE),I14,(IF(AND(criteria!$G14="COS",J$3=criteria!$E14),TransRevR!J14/(Mwh!J14*1000),(IF(AND(criteria!$G14="COS",J$3=criteria!$E14+criteria!$F14),TransRevR!J14/(Mwh!J14*1000),(IF(AND(criteria!$G14="COS",J$3&lt;&gt;criteria!$E14+criteria!$F14),I14,(IF(VLOOKUP($A14,criteria!$A$4:$I$24,7,FALSE)="PBR",(I14*(1+exposure!J$5-exposure!J$7)),(IF(VLOOKUP($A14,criteria!$A$4:$I$24,7,FALSE)="MKT",I14,999)))))))))))</f>
        <v>2.5910299782375122E-3</v>
      </c>
      <c r="K14" s="31">
        <f>IF(K$3&lt;VLOOKUP($A14,criteria!$A$4:$I$24,$D$2,FALSE),J14,(IF(AND(criteria!$G14="COS",K$3=criteria!$E14),TransRevR!K14/(Mwh!K14*1000),(IF(AND(criteria!$G14="COS",K$3=criteria!$E14+criteria!$F14),TransRevR!K14/(Mwh!K14*1000),(IF(AND(criteria!$G14="COS",K$3&lt;&gt;criteria!$E14+criteria!$F14),J14,(IF(VLOOKUP($A14,criteria!$A$4:$I$24,7,FALSE)="PBR",(J14*(1+exposure!K$5-exposure!K$7)),(IF(VLOOKUP($A14,criteria!$A$4:$I$24,7,FALSE)="MKT",J14,999)))))))))))</f>
        <v>2.5910299782375122E-3</v>
      </c>
      <c r="L14" s="31">
        <f>IF(L$3&lt;VLOOKUP($A14,criteria!$A$4:$I$24,$D$2,FALSE),K14,(IF(AND(criteria!$G14="COS",L$3=criteria!$E14),TransRevR!L14/(Mwh!L14*1000),(IF(AND(criteria!$G14="COS",L$3=criteria!$E14+criteria!$F14),TransRevR!L14/(Mwh!L14*1000),(IF(AND(criteria!$G14="COS",L$3&lt;&gt;criteria!$E14+criteria!$F14),K14,(IF(VLOOKUP($A14,criteria!$A$4:$I$24,7,FALSE)="PBR",(K14*(1+exposure!L$5-exposure!L$7)),(IF(VLOOKUP($A14,criteria!$A$4:$I$24,7,FALSE)="MKT",K14,999)))))))))))</f>
        <v>2.5910299782375122E-3</v>
      </c>
      <c r="M14" s="31">
        <f>IF(M$3&lt;VLOOKUP($A14,criteria!$A$4:$I$24,$D$2,FALSE),L14,(IF(AND(criteria!$G14="COS",M$3=criteria!$E14),TransRevR!M14/(Mwh!M14*1000),(IF(AND(criteria!$G14="COS",M$3=criteria!$E14+criteria!$F14),TransRevR!M14/(Mwh!M14*1000),(IF(AND(criteria!$G14="COS",M$3&lt;&gt;criteria!$E14+criteria!$F14),L14,(IF(VLOOKUP($A14,criteria!$A$4:$I$24,7,FALSE)="PBR",(L14*(1+exposure!M$5-exposure!M$7)),(IF(VLOOKUP($A14,criteria!$A$4:$I$24,7,FALSE)="MKT",L14,999)))))))))))</f>
        <v>2.5910299782375122E-3</v>
      </c>
    </row>
    <row r="15" spans="1:13" x14ac:dyDescent="0.2">
      <c r="A15" t="str">
        <f>raw!A15</f>
        <v>Jersey Central Power &amp; Light Co.</v>
      </c>
      <c r="C15" s="22">
        <f>TransRevR!C15/(Mwh!C15*1000)</f>
        <v>1.0820010187004764E-2</v>
      </c>
      <c r="D15" s="31">
        <f>IF(D$3&lt;VLOOKUP($A15,criteria!$A$4:$I$24,$D$2,FALSE),C15,(IF(AND(criteria!$G15="COS",D$3=criteria!$E15),TransRevR!D15/(Mwh!D15*1000),(IF(AND(criteria!$G15="COS",D$3=criteria!$E15+criteria!$F15),TransRevR!D15/(Mwh!D15*1000),(IF(AND(criteria!$G15="COS",D$3&lt;&gt;criteria!$E15+criteria!$F15),C15,(IF(VLOOKUP($A15,criteria!$A$4:$I$24,7,FALSE)="PBR",(C15*(1+exposure!D$5-exposure!D$7)),(IF(VLOOKUP($A15,criteria!$A$4:$I$24,7,FALSE)="MKT",C15,999)))))))))))</f>
        <v>1.0820010187004764E-2</v>
      </c>
      <c r="E15" s="31">
        <f>IF(E$3&lt;VLOOKUP($A15,criteria!$A$4:$I$24,$D$2,FALSE),D15,(IF(AND(criteria!$G15="COS",E$3=criteria!$E15),TransRevR!E15/(Mwh!E15*1000),(IF(AND(criteria!$G15="COS",E$3=criteria!$E15+criteria!$F15),TransRevR!E15/(Mwh!E15*1000),(IF(AND(criteria!$G15="COS",E$3&lt;&gt;criteria!$E15+criteria!$F15),D15,(IF(VLOOKUP($A15,criteria!$A$4:$I$24,7,FALSE)="PBR",(D15*(1+exposure!E$5-exposure!E$7)),(IF(VLOOKUP($A15,criteria!$A$4:$I$24,7,FALSE)="MKT",D15,999)))))))))))</f>
        <v>1.0659422794307307E-2</v>
      </c>
      <c r="F15" s="31">
        <f>IF(F$3&lt;VLOOKUP($A15,criteria!$A$4:$I$24,$D$2,FALSE),E15,(IF(AND(criteria!$G15="COS",F$3=criteria!$E15),TransRevR!F15/(Mwh!F15*1000),(IF(AND(criteria!$G15="COS",F$3=criteria!$E15+criteria!$F15),TransRevR!F15/(Mwh!F15*1000),(IF(AND(criteria!$G15="COS",F$3&lt;&gt;criteria!$E15+criteria!$F15),E15,(IF(VLOOKUP($A15,criteria!$A$4:$I$24,7,FALSE)="PBR",(E15*(1+exposure!F$5-exposure!F$7)),(IF(VLOOKUP($A15,criteria!$A$4:$I$24,7,FALSE)="MKT",E15,999)))))))))))</f>
        <v>1.0659422794307307E-2</v>
      </c>
      <c r="G15" s="31">
        <f>IF(G$3&lt;VLOOKUP($A15,criteria!$A$4:$I$24,$D$2,FALSE),F15,(IF(AND(criteria!$G15="COS",G$3=criteria!$E15),TransRevR!G15/(Mwh!G15*1000),(IF(AND(criteria!$G15="COS",G$3=criteria!$E15+criteria!$F15),TransRevR!G15/(Mwh!G15*1000),(IF(AND(criteria!$G15="COS",G$3&lt;&gt;criteria!$E15+criteria!$F15),F15,(IF(VLOOKUP($A15,criteria!$A$4:$I$24,7,FALSE)="PBR",(F15*(1+exposure!G$5-exposure!G$7)),(IF(VLOOKUP($A15,criteria!$A$4:$I$24,7,FALSE)="MKT",F15,999)))))))))))</f>
        <v>1.0659422794307307E-2</v>
      </c>
      <c r="H15" s="31">
        <f>IF(H$3&lt;VLOOKUP($A15,criteria!$A$4:$I$24,$D$2,FALSE),G15,(IF(AND(criteria!$G15="COS",H$3=criteria!$E15),TransRevR!H15/(Mwh!H15*1000),(IF(AND(criteria!$G15="COS",H$3=criteria!$E15+criteria!$F15),TransRevR!H15/(Mwh!H15*1000),(IF(AND(criteria!$G15="COS",H$3&lt;&gt;criteria!$E15+criteria!$F15),G15,(IF(VLOOKUP($A15,criteria!$A$4:$I$24,7,FALSE)="PBR",(G15*(1+exposure!H$5-exposure!H$7)),(IF(VLOOKUP($A15,criteria!$A$4:$I$24,7,FALSE)="MKT",G15,999)))))))))))</f>
        <v>1.0659422794307307E-2</v>
      </c>
      <c r="I15" s="31">
        <f>IF(I$3&lt;VLOOKUP($A15,criteria!$A$4:$I$24,$D$2,FALSE),H15,(IF(AND(criteria!$G15="COS",I$3=criteria!$E15),TransRevR!I15/(Mwh!I15*1000),(IF(AND(criteria!$G15="COS",I$3=criteria!$E15+criteria!$F15),TransRevR!I15/(Mwh!I15*1000),(IF(AND(criteria!$G15="COS",I$3&lt;&gt;criteria!$E15+criteria!$F15),H15,(IF(VLOOKUP($A15,criteria!$A$4:$I$24,7,FALSE)="PBR",(H15*(1+exposure!I$5-exposure!I$7)),(IF(VLOOKUP($A15,criteria!$A$4:$I$24,7,FALSE)="MKT",H15,999)))))))))))</f>
        <v>1.0257080888217959E-2</v>
      </c>
      <c r="J15" s="31">
        <f>IF(J$3&lt;VLOOKUP($A15,criteria!$A$4:$I$24,$D$2,FALSE),I15,(IF(AND(criteria!$G15="COS",J$3=criteria!$E15),TransRevR!J15/(Mwh!J15*1000),(IF(AND(criteria!$G15="COS",J$3=criteria!$E15+criteria!$F15),TransRevR!J15/(Mwh!J15*1000),(IF(AND(criteria!$G15="COS",J$3&lt;&gt;criteria!$E15+criteria!$F15),I15,(IF(VLOOKUP($A15,criteria!$A$4:$I$24,7,FALSE)="PBR",(I15*(1+exposure!J$5-exposure!J$7)),(IF(VLOOKUP($A15,criteria!$A$4:$I$24,7,FALSE)="MKT",I15,999)))))))))))</f>
        <v>1.0257080888217959E-2</v>
      </c>
      <c r="K15" s="31">
        <f>IF(K$3&lt;VLOOKUP($A15,criteria!$A$4:$I$24,$D$2,FALSE),J15,(IF(AND(criteria!$G15="COS",K$3=criteria!$E15),TransRevR!K15/(Mwh!K15*1000),(IF(AND(criteria!$G15="COS",K$3=criteria!$E15+criteria!$F15),TransRevR!K15/(Mwh!K15*1000),(IF(AND(criteria!$G15="COS",K$3&lt;&gt;criteria!$E15+criteria!$F15),J15,(IF(VLOOKUP($A15,criteria!$A$4:$I$24,7,FALSE)="PBR",(J15*(1+exposure!K$5-exposure!K$7)),(IF(VLOOKUP($A15,criteria!$A$4:$I$24,7,FALSE)="MKT",J15,999)))))))))))</f>
        <v>1.0257080888217959E-2</v>
      </c>
      <c r="L15" s="31">
        <f>IF(L$3&lt;VLOOKUP($A15,criteria!$A$4:$I$24,$D$2,FALSE),K15,(IF(AND(criteria!$G15="COS",L$3=criteria!$E15),TransRevR!L15/(Mwh!L15*1000),(IF(AND(criteria!$G15="COS",L$3=criteria!$E15+criteria!$F15),TransRevR!L15/(Mwh!L15*1000),(IF(AND(criteria!$G15="COS",L$3&lt;&gt;criteria!$E15+criteria!$F15),K15,(IF(VLOOKUP($A15,criteria!$A$4:$I$24,7,FALSE)="PBR",(K15*(1+exposure!L$5-exposure!L$7)),(IF(VLOOKUP($A15,criteria!$A$4:$I$24,7,FALSE)="MKT",K15,999)))))))))))</f>
        <v>1.0257080888217959E-2</v>
      </c>
      <c r="M15" s="31">
        <f>IF(M$3&lt;VLOOKUP($A15,criteria!$A$4:$I$24,$D$2,FALSE),L15,(IF(AND(criteria!$G15="COS",M$3=criteria!$E15),TransRevR!M15/(Mwh!M15*1000),(IF(AND(criteria!$G15="COS",M$3=criteria!$E15+criteria!$F15),TransRevR!M15/(Mwh!M15*1000),(IF(AND(criteria!$G15="COS",M$3&lt;&gt;criteria!$E15+criteria!$F15),L15,(IF(VLOOKUP($A15,criteria!$A$4:$I$24,7,FALSE)="PBR",(L15*(1+exposure!M$5-exposure!M$7)),(IF(VLOOKUP($A15,criteria!$A$4:$I$24,7,FALSE)="MKT",L15,999)))))))))))</f>
        <v>1.0257080888217959E-2</v>
      </c>
    </row>
    <row r="16" spans="1:13" x14ac:dyDescent="0.2">
      <c r="A16" t="str">
        <f>raw!A16</f>
        <v>Kentucky Utilities Co.</v>
      </c>
      <c r="C16" s="22">
        <f>TransRevR!C16/(Mwh!C16*1000)</f>
        <v>4.3531505441912069E-3</v>
      </c>
      <c r="D16" s="31">
        <f>IF(D$3&lt;VLOOKUP($A16,criteria!$A$4:$I$24,$D$2,FALSE),C16,(IF(AND(criteria!$G16="COS",D$3=criteria!$E16),TransRevR!D16/(Mwh!D16*1000),(IF(AND(criteria!$G16="COS",D$3=criteria!$E16+criteria!$F16),TransRevR!D16/(Mwh!D16*1000),(IF(AND(criteria!$G16="COS",D$3&lt;&gt;criteria!$E16+criteria!$F16),C16,(IF(VLOOKUP($A16,criteria!$A$4:$I$24,7,FALSE)="PBR",(C16*(1+exposure!D$5-exposure!D$7)),(IF(VLOOKUP($A16,criteria!$A$4:$I$24,7,FALSE)="MKT",C16,999)))))))))))</f>
        <v>4.3531505441912069E-3</v>
      </c>
      <c r="E16" s="31">
        <f>IF(E$3&lt;VLOOKUP($A16,criteria!$A$4:$I$24,$D$2,FALSE),D16,(IF(AND(criteria!$G16="COS",E$3=criteria!$E16),TransRevR!E16/(Mwh!E16*1000),(IF(AND(criteria!$G16="COS",E$3=criteria!$E16+criteria!$F16),TransRevR!E16/(Mwh!E16*1000),(IF(AND(criteria!$G16="COS",E$3&lt;&gt;criteria!$E16+criteria!$F16),D16,(IF(VLOOKUP($A16,criteria!$A$4:$I$24,7,FALSE)="PBR",(D16*(1+exposure!E$5-exposure!E$7)),(IF(VLOOKUP($A16,criteria!$A$4:$I$24,7,FALSE)="MKT",D16,999)))))))))))</f>
        <v>4.2740600671119277E-3</v>
      </c>
      <c r="F16" s="31">
        <f>IF(F$3&lt;VLOOKUP($A16,criteria!$A$4:$I$24,$D$2,FALSE),E16,(IF(AND(criteria!$G16="COS",F$3=criteria!$E16),TransRevR!F16/(Mwh!F16*1000),(IF(AND(criteria!$G16="COS",F$3=criteria!$E16+criteria!$F16),TransRevR!F16/(Mwh!F16*1000),(IF(AND(criteria!$G16="COS",F$3&lt;&gt;criteria!$E16+criteria!$F16),E16,(IF(VLOOKUP($A16,criteria!$A$4:$I$24,7,FALSE)="PBR",(E16*(1+exposure!F$5-exposure!F$7)),(IF(VLOOKUP($A16,criteria!$A$4:$I$24,7,FALSE)="MKT",E16,999)))))))))))</f>
        <v>4.2740600671119277E-3</v>
      </c>
      <c r="G16" s="31">
        <f>IF(G$3&lt;VLOOKUP($A16,criteria!$A$4:$I$24,$D$2,FALSE),F16,(IF(AND(criteria!$G16="COS",G$3=criteria!$E16),TransRevR!G16/(Mwh!G16*1000),(IF(AND(criteria!$G16="COS",G$3=criteria!$E16+criteria!$F16),TransRevR!G16/(Mwh!G16*1000),(IF(AND(criteria!$G16="COS",G$3&lt;&gt;criteria!$E16+criteria!$F16),F16,(IF(VLOOKUP($A16,criteria!$A$4:$I$24,7,FALSE)="PBR",(F16*(1+exposure!G$5-exposure!G$7)),(IF(VLOOKUP($A16,criteria!$A$4:$I$24,7,FALSE)="MKT",F16,999)))))))))))</f>
        <v>4.2740600671119277E-3</v>
      </c>
      <c r="H16" s="31">
        <f>IF(H$3&lt;VLOOKUP($A16,criteria!$A$4:$I$24,$D$2,FALSE),G16,(IF(AND(criteria!$G16="COS",H$3=criteria!$E16),TransRevR!H16/(Mwh!H16*1000),(IF(AND(criteria!$G16="COS",H$3=criteria!$E16+criteria!$F16),TransRevR!H16/(Mwh!H16*1000),(IF(AND(criteria!$G16="COS",H$3&lt;&gt;criteria!$E16+criteria!$F16),G16,(IF(VLOOKUP($A16,criteria!$A$4:$I$24,7,FALSE)="PBR",(G16*(1+exposure!H$5-exposure!H$7)),(IF(VLOOKUP($A16,criteria!$A$4:$I$24,7,FALSE)="MKT",G16,999)))))))))))</f>
        <v>4.2740600671119277E-3</v>
      </c>
      <c r="I16" s="31">
        <f>IF(I$3&lt;VLOOKUP($A16,criteria!$A$4:$I$24,$D$2,FALSE),H16,(IF(AND(criteria!$G16="COS",I$3=criteria!$E16),TransRevR!I16/(Mwh!I16*1000),(IF(AND(criteria!$G16="COS",I$3=criteria!$E16+criteria!$F16),TransRevR!I16/(Mwh!I16*1000),(IF(AND(criteria!$G16="COS",I$3&lt;&gt;criteria!$E16+criteria!$F16),H16,(IF(VLOOKUP($A16,criteria!$A$4:$I$24,7,FALSE)="PBR",(H16*(1+exposure!I$5-exposure!I$7)),(IF(VLOOKUP($A16,criteria!$A$4:$I$24,7,FALSE)="MKT",H16,999)))))))))))</f>
        <v>4.0968343490339716E-3</v>
      </c>
      <c r="J16" s="31">
        <f>IF(J$3&lt;VLOOKUP($A16,criteria!$A$4:$I$24,$D$2,FALSE),I16,(IF(AND(criteria!$G16="COS",J$3=criteria!$E16),TransRevR!J16/(Mwh!J16*1000),(IF(AND(criteria!$G16="COS",J$3=criteria!$E16+criteria!$F16),TransRevR!J16/(Mwh!J16*1000),(IF(AND(criteria!$G16="COS",J$3&lt;&gt;criteria!$E16+criteria!$F16),I16,(IF(VLOOKUP($A16,criteria!$A$4:$I$24,7,FALSE)="PBR",(I16*(1+exposure!J$5-exposure!J$7)),(IF(VLOOKUP($A16,criteria!$A$4:$I$24,7,FALSE)="MKT",I16,999)))))))))))</f>
        <v>4.0968343490339716E-3</v>
      </c>
      <c r="K16" s="31">
        <f>IF(K$3&lt;VLOOKUP($A16,criteria!$A$4:$I$24,$D$2,FALSE),J16,(IF(AND(criteria!$G16="COS",K$3=criteria!$E16),TransRevR!K16/(Mwh!K16*1000),(IF(AND(criteria!$G16="COS",K$3=criteria!$E16+criteria!$F16),TransRevR!K16/(Mwh!K16*1000),(IF(AND(criteria!$G16="COS",K$3&lt;&gt;criteria!$E16+criteria!$F16),J16,(IF(VLOOKUP($A16,criteria!$A$4:$I$24,7,FALSE)="PBR",(J16*(1+exposure!K$5-exposure!K$7)),(IF(VLOOKUP($A16,criteria!$A$4:$I$24,7,FALSE)="MKT",J16,999)))))))))))</f>
        <v>4.0968343490339716E-3</v>
      </c>
      <c r="L16" s="31">
        <f>IF(L$3&lt;VLOOKUP($A16,criteria!$A$4:$I$24,$D$2,FALSE),K16,(IF(AND(criteria!$G16="COS",L$3=criteria!$E16),TransRevR!L16/(Mwh!L16*1000),(IF(AND(criteria!$G16="COS",L$3=criteria!$E16+criteria!$F16),TransRevR!L16/(Mwh!L16*1000),(IF(AND(criteria!$G16="COS",L$3&lt;&gt;criteria!$E16+criteria!$F16),K16,(IF(VLOOKUP($A16,criteria!$A$4:$I$24,7,FALSE)="PBR",(K16*(1+exposure!L$5-exposure!L$7)),(IF(VLOOKUP($A16,criteria!$A$4:$I$24,7,FALSE)="MKT",K16,999)))))))))))</f>
        <v>4.0968343490339716E-3</v>
      </c>
      <c r="M16" s="31">
        <f>IF(M$3&lt;VLOOKUP($A16,criteria!$A$4:$I$24,$D$2,FALSE),L16,(IF(AND(criteria!$G16="COS",M$3=criteria!$E16),TransRevR!M16/(Mwh!M16*1000),(IF(AND(criteria!$G16="COS",M$3=criteria!$E16+criteria!$F16),TransRevR!M16/(Mwh!M16*1000),(IF(AND(criteria!$G16="COS",M$3&lt;&gt;criteria!$E16+criteria!$F16),L16,(IF(VLOOKUP($A16,criteria!$A$4:$I$24,7,FALSE)="PBR",(L16*(1+exposure!M$5-exposure!M$7)),(IF(VLOOKUP($A16,criteria!$A$4:$I$24,7,FALSE)="MKT",L16,999)))))))))))</f>
        <v>4.0968343490339716E-3</v>
      </c>
    </row>
    <row r="17" spans="1:13" x14ac:dyDescent="0.2">
      <c r="A17" t="str">
        <f>raw!A17</f>
        <v>Ohio Power Co.</v>
      </c>
      <c r="C17" s="22">
        <f>TransRevR!C17/(Mwh!C17*1000)</f>
        <v>5.5776767438553863E-3</v>
      </c>
      <c r="D17" s="31">
        <f>IF(D$3&lt;VLOOKUP($A17,criteria!$A$4:$I$24,$D$2,FALSE),C17,(IF(AND(criteria!$G17="COS",D$3=criteria!$E17),TransRevR!D17/(Mwh!D17*1000),(IF(AND(criteria!$G17="COS",D$3=criteria!$E17+criteria!$F17),TransRevR!D17/(Mwh!D17*1000),(IF(AND(criteria!$G17="COS",D$3&lt;&gt;criteria!$E17+criteria!$F17),C17,(IF(VLOOKUP($A17,criteria!$A$4:$I$24,7,FALSE)="PBR",(C17*(1+exposure!D$5-exposure!D$7)),(IF(VLOOKUP($A17,criteria!$A$4:$I$24,7,FALSE)="MKT",C17,999)))))))))))</f>
        <v>5.5776767438553863E-3</v>
      </c>
      <c r="E17" s="31">
        <f>IF(E$3&lt;VLOOKUP($A17,criteria!$A$4:$I$24,$D$2,FALSE),D17,(IF(AND(criteria!$G17="COS",E$3=criteria!$E17),TransRevR!E17/(Mwh!E17*1000),(IF(AND(criteria!$G17="COS",E$3=criteria!$E17+criteria!$F17),TransRevR!E17/(Mwh!E17*1000),(IF(AND(criteria!$G17="COS",E$3&lt;&gt;criteria!$E17+criteria!$F17),D17,(IF(VLOOKUP($A17,criteria!$A$4:$I$24,7,FALSE)="PBR",(D17*(1+exposure!E$5-exposure!E$7)),(IF(VLOOKUP($A17,criteria!$A$4:$I$24,7,FALSE)="MKT",D17,999)))))))))))</f>
        <v>5.4998393354421821E-3</v>
      </c>
      <c r="F17" s="31">
        <f>IF(F$3&lt;VLOOKUP($A17,criteria!$A$4:$I$24,$D$2,FALSE),E17,(IF(AND(criteria!$G17="COS",F$3=criteria!$E17),TransRevR!F17/(Mwh!F17*1000),(IF(AND(criteria!$G17="COS",F$3=criteria!$E17+criteria!$F17),TransRevR!F17/(Mwh!F17*1000),(IF(AND(criteria!$G17="COS",F$3&lt;&gt;criteria!$E17+criteria!$F17),E17,(IF(VLOOKUP($A17,criteria!$A$4:$I$24,7,FALSE)="PBR",(E17*(1+exposure!F$5-exposure!F$7)),(IF(VLOOKUP($A17,criteria!$A$4:$I$24,7,FALSE)="MKT",E17,999)))))))))))</f>
        <v>5.4998393354421821E-3</v>
      </c>
      <c r="G17" s="31">
        <f>IF(G$3&lt;VLOOKUP($A17,criteria!$A$4:$I$24,$D$2,FALSE),F17,(IF(AND(criteria!$G17="COS",G$3=criteria!$E17),TransRevR!G17/(Mwh!G17*1000),(IF(AND(criteria!$G17="COS",G$3=criteria!$E17+criteria!$F17),TransRevR!G17/(Mwh!G17*1000),(IF(AND(criteria!$G17="COS",G$3&lt;&gt;criteria!$E17+criteria!$F17),F17,(IF(VLOOKUP($A17,criteria!$A$4:$I$24,7,FALSE)="PBR",(F17*(1+exposure!G$5-exposure!G$7)),(IF(VLOOKUP($A17,criteria!$A$4:$I$24,7,FALSE)="MKT",F17,999)))))))))))</f>
        <v>5.4998393354421821E-3</v>
      </c>
      <c r="H17" s="31">
        <f>IF(H$3&lt;VLOOKUP($A17,criteria!$A$4:$I$24,$D$2,FALSE),G17,(IF(AND(criteria!$G17="COS",H$3=criteria!$E17),TransRevR!H17/(Mwh!H17*1000),(IF(AND(criteria!$G17="COS",H$3=criteria!$E17+criteria!$F17),TransRevR!H17/(Mwh!H17*1000),(IF(AND(criteria!$G17="COS",H$3&lt;&gt;criteria!$E17+criteria!$F17),G17,(IF(VLOOKUP($A17,criteria!$A$4:$I$24,7,FALSE)="PBR",(G17*(1+exposure!H$5-exposure!H$7)),(IF(VLOOKUP($A17,criteria!$A$4:$I$24,7,FALSE)="MKT",G17,999)))))))))))</f>
        <v>5.4998393354421821E-3</v>
      </c>
      <c r="I17" s="31">
        <f>IF(I$3&lt;VLOOKUP($A17,criteria!$A$4:$I$24,$D$2,FALSE),H17,(IF(AND(criteria!$G17="COS",I$3=criteria!$E17),TransRevR!I17/(Mwh!I17*1000),(IF(AND(criteria!$G17="COS",I$3=criteria!$E17+criteria!$F17),TransRevR!I17/(Mwh!I17*1000),(IF(AND(criteria!$G17="COS",I$3&lt;&gt;criteria!$E17+criteria!$F17),H17,(IF(VLOOKUP($A17,criteria!$A$4:$I$24,7,FALSE)="PBR",(H17*(1+exposure!I$5-exposure!I$7)),(IF(VLOOKUP($A17,criteria!$A$4:$I$24,7,FALSE)="MKT",H17,999)))))))))))</f>
        <v>5.3024858667549577E-3</v>
      </c>
      <c r="J17" s="31">
        <f>IF(J$3&lt;VLOOKUP($A17,criteria!$A$4:$I$24,$D$2,FALSE),I17,(IF(AND(criteria!$G17="COS",J$3=criteria!$E17),TransRevR!J17/(Mwh!J17*1000),(IF(AND(criteria!$G17="COS",J$3=criteria!$E17+criteria!$F17),TransRevR!J17/(Mwh!J17*1000),(IF(AND(criteria!$G17="COS",J$3&lt;&gt;criteria!$E17+criteria!$F17),I17,(IF(VLOOKUP($A17,criteria!$A$4:$I$24,7,FALSE)="PBR",(I17*(1+exposure!J$5-exposure!J$7)),(IF(VLOOKUP($A17,criteria!$A$4:$I$24,7,FALSE)="MKT",I17,999)))))))))))</f>
        <v>5.3024858667549577E-3</v>
      </c>
      <c r="K17" s="31">
        <f>IF(K$3&lt;VLOOKUP($A17,criteria!$A$4:$I$24,$D$2,FALSE),J17,(IF(AND(criteria!$G17="COS",K$3=criteria!$E17),TransRevR!K17/(Mwh!K17*1000),(IF(AND(criteria!$G17="COS",K$3=criteria!$E17+criteria!$F17),TransRevR!K17/(Mwh!K17*1000),(IF(AND(criteria!$G17="COS",K$3&lt;&gt;criteria!$E17+criteria!$F17),J17,(IF(VLOOKUP($A17,criteria!$A$4:$I$24,7,FALSE)="PBR",(J17*(1+exposure!K$5-exposure!K$7)),(IF(VLOOKUP($A17,criteria!$A$4:$I$24,7,FALSE)="MKT",J17,999)))))))))))</f>
        <v>5.3024858667549577E-3</v>
      </c>
      <c r="L17" s="31">
        <f>IF(L$3&lt;VLOOKUP($A17,criteria!$A$4:$I$24,$D$2,FALSE),K17,(IF(AND(criteria!$G17="COS",L$3=criteria!$E17),TransRevR!L17/(Mwh!L17*1000),(IF(AND(criteria!$G17="COS",L$3=criteria!$E17+criteria!$F17),TransRevR!L17/(Mwh!L17*1000),(IF(AND(criteria!$G17="COS",L$3&lt;&gt;criteria!$E17+criteria!$F17),K17,(IF(VLOOKUP($A17,criteria!$A$4:$I$24,7,FALSE)="PBR",(K17*(1+exposure!L$5-exposure!L$7)),(IF(VLOOKUP($A17,criteria!$A$4:$I$24,7,FALSE)="MKT",K17,999)))))))))))</f>
        <v>5.3024858667549577E-3</v>
      </c>
      <c r="M17" s="31">
        <f>IF(M$3&lt;VLOOKUP($A17,criteria!$A$4:$I$24,$D$2,FALSE),L17,(IF(AND(criteria!$G17="COS",M$3=criteria!$E17),TransRevR!M17/(Mwh!M17*1000),(IF(AND(criteria!$G17="COS",M$3=criteria!$E17+criteria!$F17),TransRevR!M17/(Mwh!M17*1000),(IF(AND(criteria!$G17="COS",M$3&lt;&gt;criteria!$E17+criteria!$F17),L17,(IF(VLOOKUP($A17,criteria!$A$4:$I$24,7,FALSE)="PBR",(L17*(1+exposure!M$5-exposure!M$7)),(IF(VLOOKUP($A17,criteria!$A$4:$I$24,7,FALSE)="MKT",L17,999)))))))))))</f>
        <v>5.3024858667549577E-3</v>
      </c>
    </row>
    <row r="18" spans="1:13" x14ac:dyDescent="0.2">
      <c r="A18" t="str">
        <f>raw!A18</f>
        <v>PPL Electric Utilities Corp.</v>
      </c>
      <c r="C18" s="22">
        <f>TransRevR!C18/(Mwh!C18*1000)</f>
        <v>2.4638418940697978E-3</v>
      </c>
      <c r="D18" s="31">
        <f>IF(D$3&lt;VLOOKUP($A18,criteria!$A$4:$I$24,$D$2,FALSE),C18,(IF(AND(criteria!$G18="COS",D$3=criteria!$E18),TransRevR!D18/(Mwh!D18*1000),(IF(AND(criteria!$G18="COS",D$3=criteria!$E18+criteria!$F18),TransRevR!D18/(Mwh!D18*1000),(IF(AND(criteria!$G18="COS",D$3&lt;&gt;criteria!$E18+criteria!$F18),C18,(IF(VLOOKUP($A18,criteria!$A$4:$I$24,7,FALSE)="PBR",(C18*(1+exposure!D$5-exposure!D$7)),(IF(VLOOKUP($A18,criteria!$A$4:$I$24,7,FALSE)="MKT",C18,999)))))))))))</f>
        <v>2.4638418940697978E-3</v>
      </c>
      <c r="E18" s="31">
        <f>IF(E$3&lt;VLOOKUP($A18,criteria!$A$4:$I$24,$D$2,FALSE),D18,(IF(AND(criteria!$G18="COS",E$3=criteria!$E18),TransRevR!E18/(Mwh!E18*1000),(IF(AND(criteria!$G18="COS",E$3=criteria!$E18+criteria!$F18),TransRevR!E18/(Mwh!E18*1000),(IF(AND(criteria!$G18="COS",E$3&lt;&gt;criteria!$E18+criteria!$F18),D18,(IF(VLOOKUP($A18,criteria!$A$4:$I$24,7,FALSE)="PBR",(D18*(1+exposure!E$5-exposure!E$7)),(IF(VLOOKUP($A18,criteria!$A$4:$I$24,7,FALSE)="MKT",D18,999)))))))))))</f>
        <v>2.4244772164197224E-3</v>
      </c>
      <c r="F18" s="31">
        <f>IF(F$3&lt;VLOOKUP($A18,criteria!$A$4:$I$24,$D$2,FALSE),E18,(IF(AND(criteria!$G18="COS",F$3=criteria!$E18),TransRevR!F18/(Mwh!F18*1000),(IF(AND(criteria!$G18="COS",F$3=criteria!$E18+criteria!$F18),TransRevR!F18/(Mwh!F18*1000),(IF(AND(criteria!$G18="COS",F$3&lt;&gt;criteria!$E18+criteria!$F18),E18,(IF(VLOOKUP($A18,criteria!$A$4:$I$24,7,FALSE)="PBR",(E18*(1+exposure!F$5-exposure!F$7)),(IF(VLOOKUP($A18,criteria!$A$4:$I$24,7,FALSE)="MKT",E18,999)))))))))))</f>
        <v>2.4244772164197224E-3</v>
      </c>
      <c r="G18" s="31">
        <f>IF(G$3&lt;VLOOKUP($A18,criteria!$A$4:$I$24,$D$2,FALSE),F18,(IF(AND(criteria!$G18="COS",G$3=criteria!$E18),TransRevR!G18/(Mwh!G18*1000),(IF(AND(criteria!$G18="COS",G$3=criteria!$E18+criteria!$F18),TransRevR!G18/(Mwh!G18*1000),(IF(AND(criteria!$G18="COS",G$3&lt;&gt;criteria!$E18+criteria!$F18),F18,(IF(VLOOKUP($A18,criteria!$A$4:$I$24,7,FALSE)="PBR",(F18*(1+exposure!G$5-exposure!G$7)),(IF(VLOOKUP($A18,criteria!$A$4:$I$24,7,FALSE)="MKT",F18,999)))))))))))</f>
        <v>2.4244772164197224E-3</v>
      </c>
      <c r="H18" s="31">
        <f>IF(H$3&lt;VLOOKUP($A18,criteria!$A$4:$I$24,$D$2,FALSE),G18,(IF(AND(criteria!$G18="COS",H$3=criteria!$E18),TransRevR!H18/(Mwh!H18*1000),(IF(AND(criteria!$G18="COS",H$3=criteria!$E18+criteria!$F18),TransRevR!H18/(Mwh!H18*1000),(IF(AND(criteria!$G18="COS",H$3&lt;&gt;criteria!$E18+criteria!$F18),G18,(IF(VLOOKUP($A18,criteria!$A$4:$I$24,7,FALSE)="PBR",(G18*(1+exposure!H$5-exposure!H$7)),(IF(VLOOKUP($A18,criteria!$A$4:$I$24,7,FALSE)="MKT",G18,999)))))))))))</f>
        <v>2.4244772164197224E-3</v>
      </c>
      <c r="I18" s="31">
        <f>IF(I$3&lt;VLOOKUP($A18,criteria!$A$4:$I$24,$D$2,FALSE),H18,(IF(AND(criteria!$G18="COS",I$3=criteria!$E18),TransRevR!I18/(Mwh!I18*1000),(IF(AND(criteria!$G18="COS",I$3=criteria!$E18+criteria!$F18),TransRevR!I18/(Mwh!I18*1000),(IF(AND(criteria!$G18="COS",I$3&lt;&gt;criteria!$E18+criteria!$F18),H18,(IF(VLOOKUP($A18,criteria!$A$4:$I$24,7,FALSE)="PBR",(H18*(1+exposure!I$5-exposure!I$7)),(IF(VLOOKUP($A18,criteria!$A$4:$I$24,7,FALSE)="MKT",H18,999)))))))))))</f>
        <v>2.3305544647061927E-3</v>
      </c>
      <c r="J18" s="31">
        <f>IF(J$3&lt;VLOOKUP($A18,criteria!$A$4:$I$24,$D$2,FALSE),I18,(IF(AND(criteria!$G18="COS",J$3=criteria!$E18),TransRevR!J18/(Mwh!J18*1000),(IF(AND(criteria!$G18="COS",J$3=criteria!$E18+criteria!$F18),TransRevR!J18/(Mwh!J18*1000),(IF(AND(criteria!$G18="COS",J$3&lt;&gt;criteria!$E18+criteria!$F18),I18,(IF(VLOOKUP($A18,criteria!$A$4:$I$24,7,FALSE)="PBR",(I18*(1+exposure!J$5-exposure!J$7)),(IF(VLOOKUP($A18,criteria!$A$4:$I$24,7,FALSE)="MKT",I18,999)))))))))))</f>
        <v>2.3305544647061927E-3</v>
      </c>
      <c r="K18" s="31">
        <f>IF(K$3&lt;VLOOKUP($A18,criteria!$A$4:$I$24,$D$2,FALSE),J18,(IF(AND(criteria!$G18="COS",K$3=criteria!$E18),TransRevR!K18/(Mwh!K18*1000),(IF(AND(criteria!$G18="COS",K$3=criteria!$E18+criteria!$F18),TransRevR!K18/(Mwh!K18*1000),(IF(AND(criteria!$G18="COS",K$3&lt;&gt;criteria!$E18+criteria!$F18),J18,(IF(VLOOKUP($A18,criteria!$A$4:$I$24,7,FALSE)="PBR",(J18*(1+exposure!K$5-exposure!K$7)),(IF(VLOOKUP($A18,criteria!$A$4:$I$24,7,FALSE)="MKT",J18,999)))))))))))</f>
        <v>2.3305544647061927E-3</v>
      </c>
      <c r="L18" s="31">
        <f>IF(L$3&lt;VLOOKUP($A18,criteria!$A$4:$I$24,$D$2,FALSE),K18,(IF(AND(criteria!$G18="COS",L$3=criteria!$E18),TransRevR!L18/(Mwh!L18*1000),(IF(AND(criteria!$G18="COS",L$3=criteria!$E18+criteria!$F18),TransRevR!L18/(Mwh!L18*1000),(IF(AND(criteria!$G18="COS",L$3&lt;&gt;criteria!$E18+criteria!$F18),K18,(IF(VLOOKUP($A18,criteria!$A$4:$I$24,7,FALSE)="PBR",(K18*(1+exposure!L$5-exposure!L$7)),(IF(VLOOKUP($A18,criteria!$A$4:$I$24,7,FALSE)="MKT",K18,999)))))))))))</f>
        <v>2.3305544647061927E-3</v>
      </c>
      <c r="M18" s="31">
        <f>IF(M$3&lt;VLOOKUP($A18,criteria!$A$4:$I$24,$D$2,FALSE),L18,(IF(AND(criteria!$G18="COS",M$3=criteria!$E18),TransRevR!M18/(Mwh!M18*1000),(IF(AND(criteria!$G18="COS",M$3=criteria!$E18+criteria!$F18),TransRevR!M18/(Mwh!M18*1000),(IF(AND(criteria!$G18="COS",M$3&lt;&gt;criteria!$E18+criteria!$F18),L18,(IF(VLOOKUP($A18,criteria!$A$4:$I$24,7,FALSE)="PBR",(L18*(1+exposure!M$5-exposure!M$7)),(IF(VLOOKUP($A18,criteria!$A$4:$I$24,7,FALSE)="MKT",L18,999)))))))))))</f>
        <v>2.3305544647061927E-3</v>
      </c>
    </row>
    <row r="19" spans="1:13" x14ac:dyDescent="0.2">
      <c r="A19" t="str">
        <f>raw!A19</f>
        <v>Pacific Gas &amp; Electric Co.</v>
      </c>
      <c r="C19" s="22">
        <f>TransRevR!C19/(Mwh!C19*1000)</f>
        <v>7.9302902892556936E-3</v>
      </c>
      <c r="D19" s="31">
        <f>IF(D$3&lt;VLOOKUP($A19,criteria!$A$4:$I$24,$D$2,FALSE),C19,(IF(AND(criteria!$G19="COS",D$3=criteria!$E19),TransRevR!D19/(Mwh!D19*1000),(IF(AND(criteria!$G19="COS",D$3=criteria!$E19+criteria!$F19),TransRevR!D19/(Mwh!D19*1000),(IF(AND(criteria!$G19="COS",D$3&lt;&gt;criteria!$E19+criteria!$F19),C19,(IF(VLOOKUP($A19,criteria!$A$4:$I$24,7,FALSE)="PBR",(C19*(1+exposure!D$5-exposure!D$7)),(IF(VLOOKUP($A19,criteria!$A$4:$I$24,7,FALSE)="MKT",C19,999)))))))))))</f>
        <v>7.8765770062168162E-3</v>
      </c>
      <c r="E19" s="31">
        <f>IF(E$3&lt;VLOOKUP($A19,criteria!$A$4:$I$24,$D$2,FALSE),D19,(IF(AND(criteria!$G19="COS",E$3=criteria!$E19),TransRevR!E19/(Mwh!E19*1000),(IF(AND(criteria!$G19="COS",E$3=criteria!$E19+criteria!$F19),TransRevR!E19/(Mwh!E19*1000),(IF(AND(criteria!$G19="COS",E$3&lt;&gt;criteria!$E19+criteria!$F19),D19,(IF(VLOOKUP($A19,criteria!$A$4:$I$24,7,FALSE)="PBR",(D19*(1+exposure!E$5-exposure!E$7)),(IF(VLOOKUP($A19,criteria!$A$4:$I$24,7,FALSE)="MKT",D19,999)))))))))))</f>
        <v>7.8765770062168162E-3</v>
      </c>
      <c r="F19" s="31">
        <f>IF(F$3&lt;VLOOKUP($A19,criteria!$A$4:$I$24,$D$2,FALSE),E19,(IF(AND(criteria!$G19="COS",F$3=criteria!$E19),TransRevR!F19/(Mwh!F19*1000),(IF(AND(criteria!$G19="COS",F$3=criteria!$E19+criteria!$F19),TransRevR!F19/(Mwh!F19*1000),(IF(AND(criteria!$G19="COS",F$3&lt;&gt;criteria!$E19+criteria!$F19),E19,(IF(VLOOKUP($A19,criteria!$A$4:$I$24,7,FALSE)="PBR",(E19*(1+exposure!F$5-exposure!F$7)),(IF(VLOOKUP($A19,criteria!$A$4:$I$24,7,FALSE)="MKT",E19,999)))))))))))</f>
        <v>7.8765770062168162E-3</v>
      </c>
      <c r="G19" s="31">
        <f>IF(G$3&lt;VLOOKUP($A19,criteria!$A$4:$I$24,$D$2,FALSE),F19,(IF(AND(criteria!$G19="COS",G$3=criteria!$E19),TransRevR!G19/(Mwh!G19*1000),(IF(AND(criteria!$G19="COS",G$3=criteria!$E19+criteria!$F19),TransRevR!G19/(Mwh!G19*1000),(IF(AND(criteria!$G19="COS",G$3&lt;&gt;criteria!$E19+criteria!$F19),F19,(IF(VLOOKUP($A19,criteria!$A$4:$I$24,7,FALSE)="PBR",(F19*(1+exposure!G$5-exposure!G$7)),(IF(VLOOKUP($A19,criteria!$A$4:$I$24,7,FALSE)="MKT",F19,999)))))))))))</f>
        <v>7.8765770062168162E-3</v>
      </c>
      <c r="H19" s="31">
        <f>IF(H$3&lt;VLOOKUP($A19,criteria!$A$4:$I$24,$D$2,FALSE),G19,(IF(AND(criteria!$G19="COS",H$3=criteria!$E19),TransRevR!H19/(Mwh!H19*1000),(IF(AND(criteria!$G19="COS",H$3=criteria!$E19+criteria!$F19),TransRevR!H19/(Mwh!H19*1000),(IF(AND(criteria!$G19="COS",H$3&lt;&gt;criteria!$E19+criteria!$F19),G19,(IF(VLOOKUP($A19,criteria!$A$4:$I$24,7,FALSE)="PBR",(G19*(1+exposure!H$5-exposure!H$7)),(IF(VLOOKUP($A19,criteria!$A$4:$I$24,7,FALSE)="MKT",G19,999)))))))))))</f>
        <v>7.5893696328950613E-3</v>
      </c>
      <c r="I19" s="31">
        <f>IF(I$3&lt;VLOOKUP($A19,criteria!$A$4:$I$24,$D$2,FALSE),H19,(IF(AND(criteria!$G19="COS",I$3=criteria!$E19),TransRevR!I19/(Mwh!I19*1000),(IF(AND(criteria!$G19="COS",I$3=criteria!$E19+criteria!$F19),TransRevR!I19/(Mwh!I19*1000),(IF(AND(criteria!$G19="COS",I$3&lt;&gt;criteria!$E19+criteria!$F19),H19,(IF(VLOOKUP($A19,criteria!$A$4:$I$24,7,FALSE)="PBR",(H19*(1+exposure!I$5-exposure!I$7)),(IF(VLOOKUP($A19,criteria!$A$4:$I$24,7,FALSE)="MKT",H19,999)))))))))))</f>
        <v>7.5893696328950613E-3</v>
      </c>
      <c r="J19" s="31">
        <f>IF(J$3&lt;VLOOKUP($A19,criteria!$A$4:$I$24,$D$2,FALSE),I19,(IF(AND(criteria!$G19="COS",J$3=criteria!$E19),TransRevR!J19/(Mwh!J19*1000),(IF(AND(criteria!$G19="COS",J$3=criteria!$E19+criteria!$F19),TransRevR!J19/(Mwh!J19*1000),(IF(AND(criteria!$G19="COS",J$3&lt;&gt;criteria!$E19+criteria!$F19),I19,(IF(VLOOKUP($A19,criteria!$A$4:$I$24,7,FALSE)="PBR",(I19*(1+exposure!J$5-exposure!J$7)),(IF(VLOOKUP($A19,criteria!$A$4:$I$24,7,FALSE)="MKT",I19,999)))))))))))</f>
        <v>7.5893696328950613E-3</v>
      </c>
      <c r="K19" s="31">
        <f>IF(K$3&lt;VLOOKUP($A19,criteria!$A$4:$I$24,$D$2,FALSE),J19,(IF(AND(criteria!$G19="COS",K$3=criteria!$E19),TransRevR!K19/(Mwh!K19*1000),(IF(AND(criteria!$G19="COS",K$3=criteria!$E19+criteria!$F19),TransRevR!K19/(Mwh!K19*1000),(IF(AND(criteria!$G19="COS",K$3&lt;&gt;criteria!$E19+criteria!$F19),J19,(IF(VLOOKUP($A19,criteria!$A$4:$I$24,7,FALSE)="PBR",(J19*(1+exposure!K$5-exposure!K$7)),(IF(VLOOKUP($A19,criteria!$A$4:$I$24,7,FALSE)="MKT",J19,999)))))))))))</f>
        <v>7.5893696328950613E-3</v>
      </c>
      <c r="L19" s="31">
        <f>IF(L$3&lt;VLOOKUP($A19,criteria!$A$4:$I$24,$D$2,FALSE),K19,(IF(AND(criteria!$G19="COS",L$3=criteria!$E19),TransRevR!L19/(Mwh!L19*1000),(IF(AND(criteria!$G19="COS",L$3=criteria!$E19+criteria!$F19),TransRevR!L19/(Mwh!L19*1000),(IF(AND(criteria!$G19="COS",L$3&lt;&gt;criteria!$E19+criteria!$F19),K19,(IF(VLOOKUP($A19,criteria!$A$4:$I$24,7,FALSE)="PBR",(K19*(1+exposure!L$5-exposure!L$7)),(IF(VLOOKUP($A19,criteria!$A$4:$I$24,7,FALSE)="MKT",K19,999)))))))))))</f>
        <v>7.5893696328950613E-3</v>
      </c>
      <c r="M19" s="31">
        <f>IF(M$3&lt;VLOOKUP($A19,criteria!$A$4:$I$24,$D$2,FALSE),L19,(IF(AND(criteria!$G19="COS",M$3=criteria!$E19),TransRevR!M19/(Mwh!M19*1000),(IF(AND(criteria!$G19="COS",M$3=criteria!$E19+criteria!$F19),TransRevR!M19/(Mwh!M19*1000),(IF(AND(criteria!$G19="COS",M$3&lt;&gt;criteria!$E19+criteria!$F19),L19,(IF(VLOOKUP($A19,criteria!$A$4:$I$24,7,FALSE)="PBR",(L19*(1+exposure!M$5-exposure!M$7)),(IF(VLOOKUP($A19,criteria!$A$4:$I$24,7,FALSE)="MKT",L19,999)))))))))))</f>
        <v>7.5893696328950613E-3</v>
      </c>
    </row>
    <row r="20" spans="1:13" x14ac:dyDescent="0.2">
      <c r="A20" t="str">
        <f>raw!A20</f>
        <v>Public Service Electric &amp; Gas Co.</v>
      </c>
      <c r="C20" s="22">
        <f>TransRevR!C20/(Mwh!C20*1000)</f>
        <v>6.2749379901075432E-3</v>
      </c>
      <c r="D20" s="31">
        <f>IF(D$3&lt;VLOOKUP($A20,criteria!$A$4:$I$24,$D$2,FALSE),C20,(IF(AND(criteria!$G20="COS",D$3=criteria!$E20),TransRevR!D20/(Mwh!D20*1000),(IF(AND(criteria!$G20="COS",D$3=criteria!$E20+criteria!$F20),TransRevR!D20/(Mwh!D20*1000),(IF(AND(criteria!$G20="COS",D$3&lt;&gt;criteria!$E20+criteria!$F20),C20,(IF(VLOOKUP($A20,criteria!$A$4:$I$24,7,FALSE)="PBR",(C20*(1+exposure!D$5-exposure!D$7)),(IF(VLOOKUP($A20,criteria!$A$4:$I$24,7,FALSE)="MKT",C20,999)))))))))))</f>
        <v>6.2749379901075432E-3</v>
      </c>
      <c r="E20" s="31">
        <f>IF(E$3&lt;VLOOKUP($A20,criteria!$A$4:$I$24,$D$2,FALSE),D20,(IF(AND(criteria!$G20="COS",E$3=criteria!$E20),TransRevR!E20/(Mwh!E20*1000),(IF(AND(criteria!$G20="COS",E$3=criteria!$E20+criteria!$F20),TransRevR!E20/(Mwh!E20*1000),(IF(AND(criteria!$G20="COS",E$3&lt;&gt;criteria!$E20+criteria!$F20),D20,(IF(VLOOKUP($A20,criteria!$A$4:$I$24,7,FALSE)="PBR",(D20*(1+exposure!E$5-exposure!E$7)),(IF(VLOOKUP($A20,criteria!$A$4:$I$24,7,FALSE)="MKT",D20,999)))))))))))</f>
        <v>6.1533634131908646E-3</v>
      </c>
      <c r="F20" s="31">
        <f>IF(F$3&lt;VLOOKUP($A20,criteria!$A$4:$I$24,$D$2,FALSE),E20,(IF(AND(criteria!$G20="COS",F$3=criteria!$E20),TransRevR!F20/(Mwh!F20*1000),(IF(AND(criteria!$G20="COS",F$3=criteria!$E20+criteria!$F20),TransRevR!F20/(Mwh!F20*1000),(IF(AND(criteria!$G20="COS",F$3&lt;&gt;criteria!$E20+criteria!$F20),E20,(IF(VLOOKUP($A20,criteria!$A$4:$I$24,7,FALSE)="PBR",(E20*(1+exposure!F$5-exposure!F$7)),(IF(VLOOKUP($A20,criteria!$A$4:$I$24,7,FALSE)="MKT",E20,999)))))))))))</f>
        <v>6.1533634131908646E-3</v>
      </c>
      <c r="G20" s="31">
        <f>IF(G$3&lt;VLOOKUP($A20,criteria!$A$4:$I$24,$D$2,FALSE),F20,(IF(AND(criteria!$G20="COS",G$3=criteria!$E20),TransRevR!G20/(Mwh!G20*1000),(IF(AND(criteria!$G20="COS",G$3=criteria!$E20+criteria!$F20),TransRevR!G20/(Mwh!G20*1000),(IF(AND(criteria!$G20="COS",G$3&lt;&gt;criteria!$E20+criteria!$F20),F20,(IF(VLOOKUP($A20,criteria!$A$4:$I$24,7,FALSE)="PBR",(F20*(1+exposure!G$5-exposure!G$7)),(IF(VLOOKUP($A20,criteria!$A$4:$I$24,7,FALSE)="MKT",F20,999)))))))))))</f>
        <v>6.1533634131908646E-3</v>
      </c>
      <c r="H20" s="31">
        <f>IF(H$3&lt;VLOOKUP($A20,criteria!$A$4:$I$24,$D$2,FALSE),G20,(IF(AND(criteria!$G20="COS",H$3=criteria!$E20),TransRevR!H20/(Mwh!H20*1000),(IF(AND(criteria!$G20="COS",H$3=criteria!$E20+criteria!$F20),TransRevR!H20/(Mwh!H20*1000),(IF(AND(criteria!$G20="COS",H$3&lt;&gt;criteria!$E20+criteria!$F20),G20,(IF(VLOOKUP($A20,criteria!$A$4:$I$24,7,FALSE)="PBR",(G20*(1+exposure!H$5-exposure!H$7)),(IF(VLOOKUP($A20,criteria!$A$4:$I$24,7,FALSE)="MKT",G20,999)))))))))))</f>
        <v>6.1533634131908646E-3</v>
      </c>
      <c r="I20" s="31">
        <f>IF(I$3&lt;VLOOKUP($A20,criteria!$A$4:$I$24,$D$2,FALSE),H20,(IF(AND(criteria!$G20="COS",I$3=criteria!$E20),TransRevR!I20/(Mwh!I20*1000),(IF(AND(criteria!$G20="COS",I$3=criteria!$E20+criteria!$F20),TransRevR!I20/(Mwh!I20*1000),(IF(AND(criteria!$G20="COS",I$3&lt;&gt;criteria!$E20+criteria!$F20),H20,(IF(VLOOKUP($A20,criteria!$A$4:$I$24,7,FALSE)="PBR",(H20*(1+exposure!I$5-exposure!I$7)),(IF(VLOOKUP($A20,criteria!$A$4:$I$24,7,FALSE)="MKT",H20,999)))))))))))</f>
        <v>5.8847777072304876E-3</v>
      </c>
      <c r="J20" s="31">
        <f>IF(J$3&lt;VLOOKUP($A20,criteria!$A$4:$I$24,$D$2,FALSE),I20,(IF(AND(criteria!$G20="COS",J$3=criteria!$E20),TransRevR!J20/(Mwh!J20*1000),(IF(AND(criteria!$G20="COS",J$3=criteria!$E20+criteria!$F20),TransRevR!J20/(Mwh!J20*1000),(IF(AND(criteria!$G20="COS",J$3&lt;&gt;criteria!$E20+criteria!$F20),I20,(IF(VLOOKUP($A20,criteria!$A$4:$I$24,7,FALSE)="PBR",(I20*(1+exposure!J$5-exposure!J$7)),(IF(VLOOKUP($A20,criteria!$A$4:$I$24,7,FALSE)="MKT",I20,999)))))))))))</f>
        <v>5.8847777072304876E-3</v>
      </c>
      <c r="K20" s="31">
        <f>IF(K$3&lt;VLOOKUP($A20,criteria!$A$4:$I$24,$D$2,FALSE),J20,(IF(AND(criteria!$G20="COS",K$3=criteria!$E20),TransRevR!K20/(Mwh!K20*1000),(IF(AND(criteria!$G20="COS",K$3=criteria!$E20+criteria!$F20),TransRevR!K20/(Mwh!K20*1000),(IF(AND(criteria!$G20="COS",K$3&lt;&gt;criteria!$E20+criteria!$F20),J20,(IF(VLOOKUP($A20,criteria!$A$4:$I$24,7,FALSE)="PBR",(J20*(1+exposure!K$5-exposure!K$7)),(IF(VLOOKUP($A20,criteria!$A$4:$I$24,7,FALSE)="MKT",J20,999)))))))))))</f>
        <v>5.8847777072304876E-3</v>
      </c>
      <c r="L20" s="31">
        <f>IF(L$3&lt;VLOOKUP($A20,criteria!$A$4:$I$24,$D$2,FALSE),K20,(IF(AND(criteria!$G20="COS",L$3=criteria!$E20),TransRevR!L20/(Mwh!L20*1000),(IF(AND(criteria!$G20="COS",L$3=criteria!$E20+criteria!$F20),TransRevR!L20/(Mwh!L20*1000),(IF(AND(criteria!$G20="COS",L$3&lt;&gt;criteria!$E20+criteria!$F20),K20,(IF(VLOOKUP($A20,criteria!$A$4:$I$24,7,FALSE)="PBR",(K20*(1+exposure!L$5-exposure!L$7)),(IF(VLOOKUP($A20,criteria!$A$4:$I$24,7,FALSE)="MKT",K20,999)))))))))))</f>
        <v>5.8847777072304876E-3</v>
      </c>
      <c r="M20" s="31">
        <f>IF(M$3&lt;VLOOKUP($A20,criteria!$A$4:$I$24,$D$2,FALSE),L20,(IF(AND(criteria!$G20="COS",M$3=criteria!$E20),TransRevR!M20/(Mwh!M20*1000),(IF(AND(criteria!$G20="COS",M$3=criteria!$E20+criteria!$F20),TransRevR!M20/(Mwh!M20*1000),(IF(AND(criteria!$G20="COS",M$3&lt;&gt;criteria!$E20+criteria!$F20),L20,(IF(VLOOKUP($A20,criteria!$A$4:$I$24,7,FALSE)="PBR",(L20*(1+exposure!M$5-exposure!M$7)),(IF(VLOOKUP($A20,criteria!$A$4:$I$24,7,FALSE)="MKT",L20,999)))))))))))</f>
        <v>5.8847777072304876E-3</v>
      </c>
    </row>
    <row r="21" spans="1:13" x14ac:dyDescent="0.2">
      <c r="A21" t="str">
        <f>raw!A21</f>
        <v>San Diego Gas &amp; Electric Co.</v>
      </c>
      <c r="C21" s="22">
        <f>TransRevR!C21/(Mwh!C21*1000)</f>
        <v>1.2160011276730507E-2</v>
      </c>
      <c r="D21" s="31">
        <f>IF(D$3&lt;VLOOKUP($A21,criteria!$A$4:$I$24,$D$2,FALSE),C21,(IF(AND(criteria!$G21="COS",D$3=criteria!$E21),TransRevR!D21/(Mwh!D21*1000),(IF(AND(criteria!$G21="COS",D$3=criteria!$E21+criteria!$F21),TransRevR!D21/(Mwh!D21*1000),(IF(AND(criteria!$G21="COS",D$3&lt;&gt;criteria!$E21+criteria!$F21),C21,(IF(VLOOKUP($A21,criteria!$A$4:$I$24,7,FALSE)="PBR",(C21*(1+exposure!D$5-exposure!D$7)),(IF(VLOOKUP($A21,criteria!$A$4:$I$24,7,FALSE)="MKT",C21,999)))))))))))</f>
        <v>1.2415371513541846E-2</v>
      </c>
      <c r="E21" s="31">
        <f>IF(E$3&lt;VLOOKUP($A21,criteria!$A$4:$I$24,$D$2,FALSE),D21,(IF(AND(criteria!$G21="COS",E$3=criteria!$E21),TransRevR!E21/(Mwh!E21*1000),(IF(AND(criteria!$G21="COS",E$3=criteria!$E21+criteria!$F21),TransRevR!E21/(Mwh!E21*1000),(IF(AND(criteria!$G21="COS",E$3&lt;&gt;criteria!$E21+criteria!$F21),D21,(IF(VLOOKUP($A21,criteria!$A$4:$I$24,7,FALSE)="PBR",(D21*(1+exposure!E$5-exposure!E$7)),(IF(VLOOKUP($A21,criteria!$A$4:$I$24,7,FALSE)="MKT",D21,999)))))))))))</f>
        <v>1.2663678943812684E-2</v>
      </c>
      <c r="F21" s="31">
        <f>IF(F$3&lt;VLOOKUP($A21,criteria!$A$4:$I$24,$D$2,FALSE),E21,(IF(AND(criteria!$G21="COS",F$3=criteria!$E21),TransRevR!F21/(Mwh!F21*1000),(IF(AND(criteria!$G21="COS",F$3=criteria!$E21+criteria!$F21),TransRevR!F21/(Mwh!F21*1000),(IF(AND(criteria!$G21="COS",F$3&lt;&gt;criteria!$E21+criteria!$F21),E21,(IF(VLOOKUP($A21,criteria!$A$4:$I$24,7,FALSE)="PBR",(E21*(1+exposure!F$5-exposure!F$7)),(IF(VLOOKUP($A21,criteria!$A$4:$I$24,7,FALSE)="MKT",E21,999)))))))))))</f>
        <v>1.2904288843745124E-2</v>
      </c>
      <c r="G21" s="31">
        <f>IF(G$3&lt;VLOOKUP($A21,criteria!$A$4:$I$24,$D$2,FALSE),F21,(IF(AND(criteria!$G21="COS",G$3=criteria!$E21),TransRevR!G21/(Mwh!G21*1000),(IF(AND(criteria!$G21="COS",G$3=criteria!$E21+criteria!$F21),TransRevR!G21/(Mwh!G21*1000),(IF(AND(criteria!$G21="COS",G$3&lt;&gt;criteria!$E21+criteria!$F21),F21,(IF(VLOOKUP($A21,criteria!$A$4:$I$24,7,FALSE)="PBR",(F21*(1+exposure!G$5-exposure!G$7)),(IF(VLOOKUP($A21,criteria!$A$4:$I$24,7,FALSE)="MKT",F21,999)))))))))))</f>
        <v>1.3143018187354409E-2</v>
      </c>
      <c r="H21" s="31">
        <f>IF(H$3&lt;VLOOKUP($A21,criteria!$A$4:$I$24,$D$2,FALSE),G21,(IF(AND(criteria!$G21="COS",H$3=criteria!$E21),TransRevR!H21/(Mwh!H21*1000),(IF(AND(criteria!$G21="COS",H$3=criteria!$E21+criteria!$F21),TransRevR!H21/(Mwh!H21*1000),(IF(AND(criteria!$G21="COS",H$3&lt;&gt;criteria!$E21+criteria!$F21),G21,(IF(VLOOKUP($A21,criteria!$A$4:$I$24,7,FALSE)="PBR",(G21*(1+exposure!H$5-exposure!H$7)),(IF(VLOOKUP($A21,criteria!$A$4:$I$24,7,FALSE)="MKT",G21,999)))))))))))</f>
        <v>1.3379592514726788E-2</v>
      </c>
      <c r="I21" s="31">
        <f>IF(I$3&lt;VLOOKUP($A21,criteria!$A$4:$I$24,$D$2,FALSE),H21,(IF(AND(criteria!$G21="COS",I$3=criteria!$E21),TransRevR!I21/(Mwh!I21*1000),(IF(AND(criteria!$G21="COS",I$3=criteria!$E21+criteria!$F21),TransRevR!I21/(Mwh!I21*1000),(IF(AND(criteria!$G21="COS",I$3&lt;&gt;criteria!$E21+criteria!$F21),H21,(IF(VLOOKUP($A21,criteria!$A$4:$I$24,7,FALSE)="PBR",(H21*(1+exposure!I$5-exposure!I$7)),(IF(VLOOKUP($A21,criteria!$A$4:$I$24,7,FALSE)="MKT",H21,999)))))))))))</f>
        <v>1.3609721505980088E-2</v>
      </c>
      <c r="J21" s="31">
        <f>IF(J$3&lt;VLOOKUP($A21,criteria!$A$4:$I$24,$D$2,FALSE),I21,(IF(AND(criteria!$G21="COS",J$3=criteria!$E21),TransRevR!J21/(Mwh!J21*1000),(IF(AND(criteria!$G21="COS",J$3=criteria!$E21+criteria!$F21),TransRevR!J21/(Mwh!J21*1000),(IF(AND(criteria!$G21="COS",J$3&lt;&gt;criteria!$E21+criteria!$F21),I21,(IF(VLOOKUP($A21,criteria!$A$4:$I$24,7,FALSE)="PBR",(I21*(1+exposure!J$5-exposure!J$7)),(IF(VLOOKUP($A21,criteria!$A$4:$I$24,7,FALSE)="MKT",I21,999)))))))))))</f>
        <v>1.3837003855129953E-2</v>
      </c>
      <c r="K21" s="31">
        <f>IF(K$3&lt;VLOOKUP($A21,criteria!$A$4:$I$24,$D$2,FALSE),J21,(IF(AND(criteria!$G21="COS",K$3=criteria!$E21),TransRevR!K21/(Mwh!K21*1000),(IF(AND(criteria!$G21="COS",K$3=criteria!$E21+criteria!$F21),TransRevR!K21/(Mwh!K21*1000),(IF(AND(criteria!$G21="COS",K$3&lt;&gt;criteria!$E21+criteria!$F21),J21,(IF(VLOOKUP($A21,criteria!$A$4:$I$24,7,FALSE)="PBR",(J21*(1+exposure!K$5-exposure!K$7)),(IF(VLOOKUP($A21,criteria!$A$4:$I$24,7,FALSE)="MKT",J21,999)))))))))))</f>
        <v>1.4061163317583059E-2</v>
      </c>
      <c r="L21" s="31">
        <f>IF(L$3&lt;VLOOKUP($A21,criteria!$A$4:$I$24,$D$2,FALSE),K21,(IF(AND(criteria!$G21="COS",L$3=criteria!$E21),TransRevR!L21/(Mwh!L21*1000),(IF(AND(criteria!$G21="COS",L$3=criteria!$E21+criteria!$F21),TransRevR!L21/(Mwh!L21*1000),(IF(AND(criteria!$G21="COS",L$3&lt;&gt;criteria!$E21+criteria!$F21),K21,(IF(VLOOKUP($A21,criteria!$A$4:$I$24,7,FALSE)="PBR",(K21*(1+exposure!L$5-exposure!L$7)),(IF(VLOOKUP($A21,criteria!$A$4:$I$24,7,FALSE)="MKT",K21,999)))))))))))</f>
        <v>1.4283329698000872E-2</v>
      </c>
      <c r="M21" s="31">
        <f>IF(M$3&lt;VLOOKUP($A21,criteria!$A$4:$I$24,$D$2,FALSE),L21,(IF(AND(criteria!$G21="COS",M$3=criteria!$E21),TransRevR!M21/(Mwh!M21*1000),(IF(AND(criteria!$G21="COS",M$3=criteria!$E21+criteria!$F21),TransRevR!M21/(Mwh!M21*1000),(IF(AND(criteria!$G21="COS",M$3&lt;&gt;criteria!$E21+criteria!$F21),L21,(IF(VLOOKUP($A21,criteria!$A$4:$I$24,7,FALSE)="PBR",(L21*(1+exposure!M$5-exposure!M$7)),(IF(VLOOKUP($A21,criteria!$A$4:$I$24,7,FALSE)="MKT",L21,999)))))))))))</f>
        <v>1.4503292975350086E-2</v>
      </c>
    </row>
    <row r="22" spans="1:13" x14ac:dyDescent="0.2">
      <c r="A22" t="str">
        <f>raw!A22</f>
        <v>Southern California Edison Co.</v>
      </c>
      <c r="C22" s="22">
        <f>TransRevR!C22/(Mwh!C22*1000)</f>
        <v>1.0380707469544215E-2</v>
      </c>
      <c r="D22" s="31">
        <f>IF(D$3&lt;VLOOKUP($A22,criteria!$A$4:$I$24,$D$2,FALSE),C22,(IF(AND(criteria!$G22="COS",D$3=criteria!$E22),TransRevR!D22/(Mwh!D22*1000),(IF(AND(criteria!$G22="COS",D$3=criteria!$E22+criteria!$F22),TransRevR!D22/(Mwh!D22*1000),(IF(AND(criteria!$G22="COS",D$3&lt;&gt;criteria!$E22+criteria!$F22),C22,(IF(VLOOKUP($A22,criteria!$A$4:$I$24,7,FALSE)="PBR",(C22*(1+exposure!D$5-exposure!D$7)),(IF(VLOOKUP($A22,criteria!$A$4:$I$24,7,FALSE)="MKT",C22,999)))))))))))</f>
        <v>1.0380707469544215E-2</v>
      </c>
      <c r="E22" s="31">
        <f>IF(E$3&lt;VLOOKUP($A22,criteria!$A$4:$I$24,$D$2,FALSE),D22,(IF(AND(criteria!$G22="COS",E$3=criteria!$E22),TransRevR!E22/(Mwh!E22*1000),(IF(AND(criteria!$G22="COS",E$3=criteria!$E22+criteria!$F22),TransRevR!E22/(Mwh!E22*1000),(IF(AND(criteria!$G22="COS",E$3&lt;&gt;criteria!$E22+criteria!$F22),D22,(IF(VLOOKUP($A22,criteria!$A$4:$I$24,7,FALSE)="PBR",(D22*(1+exposure!E$5-exposure!E$7)),(IF(VLOOKUP($A22,criteria!$A$4:$I$24,7,FALSE)="MKT",D22,999)))))))))))</f>
        <v>1.0145053206461738E-2</v>
      </c>
      <c r="F22" s="31">
        <f>IF(F$3&lt;VLOOKUP($A22,criteria!$A$4:$I$24,$D$2,FALSE),E22,(IF(AND(criteria!$G22="COS",F$3=criteria!$E22),TransRevR!F22/(Mwh!F22*1000),(IF(AND(criteria!$G22="COS",F$3=criteria!$E22+criteria!$F22),TransRevR!F22/(Mwh!F22*1000),(IF(AND(criteria!$G22="COS",F$3&lt;&gt;criteria!$E22+criteria!$F22),E22,(IF(VLOOKUP($A22,criteria!$A$4:$I$24,7,FALSE)="PBR",(E22*(1+exposure!F$5-exposure!F$7)),(IF(VLOOKUP($A22,criteria!$A$4:$I$24,7,FALSE)="MKT",E22,999)))))))))))</f>
        <v>1.0145053206461738E-2</v>
      </c>
      <c r="G22" s="31">
        <f>IF(G$3&lt;VLOOKUP($A22,criteria!$A$4:$I$24,$D$2,FALSE),F22,(IF(AND(criteria!$G22="COS",G$3=criteria!$E22),TransRevR!G22/(Mwh!G22*1000),(IF(AND(criteria!$G22="COS",G$3=criteria!$E22+criteria!$F22),TransRevR!G22/(Mwh!G22*1000),(IF(AND(criteria!$G22="COS",G$3&lt;&gt;criteria!$E22+criteria!$F22),F22,(IF(VLOOKUP($A22,criteria!$A$4:$I$24,7,FALSE)="PBR",(F22*(1+exposure!G$5-exposure!G$7)),(IF(VLOOKUP($A22,criteria!$A$4:$I$24,7,FALSE)="MKT",F22,999)))))))))))</f>
        <v>1.0145053206461738E-2</v>
      </c>
      <c r="H22" s="31">
        <f>IF(H$3&lt;VLOOKUP($A22,criteria!$A$4:$I$24,$D$2,FALSE),G22,(IF(AND(criteria!$G22="COS",H$3=criteria!$E22),TransRevR!H22/(Mwh!H22*1000),(IF(AND(criteria!$G22="COS",H$3=criteria!$E22+criteria!$F22),TransRevR!H22/(Mwh!H22*1000),(IF(AND(criteria!$G22="COS",H$3&lt;&gt;criteria!$E22+criteria!$F22),G22,(IF(VLOOKUP($A22,criteria!$A$4:$I$24,7,FALSE)="PBR",(G22*(1+exposure!H$5-exposure!H$7)),(IF(VLOOKUP($A22,criteria!$A$4:$I$24,7,FALSE)="MKT",G22,999)))))))))))</f>
        <v>1.0145053206461738E-2</v>
      </c>
      <c r="I22" s="31">
        <f>IF(I$3&lt;VLOOKUP($A22,criteria!$A$4:$I$24,$D$2,FALSE),H22,(IF(AND(criteria!$G22="COS",I$3=criteria!$E22),TransRevR!I22/(Mwh!I22*1000),(IF(AND(criteria!$G22="COS",I$3=criteria!$E22+criteria!$F22),TransRevR!I22/(Mwh!I22*1000),(IF(AND(criteria!$G22="COS",I$3&lt;&gt;criteria!$E22+criteria!$F22),H22,(IF(VLOOKUP($A22,criteria!$A$4:$I$24,7,FALSE)="PBR",(H22*(1+exposure!I$5-exposure!I$7)),(IF(VLOOKUP($A22,criteria!$A$4:$I$24,7,FALSE)="MKT",H22,999)))))))))))</f>
        <v>9.6291783934238581E-3</v>
      </c>
      <c r="J22" s="31">
        <f>IF(J$3&lt;VLOOKUP($A22,criteria!$A$4:$I$24,$D$2,FALSE),I22,(IF(AND(criteria!$G22="COS",J$3=criteria!$E22),TransRevR!J22/(Mwh!J22*1000),(IF(AND(criteria!$G22="COS",J$3=criteria!$E22+criteria!$F22),TransRevR!J22/(Mwh!J22*1000),(IF(AND(criteria!$G22="COS",J$3&lt;&gt;criteria!$E22+criteria!$F22),I22,(IF(VLOOKUP($A22,criteria!$A$4:$I$24,7,FALSE)="PBR",(I22*(1+exposure!J$5-exposure!J$7)),(IF(VLOOKUP($A22,criteria!$A$4:$I$24,7,FALSE)="MKT",I22,999)))))))))))</f>
        <v>9.6291783934238581E-3</v>
      </c>
      <c r="K22" s="31">
        <f>IF(K$3&lt;VLOOKUP($A22,criteria!$A$4:$I$24,$D$2,FALSE),J22,(IF(AND(criteria!$G22="COS",K$3=criteria!$E22),TransRevR!K22/(Mwh!K22*1000),(IF(AND(criteria!$G22="COS",K$3=criteria!$E22+criteria!$F22),TransRevR!K22/(Mwh!K22*1000),(IF(AND(criteria!$G22="COS",K$3&lt;&gt;criteria!$E22+criteria!$F22),J22,(IF(VLOOKUP($A22,criteria!$A$4:$I$24,7,FALSE)="PBR",(J22*(1+exposure!K$5-exposure!K$7)),(IF(VLOOKUP($A22,criteria!$A$4:$I$24,7,FALSE)="MKT",J22,999)))))))))))</f>
        <v>9.6291783934238581E-3</v>
      </c>
      <c r="L22" s="31">
        <f>IF(L$3&lt;VLOOKUP($A22,criteria!$A$4:$I$24,$D$2,FALSE),K22,(IF(AND(criteria!$G22="COS",L$3=criteria!$E22),TransRevR!L22/(Mwh!L22*1000),(IF(AND(criteria!$G22="COS",L$3=criteria!$E22+criteria!$F22),TransRevR!L22/(Mwh!L22*1000),(IF(AND(criteria!$G22="COS",L$3&lt;&gt;criteria!$E22+criteria!$F22),K22,(IF(VLOOKUP($A22,criteria!$A$4:$I$24,7,FALSE)="PBR",(K22*(1+exposure!L$5-exposure!L$7)),(IF(VLOOKUP($A22,criteria!$A$4:$I$24,7,FALSE)="MKT",K22,999)))))))))))</f>
        <v>9.6291783934238581E-3</v>
      </c>
      <c r="M22" s="31">
        <f>IF(M$3&lt;VLOOKUP($A22,criteria!$A$4:$I$24,$D$2,FALSE),L22,(IF(AND(criteria!$G22="COS",M$3=criteria!$E22),TransRevR!M22/(Mwh!M22*1000),(IF(AND(criteria!$G22="COS",M$3=criteria!$E22+criteria!$F22),TransRevR!M22/(Mwh!M22*1000),(IF(AND(criteria!$G22="COS",M$3&lt;&gt;criteria!$E22+criteria!$F22),L22,(IF(VLOOKUP($A22,criteria!$A$4:$I$24,7,FALSE)="PBR",(L22*(1+exposure!M$5-exposure!M$7)),(IF(VLOOKUP($A22,criteria!$A$4:$I$24,7,FALSE)="MKT",L22,999)))))))))))</f>
        <v>9.6291783934238581E-3</v>
      </c>
    </row>
    <row r="23" spans="1:13" x14ac:dyDescent="0.2">
      <c r="A23" t="str">
        <f>raw!A23</f>
        <v>Southwestern Public Service Co.</v>
      </c>
      <c r="C23" s="22">
        <f>TransRevR!C23/(Mwh!C23*1000)</f>
        <v>3.3219397947451199E-3</v>
      </c>
      <c r="D23" s="31">
        <f>IF(D$3&lt;VLOOKUP($A23,criteria!$A$4:$I$24,$D$2,FALSE),C23,(IF(AND(criteria!$G23="COS",D$3=criteria!$E23),TransRevR!D23/(Mwh!D23*1000),(IF(AND(criteria!$G23="COS",D$3=criteria!$E23+criteria!$F23),TransRevR!D23/(Mwh!D23*1000),(IF(AND(criteria!$G23="COS",D$3&lt;&gt;criteria!$E23+criteria!$F23),C23,(IF(VLOOKUP($A23,criteria!$A$4:$I$24,7,FALSE)="PBR",(C23*(1+exposure!D$5-exposure!D$7)),(IF(VLOOKUP($A23,criteria!$A$4:$I$24,7,FALSE)="MKT",C23,999)))))))))))</f>
        <v>3.3219397947451199E-3</v>
      </c>
      <c r="E23" s="31">
        <f>IF(E$3&lt;VLOOKUP($A23,criteria!$A$4:$I$24,$D$2,FALSE),D23,(IF(AND(criteria!$G23="COS",E$3=criteria!$E23),TransRevR!E23/(Mwh!E23*1000),(IF(AND(criteria!$G23="COS",E$3=criteria!$E23+criteria!$F23),TransRevR!E23/(Mwh!E23*1000),(IF(AND(criteria!$G23="COS",E$3&lt;&gt;criteria!$E23+criteria!$F23),D23,(IF(VLOOKUP($A23,criteria!$A$4:$I$24,7,FALSE)="PBR",(D23*(1+exposure!E$5-exposure!E$7)),(IF(VLOOKUP($A23,criteria!$A$4:$I$24,7,FALSE)="MKT",D23,999)))))))))))</f>
        <v>3.2401494640771087E-3</v>
      </c>
      <c r="F23" s="31">
        <f>IF(F$3&lt;VLOOKUP($A23,criteria!$A$4:$I$24,$D$2,FALSE),E23,(IF(AND(criteria!$G23="COS",F$3=criteria!$E23),TransRevR!F23/(Mwh!F23*1000),(IF(AND(criteria!$G23="COS",F$3=criteria!$E23+criteria!$F23),TransRevR!F23/(Mwh!F23*1000),(IF(AND(criteria!$G23="COS",F$3&lt;&gt;criteria!$E23+criteria!$F23),E23,(IF(VLOOKUP($A23,criteria!$A$4:$I$24,7,FALSE)="PBR",(E23*(1+exposure!F$5-exposure!F$7)),(IF(VLOOKUP($A23,criteria!$A$4:$I$24,7,FALSE)="MKT",E23,999)))))))))))</f>
        <v>3.2401494640771087E-3</v>
      </c>
      <c r="G23" s="31">
        <f>IF(G$3&lt;VLOOKUP($A23,criteria!$A$4:$I$24,$D$2,FALSE),F23,(IF(AND(criteria!$G23="COS",G$3=criteria!$E23),TransRevR!G23/(Mwh!G23*1000),(IF(AND(criteria!$G23="COS",G$3=criteria!$E23+criteria!$F23),TransRevR!G23/(Mwh!G23*1000),(IF(AND(criteria!$G23="COS",G$3&lt;&gt;criteria!$E23+criteria!$F23),F23,(IF(VLOOKUP($A23,criteria!$A$4:$I$24,7,FALSE)="PBR",(F23*(1+exposure!G$5-exposure!G$7)),(IF(VLOOKUP($A23,criteria!$A$4:$I$24,7,FALSE)="MKT",F23,999)))))))))))</f>
        <v>3.2401494640771087E-3</v>
      </c>
      <c r="H23" s="31">
        <f>IF(H$3&lt;VLOOKUP($A23,criteria!$A$4:$I$24,$D$2,FALSE),G23,(IF(AND(criteria!$G23="COS",H$3=criteria!$E23),TransRevR!H23/(Mwh!H23*1000),(IF(AND(criteria!$G23="COS",H$3=criteria!$E23+criteria!$F23),TransRevR!H23/(Mwh!H23*1000),(IF(AND(criteria!$G23="COS",H$3&lt;&gt;criteria!$E23+criteria!$F23),G23,(IF(VLOOKUP($A23,criteria!$A$4:$I$24,7,FALSE)="PBR",(G23*(1+exposure!H$5-exposure!H$7)),(IF(VLOOKUP($A23,criteria!$A$4:$I$24,7,FALSE)="MKT",G23,999)))))))))))</f>
        <v>3.2401494640771087E-3</v>
      </c>
      <c r="I23" s="31">
        <f>IF(I$3&lt;VLOOKUP($A23,criteria!$A$4:$I$24,$D$2,FALSE),H23,(IF(AND(criteria!$G23="COS",I$3=criteria!$E23),TransRevR!I23/(Mwh!I23*1000),(IF(AND(criteria!$G23="COS",I$3=criteria!$E23+criteria!$F23),TransRevR!I23/(Mwh!I23*1000),(IF(AND(criteria!$G23="COS",I$3&lt;&gt;criteria!$E23+criteria!$F23),H23,(IF(VLOOKUP($A23,criteria!$A$4:$I$24,7,FALSE)="PBR",(H23*(1+exposure!I$5-exposure!I$7)),(IF(VLOOKUP($A23,criteria!$A$4:$I$24,7,FALSE)="MKT",H23,999)))))))))))</f>
        <v>3.0757142832761844E-3</v>
      </c>
      <c r="J23" s="31">
        <f>IF(J$3&lt;VLOOKUP($A23,criteria!$A$4:$I$24,$D$2,FALSE),I23,(IF(AND(criteria!$G23="COS",J$3=criteria!$E23),TransRevR!J23/(Mwh!J23*1000),(IF(AND(criteria!$G23="COS",J$3=criteria!$E23+criteria!$F23),TransRevR!J23/(Mwh!J23*1000),(IF(AND(criteria!$G23="COS",J$3&lt;&gt;criteria!$E23+criteria!$F23),I23,(IF(VLOOKUP($A23,criteria!$A$4:$I$24,7,FALSE)="PBR",(I23*(1+exposure!J$5-exposure!J$7)),(IF(VLOOKUP($A23,criteria!$A$4:$I$24,7,FALSE)="MKT",I23,999)))))))))))</f>
        <v>3.0757142832761844E-3</v>
      </c>
      <c r="K23" s="31">
        <f>IF(K$3&lt;VLOOKUP($A23,criteria!$A$4:$I$24,$D$2,FALSE),J23,(IF(AND(criteria!$G23="COS",K$3=criteria!$E23),TransRevR!K23/(Mwh!K23*1000),(IF(AND(criteria!$G23="COS",K$3=criteria!$E23+criteria!$F23),TransRevR!K23/(Mwh!K23*1000),(IF(AND(criteria!$G23="COS",K$3&lt;&gt;criteria!$E23+criteria!$F23),J23,(IF(VLOOKUP($A23,criteria!$A$4:$I$24,7,FALSE)="PBR",(J23*(1+exposure!K$5-exposure!K$7)),(IF(VLOOKUP($A23,criteria!$A$4:$I$24,7,FALSE)="MKT",J23,999)))))))))))</f>
        <v>3.0757142832761844E-3</v>
      </c>
      <c r="L23" s="31">
        <f>IF(L$3&lt;VLOOKUP($A23,criteria!$A$4:$I$24,$D$2,FALSE),K23,(IF(AND(criteria!$G23="COS",L$3=criteria!$E23),TransRevR!L23/(Mwh!L23*1000),(IF(AND(criteria!$G23="COS",L$3=criteria!$E23+criteria!$F23),TransRevR!L23/(Mwh!L23*1000),(IF(AND(criteria!$G23="COS",L$3&lt;&gt;criteria!$E23+criteria!$F23),K23,(IF(VLOOKUP($A23,criteria!$A$4:$I$24,7,FALSE)="PBR",(K23*(1+exposure!L$5-exposure!L$7)),(IF(VLOOKUP($A23,criteria!$A$4:$I$24,7,FALSE)="MKT",K23,999)))))))))))</f>
        <v>3.0757142832761844E-3</v>
      </c>
      <c r="M23" s="31">
        <f>IF(M$3&lt;VLOOKUP($A23,criteria!$A$4:$I$24,$D$2,FALSE),L23,(IF(AND(criteria!$G23="COS",M$3=criteria!$E23),TransRevR!M23/(Mwh!M23*1000),(IF(AND(criteria!$G23="COS",M$3=criteria!$E23+criteria!$F23),TransRevR!M23/(Mwh!M23*1000),(IF(AND(criteria!$G23="COS",M$3&lt;&gt;criteria!$E23+criteria!$F23),L23,(IF(VLOOKUP($A23,criteria!$A$4:$I$24,7,FALSE)="PBR",(L23*(1+exposure!M$5-exposure!M$7)),(IF(VLOOKUP($A23,criteria!$A$4:$I$24,7,FALSE)="MKT",L23,999)))))))))))</f>
        <v>3.0757142832761844E-3</v>
      </c>
    </row>
    <row r="24" spans="1:13" x14ac:dyDescent="0.2">
      <c r="A24" t="str">
        <f>raw!A24</f>
        <v>TXU Electric Co.</v>
      </c>
      <c r="C24" s="22">
        <f>TransRevR!C24/(Mwh!C24*1000)</f>
        <v>5.2437142491737953E-3</v>
      </c>
      <c r="D24" s="31">
        <f>IF(D$3&lt;VLOOKUP($A24,criteria!$A$4:$I$24,$D$2,FALSE),C24,(IF(AND(criteria!$G24="COS",D$3=criteria!$E24),TransRevR!D24/(Mwh!D24*1000),(IF(AND(criteria!$G24="COS",D$3=criteria!$E24+criteria!$F24),TransRevR!D24/(Mwh!D24*1000),(IF(AND(criteria!$G24="COS",D$3&lt;&gt;criteria!$E24+criteria!$F24),C24,(IF(VLOOKUP($A24,criteria!$A$4:$I$24,7,FALSE)="PBR",(C24*(1+exposure!D$5-exposure!D$7)),(IF(VLOOKUP($A24,criteria!$A$4:$I$24,7,FALSE)="MKT",C24,999)))))))))))</f>
        <v>5.2437142491737953E-3</v>
      </c>
      <c r="E24" s="31">
        <f>IF(E$3&lt;VLOOKUP($A24,criteria!$A$4:$I$24,$D$2,FALSE),D24,(IF(AND(criteria!$G24="COS",E$3=criteria!$E24),TransRevR!E24/(Mwh!E24*1000),(IF(AND(criteria!$G24="COS",E$3=criteria!$E24+criteria!$F24),TransRevR!E24/(Mwh!E24*1000),(IF(AND(criteria!$G24="COS",E$3&lt;&gt;criteria!$E24+criteria!$F24),D24,(IF(VLOOKUP($A24,criteria!$A$4:$I$24,7,FALSE)="PBR",(D24*(1+exposure!E$5-exposure!E$7)),(IF(VLOOKUP($A24,criteria!$A$4:$I$24,7,FALSE)="MKT",D24,999)))))))))))</f>
        <v>5.1776003077198757E-3</v>
      </c>
      <c r="F24" s="31">
        <f>IF(F$3&lt;VLOOKUP($A24,criteria!$A$4:$I$24,$D$2,FALSE),E24,(IF(AND(criteria!$G24="COS",F$3=criteria!$E24),TransRevR!F24/(Mwh!F24*1000),(IF(AND(criteria!$G24="COS",F$3=criteria!$E24+criteria!$F24),TransRevR!F24/(Mwh!F24*1000),(IF(AND(criteria!$G24="COS",F$3&lt;&gt;criteria!$E24+criteria!$F24),E24,(IF(VLOOKUP($A24,criteria!$A$4:$I$24,7,FALSE)="PBR",(E24*(1+exposure!F$5-exposure!F$7)),(IF(VLOOKUP($A24,criteria!$A$4:$I$24,7,FALSE)="MKT",E24,999)))))))))))</f>
        <v>5.1776003077198757E-3</v>
      </c>
      <c r="G24" s="31">
        <f>IF(G$3&lt;VLOOKUP($A24,criteria!$A$4:$I$24,$D$2,FALSE),F24,(IF(AND(criteria!$G24="COS",G$3=criteria!$E24),TransRevR!G24/(Mwh!G24*1000),(IF(AND(criteria!$G24="COS",G$3=criteria!$E24+criteria!$F24),TransRevR!G24/(Mwh!G24*1000),(IF(AND(criteria!$G24="COS",G$3&lt;&gt;criteria!$E24+criteria!$F24),F24,(IF(VLOOKUP($A24,criteria!$A$4:$I$24,7,FALSE)="PBR",(F24*(1+exposure!G$5-exposure!G$7)),(IF(VLOOKUP($A24,criteria!$A$4:$I$24,7,FALSE)="MKT",F24,999)))))))))))</f>
        <v>5.1776003077198757E-3</v>
      </c>
      <c r="H24" s="31">
        <f>IF(H$3&lt;VLOOKUP($A24,criteria!$A$4:$I$24,$D$2,FALSE),G24,(IF(AND(criteria!$G24="COS",H$3=criteria!$E24),TransRevR!H24/(Mwh!H24*1000),(IF(AND(criteria!$G24="COS",H$3=criteria!$E24+criteria!$F24),TransRevR!H24/(Mwh!H24*1000),(IF(AND(criteria!$G24="COS",H$3&lt;&gt;criteria!$E24+criteria!$F24),G24,(IF(VLOOKUP($A24,criteria!$A$4:$I$24,7,FALSE)="PBR",(G24*(1+exposure!H$5-exposure!H$7)),(IF(VLOOKUP($A24,criteria!$A$4:$I$24,7,FALSE)="MKT",G24,999)))))))))))</f>
        <v>5.1776003077198757E-3</v>
      </c>
      <c r="I24" s="31">
        <f>IF(I$3&lt;VLOOKUP($A24,criteria!$A$4:$I$24,$D$2,FALSE),H24,(IF(AND(criteria!$G24="COS",I$3=criteria!$E24),TransRevR!I24/(Mwh!I24*1000),(IF(AND(criteria!$G24="COS",I$3=criteria!$E24+criteria!$F24),TransRevR!I24/(Mwh!I24*1000),(IF(AND(criteria!$G24="COS",I$3&lt;&gt;criteria!$E24+criteria!$F24),H24,(IF(VLOOKUP($A24,criteria!$A$4:$I$24,7,FALSE)="PBR",(H24*(1+exposure!I$5-exposure!I$7)),(IF(VLOOKUP($A24,criteria!$A$4:$I$24,7,FALSE)="MKT",H24,999)))))))))))</f>
        <v>4.999827192608222E-3</v>
      </c>
      <c r="J24" s="31">
        <f>IF(J$3&lt;VLOOKUP($A24,criteria!$A$4:$I$24,$D$2,FALSE),I24,(IF(AND(criteria!$G24="COS",J$3=criteria!$E24),TransRevR!J24/(Mwh!J24*1000),(IF(AND(criteria!$G24="COS",J$3=criteria!$E24+criteria!$F24),TransRevR!J24/(Mwh!J24*1000),(IF(AND(criteria!$G24="COS",J$3&lt;&gt;criteria!$E24+criteria!$F24),I24,(IF(VLOOKUP($A24,criteria!$A$4:$I$24,7,FALSE)="PBR",(I24*(1+exposure!J$5-exposure!J$7)),(IF(VLOOKUP($A24,criteria!$A$4:$I$24,7,FALSE)="MKT",I24,999)))))))))))</f>
        <v>4.999827192608222E-3</v>
      </c>
      <c r="K24" s="31">
        <f>IF(K$3&lt;VLOOKUP($A24,criteria!$A$4:$I$24,$D$2,FALSE),J24,(IF(AND(criteria!$G24="COS",K$3=criteria!$E24),TransRevR!K24/(Mwh!K24*1000),(IF(AND(criteria!$G24="COS",K$3=criteria!$E24+criteria!$F24),TransRevR!K24/(Mwh!K24*1000),(IF(AND(criteria!$G24="COS",K$3&lt;&gt;criteria!$E24+criteria!$F24),J24,(IF(VLOOKUP($A24,criteria!$A$4:$I$24,7,FALSE)="PBR",(J24*(1+exposure!K$5-exposure!K$7)),(IF(VLOOKUP($A24,criteria!$A$4:$I$24,7,FALSE)="MKT",J24,999)))))))))))</f>
        <v>4.999827192608222E-3</v>
      </c>
      <c r="L24" s="31">
        <f>IF(L$3&lt;VLOOKUP($A24,criteria!$A$4:$I$24,$D$2,FALSE),K24,(IF(AND(criteria!$G24="COS",L$3=criteria!$E24),TransRevR!L24/(Mwh!L24*1000),(IF(AND(criteria!$G24="COS",L$3=criteria!$E24+criteria!$F24),TransRevR!L24/(Mwh!L24*1000),(IF(AND(criteria!$G24="COS",L$3&lt;&gt;criteria!$E24+criteria!$F24),K24,(IF(VLOOKUP($A24,criteria!$A$4:$I$24,7,FALSE)="PBR",(K24*(1+exposure!L$5-exposure!L$7)),(IF(VLOOKUP($A24,criteria!$A$4:$I$24,7,FALSE)="MKT",K24,999)))))))))))</f>
        <v>4.999827192608222E-3</v>
      </c>
      <c r="M24" s="31">
        <f>IF(M$3&lt;VLOOKUP($A24,criteria!$A$4:$I$24,$D$2,FALSE),L24,(IF(AND(criteria!$G24="COS",M$3=criteria!$E24),TransRevR!M24/(Mwh!M24*1000),(IF(AND(criteria!$G24="COS",M$3=criteria!$E24+criteria!$F24),TransRevR!M24/(Mwh!M24*1000),(IF(AND(criteria!$G24="COS",M$3&lt;&gt;criteria!$E24+criteria!$F24),L24,(IF(VLOOKUP($A24,criteria!$A$4:$I$24,7,FALSE)="PBR",(L24*(1+exposure!M$5-exposure!M$7)),(IF(VLOOKUP($A24,criteria!$A$4:$I$24,7,FALSE)="MKT",L24,999)))))))))))</f>
        <v>4.999827192608222E-3</v>
      </c>
    </row>
    <row r="27" spans="1:13" x14ac:dyDescent="0.2">
      <c r="C27" s="23"/>
    </row>
    <row r="28" spans="1:13" x14ac:dyDescent="0.2">
      <c r="D28" s="23"/>
    </row>
    <row r="29" spans="1:13" x14ac:dyDescent="0.2">
      <c r="C29" s="23"/>
    </row>
    <row r="30" spans="1:13" x14ac:dyDescent="0.2">
      <c r="C30" s="23"/>
    </row>
    <row r="31" spans="1:13" x14ac:dyDescent="0.2">
      <c r="C31" s="23"/>
    </row>
    <row r="32" spans="1:13" x14ac:dyDescent="0.2">
      <c r="C32" s="23"/>
    </row>
    <row r="33" spans="3:3" x14ac:dyDescent="0.2">
      <c r="C33" s="23"/>
    </row>
  </sheetData>
  <pageMargins left="0.75" right="0.75" top="1" bottom="1" header="0.5" footer="0.5"/>
  <pageSetup scale="59" orientation="landscape" verticalDpi="0" r:id="rId1"/>
  <headerFooter alignWithMargins="0">
    <oddFooter>Page &amp;P&amp;R&amp;A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workbookViewId="0">
      <selection activeCell="E25" sqref="E25"/>
    </sheetView>
  </sheetViews>
  <sheetFormatPr defaultRowHeight="12.75" x14ac:dyDescent="0.2"/>
  <cols>
    <col min="1" max="1" width="36.140625" bestFit="1" customWidth="1"/>
    <col min="2" max="2" width="5" bestFit="1" customWidth="1"/>
    <col min="3" max="13" width="14.85546875" bestFit="1" customWidth="1"/>
  </cols>
  <sheetData>
    <row r="1" spans="1:13" x14ac:dyDescent="0.2">
      <c r="A1" t="s">
        <v>515</v>
      </c>
    </row>
    <row r="2" spans="1:13" x14ac:dyDescent="0.2">
      <c r="D2">
        <v>5</v>
      </c>
    </row>
    <row r="3" spans="1:13" x14ac:dyDescent="0.2">
      <c r="A3" s="8" t="s">
        <v>177</v>
      </c>
      <c r="B3" s="8">
        <v>1998</v>
      </c>
      <c r="C3" s="8">
        <v>2000</v>
      </c>
      <c r="D3" s="8">
        <v>2001</v>
      </c>
      <c r="E3" s="8">
        <v>2002</v>
      </c>
      <c r="F3" s="8">
        <v>2003</v>
      </c>
      <c r="G3" s="8">
        <v>2004</v>
      </c>
      <c r="H3" s="8">
        <v>2005</v>
      </c>
      <c r="I3" s="8">
        <v>2006</v>
      </c>
      <c r="J3" s="8">
        <v>2007</v>
      </c>
      <c r="K3" s="8">
        <v>2008</v>
      </c>
      <c r="L3" s="8">
        <v>2009</v>
      </c>
      <c r="M3" s="8">
        <v>2010</v>
      </c>
    </row>
    <row r="4" spans="1:13" x14ac:dyDescent="0.2">
      <c r="A4" t="str">
        <f>raw!A4</f>
        <v>Boston Edison Co.</v>
      </c>
      <c r="C4" s="32">
        <f>DistRevR!C4/(Mwh!C4*1000)</f>
        <v>4.2220669690076713E-2</v>
      </c>
      <c r="D4" s="31">
        <f>IF(D$3&lt;VLOOKUP($A4,criteria!$A$4:$I$24,$D$2,FALSE),C4,(IF(AND(criteria!$G4="COS",D$3=criteria!$E4),DistRevR!D4/(Mwh!D4*1000),(IF(AND(criteria!$G4="COS",D$3=criteria!$E4+criteria!$F4),DistRevR!D4/(Mwh!D4*1000),(IF(AND(criteria!$G4="COS",D$3&lt;&gt;criteria!$E4+criteria!$F4),C4,(IF(VLOOKUP($A4,criteria!$A$4:$I$24,7,FALSE)="PBR",(C4*(1+exposure!D$5-exposure!D$7)),(IF(VLOOKUP($A4,criteria!$A$4:$I$24,7,FALSE)="MKT",C4,999)))))))))))</f>
        <v>4.2220669690076713E-2</v>
      </c>
      <c r="E4" s="31">
        <f>IF(E$3&lt;VLOOKUP($A4,criteria!$A$4:$I$24,$D$2,FALSE),D4,(IF(AND(criteria!$G4="COS",E$3=criteria!$E4),DistRevR!E4/(Mwh!E4*1000),(IF(AND(criteria!$G4="COS",E$3=criteria!$E4+criteria!$F4),DistRevR!E4/(Mwh!E4*1000),(IF(AND(criteria!$G4="COS",E$3&lt;&gt;criteria!$E4+criteria!$F4),D4,(IF(VLOOKUP($A4,criteria!$A$4:$I$24,7,FALSE)="PBR",(D4*(1+exposure!E$5-exposure!E$7)),(IF(VLOOKUP($A4,criteria!$A$4:$I$24,7,FALSE)="MKT",D4,999)))))))))))</f>
        <v>4.1979502037916373E-2</v>
      </c>
      <c r="F4" s="31">
        <f>IF(F$3&lt;VLOOKUP($A4,criteria!$A$4:$I$24,$D$2,FALSE),E4,(IF(AND(criteria!$G4="COS",F$3=criteria!$E4),DistRevR!F4/(Mwh!F4*1000),(IF(AND(criteria!$G4="COS",F$3=criteria!$E4+criteria!$F4),DistRevR!F4/(Mwh!F4*1000),(IF(AND(criteria!$G4="COS",F$3&lt;&gt;criteria!$E4+criteria!$F4),E4,(IF(VLOOKUP($A4,criteria!$A$4:$I$24,7,FALSE)="PBR",(E4*(1+exposure!F$5-exposure!F$7)),(IF(VLOOKUP($A4,criteria!$A$4:$I$24,7,FALSE)="MKT",E4,999)))))))))))</f>
        <v>4.1979502037916373E-2</v>
      </c>
      <c r="G4" s="31">
        <f>IF(G$3&lt;VLOOKUP($A4,criteria!$A$4:$I$24,$D$2,FALSE),F4,(IF(AND(criteria!$G4="COS",G$3=criteria!$E4),DistRevR!G4/(Mwh!G4*1000),(IF(AND(criteria!$G4="COS",G$3=criteria!$E4+criteria!$F4),DistRevR!G4/(Mwh!G4*1000),(IF(AND(criteria!$G4="COS",G$3&lt;&gt;criteria!$E4+criteria!$F4),F4,(IF(VLOOKUP($A4,criteria!$A$4:$I$24,7,FALSE)="PBR",(F4*(1+exposure!G$5-exposure!G$7)),(IF(VLOOKUP($A4,criteria!$A$4:$I$24,7,FALSE)="MKT",F4,999)))))))))))</f>
        <v>4.1979502037916373E-2</v>
      </c>
      <c r="H4" s="31">
        <f>IF(H$3&lt;VLOOKUP($A4,criteria!$A$4:$I$24,$D$2,FALSE),G4,(IF(AND(criteria!$G4="COS",H$3=criteria!$E4),DistRevR!H4/(Mwh!H4*1000),(IF(AND(criteria!$G4="COS",H$3=criteria!$E4+criteria!$F4),DistRevR!H4/(Mwh!H4*1000),(IF(AND(criteria!$G4="COS",H$3&lt;&gt;criteria!$E4+criteria!$F4),G4,(IF(VLOOKUP($A4,criteria!$A$4:$I$24,7,FALSE)="PBR",(G4*(1+exposure!H$5-exposure!H$7)),(IF(VLOOKUP($A4,criteria!$A$4:$I$24,7,FALSE)="MKT",G4,999)))))))))))</f>
        <v>4.1979502037916373E-2</v>
      </c>
      <c r="I4" s="31">
        <f>IF(I$3&lt;VLOOKUP($A4,criteria!$A$4:$I$24,$D$2,FALSE),H4,(IF(AND(criteria!$G4="COS",I$3=criteria!$E4),DistRevR!I4/(Mwh!I4*1000),(IF(AND(criteria!$G4="COS",I$3=criteria!$E4+criteria!$F4),DistRevR!I4/(Mwh!I4*1000),(IF(AND(criteria!$G4="COS",I$3&lt;&gt;criteria!$E4+criteria!$F4),H4,(IF(VLOOKUP($A4,criteria!$A$4:$I$24,7,FALSE)="PBR",(H4*(1+exposure!I$5-exposure!I$7)),(IF(VLOOKUP($A4,criteria!$A$4:$I$24,7,FALSE)="MKT",H4,999)))))))))))</f>
        <v>4.1056985626568086E-2</v>
      </c>
      <c r="J4" s="31">
        <f>IF(J$3&lt;VLOOKUP($A4,criteria!$A$4:$I$24,$D$2,FALSE),I4,(IF(AND(criteria!$G4="COS",J$3=criteria!$E4),DistRevR!J4/(Mwh!J4*1000),(IF(AND(criteria!$G4="COS",J$3=criteria!$E4+criteria!$F4),DistRevR!J4/(Mwh!J4*1000),(IF(AND(criteria!$G4="COS",J$3&lt;&gt;criteria!$E4+criteria!$F4),I4,(IF(VLOOKUP($A4,criteria!$A$4:$I$24,7,FALSE)="PBR",(I4*(1+exposure!J$5-exposure!J$7)),(IF(VLOOKUP($A4,criteria!$A$4:$I$24,7,FALSE)="MKT",I4,999)))))))))))</f>
        <v>4.1056985626568086E-2</v>
      </c>
      <c r="K4" s="31">
        <f>IF(K$3&lt;VLOOKUP($A4,criteria!$A$4:$I$24,$D$2,FALSE),J4,(IF(AND(criteria!$G4="COS",K$3=criteria!$E4),DistRevR!K4/(Mwh!K4*1000),(IF(AND(criteria!$G4="COS",K$3=criteria!$E4+criteria!$F4),DistRevR!K4/(Mwh!K4*1000),(IF(AND(criteria!$G4="COS",K$3&lt;&gt;criteria!$E4+criteria!$F4),J4,(IF(VLOOKUP($A4,criteria!$A$4:$I$24,7,FALSE)="PBR",(J4*(1+exposure!K$5-exposure!K$7)),(IF(VLOOKUP($A4,criteria!$A$4:$I$24,7,FALSE)="MKT",J4,999)))))))))))</f>
        <v>4.1056985626568086E-2</v>
      </c>
      <c r="L4" s="31">
        <f>IF(L$3&lt;VLOOKUP($A4,criteria!$A$4:$I$24,$D$2,FALSE),K4,(IF(AND(criteria!$G4="COS",L$3=criteria!$E4),DistRevR!L4/(Mwh!L4*1000),(IF(AND(criteria!$G4="COS",L$3=criteria!$E4+criteria!$F4),DistRevR!L4/(Mwh!L4*1000),(IF(AND(criteria!$G4="COS",L$3&lt;&gt;criteria!$E4+criteria!$F4),K4,(IF(VLOOKUP($A4,criteria!$A$4:$I$24,7,FALSE)="PBR",(K4*(1+exposure!L$5-exposure!L$7)),(IF(VLOOKUP($A4,criteria!$A$4:$I$24,7,FALSE)="MKT",K4,999)))))))))))</f>
        <v>4.1056985626568086E-2</v>
      </c>
      <c r="M4" s="31">
        <f>IF(M$3&lt;VLOOKUP($A4,criteria!$A$4:$I$24,$D$2,FALSE),L4,(IF(AND(criteria!$G4="COS",M$3=criteria!$E4),DistRevR!M4/(Mwh!M4*1000),(IF(AND(criteria!$G4="COS",M$3=criteria!$E4+criteria!$F4),DistRevR!M4/(Mwh!M4*1000),(IF(AND(criteria!$G4="COS",M$3&lt;&gt;criteria!$E4+criteria!$F4),L4,(IF(VLOOKUP($A4,criteria!$A$4:$I$24,7,FALSE)="PBR",(L4*(1+exposure!M$5-exposure!M$7)),(IF(VLOOKUP($A4,criteria!$A$4:$I$24,7,FALSE)="MKT",L4,999)))))))))))</f>
        <v>4.1056985626568086E-2</v>
      </c>
    </row>
    <row r="5" spans="1:13" x14ac:dyDescent="0.2">
      <c r="A5" t="str">
        <f>raw!A5</f>
        <v>Carolina Power &amp; Light Co.</v>
      </c>
      <c r="C5" s="32">
        <f>DistRevR!C5/(Mwh!C5*1000)</f>
        <v>1.4539466178373917E-2</v>
      </c>
      <c r="D5" s="31">
        <f>IF(D$3&lt;VLOOKUP($A5,criteria!$A$4:$I$24,$D$2,FALSE),C5,(IF(AND(criteria!$G5="COS",D$3=criteria!$E5),DistRevR!D5/(Mwh!D5*1000),(IF(AND(criteria!$G5="COS",D$3=criteria!$E5+criteria!$F5),DistRevR!D5/(Mwh!D5*1000),(IF(AND(criteria!$G5="COS",D$3&lt;&gt;criteria!$E5+criteria!$F5),C5,(IF(VLOOKUP($A5,criteria!$A$4:$I$24,7,FALSE)="PBR",(C5*(1+exposure!D$5-exposure!D$7)),(IF(VLOOKUP($A5,criteria!$A$4:$I$24,7,FALSE)="MKT",C5,999)))))))))))</f>
        <v>1.4539466178373917E-2</v>
      </c>
      <c r="E5" s="31">
        <f>IF(E$3&lt;VLOOKUP($A5,criteria!$A$4:$I$24,$D$2,FALSE),D5,(IF(AND(criteria!$G5="COS",E$3=criteria!$E5),DistRevR!E5/(Mwh!E5*1000),(IF(AND(criteria!$G5="COS",E$3=criteria!$E5+criteria!$F5),DistRevR!E5/(Mwh!E5*1000),(IF(AND(criteria!$G5="COS",E$3&lt;&gt;criteria!$E5+criteria!$F5),D5,(IF(VLOOKUP($A5,criteria!$A$4:$I$24,7,FALSE)="PBR",(D5*(1+exposure!E$5-exposure!E$7)),(IF(VLOOKUP($A5,criteria!$A$4:$I$24,7,FALSE)="MKT",D5,999)))))))))))</f>
        <v>1.4444889999220363E-2</v>
      </c>
      <c r="F5" s="31">
        <f>IF(F$3&lt;VLOOKUP($A5,criteria!$A$4:$I$24,$D$2,FALSE),E5,(IF(AND(criteria!$G5="COS",F$3=criteria!$E5),DistRevR!F5/(Mwh!F5*1000),(IF(AND(criteria!$G5="COS",F$3=criteria!$E5+criteria!$F5),DistRevR!F5/(Mwh!F5*1000),(IF(AND(criteria!$G5="COS",F$3&lt;&gt;criteria!$E5+criteria!$F5),E5,(IF(VLOOKUP($A5,criteria!$A$4:$I$24,7,FALSE)="PBR",(E5*(1+exposure!F$5-exposure!F$7)),(IF(VLOOKUP($A5,criteria!$A$4:$I$24,7,FALSE)="MKT",E5,999)))))))))))</f>
        <v>1.4444889999220363E-2</v>
      </c>
      <c r="G5" s="31">
        <f>IF(G$3&lt;VLOOKUP($A5,criteria!$A$4:$I$24,$D$2,FALSE),F5,(IF(AND(criteria!$G5="COS",G$3=criteria!$E5),DistRevR!G5/(Mwh!G5*1000),(IF(AND(criteria!$G5="COS",G$3=criteria!$E5+criteria!$F5),DistRevR!G5/(Mwh!G5*1000),(IF(AND(criteria!$G5="COS",G$3&lt;&gt;criteria!$E5+criteria!$F5),F5,(IF(VLOOKUP($A5,criteria!$A$4:$I$24,7,FALSE)="PBR",(F5*(1+exposure!G$5-exposure!G$7)),(IF(VLOOKUP($A5,criteria!$A$4:$I$24,7,FALSE)="MKT",F5,999)))))))))))</f>
        <v>1.4444889999220363E-2</v>
      </c>
      <c r="H5" s="31">
        <f>IF(H$3&lt;VLOOKUP($A5,criteria!$A$4:$I$24,$D$2,FALSE),G5,(IF(AND(criteria!$G5="COS",H$3=criteria!$E5),DistRevR!H5/(Mwh!H5*1000),(IF(AND(criteria!$G5="COS",H$3=criteria!$E5+criteria!$F5),DistRevR!H5/(Mwh!H5*1000),(IF(AND(criteria!$G5="COS",H$3&lt;&gt;criteria!$E5+criteria!$F5),G5,(IF(VLOOKUP($A5,criteria!$A$4:$I$24,7,FALSE)="PBR",(G5*(1+exposure!H$5-exposure!H$7)),(IF(VLOOKUP($A5,criteria!$A$4:$I$24,7,FALSE)="MKT",G5,999)))))))))))</f>
        <v>1.4444889999220363E-2</v>
      </c>
      <c r="I5" s="31">
        <f>IF(I$3&lt;VLOOKUP($A5,criteria!$A$4:$I$24,$D$2,FALSE),H5,(IF(AND(criteria!$G5="COS",I$3=criteria!$E5),DistRevR!I5/(Mwh!I5*1000),(IF(AND(criteria!$G5="COS",I$3=criteria!$E5+criteria!$F5),DistRevR!I5/(Mwh!I5*1000),(IF(AND(criteria!$G5="COS",I$3&lt;&gt;criteria!$E5+criteria!$F5),H5,(IF(VLOOKUP($A5,criteria!$A$4:$I$24,7,FALSE)="PBR",(H5*(1+exposure!I$5-exposure!I$7)),(IF(VLOOKUP($A5,criteria!$A$4:$I$24,7,FALSE)="MKT",H5,999)))))))))))</f>
        <v>1.412767218184586E-2</v>
      </c>
      <c r="J5" s="31">
        <f>IF(J$3&lt;VLOOKUP($A5,criteria!$A$4:$I$24,$D$2,FALSE),I5,(IF(AND(criteria!$G5="COS",J$3=criteria!$E5),DistRevR!J5/(Mwh!J5*1000),(IF(AND(criteria!$G5="COS",J$3=criteria!$E5+criteria!$F5),DistRevR!J5/(Mwh!J5*1000),(IF(AND(criteria!$G5="COS",J$3&lt;&gt;criteria!$E5+criteria!$F5),I5,(IF(VLOOKUP($A5,criteria!$A$4:$I$24,7,FALSE)="PBR",(I5*(1+exposure!J$5-exposure!J$7)),(IF(VLOOKUP($A5,criteria!$A$4:$I$24,7,FALSE)="MKT",I5,999)))))))))))</f>
        <v>1.412767218184586E-2</v>
      </c>
      <c r="K5" s="31">
        <f>IF(K$3&lt;VLOOKUP($A5,criteria!$A$4:$I$24,$D$2,FALSE),J5,(IF(AND(criteria!$G5="COS",K$3=criteria!$E5),DistRevR!K5/(Mwh!K5*1000),(IF(AND(criteria!$G5="COS",K$3=criteria!$E5+criteria!$F5),DistRevR!K5/(Mwh!K5*1000),(IF(AND(criteria!$G5="COS",K$3&lt;&gt;criteria!$E5+criteria!$F5),J5,(IF(VLOOKUP($A5,criteria!$A$4:$I$24,7,FALSE)="PBR",(J5*(1+exposure!K$5-exposure!K$7)),(IF(VLOOKUP($A5,criteria!$A$4:$I$24,7,FALSE)="MKT",J5,999)))))))))))</f>
        <v>1.412767218184586E-2</v>
      </c>
      <c r="L5" s="31">
        <f>IF(L$3&lt;VLOOKUP($A5,criteria!$A$4:$I$24,$D$2,FALSE),K5,(IF(AND(criteria!$G5="COS",L$3=criteria!$E5),DistRevR!L5/(Mwh!L5*1000),(IF(AND(criteria!$G5="COS",L$3=criteria!$E5+criteria!$F5),DistRevR!L5/(Mwh!L5*1000),(IF(AND(criteria!$G5="COS",L$3&lt;&gt;criteria!$E5+criteria!$F5),K5,(IF(VLOOKUP($A5,criteria!$A$4:$I$24,7,FALSE)="PBR",(K5*(1+exposure!L$5-exposure!L$7)),(IF(VLOOKUP($A5,criteria!$A$4:$I$24,7,FALSE)="MKT",K5,999)))))))))))</f>
        <v>1.412767218184586E-2</v>
      </c>
      <c r="M5" s="31">
        <f>IF(M$3&lt;VLOOKUP($A5,criteria!$A$4:$I$24,$D$2,FALSE),L5,(IF(AND(criteria!$G5="COS",M$3=criteria!$E5),DistRevR!M5/(Mwh!M5*1000),(IF(AND(criteria!$G5="COS",M$3=criteria!$E5+criteria!$F5),DistRevR!M5/(Mwh!M5*1000),(IF(AND(criteria!$G5="COS",M$3&lt;&gt;criteria!$E5+criteria!$F5),L5,(IF(VLOOKUP($A5,criteria!$A$4:$I$24,7,FALSE)="PBR",(L5*(1+exposure!M$5-exposure!M$7)),(IF(VLOOKUP($A5,criteria!$A$4:$I$24,7,FALSE)="MKT",L5,999)))))))))))</f>
        <v>1.412767218184586E-2</v>
      </c>
    </row>
    <row r="6" spans="1:13" x14ac:dyDescent="0.2">
      <c r="A6" t="str">
        <f>raw!A6</f>
        <v>Central Hudson Gas &amp; Electric Corp.</v>
      </c>
      <c r="C6" s="32">
        <f>DistRevR!C6/(Mwh!C6*1000)</f>
        <v>2.8529290141363524E-2</v>
      </c>
      <c r="D6" s="31">
        <f>IF(D$3&lt;VLOOKUP($A6,criteria!$A$4:$I$24,$D$2,FALSE),C6,(IF(AND(criteria!$G6="COS",D$3=criteria!$E6),DistRevR!D6/(Mwh!D6*1000),(IF(AND(criteria!$G6="COS",D$3=criteria!$E6+criteria!$F6),DistRevR!D6/(Mwh!D6*1000),(IF(AND(criteria!$G6="COS",D$3&lt;&gt;criteria!$E6+criteria!$F6),C6,(IF(VLOOKUP($A6,criteria!$A$4:$I$24,7,FALSE)="PBR",(C6*(1+exposure!D$5-exposure!D$7)),(IF(VLOOKUP($A6,criteria!$A$4:$I$24,7,FALSE)="MKT",C6,999)))))))))))</f>
        <v>2.8529290141363524E-2</v>
      </c>
      <c r="E6" s="31">
        <f>IF(E$3&lt;VLOOKUP($A6,criteria!$A$4:$I$24,$D$2,FALSE),D6,(IF(AND(criteria!$G6="COS",E$3=criteria!$E6),DistRevR!E6/(Mwh!E6*1000),(IF(AND(criteria!$G6="COS",E$3=criteria!$E6+criteria!$F6),DistRevR!E6/(Mwh!E6*1000),(IF(AND(criteria!$G6="COS",E$3&lt;&gt;criteria!$E6+criteria!$F6),D6,(IF(VLOOKUP($A6,criteria!$A$4:$I$24,7,FALSE)="PBR",(D6*(1+exposure!E$5-exposure!E$7)),(IF(VLOOKUP($A6,criteria!$A$4:$I$24,7,FALSE)="MKT",D6,999)))))))))))</f>
        <v>2.8407430791294354E-2</v>
      </c>
      <c r="F6" s="31">
        <f>IF(F$3&lt;VLOOKUP($A6,criteria!$A$4:$I$24,$D$2,FALSE),E6,(IF(AND(criteria!$G6="COS",F$3=criteria!$E6),DistRevR!F6/(Mwh!F6*1000),(IF(AND(criteria!$G6="COS",F$3=criteria!$E6+criteria!$F6),DistRevR!F6/(Mwh!F6*1000),(IF(AND(criteria!$G6="COS",F$3&lt;&gt;criteria!$E6+criteria!$F6),E6,(IF(VLOOKUP($A6,criteria!$A$4:$I$24,7,FALSE)="PBR",(E6*(1+exposure!F$5-exposure!F$7)),(IF(VLOOKUP($A6,criteria!$A$4:$I$24,7,FALSE)="MKT",E6,999)))))))))))</f>
        <v>2.8407430791294354E-2</v>
      </c>
      <c r="G6" s="31">
        <f>IF(G$3&lt;VLOOKUP($A6,criteria!$A$4:$I$24,$D$2,FALSE),F6,(IF(AND(criteria!$G6="COS",G$3=criteria!$E6),DistRevR!G6/(Mwh!G6*1000),(IF(AND(criteria!$G6="COS",G$3=criteria!$E6+criteria!$F6),DistRevR!G6/(Mwh!G6*1000),(IF(AND(criteria!$G6="COS",G$3&lt;&gt;criteria!$E6+criteria!$F6),F6,(IF(VLOOKUP($A6,criteria!$A$4:$I$24,7,FALSE)="PBR",(F6*(1+exposure!G$5-exposure!G$7)),(IF(VLOOKUP($A6,criteria!$A$4:$I$24,7,FALSE)="MKT",F6,999)))))))))))</f>
        <v>2.8407430791294354E-2</v>
      </c>
      <c r="H6" s="31">
        <f>IF(H$3&lt;VLOOKUP($A6,criteria!$A$4:$I$24,$D$2,FALSE),G6,(IF(AND(criteria!$G6="COS",H$3=criteria!$E6),DistRevR!H6/(Mwh!H6*1000),(IF(AND(criteria!$G6="COS",H$3=criteria!$E6+criteria!$F6),DistRevR!H6/(Mwh!H6*1000),(IF(AND(criteria!$G6="COS",H$3&lt;&gt;criteria!$E6+criteria!$F6),G6,(IF(VLOOKUP($A6,criteria!$A$4:$I$24,7,FALSE)="PBR",(G6*(1+exposure!H$5-exposure!H$7)),(IF(VLOOKUP($A6,criteria!$A$4:$I$24,7,FALSE)="MKT",G6,999)))))))))))</f>
        <v>2.8407430791294354E-2</v>
      </c>
      <c r="I6" s="31">
        <f>IF(I$3&lt;VLOOKUP($A6,criteria!$A$4:$I$24,$D$2,FALSE),H6,(IF(AND(criteria!$G6="COS",I$3=criteria!$E6),DistRevR!I6/(Mwh!I6*1000),(IF(AND(criteria!$G6="COS",I$3=criteria!$E6+criteria!$F6),DistRevR!I6/(Mwh!I6*1000),(IF(AND(criteria!$G6="COS",I$3&lt;&gt;criteria!$E6+criteria!$F6),H6,(IF(VLOOKUP($A6,criteria!$A$4:$I$24,7,FALSE)="PBR",(H6*(1+exposure!I$5-exposure!I$7)),(IF(VLOOKUP($A6,criteria!$A$4:$I$24,7,FALSE)="MKT",H6,999)))))))))))</f>
        <v>2.7856968396968169E-2</v>
      </c>
      <c r="J6" s="31">
        <f>IF(J$3&lt;VLOOKUP($A6,criteria!$A$4:$I$24,$D$2,FALSE),I6,(IF(AND(criteria!$G6="COS",J$3=criteria!$E6),DistRevR!J6/(Mwh!J6*1000),(IF(AND(criteria!$G6="COS",J$3=criteria!$E6+criteria!$F6),DistRevR!J6/(Mwh!J6*1000),(IF(AND(criteria!$G6="COS",J$3&lt;&gt;criteria!$E6+criteria!$F6),I6,(IF(VLOOKUP($A6,criteria!$A$4:$I$24,7,FALSE)="PBR",(I6*(1+exposure!J$5-exposure!J$7)),(IF(VLOOKUP($A6,criteria!$A$4:$I$24,7,FALSE)="MKT",I6,999)))))))))))</f>
        <v>2.7856968396968169E-2</v>
      </c>
      <c r="K6" s="31">
        <f>IF(K$3&lt;VLOOKUP($A6,criteria!$A$4:$I$24,$D$2,FALSE),J6,(IF(AND(criteria!$G6="COS",K$3=criteria!$E6),DistRevR!K6/(Mwh!K6*1000),(IF(AND(criteria!$G6="COS",K$3=criteria!$E6+criteria!$F6),DistRevR!K6/(Mwh!K6*1000),(IF(AND(criteria!$G6="COS",K$3&lt;&gt;criteria!$E6+criteria!$F6),J6,(IF(VLOOKUP($A6,criteria!$A$4:$I$24,7,FALSE)="PBR",(J6*(1+exposure!K$5-exposure!K$7)),(IF(VLOOKUP($A6,criteria!$A$4:$I$24,7,FALSE)="MKT",J6,999)))))))))))</f>
        <v>2.7856968396968169E-2</v>
      </c>
      <c r="L6" s="31">
        <f>IF(L$3&lt;VLOOKUP($A6,criteria!$A$4:$I$24,$D$2,FALSE),K6,(IF(AND(criteria!$G6="COS",L$3=criteria!$E6),DistRevR!L6/(Mwh!L6*1000),(IF(AND(criteria!$G6="COS",L$3=criteria!$E6+criteria!$F6),DistRevR!L6/(Mwh!L6*1000),(IF(AND(criteria!$G6="COS",L$3&lt;&gt;criteria!$E6+criteria!$F6),K6,(IF(VLOOKUP($A6,criteria!$A$4:$I$24,7,FALSE)="PBR",(K6*(1+exposure!L$5-exposure!L$7)),(IF(VLOOKUP($A6,criteria!$A$4:$I$24,7,FALSE)="MKT",K6,999)))))))))))</f>
        <v>2.7856968396968169E-2</v>
      </c>
      <c r="M6" s="31">
        <f>IF(M$3&lt;VLOOKUP($A6,criteria!$A$4:$I$24,$D$2,FALSE),L6,(IF(AND(criteria!$G6="COS",M$3=criteria!$E6),DistRevR!M6/(Mwh!M6*1000),(IF(AND(criteria!$G6="COS",M$3=criteria!$E6+criteria!$F6),DistRevR!M6/(Mwh!M6*1000),(IF(AND(criteria!$G6="COS",M$3&lt;&gt;criteria!$E6+criteria!$F6),L6,(IF(VLOOKUP($A6,criteria!$A$4:$I$24,7,FALSE)="PBR",(L6*(1+exposure!M$5-exposure!M$7)),(IF(VLOOKUP($A6,criteria!$A$4:$I$24,7,FALSE)="MKT",L6,999)))))))))))</f>
        <v>2.7856968396968169E-2</v>
      </c>
    </row>
    <row r="7" spans="1:13" x14ac:dyDescent="0.2">
      <c r="A7" t="str">
        <f>raw!A7</f>
        <v>Commonwealth Edison Co.</v>
      </c>
      <c r="C7" s="32">
        <f>DistRevR!C7/(Mwh!C7*1000)</f>
        <v>1.8105325844038997E-2</v>
      </c>
      <c r="D7" s="31">
        <f>IF(D$3&lt;VLOOKUP($A7,criteria!$A$4:$I$24,$D$2,FALSE),C7,(IF(AND(criteria!$G7="COS",D$3=criteria!$E7),DistRevR!D7/(Mwh!D7*1000),(IF(AND(criteria!$G7="COS",D$3=criteria!$E7+criteria!$F7),DistRevR!D7/(Mwh!D7*1000),(IF(AND(criteria!$G7="COS",D$3&lt;&gt;criteria!$E7+criteria!$F7),C7,(IF(VLOOKUP($A7,criteria!$A$4:$I$24,7,FALSE)="PBR",(C7*(1+exposure!D$5-exposure!D$7)),(IF(VLOOKUP($A7,criteria!$A$4:$I$24,7,FALSE)="MKT",C7,999)))))))))))</f>
        <v>1.8105325844038997E-2</v>
      </c>
      <c r="E7" s="31">
        <f>IF(E$3&lt;VLOOKUP($A7,criteria!$A$4:$I$24,$D$2,FALSE),D7,(IF(AND(criteria!$G7="COS",E$3=criteria!$E7),DistRevR!E7/(Mwh!E7*1000),(IF(AND(criteria!$G7="COS",E$3=criteria!$E7+criteria!$F7),DistRevR!E7/(Mwh!E7*1000),(IF(AND(criteria!$G7="COS",E$3&lt;&gt;criteria!$E7+criteria!$F7),D7,(IF(VLOOKUP($A7,criteria!$A$4:$I$24,7,FALSE)="PBR",(D7*(1+exposure!E$5-exposure!E$7)),(IF(VLOOKUP($A7,criteria!$A$4:$I$24,7,FALSE)="MKT",D7,999)))))))))))</f>
        <v>1.8105325844038997E-2</v>
      </c>
      <c r="F7" s="31">
        <f>IF(F$3&lt;VLOOKUP($A7,criteria!$A$4:$I$24,$D$2,FALSE),E7,(IF(AND(criteria!$G7="COS",F$3=criteria!$E7),DistRevR!F7/(Mwh!F7*1000),(IF(AND(criteria!$G7="COS",F$3=criteria!$E7+criteria!$F7),DistRevR!F7/(Mwh!F7*1000),(IF(AND(criteria!$G7="COS",F$3&lt;&gt;criteria!$E7+criteria!$F7),E7,(IF(VLOOKUP($A7,criteria!$A$4:$I$24,7,FALSE)="PBR",(E7*(1+exposure!F$5-exposure!F$7)),(IF(VLOOKUP($A7,criteria!$A$4:$I$24,7,FALSE)="MKT",E7,999)))))))))))</f>
        <v>1.8105325844038997E-2</v>
      </c>
      <c r="G7" s="31">
        <f>IF(G$3&lt;VLOOKUP($A7,criteria!$A$4:$I$24,$D$2,FALSE),F7,(IF(AND(criteria!$G7="COS",G$3=criteria!$E7),DistRevR!G7/(Mwh!G7*1000),(IF(AND(criteria!$G7="COS",G$3=criteria!$E7+criteria!$F7),DistRevR!G7/(Mwh!G7*1000),(IF(AND(criteria!$G7="COS",G$3&lt;&gt;criteria!$E7+criteria!$F7),F7,(IF(VLOOKUP($A7,criteria!$A$4:$I$24,7,FALSE)="PBR",(F7*(1+exposure!G$5-exposure!G$7)),(IF(VLOOKUP($A7,criteria!$A$4:$I$24,7,FALSE)="MKT",F7,999)))))))))))</f>
        <v>1.8105325844038997E-2</v>
      </c>
      <c r="H7" s="31">
        <f>IF(H$3&lt;VLOOKUP($A7,criteria!$A$4:$I$24,$D$2,FALSE),G7,(IF(AND(criteria!$G7="COS",H$3=criteria!$E7),DistRevR!H7/(Mwh!H7*1000),(IF(AND(criteria!$G7="COS",H$3=criteria!$E7+criteria!$F7),DistRevR!H7/(Mwh!H7*1000),(IF(AND(criteria!$G7="COS",H$3&lt;&gt;criteria!$E7+criteria!$F7),G7,(IF(VLOOKUP($A7,criteria!$A$4:$I$24,7,FALSE)="PBR",(G7*(1+exposure!H$5-exposure!H$7)),(IF(VLOOKUP($A7,criteria!$A$4:$I$24,7,FALSE)="MKT",G7,999)))))))))))</f>
        <v>1.8105325844038997E-2</v>
      </c>
      <c r="I7" s="31">
        <f>IF(I$3&lt;VLOOKUP($A7,criteria!$A$4:$I$24,$D$2,FALSE),H7,(IF(AND(criteria!$G7="COS",I$3=criteria!$E7),DistRevR!I7/(Mwh!I7*1000),(IF(AND(criteria!$G7="COS",I$3=criteria!$E7+criteria!$F7),DistRevR!I7/(Mwh!I7*1000),(IF(AND(criteria!$G7="COS",I$3&lt;&gt;criteria!$E7+criteria!$F7),H7,(IF(VLOOKUP($A7,criteria!$A$4:$I$24,7,FALSE)="PBR",(H7*(1+exposure!I$5-exposure!I$7)),(IF(VLOOKUP($A7,criteria!$A$4:$I$24,7,FALSE)="MKT",H7,999)))))))))))</f>
        <v>1.8105325844038997E-2</v>
      </c>
      <c r="J7" s="31">
        <f>IF(J$3&lt;VLOOKUP($A7,criteria!$A$4:$I$24,$D$2,FALSE),I7,(IF(AND(criteria!$G7="COS",J$3=criteria!$E7),DistRevR!J7/(Mwh!J7*1000),(IF(AND(criteria!$G7="COS",J$3=criteria!$E7+criteria!$F7),DistRevR!J7/(Mwh!J7*1000),(IF(AND(criteria!$G7="COS",J$3&lt;&gt;criteria!$E7+criteria!$F7),I7,(IF(VLOOKUP($A7,criteria!$A$4:$I$24,7,FALSE)="PBR",(I7*(1+exposure!J$5-exposure!J$7)),(IF(VLOOKUP($A7,criteria!$A$4:$I$24,7,FALSE)="MKT",I7,999)))))))))))</f>
        <v>1.8105325844038997E-2</v>
      </c>
      <c r="K7" s="31">
        <f>IF(K$3&lt;VLOOKUP($A7,criteria!$A$4:$I$24,$D$2,FALSE),J7,(IF(AND(criteria!$G7="COS",K$3=criteria!$E7),DistRevR!K7/(Mwh!K7*1000),(IF(AND(criteria!$G7="COS",K$3=criteria!$E7+criteria!$F7),DistRevR!K7/(Mwh!K7*1000),(IF(AND(criteria!$G7="COS",K$3&lt;&gt;criteria!$E7+criteria!$F7),J7,(IF(VLOOKUP($A7,criteria!$A$4:$I$24,7,FALSE)="PBR",(J7*(1+exposure!K$5-exposure!K$7)),(IF(VLOOKUP($A7,criteria!$A$4:$I$24,7,FALSE)="MKT",J7,999)))))))))))</f>
        <v>1.8105325844038997E-2</v>
      </c>
      <c r="L7" s="31">
        <f>IF(L$3&lt;VLOOKUP($A7,criteria!$A$4:$I$24,$D$2,FALSE),K7,(IF(AND(criteria!$G7="COS",L$3=criteria!$E7),DistRevR!L7/(Mwh!L7*1000),(IF(AND(criteria!$G7="COS",L$3=criteria!$E7+criteria!$F7),DistRevR!L7/(Mwh!L7*1000),(IF(AND(criteria!$G7="COS",L$3&lt;&gt;criteria!$E7+criteria!$F7),K7,(IF(VLOOKUP($A7,criteria!$A$4:$I$24,7,FALSE)="PBR",(K7*(1+exposure!L$5-exposure!L$7)),(IF(VLOOKUP($A7,criteria!$A$4:$I$24,7,FALSE)="MKT",K7,999)))))))))))</f>
        <v>1.8105325844038997E-2</v>
      </c>
      <c r="M7" s="31">
        <f>IF(M$3&lt;VLOOKUP($A7,criteria!$A$4:$I$24,$D$2,FALSE),L7,(IF(AND(criteria!$G7="COS",M$3=criteria!$E7),DistRevR!M7/(Mwh!M7*1000),(IF(AND(criteria!$G7="COS",M$3=criteria!$E7+criteria!$F7),DistRevR!M7/(Mwh!M7*1000),(IF(AND(criteria!$G7="COS",M$3&lt;&gt;criteria!$E7+criteria!$F7),L7,(IF(VLOOKUP($A7,criteria!$A$4:$I$24,7,FALSE)="PBR",(L7*(1+exposure!M$5-exposure!M$7)),(IF(VLOOKUP($A7,criteria!$A$4:$I$24,7,FALSE)="MKT",L7,999)))))))))))</f>
        <v>1.8105325844038997E-2</v>
      </c>
    </row>
    <row r="8" spans="1:13" x14ac:dyDescent="0.2">
      <c r="A8" t="str">
        <f>raw!A8</f>
        <v>Consolidated Edison Co. of New York, Inc.</v>
      </c>
      <c r="C8" s="32">
        <f>DistRevR!C8/(Mwh!C8*1000)</f>
        <v>6.5333643178025105E-2</v>
      </c>
      <c r="D8" s="31">
        <f>IF(D$3&lt;VLOOKUP($A8,criteria!$A$4:$I$24,$D$2,FALSE),C8,(IF(AND(criteria!$G8="COS",D$3=criteria!$E8),DistRevR!D8/(Mwh!D8*1000),(IF(AND(criteria!$G8="COS",D$3=criteria!$E8+criteria!$F8),DistRevR!D8/(Mwh!D8*1000),(IF(AND(criteria!$G8="COS",D$3&lt;&gt;criteria!$E8+criteria!$F8),C8,(IF(VLOOKUP($A8,criteria!$A$4:$I$24,7,FALSE)="PBR",(C8*(1+exposure!D$5-exposure!D$7)),(IF(VLOOKUP($A8,criteria!$A$4:$I$24,7,FALSE)="MKT",C8,999)))))))))))</f>
        <v>6.5333643178025105E-2</v>
      </c>
      <c r="E8" s="31">
        <f>IF(E$3&lt;VLOOKUP($A8,criteria!$A$4:$I$24,$D$2,FALSE),D8,(IF(AND(criteria!$G8="COS",E$3=criteria!$E8),DistRevR!E8/(Mwh!E8*1000),(IF(AND(criteria!$G8="COS",E$3=criteria!$E8+criteria!$F8),DistRevR!E8/(Mwh!E8*1000),(IF(AND(criteria!$G8="COS",E$3&lt;&gt;criteria!$E8+criteria!$F8),D8,(IF(VLOOKUP($A8,criteria!$A$4:$I$24,7,FALSE)="PBR",(D8*(1+exposure!E$5-exposure!E$7)),(IF(VLOOKUP($A8,criteria!$A$4:$I$24,7,FALSE)="MKT",D8,999)))))))))))</f>
        <v>6.471970014179293E-2</v>
      </c>
      <c r="F8" s="31">
        <f>IF(F$3&lt;VLOOKUP($A8,criteria!$A$4:$I$24,$D$2,FALSE),E8,(IF(AND(criteria!$G8="COS",F$3=criteria!$E8),DistRevR!F8/(Mwh!F8*1000),(IF(AND(criteria!$G8="COS",F$3=criteria!$E8+criteria!$F8),DistRevR!F8/(Mwh!F8*1000),(IF(AND(criteria!$G8="COS",F$3&lt;&gt;criteria!$E8+criteria!$F8),E8,(IF(VLOOKUP($A8,criteria!$A$4:$I$24,7,FALSE)="PBR",(E8*(1+exposure!F$5-exposure!F$7)),(IF(VLOOKUP($A8,criteria!$A$4:$I$24,7,FALSE)="MKT",E8,999)))))))))))</f>
        <v>6.471970014179293E-2</v>
      </c>
      <c r="G8" s="31">
        <f>IF(G$3&lt;VLOOKUP($A8,criteria!$A$4:$I$24,$D$2,FALSE),F8,(IF(AND(criteria!$G8="COS",G$3=criteria!$E8),DistRevR!G8/(Mwh!G8*1000),(IF(AND(criteria!$G8="COS",G$3=criteria!$E8+criteria!$F8),DistRevR!G8/(Mwh!G8*1000),(IF(AND(criteria!$G8="COS",G$3&lt;&gt;criteria!$E8+criteria!$F8),F8,(IF(VLOOKUP($A8,criteria!$A$4:$I$24,7,FALSE)="PBR",(F8*(1+exposure!G$5-exposure!G$7)),(IF(VLOOKUP($A8,criteria!$A$4:$I$24,7,FALSE)="MKT",F8,999)))))))))))</f>
        <v>6.471970014179293E-2</v>
      </c>
      <c r="H8" s="31">
        <f>IF(H$3&lt;VLOOKUP($A8,criteria!$A$4:$I$24,$D$2,FALSE),G8,(IF(AND(criteria!$G8="COS",H$3=criteria!$E8),DistRevR!H8/(Mwh!H8*1000),(IF(AND(criteria!$G8="COS",H$3=criteria!$E8+criteria!$F8),DistRevR!H8/(Mwh!H8*1000),(IF(AND(criteria!$G8="COS",H$3&lt;&gt;criteria!$E8+criteria!$F8),G8,(IF(VLOOKUP($A8,criteria!$A$4:$I$24,7,FALSE)="PBR",(G8*(1+exposure!H$5-exposure!H$7)),(IF(VLOOKUP($A8,criteria!$A$4:$I$24,7,FALSE)="MKT",G8,999)))))))))))</f>
        <v>6.471970014179293E-2</v>
      </c>
      <c r="I8" s="31">
        <f>IF(I$3&lt;VLOOKUP($A8,criteria!$A$4:$I$24,$D$2,FALSE),H8,(IF(AND(criteria!$G8="COS",I$3=criteria!$E8),DistRevR!I8/(Mwh!I8*1000),(IF(AND(criteria!$G8="COS",I$3=criteria!$E8+criteria!$F8),DistRevR!I8/(Mwh!I8*1000),(IF(AND(criteria!$G8="COS",I$3&lt;&gt;criteria!$E8+criteria!$F8),H8,(IF(VLOOKUP($A8,criteria!$A$4:$I$24,7,FALSE)="PBR",(H8*(1+exposure!I$5-exposure!I$7)),(IF(VLOOKUP($A8,criteria!$A$4:$I$24,7,FALSE)="MKT",H8,999)))))))))))</f>
        <v>6.2889785193812012E-2</v>
      </c>
      <c r="J8" s="31">
        <f>IF(J$3&lt;VLOOKUP($A8,criteria!$A$4:$I$24,$D$2,FALSE),I8,(IF(AND(criteria!$G8="COS",J$3=criteria!$E8),DistRevR!J8/(Mwh!J8*1000),(IF(AND(criteria!$G8="COS",J$3=criteria!$E8+criteria!$F8),DistRevR!J8/(Mwh!J8*1000),(IF(AND(criteria!$G8="COS",J$3&lt;&gt;criteria!$E8+criteria!$F8),I8,(IF(VLOOKUP($A8,criteria!$A$4:$I$24,7,FALSE)="PBR",(I8*(1+exposure!J$5-exposure!J$7)),(IF(VLOOKUP($A8,criteria!$A$4:$I$24,7,FALSE)="MKT",I8,999)))))))))))</f>
        <v>6.2889785193812012E-2</v>
      </c>
      <c r="K8" s="31">
        <f>IF(K$3&lt;VLOOKUP($A8,criteria!$A$4:$I$24,$D$2,FALSE),J8,(IF(AND(criteria!$G8="COS",K$3=criteria!$E8),DistRevR!K8/(Mwh!K8*1000),(IF(AND(criteria!$G8="COS",K$3=criteria!$E8+criteria!$F8),DistRevR!K8/(Mwh!K8*1000),(IF(AND(criteria!$G8="COS",K$3&lt;&gt;criteria!$E8+criteria!$F8),J8,(IF(VLOOKUP($A8,criteria!$A$4:$I$24,7,FALSE)="PBR",(J8*(1+exposure!K$5-exposure!K$7)),(IF(VLOOKUP($A8,criteria!$A$4:$I$24,7,FALSE)="MKT",J8,999)))))))))))</f>
        <v>6.2889785193812012E-2</v>
      </c>
      <c r="L8" s="31">
        <f>IF(L$3&lt;VLOOKUP($A8,criteria!$A$4:$I$24,$D$2,FALSE),K8,(IF(AND(criteria!$G8="COS",L$3=criteria!$E8),DistRevR!L8/(Mwh!L8*1000),(IF(AND(criteria!$G8="COS",L$3=criteria!$E8+criteria!$F8),DistRevR!L8/(Mwh!L8*1000),(IF(AND(criteria!$G8="COS",L$3&lt;&gt;criteria!$E8+criteria!$F8),K8,(IF(VLOOKUP($A8,criteria!$A$4:$I$24,7,FALSE)="PBR",(K8*(1+exposure!L$5-exposure!L$7)),(IF(VLOOKUP($A8,criteria!$A$4:$I$24,7,FALSE)="MKT",K8,999)))))))))))</f>
        <v>6.2889785193812012E-2</v>
      </c>
      <c r="M8" s="31">
        <f>IF(M$3&lt;VLOOKUP($A8,criteria!$A$4:$I$24,$D$2,FALSE),L8,(IF(AND(criteria!$G8="COS",M$3=criteria!$E8),DistRevR!M8/(Mwh!M8*1000),(IF(AND(criteria!$G8="COS",M$3=criteria!$E8+criteria!$F8),DistRevR!M8/(Mwh!M8*1000),(IF(AND(criteria!$G8="COS",M$3&lt;&gt;criteria!$E8+criteria!$F8),L8,(IF(VLOOKUP($A8,criteria!$A$4:$I$24,7,FALSE)="PBR",(L8*(1+exposure!M$5-exposure!M$7)),(IF(VLOOKUP($A8,criteria!$A$4:$I$24,7,FALSE)="MKT",L8,999)))))))))))</f>
        <v>6.2889785193812012E-2</v>
      </c>
    </row>
    <row r="9" spans="1:13" x14ac:dyDescent="0.2">
      <c r="A9" t="str">
        <f>raw!A9</f>
        <v>Consumers Energy Co.</v>
      </c>
      <c r="C9" s="32">
        <f>DistRevR!C9/(Mwh!C9*1000)</f>
        <v>1.8940060118952551E-2</v>
      </c>
      <c r="D9" s="31">
        <f>IF(D$3&lt;VLOOKUP($A9,criteria!$A$4:$I$24,$D$2,FALSE),C9,(IF(AND(criteria!$G9="COS",D$3=criteria!$E9),DistRevR!D9/(Mwh!D9*1000),(IF(AND(criteria!$G9="COS",D$3=criteria!$E9+criteria!$F9),DistRevR!D9/(Mwh!D9*1000),(IF(AND(criteria!$G9="COS",D$3&lt;&gt;criteria!$E9+criteria!$F9),C9,(IF(VLOOKUP($A9,criteria!$A$4:$I$24,7,FALSE)="PBR",(C9*(1+exposure!D$5-exposure!D$7)),(IF(VLOOKUP($A9,criteria!$A$4:$I$24,7,FALSE)="MKT",C9,999)))))))))))</f>
        <v>1.8940060118952551E-2</v>
      </c>
      <c r="E9" s="31">
        <f>IF(E$3&lt;VLOOKUP($A9,criteria!$A$4:$I$24,$D$2,FALSE),D9,(IF(AND(criteria!$G9="COS",E$3=criteria!$E9),DistRevR!E9/(Mwh!E9*1000),(IF(AND(criteria!$G9="COS",E$3=criteria!$E9+criteria!$F9),DistRevR!E9/(Mwh!E9*1000),(IF(AND(criteria!$G9="COS",E$3&lt;&gt;criteria!$E9+criteria!$F9),D9,(IF(VLOOKUP($A9,criteria!$A$4:$I$24,7,FALSE)="PBR",(D9*(1+exposure!E$5-exposure!E$7)),(IF(VLOOKUP($A9,criteria!$A$4:$I$24,7,FALSE)="MKT",D9,999)))))))))))</f>
        <v>1.8828060144385494E-2</v>
      </c>
      <c r="F9" s="31">
        <f>IF(F$3&lt;VLOOKUP($A9,criteria!$A$4:$I$24,$D$2,FALSE),E9,(IF(AND(criteria!$G9="COS",F$3=criteria!$E9),DistRevR!F9/(Mwh!F9*1000),(IF(AND(criteria!$G9="COS",F$3=criteria!$E9+criteria!$F9),DistRevR!F9/(Mwh!F9*1000),(IF(AND(criteria!$G9="COS",F$3&lt;&gt;criteria!$E9+criteria!$F9),E9,(IF(VLOOKUP($A9,criteria!$A$4:$I$24,7,FALSE)="PBR",(E9*(1+exposure!F$5-exposure!F$7)),(IF(VLOOKUP($A9,criteria!$A$4:$I$24,7,FALSE)="MKT",E9,999)))))))))))</f>
        <v>1.8828060144385494E-2</v>
      </c>
      <c r="G9" s="31">
        <f>IF(G$3&lt;VLOOKUP($A9,criteria!$A$4:$I$24,$D$2,FALSE),F9,(IF(AND(criteria!$G9="COS",G$3=criteria!$E9),DistRevR!G9/(Mwh!G9*1000),(IF(AND(criteria!$G9="COS",G$3=criteria!$E9+criteria!$F9),DistRevR!G9/(Mwh!G9*1000),(IF(AND(criteria!$G9="COS",G$3&lt;&gt;criteria!$E9+criteria!$F9),F9,(IF(VLOOKUP($A9,criteria!$A$4:$I$24,7,FALSE)="PBR",(F9*(1+exposure!G$5-exposure!G$7)),(IF(VLOOKUP($A9,criteria!$A$4:$I$24,7,FALSE)="MKT",F9,999)))))))))))</f>
        <v>1.8828060144385494E-2</v>
      </c>
      <c r="H9" s="31">
        <f>IF(H$3&lt;VLOOKUP($A9,criteria!$A$4:$I$24,$D$2,FALSE),G9,(IF(AND(criteria!$G9="COS",H$3=criteria!$E9),DistRevR!H9/(Mwh!H9*1000),(IF(AND(criteria!$G9="COS",H$3=criteria!$E9+criteria!$F9),DistRevR!H9/(Mwh!H9*1000),(IF(AND(criteria!$G9="COS",H$3&lt;&gt;criteria!$E9+criteria!$F9),G9,(IF(VLOOKUP($A9,criteria!$A$4:$I$24,7,FALSE)="PBR",(G9*(1+exposure!H$5-exposure!H$7)),(IF(VLOOKUP($A9,criteria!$A$4:$I$24,7,FALSE)="MKT",G9,999)))))))))))</f>
        <v>1.8828060144385494E-2</v>
      </c>
      <c r="I9" s="31">
        <f>IF(I$3&lt;VLOOKUP($A9,criteria!$A$4:$I$24,$D$2,FALSE),H9,(IF(AND(criteria!$G9="COS",I$3=criteria!$E9),DistRevR!I9/(Mwh!I9*1000),(IF(AND(criteria!$G9="COS",I$3=criteria!$E9+criteria!$F9),DistRevR!I9/(Mwh!I9*1000),(IF(AND(criteria!$G9="COS",I$3&lt;&gt;criteria!$E9+criteria!$F9),H9,(IF(VLOOKUP($A9,criteria!$A$4:$I$24,7,FALSE)="PBR",(H9*(1+exposure!I$5-exposure!I$7)),(IF(VLOOKUP($A9,criteria!$A$4:$I$24,7,FALSE)="MKT",H9,999)))))))))))</f>
        <v>1.8413113036427068E-2</v>
      </c>
      <c r="J9" s="31">
        <f>IF(J$3&lt;VLOOKUP($A9,criteria!$A$4:$I$24,$D$2,FALSE),I9,(IF(AND(criteria!$G9="COS",J$3=criteria!$E9),DistRevR!J9/(Mwh!J9*1000),(IF(AND(criteria!$G9="COS",J$3=criteria!$E9+criteria!$F9),DistRevR!J9/(Mwh!J9*1000),(IF(AND(criteria!$G9="COS",J$3&lt;&gt;criteria!$E9+criteria!$F9),I9,(IF(VLOOKUP($A9,criteria!$A$4:$I$24,7,FALSE)="PBR",(I9*(1+exposure!J$5-exposure!J$7)),(IF(VLOOKUP($A9,criteria!$A$4:$I$24,7,FALSE)="MKT",I9,999)))))))))))</f>
        <v>1.8413113036427068E-2</v>
      </c>
      <c r="K9" s="31">
        <f>IF(K$3&lt;VLOOKUP($A9,criteria!$A$4:$I$24,$D$2,FALSE),J9,(IF(AND(criteria!$G9="COS",K$3=criteria!$E9),DistRevR!K9/(Mwh!K9*1000),(IF(AND(criteria!$G9="COS",K$3=criteria!$E9+criteria!$F9),DistRevR!K9/(Mwh!K9*1000),(IF(AND(criteria!$G9="COS",K$3&lt;&gt;criteria!$E9+criteria!$F9),J9,(IF(VLOOKUP($A9,criteria!$A$4:$I$24,7,FALSE)="PBR",(J9*(1+exposure!K$5-exposure!K$7)),(IF(VLOOKUP($A9,criteria!$A$4:$I$24,7,FALSE)="MKT",J9,999)))))))))))</f>
        <v>1.8413113036427068E-2</v>
      </c>
      <c r="L9" s="31">
        <f>IF(L$3&lt;VLOOKUP($A9,criteria!$A$4:$I$24,$D$2,FALSE),K9,(IF(AND(criteria!$G9="COS",L$3=criteria!$E9),DistRevR!L9/(Mwh!L9*1000),(IF(AND(criteria!$G9="COS",L$3=criteria!$E9+criteria!$F9),DistRevR!L9/(Mwh!L9*1000),(IF(AND(criteria!$G9="COS",L$3&lt;&gt;criteria!$E9+criteria!$F9),K9,(IF(VLOOKUP($A9,criteria!$A$4:$I$24,7,FALSE)="PBR",(K9*(1+exposure!L$5-exposure!L$7)),(IF(VLOOKUP($A9,criteria!$A$4:$I$24,7,FALSE)="MKT",K9,999)))))))))))</f>
        <v>1.8413113036427068E-2</v>
      </c>
      <c r="M9" s="31">
        <f>IF(M$3&lt;VLOOKUP($A9,criteria!$A$4:$I$24,$D$2,FALSE),L9,(IF(AND(criteria!$G9="COS",M$3=criteria!$E9),DistRevR!M9/(Mwh!M9*1000),(IF(AND(criteria!$G9="COS",M$3=criteria!$E9+criteria!$F9),DistRevR!M9/(Mwh!M9*1000),(IF(AND(criteria!$G9="COS",M$3&lt;&gt;criteria!$E9+criteria!$F9),L9,(IF(VLOOKUP($A9,criteria!$A$4:$I$24,7,FALSE)="PBR",(L9*(1+exposure!M$5-exposure!M$7)),(IF(VLOOKUP($A9,criteria!$A$4:$I$24,7,FALSE)="MKT",L9,999)))))))))))</f>
        <v>1.8413113036427068E-2</v>
      </c>
    </row>
    <row r="10" spans="1:13" x14ac:dyDescent="0.2">
      <c r="A10" t="str">
        <f>raw!A10</f>
        <v>Duke Energy Corp.</v>
      </c>
      <c r="C10" s="32">
        <f>DistRevR!C10/(Mwh!C10*1000)</f>
        <v>1.6838459180081648E-2</v>
      </c>
      <c r="D10" s="31">
        <f>IF(D$3&lt;VLOOKUP($A10,criteria!$A$4:$I$24,$D$2,FALSE),C10,(IF(AND(criteria!$G10="COS",D$3=criteria!$E10),DistRevR!D10/(Mwh!D10*1000),(IF(AND(criteria!$G10="COS",D$3=criteria!$E10+criteria!$F10),DistRevR!D10/(Mwh!D10*1000),(IF(AND(criteria!$G10="COS",D$3&lt;&gt;criteria!$E10+criteria!$F10),C10,(IF(VLOOKUP($A10,criteria!$A$4:$I$24,7,FALSE)="PBR",(C10*(1+exposure!D$5-exposure!D$7)),(IF(VLOOKUP($A10,criteria!$A$4:$I$24,7,FALSE)="MKT",C10,999)))))))))))</f>
        <v>1.6838459180081648E-2</v>
      </c>
      <c r="E10" s="31">
        <f>IF(E$3&lt;VLOOKUP($A10,criteria!$A$4:$I$24,$D$2,FALSE),D10,(IF(AND(criteria!$G10="COS",E$3=criteria!$E10),DistRevR!E10/(Mwh!E10*1000),(IF(AND(criteria!$G10="COS",E$3=criteria!$E10+criteria!$F10),DistRevR!E10/(Mwh!E10*1000),(IF(AND(criteria!$G10="COS",E$3&lt;&gt;criteria!$E10+criteria!$F10),D10,(IF(VLOOKUP($A10,criteria!$A$4:$I$24,7,FALSE)="PBR",(D10*(1+exposure!E$5-exposure!E$7)),(IF(VLOOKUP($A10,criteria!$A$4:$I$24,7,FALSE)="MKT",D10,999)))))))))))</f>
        <v>1.6658962693507494E-2</v>
      </c>
      <c r="F10" s="31">
        <f>IF(F$3&lt;VLOOKUP($A10,criteria!$A$4:$I$24,$D$2,FALSE),E10,(IF(AND(criteria!$G10="COS",F$3=criteria!$E10),DistRevR!F10/(Mwh!F10*1000),(IF(AND(criteria!$G10="COS",F$3=criteria!$E10+criteria!$F10),DistRevR!F10/(Mwh!F10*1000),(IF(AND(criteria!$G10="COS",F$3&lt;&gt;criteria!$E10+criteria!$F10),E10,(IF(VLOOKUP($A10,criteria!$A$4:$I$24,7,FALSE)="PBR",(E10*(1+exposure!F$5-exposure!F$7)),(IF(VLOOKUP($A10,criteria!$A$4:$I$24,7,FALSE)="MKT",E10,999)))))))))))</f>
        <v>1.6658962693507494E-2</v>
      </c>
      <c r="G10" s="31">
        <f>IF(G$3&lt;VLOOKUP($A10,criteria!$A$4:$I$24,$D$2,FALSE),F10,(IF(AND(criteria!$G10="COS",G$3=criteria!$E10),DistRevR!G10/(Mwh!G10*1000),(IF(AND(criteria!$G10="COS",G$3=criteria!$E10+criteria!$F10),DistRevR!G10/(Mwh!G10*1000),(IF(AND(criteria!$G10="COS",G$3&lt;&gt;criteria!$E10+criteria!$F10),F10,(IF(VLOOKUP($A10,criteria!$A$4:$I$24,7,FALSE)="PBR",(F10*(1+exposure!G$5-exposure!G$7)),(IF(VLOOKUP($A10,criteria!$A$4:$I$24,7,FALSE)="MKT",F10,999)))))))))))</f>
        <v>1.6658962693507494E-2</v>
      </c>
      <c r="H10" s="31">
        <f>IF(H$3&lt;VLOOKUP($A10,criteria!$A$4:$I$24,$D$2,FALSE),G10,(IF(AND(criteria!$G10="COS",H$3=criteria!$E10),DistRevR!H10/(Mwh!H10*1000),(IF(AND(criteria!$G10="COS",H$3=criteria!$E10+criteria!$F10),DistRevR!H10/(Mwh!H10*1000),(IF(AND(criteria!$G10="COS",H$3&lt;&gt;criteria!$E10+criteria!$F10),G10,(IF(VLOOKUP($A10,criteria!$A$4:$I$24,7,FALSE)="PBR",(G10*(1+exposure!H$5-exposure!H$7)),(IF(VLOOKUP($A10,criteria!$A$4:$I$24,7,FALSE)="MKT",G10,999)))))))))))</f>
        <v>1.6658962693507494E-2</v>
      </c>
      <c r="I10" s="31">
        <f>IF(I$3&lt;VLOOKUP($A10,criteria!$A$4:$I$24,$D$2,FALSE),H10,(IF(AND(criteria!$G10="COS",I$3=criteria!$E10),DistRevR!I10/(Mwh!I10*1000),(IF(AND(criteria!$G10="COS",I$3=criteria!$E10+criteria!$F10),DistRevR!I10/(Mwh!I10*1000),(IF(AND(criteria!$G10="COS",I$3&lt;&gt;criteria!$E10+criteria!$F10),H10,(IF(VLOOKUP($A10,criteria!$A$4:$I$24,7,FALSE)="PBR",(H10*(1+exposure!I$5-exposure!I$7)),(IF(VLOOKUP($A10,criteria!$A$4:$I$24,7,FALSE)="MKT",H10,999)))))))))))</f>
        <v>1.6189616742366721E-2</v>
      </c>
      <c r="J10" s="31">
        <f>IF(J$3&lt;VLOOKUP($A10,criteria!$A$4:$I$24,$D$2,FALSE),I10,(IF(AND(criteria!$G10="COS",J$3=criteria!$E10),DistRevR!J10/(Mwh!J10*1000),(IF(AND(criteria!$G10="COS",J$3=criteria!$E10+criteria!$F10),DistRevR!J10/(Mwh!J10*1000),(IF(AND(criteria!$G10="COS",J$3&lt;&gt;criteria!$E10+criteria!$F10),I10,(IF(VLOOKUP($A10,criteria!$A$4:$I$24,7,FALSE)="PBR",(I10*(1+exposure!J$5-exposure!J$7)),(IF(VLOOKUP($A10,criteria!$A$4:$I$24,7,FALSE)="MKT",I10,999)))))))))))</f>
        <v>1.6189616742366721E-2</v>
      </c>
      <c r="K10" s="31">
        <f>IF(K$3&lt;VLOOKUP($A10,criteria!$A$4:$I$24,$D$2,FALSE),J10,(IF(AND(criteria!$G10="COS",K$3=criteria!$E10),DistRevR!K10/(Mwh!K10*1000),(IF(AND(criteria!$G10="COS",K$3=criteria!$E10+criteria!$F10),DistRevR!K10/(Mwh!K10*1000),(IF(AND(criteria!$G10="COS",K$3&lt;&gt;criteria!$E10+criteria!$F10),J10,(IF(VLOOKUP($A10,criteria!$A$4:$I$24,7,FALSE)="PBR",(J10*(1+exposure!K$5-exposure!K$7)),(IF(VLOOKUP($A10,criteria!$A$4:$I$24,7,FALSE)="MKT",J10,999)))))))))))</f>
        <v>1.6189616742366721E-2</v>
      </c>
      <c r="L10" s="31">
        <f>IF(L$3&lt;VLOOKUP($A10,criteria!$A$4:$I$24,$D$2,FALSE),K10,(IF(AND(criteria!$G10="COS",L$3=criteria!$E10),DistRevR!L10/(Mwh!L10*1000),(IF(AND(criteria!$G10="COS",L$3=criteria!$E10+criteria!$F10),DistRevR!L10/(Mwh!L10*1000),(IF(AND(criteria!$G10="COS",L$3&lt;&gt;criteria!$E10+criteria!$F10),K10,(IF(VLOOKUP($A10,criteria!$A$4:$I$24,7,FALSE)="PBR",(K10*(1+exposure!L$5-exposure!L$7)),(IF(VLOOKUP($A10,criteria!$A$4:$I$24,7,FALSE)="MKT",K10,999)))))))))))</f>
        <v>1.6189616742366721E-2</v>
      </c>
      <c r="M10" s="31">
        <f>IF(M$3&lt;VLOOKUP($A10,criteria!$A$4:$I$24,$D$2,FALSE),L10,(IF(AND(criteria!$G10="COS",M$3=criteria!$E10),DistRevR!M10/(Mwh!M10*1000),(IF(AND(criteria!$G10="COS",M$3=criteria!$E10+criteria!$F10),DistRevR!M10/(Mwh!M10*1000),(IF(AND(criteria!$G10="COS",M$3&lt;&gt;criteria!$E10+criteria!$F10),L10,(IF(VLOOKUP($A10,criteria!$A$4:$I$24,7,FALSE)="PBR",(L10*(1+exposure!M$5-exposure!M$7)),(IF(VLOOKUP($A10,criteria!$A$4:$I$24,7,FALSE)="MKT",L10,999)))))))))))</f>
        <v>1.6189616742366721E-2</v>
      </c>
    </row>
    <row r="11" spans="1:13" x14ac:dyDescent="0.2">
      <c r="A11" t="str">
        <f>raw!A11</f>
        <v>Entergy Mississippi, Inc.</v>
      </c>
      <c r="C11" s="32">
        <f>DistRevR!C11/(Mwh!C11*1000)</f>
        <v>1.8702125968951988E-2</v>
      </c>
      <c r="D11" s="31">
        <f>IF(D$3&lt;VLOOKUP($A11,criteria!$A$4:$I$24,$D$2,FALSE),C11,(IF(AND(criteria!$G11="COS",D$3=criteria!$E11),DistRevR!D11/(Mwh!D11*1000),(IF(AND(criteria!$G11="COS",D$3=criteria!$E11+criteria!$F11),DistRevR!D11/(Mwh!D11*1000),(IF(AND(criteria!$G11="COS",D$3&lt;&gt;criteria!$E11+criteria!$F11),C11,(IF(VLOOKUP($A11,criteria!$A$4:$I$24,7,FALSE)="PBR",(C11*(1+exposure!D$5-exposure!D$7)),(IF(VLOOKUP($A11,criteria!$A$4:$I$24,7,FALSE)="MKT",C11,999)))))))))))</f>
        <v>1.8702125968951988E-2</v>
      </c>
      <c r="E11" s="31">
        <f>IF(E$3&lt;VLOOKUP($A11,criteria!$A$4:$I$24,$D$2,FALSE),D11,(IF(AND(criteria!$G11="COS",E$3=criteria!$E11),DistRevR!E11/(Mwh!E11*1000),(IF(AND(criteria!$G11="COS",E$3=criteria!$E11+criteria!$F11),DistRevR!E11/(Mwh!E11*1000),(IF(AND(criteria!$G11="COS",E$3&lt;&gt;criteria!$E11+criteria!$F11),D11,(IF(VLOOKUP($A11,criteria!$A$4:$I$24,7,FALSE)="PBR",(D11*(1+exposure!E$5-exposure!E$7)),(IF(VLOOKUP($A11,criteria!$A$4:$I$24,7,FALSE)="MKT",D11,999)))))))))))</f>
        <v>1.8616714860278737E-2</v>
      </c>
      <c r="F11" s="31">
        <f>IF(F$3&lt;VLOOKUP($A11,criteria!$A$4:$I$24,$D$2,FALSE),E11,(IF(AND(criteria!$G11="COS",F$3=criteria!$E11),DistRevR!F11/(Mwh!F11*1000),(IF(AND(criteria!$G11="COS",F$3=criteria!$E11+criteria!$F11),DistRevR!F11/(Mwh!F11*1000),(IF(AND(criteria!$G11="COS",F$3&lt;&gt;criteria!$E11+criteria!$F11),E11,(IF(VLOOKUP($A11,criteria!$A$4:$I$24,7,FALSE)="PBR",(E11*(1+exposure!F$5-exposure!F$7)),(IF(VLOOKUP($A11,criteria!$A$4:$I$24,7,FALSE)="MKT",E11,999)))))))))))</f>
        <v>1.8616714860278737E-2</v>
      </c>
      <c r="G11" s="31">
        <f>IF(G$3&lt;VLOOKUP($A11,criteria!$A$4:$I$24,$D$2,FALSE),F11,(IF(AND(criteria!$G11="COS",G$3=criteria!$E11),DistRevR!G11/(Mwh!G11*1000),(IF(AND(criteria!$G11="COS",G$3=criteria!$E11+criteria!$F11),DistRevR!G11/(Mwh!G11*1000),(IF(AND(criteria!$G11="COS",G$3&lt;&gt;criteria!$E11+criteria!$F11),F11,(IF(VLOOKUP($A11,criteria!$A$4:$I$24,7,FALSE)="PBR",(F11*(1+exposure!G$5-exposure!G$7)),(IF(VLOOKUP($A11,criteria!$A$4:$I$24,7,FALSE)="MKT",F11,999)))))))))))</f>
        <v>1.8616714860278737E-2</v>
      </c>
      <c r="H11" s="31">
        <f>IF(H$3&lt;VLOOKUP($A11,criteria!$A$4:$I$24,$D$2,FALSE),G11,(IF(AND(criteria!$G11="COS",H$3=criteria!$E11),DistRevR!H11/(Mwh!H11*1000),(IF(AND(criteria!$G11="COS",H$3=criteria!$E11+criteria!$F11),DistRevR!H11/(Mwh!H11*1000),(IF(AND(criteria!$G11="COS",H$3&lt;&gt;criteria!$E11+criteria!$F11),G11,(IF(VLOOKUP($A11,criteria!$A$4:$I$24,7,FALSE)="PBR",(G11*(1+exposure!H$5-exposure!H$7)),(IF(VLOOKUP($A11,criteria!$A$4:$I$24,7,FALSE)="MKT",G11,999)))))))))))</f>
        <v>1.8616714860278737E-2</v>
      </c>
      <c r="I11" s="31">
        <f>IF(I$3&lt;VLOOKUP($A11,criteria!$A$4:$I$24,$D$2,FALSE),H11,(IF(AND(criteria!$G11="COS",I$3=criteria!$E11),DistRevR!I11/(Mwh!I11*1000),(IF(AND(criteria!$G11="COS",I$3=criteria!$E11+criteria!$F11),DistRevR!I11/(Mwh!I11*1000),(IF(AND(criteria!$G11="COS",I$3&lt;&gt;criteria!$E11+criteria!$F11),H11,(IF(VLOOKUP($A11,criteria!$A$4:$I$24,7,FALSE)="PBR",(H11*(1+exposure!I$5-exposure!I$7)),(IF(VLOOKUP($A11,criteria!$A$4:$I$24,7,FALSE)="MKT",H11,999)))))))))))</f>
        <v>1.820752837348269E-2</v>
      </c>
      <c r="J11" s="31">
        <f>IF(J$3&lt;VLOOKUP($A11,criteria!$A$4:$I$24,$D$2,FALSE),I11,(IF(AND(criteria!$G11="COS",J$3=criteria!$E11),DistRevR!J11/(Mwh!J11*1000),(IF(AND(criteria!$G11="COS",J$3=criteria!$E11+criteria!$F11),DistRevR!J11/(Mwh!J11*1000),(IF(AND(criteria!$G11="COS",J$3&lt;&gt;criteria!$E11+criteria!$F11),I11,(IF(VLOOKUP($A11,criteria!$A$4:$I$24,7,FALSE)="PBR",(I11*(1+exposure!J$5-exposure!J$7)),(IF(VLOOKUP($A11,criteria!$A$4:$I$24,7,FALSE)="MKT",I11,999)))))))))))</f>
        <v>1.820752837348269E-2</v>
      </c>
      <c r="K11" s="31">
        <f>IF(K$3&lt;VLOOKUP($A11,criteria!$A$4:$I$24,$D$2,FALSE),J11,(IF(AND(criteria!$G11="COS",K$3=criteria!$E11),DistRevR!K11/(Mwh!K11*1000),(IF(AND(criteria!$G11="COS",K$3=criteria!$E11+criteria!$F11),DistRevR!K11/(Mwh!K11*1000),(IF(AND(criteria!$G11="COS",K$3&lt;&gt;criteria!$E11+criteria!$F11),J11,(IF(VLOOKUP($A11,criteria!$A$4:$I$24,7,FALSE)="PBR",(J11*(1+exposure!K$5-exposure!K$7)),(IF(VLOOKUP($A11,criteria!$A$4:$I$24,7,FALSE)="MKT",J11,999)))))))))))</f>
        <v>1.820752837348269E-2</v>
      </c>
      <c r="L11" s="31">
        <f>IF(L$3&lt;VLOOKUP($A11,criteria!$A$4:$I$24,$D$2,FALSE),K11,(IF(AND(criteria!$G11="COS",L$3=criteria!$E11),DistRevR!L11/(Mwh!L11*1000),(IF(AND(criteria!$G11="COS",L$3=criteria!$E11+criteria!$F11),DistRevR!L11/(Mwh!L11*1000),(IF(AND(criteria!$G11="COS",L$3&lt;&gt;criteria!$E11+criteria!$F11),K11,(IF(VLOOKUP($A11,criteria!$A$4:$I$24,7,FALSE)="PBR",(K11*(1+exposure!L$5-exposure!L$7)),(IF(VLOOKUP($A11,criteria!$A$4:$I$24,7,FALSE)="MKT",K11,999)))))))))))</f>
        <v>1.820752837348269E-2</v>
      </c>
      <c r="M11" s="31">
        <f>IF(M$3&lt;VLOOKUP($A11,criteria!$A$4:$I$24,$D$2,FALSE),L11,(IF(AND(criteria!$G11="COS",M$3=criteria!$E11),DistRevR!M11/(Mwh!M11*1000),(IF(AND(criteria!$G11="COS",M$3=criteria!$E11+criteria!$F11),DistRevR!M11/(Mwh!M11*1000),(IF(AND(criteria!$G11="COS",M$3&lt;&gt;criteria!$E11+criteria!$F11),L11,(IF(VLOOKUP($A11,criteria!$A$4:$I$24,7,FALSE)="PBR",(L11*(1+exposure!M$5-exposure!M$7)),(IF(VLOOKUP($A11,criteria!$A$4:$I$24,7,FALSE)="MKT",L11,999)))))))))))</f>
        <v>1.820752837348269E-2</v>
      </c>
    </row>
    <row r="12" spans="1:13" x14ac:dyDescent="0.2">
      <c r="A12" t="str">
        <f>raw!A12</f>
        <v>Florida Power &amp; Light Co.</v>
      </c>
      <c r="C12" s="32">
        <f>DistRevR!C12/(Mwh!C12*1000)</f>
        <v>2.4285698163360514E-2</v>
      </c>
      <c r="D12" s="31">
        <f>IF(D$3&lt;VLOOKUP($A12,criteria!$A$4:$I$24,$D$2,FALSE),C12,(IF(AND(criteria!$G12="COS",D$3=criteria!$E12),DistRevR!D12/(Mwh!D12*1000),(IF(AND(criteria!$G12="COS",D$3=criteria!$E12+criteria!$F12),DistRevR!D12/(Mwh!D12*1000),(IF(AND(criteria!$G12="COS",D$3&lt;&gt;criteria!$E12+criteria!$F12),C12,(IF(VLOOKUP($A12,criteria!$A$4:$I$24,7,FALSE)="PBR",(C12*(1+exposure!D$5-exposure!D$7)),(IF(VLOOKUP($A12,criteria!$A$4:$I$24,7,FALSE)="MKT",C12,999)))))))))))</f>
        <v>2.4285698163360514E-2</v>
      </c>
      <c r="E12" s="31">
        <f>IF(E$3&lt;VLOOKUP($A12,criteria!$A$4:$I$24,$D$2,FALSE),D12,(IF(AND(criteria!$G12="COS",E$3=criteria!$E12),DistRevR!E12/(Mwh!E12*1000),(IF(AND(criteria!$G12="COS",E$3=criteria!$E12+criteria!$F12),DistRevR!E12/(Mwh!E12*1000),(IF(AND(criteria!$G12="COS",E$3&lt;&gt;criteria!$E12+criteria!$F12),D12,(IF(VLOOKUP($A12,criteria!$A$4:$I$24,7,FALSE)="PBR",(D12*(1+exposure!E$5-exposure!E$7)),(IF(VLOOKUP($A12,criteria!$A$4:$I$24,7,FALSE)="MKT",D12,999)))))))))))</f>
        <v>2.4084279668811517E-2</v>
      </c>
      <c r="F12" s="31">
        <f>IF(F$3&lt;VLOOKUP($A12,criteria!$A$4:$I$24,$D$2,FALSE),E12,(IF(AND(criteria!$G12="COS",F$3=criteria!$E12),DistRevR!F12/(Mwh!F12*1000),(IF(AND(criteria!$G12="COS",F$3=criteria!$E12+criteria!$F12),DistRevR!F12/(Mwh!F12*1000),(IF(AND(criteria!$G12="COS",F$3&lt;&gt;criteria!$E12+criteria!$F12),E12,(IF(VLOOKUP($A12,criteria!$A$4:$I$24,7,FALSE)="PBR",(E12*(1+exposure!F$5-exposure!F$7)),(IF(VLOOKUP($A12,criteria!$A$4:$I$24,7,FALSE)="MKT",E12,999)))))))))))</f>
        <v>2.4084279668811517E-2</v>
      </c>
      <c r="G12" s="31">
        <f>IF(G$3&lt;VLOOKUP($A12,criteria!$A$4:$I$24,$D$2,FALSE),F12,(IF(AND(criteria!$G12="COS",G$3=criteria!$E12),DistRevR!G12/(Mwh!G12*1000),(IF(AND(criteria!$G12="COS",G$3=criteria!$E12+criteria!$F12),DistRevR!G12/(Mwh!G12*1000),(IF(AND(criteria!$G12="COS",G$3&lt;&gt;criteria!$E12+criteria!$F12),F12,(IF(VLOOKUP($A12,criteria!$A$4:$I$24,7,FALSE)="PBR",(F12*(1+exposure!G$5-exposure!G$7)),(IF(VLOOKUP($A12,criteria!$A$4:$I$24,7,FALSE)="MKT",F12,999)))))))))))</f>
        <v>2.4084279668811517E-2</v>
      </c>
      <c r="H12" s="31">
        <f>IF(H$3&lt;VLOOKUP($A12,criteria!$A$4:$I$24,$D$2,FALSE),G12,(IF(AND(criteria!$G12="COS",H$3=criteria!$E12),DistRevR!H12/(Mwh!H12*1000),(IF(AND(criteria!$G12="COS",H$3=criteria!$E12+criteria!$F12),DistRevR!H12/(Mwh!H12*1000),(IF(AND(criteria!$G12="COS",H$3&lt;&gt;criteria!$E12+criteria!$F12),G12,(IF(VLOOKUP($A12,criteria!$A$4:$I$24,7,FALSE)="PBR",(G12*(1+exposure!H$5-exposure!H$7)),(IF(VLOOKUP($A12,criteria!$A$4:$I$24,7,FALSE)="MKT",G12,999)))))))))))</f>
        <v>2.4084279668811517E-2</v>
      </c>
      <c r="I12" s="31">
        <f>IF(I$3&lt;VLOOKUP($A12,criteria!$A$4:$I$24,$D$2,FALSE),H12,(IF(AND(criteria!$G12="COS",I$3=criteria!$E12),DistRevR!I12/(Mwh!I12*1000),(IF(AND(criteria!$G12="COS",I$3=criteria!$E12+criteria!$F12),DistRevR!I12/(Mwh!I12*1000),(IF(AND(criteria!$G12="COS",I$3&lt;&gt;criteria!$E12+criteria!$F12),H12,(IF(VLOOKUP($A12,criteria!$A$4:$I$24,7,FALSE)="PBR",(H12*(1+exposure!I$5-exposure!I$7)),(IF(VLOOKUP($A12,criteria!$A$4:$I$24,7,FALSE)="MKT",H12,999)))))))))))</f>
        <v>2.346038168453567E-2</v>
      </c>
      <c r="J12" s="31">
        <f>IF(J$3&lt;VLOOKUP($A12,criteria!$A$4:$I$24,$D$2,FALSE),I12,(IF(AND(criteria!$G12="COS",J$3=criteria!$E12),DistRevR!J12/(Mwh!J12*1000),(IF(AND(criteria!$G12="COS",J$3=criteria!$E12+criteria!$F12),DistRevR!J12/(Mwh!J12*1000),(IF(AND(criteria!$G12="COS",J$3&lt;&gt;criteria!$E12+criteria!$F12),I12,(IF(VLOOKUP($A12,criteria!$A$4:$I$24,7,FALSE)="PBR",(I12*(1+exposure!J$5-exposure!J$7)),(IF(VLOOKUP($A12,criteria!$A$4:$I$24,7,FALSE)="MKT",I12,999)))))))))))</f>
        <v>2.346038168453567E-2</v>
      </c>
      <c r="K12" s="31">
        <f>IF(K$3&lt;VLOOKUP($A12,criteria!$A$4:$I$24,$D$2,FALSE),J12,(IF(AND(criteria!$G12="COS",K$3=criteria!$E12),DistRevR!K12/(Mwh!K12*1000),(IF(AND(criteria!$G12="COS",K$3=criteria!$E12+criteria!$F12),DistRevR!K12/(Mwh!K12*1000),(IF(AND(criteria!$G12="COS",K$3&lt;&gt;criteria!$E12+criteria!$F12),J12,(IF(VLOOKUP($A12,criteria!$A$4:$I$24,7,FALSE)="PBR",(J12*(1+exposure!K$5-exposure!K$7)),(IF(VLOOKUP($A12,criteria!$A$4:$I$24,7,FALSE)="MKT",J12,999)))))))))))</f>
        <v>2.346038168453567E-2</v>
      </c>
      <c r="L12" s="31">
        <f>IF(L$3&lt;VLOOKUP($A12,criteria!$A$4:$I$24,$D$2,FALSE),K12,(IF(AND(criteria!$G12="COS",L$3=criteria!$E12),DistRevR!L12/(Mwh!L12*1000),(IF(AND(criteria!$G12="COS",L$3=criteria!$E12+criteria!$F12),DistRevR!L12/(Mwh!L12*1000),(IF(AND(criteria!$G12="COS",L$3&lt;&gt;criteria!$E12+criteria!$F12),K12,(IF(VLOOKUP($A12,criteria!$A$4:$I$24,7,FALSE)="PBR",(K12*(1+exposure!L$5-exposure!L$7)),(IF(VLOOKUP($A12,criteria!$A$4:$I$24,7,FALSE)="MKT",K12,999)))))))))))</f>
        <v>2.346038168453567E-2</v>
      </c>
      <c r="M12" s="31">
        <f>IF(M$3&lt;VLOOKUP($A12,criteria!$A$4:$I$24,$D$2,FALSE),L12,(IF(AND(criteria!$G12="COS",M$3=criteria!$E12),DistRevR!M12/(Mwh!M12*1000),(IF(AND(criteria!$G12="COS",M$3=criteria!$E12+criteria!$F12),DistRevR!M12/(Mwh!M12*1000),(IF(AND(criteria!$G12="COS",M$3&lt;&gt;criteria!$E12+criteria!$F12),L12,(IF(VLOOKUP($A12,criteria!$A$4:$I$24,7,FALSE)="PBR",(L12*(1+exposure!M$5-exposure!M$7)),(IF(VLOOKUP($A12,criteria!$A$4:$I$24,7,FALSE)="MKT",L12,999)))))))))))</f>
        <v>2.346038168453567E-2</v>
      </c>
    </row>
    <row r="13" spans="1:13" x14ac:dyDescent="0.2">
      <c r="A13" t="str">
        <f>raw!A13</f>
        <v>Gulf Power Co.</v>
      </c>
      <c r="C13" s="32">
        <f>DistRevR!C13/(Mwh!C13*1000)</f>
        <v>1.586732086442837E-2</v>
      </c>
      <c r="D13" s="31">
        <f>IF(D$3&lt;VLOOKUP($A13,criteria!$A$4:$I$24,$D$2,FALSE),C13,(IF(AND(criteria!$G13="COS",D$3=criteria!$E13),DistRevR!D13/(Mwh!D13*1000),(IF(AND(criteria!$G13="COS",D$3=criteria!$E13+criteria!$F13),DistRevR!D13/(Mwh!D13*1000),(IF(AND(criteria!$G13="COS",D$3&lt;&gt;criteria!$E13+criteria!$F13),C13,(IF(VLOOKUP($A13,criteria!$A$4:$I$24,7,FALSE)="PBR",(C13*(1+exposure!D$5-exposure!D$7)),(IF(VLOOKUP($A13,criteria!$A$4:$I$24,7,FALSE)="MKT",C13,999)))))))))))</f>
        <v>1.586732086442837E-2</v>
      </c>
      <c r="E13" s="31">
        <f>IF(E$3&lt;VLOOKUP($A13,criteria!$A$4:$I$24,$D$2,FALSE),D13,(IF(AND(criteria!$G13="COS",E$3=criteria!$E13),DistRevR!E13/(Mwh!E13*1000),(IF(AND(criteria!$G13="COS",E$3=criteria!$E13+criteria!$F13),DistRevR!E13/(Mwh!E13*1000),(IF(AND(criteria!$G13="COS",E$3&lt;&gt;criteria!$E13+criteria!$F13),D13,(IF(VLOOKUP($A13,criteria!$A$4:$I$24,7,FALSE)="PBR",(D13*(1+exposure!E$5-exposure!E$7)),(IF(VLOOKUP($A13,criteria!$A$4:$I$24,7,FALSE)="MKT",D13,999)))))))))))</f>
        <v>1.5765949172123636E-2</v>
      </c>
      <c r="F13" s="31">
        <f>IF(F$3&lt;VLOOKUP($A13,criteria!$A$4:$I$24,$D$2,FALSE),E13,(IF(AND(criteria!$G13="COS",F$3=criteria!$E13),DistRevR!F13/(Mwh!F13*1000),(IF(AND(criteria!$G13="COS",F$3=criteria!$E13+criteria!$F13),DistRevR!F13/(Mwh!F13*1000),(IF(AND(criteria!$G13="COS",F$3&lt;&gt;criteria!$E13+criteria!$F13),E13,(IF(VLOOKUP($A13,criteria!$A$4:$I$24,7,FALSE)="PBR",(E13*(1+exposure!F$5-exposure!F$7)),(IF(VLOOKUP($A13,criteria!$A$4:$I$24,7,FALSE)="MKT",E13,999)))))))))))</f>
        <v>1.5765949172123636E-2</v>
      </c>
      <c r="G13" s="31">
        <f>IF(G$3&lt;VLOOKUP($A13,criteria!$A$4:$I$24,$D$2,FALSE),F13,(IF(AND(criteria!$G13="COS",G$3=criteria!$E13),DistRevR!G13/(Mwh!G13*1000),(IF(AND(criteria!$G13="COS",G$3=criteria!$E13+criteria!$F13),DistRevR!G13/(Mwh!G13*1000),(IF(AND(criteria!$G13="COS",G$3&lt;&gt;criteria!$E13+criteria!$F13),F13,(IF(VLOOKUP($A13,criteria!$A$4:$I$24,7,FALSE)="PBR",(F13*(1+exposure!G$5-exposure!G$7)),(IF(VLOOKUP($A13,criteria!$A$4:$I$24,7,FALSE)="MKT",F13,999)))))))))))</f>
        <v>1.5765949172123636E-2</v>
      </c>
      <c r="H13" s="31">
        <f>IF(H$3&lt;VLOOKUP($A13,criteria!$A$4:$I$24,$D$2,FALSE),G13,(IF(AND(criteria!$G13="COS",H$3=criteria!$E13),DistRevR!H13/(Mwh!H13*1000),(IF(AND(criteria!$G13="COS",H$3=criteria!$E13+criteria!$F13),DistRevR!H13/(Mwh!H13*1000),(IF(AND(criteria!$G13="COS",H$3&lt;&gt;criteria!$E13+criteria!$F13),G13,(IF(VLOOKUP($A13,criteria!$A$4:$I$24,7,FALSE)="PBR",(G13*(1+exposure!H$5-exposure!H$7)),(IF(VLOOKUP($A13,criteria!$A$4:$I$24,7,FALSE)="MKT",G13,999)))))))))))</f>
        <v>1.5765949172123636E-2</v>
      </c>
      <c r="I13" s="31">
        <f>IF(I$3&lt;VLOOKUP($A13,criteria!$A$4:$I$24,$D$2,FALSE),H13,(IF(AND(criteria!$G13="COS",I$3=criteria!$E13),DistRevR!I13/(Mwh!I13*1000),(IF(AND(criteria!$G13="COS",I$3=criteria!$E13+criteria!$F13),DistRevR!I13/(Mwh!I13*1000),(IF(AND(criteria!$G13="COS",I$3&lt;&gt;criteria!$E13+criteria!$F13),H13,(IF(VLOOKUP($A13,criteria!$A$4:$I$24,7,FALSE)="PBR",(H13*(1+exposure!I$5-exposure!I$7)),(IF(VLOOKUP($A13,criteria!$A$4:$I$24,7,FALSE)="MKT",H13,999)))))))))))</f>
        <v>1.5412719506527381E-2</v>
      </c>
      <c r="J13" s="31">
        <f>IF(J$3&lt;VLOOKUP($A13,criteria!$A$4:$I$24,$D$2,FALSE),I13,(IF(AND(criteria!$G13="COS",J$3=criteria!$E13),DistRevR!J13/(Mwh!J13*1000),(IF(AND(criteria!$G13="COS",J$3=criteria!$E13+criteria!$F13),DistRevR!J13/(Mwh!J13*1000),(IF(AND(criteria!$G13="COS",J$3&lt;&gt;criteria!$E13+criteria!$F13),I13,(IF(VLOOKUP($A13,criteria!$A$4:$I$24,7,FALSE)="PBR",(I13*(1+exposure!J$5-exposure!J$7)),(IF(VLOOKUP($A13,criteria!$A$4:$I$24,7,FALSE)="MKT",I13,999)))))))))))</f>
        <v>1.5412719506527381E-2</v>
      </c>
      <c r="K13" s="31">
        <f>IF(K$3&lt;VLOOKUP($A13,criteria!$A$4:$I$24,$D$2,FALSE),J13,(IF(AND(criteria!$G13="COS",K$3=criteria!$E13),DistRevR!K13/(Mwh!K13*1000),(IF(AND(criteria!$G13="COS",K$3=criteria!$E13+criteria!$F13),DistRevR!K13/(Mwh!K13*1000),(IF(AND(criteria!$G13="COS",K$3&lt;&gt;criteria!$E13+criteria!$F13),J13,(IF(VLOOKUP($A13,criteria!$A$4:$I$24,7,FALSE)="PBR",(J13*(1+exposure!K$5-exposure!K$7)),(IF(VLOOKUP($A13,criteria!$A$4:$I$24,7,FALSE)="MKT",J13,999)))))))))))</f>
        <v>1.5412719506527381E-2</v>
      </c>
      <c r="L13" s="31">
        <f>IF(L$3&lt;VLOOKUP($A13,criteria!$A$4:$I$24,$D$2,FALSE),K13,(IF(AND(criteria!$G13="COS",L$3=criteria!$E13),DistRevR!L13/(Mwh!L13*1000),(IF(AND(criteria!$G13="COS",L$3=criteria!$E13+criteria!$F13),DistRevR!L13/(Mwh!L13*1000),(IF(AND(criteria!$G13="COS",L$3&lt;&gt;criteria!$E13+criteria!$F13),K13,(IF(VLOOKUP($A13,criteria!$A$4:$I$24,7,FALSE)="PBR",(K13*(1+exposure!L$5-exposure!L$7)),(IF(VLOOKUP($A13,criteria!$A$4:$I$24,7,FALSE)="MKT",K13,999)))))))))))</f>
        <v>1.5412719506527381E-2</v>
      </c>
      <c r="M13" s="31">
        <f>IF(M$3&lt;VLOOKUP($A13,criteria!$A$4:$I$24,$D$2,FALSE),L13,(IF(AND(criteria!$G13="COS",M$3=criteria!$E13),DistRevR!M13/(Mwh!M13*1000),(IF(AND(criteria!$G13="COS",M$3=criteria!$E13+criteria!$F13),DistRevR!M13/(Mwh!M13*1000),(IF(AND(criteria!$G13="COS",M$3&lt;&gt;criteria!$E13+criteria!$F13),L13,(IF(VLOOKUP($A13,criteria!$A$4:$I$24,7,FALSE)="PBR",(L13*(1+exposure!M$5-exposure!M$7)),(IF(VLOOKUP($A13,criteria!$A$4:$I$24,7,FALSE)="MKT",L13,999)))))))))))</f>
        <v>1.5412719506527381E-2</v>
      </c>
    </row>
    <row r="14" spans="1:13" x14ac:dyDescent="0.2">
      <c r="A14" t="str">
        <f>raw!A14</f>
        <v>Illinois Power Co.</v>
      </c>
      <c r="C14" s="32">
        <f>DistRevR!C14/(Mwh!C14*1000)</f>
        <v>1.3521728907565554E-2</v>
      </c>
      <c r="D14" s="31">
        <f>IF(D$3&lt;VLOOKUP($A14,criteria!$A$4:$I$24,$D$2,FALSE),C14,(IF(AND(criteria!$G14="COS",D$3=criteria!$E14),DistRevR!D14/(Mwh!D14*1000),(IF(AND(criteria!$G14="COS",D$3=criteria!$E14+criteria!$F14),DistRevR!D14/(Mwh!D14*1000),(IF(AND(criteria!$G14="COS",D$3&lt;&gt;criteria!$E14+criteria!$F14),C14,(IF(VLOOKUP($A14,criteria!$A$4:$I$24,7,FALSE)="PBR",(C14*(1+exposure!D$5-exposure!D$7)),(IF(VLOOKUP($A14,criteria!$A$4:$I$24,7,FALSE)="MKT",C14,999)))))))))))</f>
        <v>1.3521728907565554E-2</v>
      </c>
      <c r="E14" s="31">
        <f>IF(E$3&lt;VLOOKUP($A14,criteria!$A$4:$I$24,$D$2,FALSE),D14,(IF(AND(criteria!$G14="COS",E$3=criteria!$E14),DistRevR!E14/(Mwh!E14*1000),(IF(AND(criteria!$G14="COS",E$3=criteria!$E14+criteria!$F14),DistRevR!E14/(Mwh!E14*1000),(IF(AND(criteria!$G14="COS",E$3&lt;&gt;criteria!$E14+criteria!$F14),D14,(IF(VLOOKUP($A14,criteria!$A$4:$I$24,7,FALSE)="PBR",(D14*(1+exposure!E$5-exposure!E$7)),(IF(VLOOKUP($A14,criteria!$A$4:$I$24,7,FALSE)="MKT",D14,999)))))))))))</f>
        <v>1.3459119793748175E-2</v>
      </c>
      <c r="F14" s="31">
        <f>IF(F$3&lt;VLOOKUP($A14,criteria!$A$4:$I$24,$D$2,FALSE),E14,(IF(AND(criteria!$G14="COS",F$3=criteria!$E14),DistRevR!F14/(Mwh!F14*1000),(IF(AND(criteria!$G14="COS",F$3=criteria!$E14+criteria!$F14),DistRevR!F14/(Mwh!F14*1000),(IF(AND(criteria!$G14="COS",F$3&lt;&gt;criteria!$E14+criteria!$F14),E14,(IF(VLOOKUP($A14,criteria!$A$4:$I$24,7,FALSE)="PBR",(E14*(1+exposure!F$5-exposure!F$7)),(IF(VLOOKUP($A14,criteria!$A$4:$I$24,7,FALSE)="MKT",E14,999)))))))))))</f>
        <v>1.3459119793748175E-2</v>
      </c>
      <c r="G14" s="31">
        <f>IF(G$3&lt;VLOOKUP($A14,criteria!$A$4:$I$24,$D$2,FALSE),F14,(IF(AND(criteria!$G14="COS",G$3=criteria!$E14),DistRevR!G14/(Mwh!G14*1000),(IF(AND(criteria!$G14="COS",G$3=criteria!$E14+criteria!$F14),DistRevR!G14/(Mwh!G14*1000),(IF(AND(criteria!$G14="COS",G$3&lt;&gt;criteria!$E14+criteria!$F14),F14,(IF(VLOOKUP($A14,criteria!$A$4:$I$24,7,FALSE)="PBR",(F14*(1+exposure!G$5-exposure!G$7)),(IF(VLOOKUP($A14,criteria!$A$4:$I$24,7,FALSE)="MKT",F14,999)))))))))))</f>
        <v>1.3459119793748175E-2</v>
      </c>
      <c r="H14" s="31">
        <f>IF(H$3&lt;VLOOKUP($A14,criteria!$A$4:$I$24,$D$2,FALSE),G14,(IF(AND(criteria!$G14="COS",H$3=criteria!$E14),DistRevR!H14/(Mwh!H14*1000),(IF(AND(criteria!$G14="COS",H$3=criteria!$E14+criteria!$F14),DistRevR!H14/(Mwh!H14*1000),(IF(AND(criteria!$G14="COS",H$3&lt;&gt;criteria!$E14+criteria!$F14),G14,(IF(VLOOKUP($A14,criteria!$A$4:$I$24,7,FALSE)="PBR",(G14*(1+exposure!H$5-exposure!H$7)),(IF(VLOOKUP($A14,criteria!$A$4:$I$24,7,FALSE)="MKT",G14,999)))))))))))</f>
        <v>1.3459119793748175E-2</v>
      </c>
      <c r="I14" s="31">
        <f>IF(I$3&lt;VLOOKUP($A14,criteria!$A$4:$I$24,$D$2,FALSE),H14,(IF(AND(criteria!$G14="COS",I$3=criteria!$E14),DistRevR!I14/(Mwh!I14*1000),(IF(AND(criteria!$G14="COS",I$3=criteria!$E14+criteria!$F14),DistRevR!I14/(Mwh!I14*1000),(IF(AND(criteria!$G14="COS",I$3&lt;&gt;criteria!$E14+criteria!$F14),H14,(IF(VLOOKUP($A14,criteria!$A$4:$I$24,7,FALSE)="PBR",(H14*(1+exposure!I$5-exposure!I$7)),(IF(VLOOKUP($A14,criteria!$A$4:$I$24,7,FALSE)="MKT",H14,999)))))))))))</f>
        <v>1.3187698078665124E-2</v>
      </c>
      <c r="J14" s="31">
        <f>IF(J$3&lt;VLOOKUP($A14,criteria!$A$4:$I$24,$D$2,FALSE),I14,(IF(AND(criteria!$G14="COS",J$3=criteria!$E14),DistRevR!J14/(Mwh!J14*1000),(IF(AND(criteria!$G14="COS",J$3=criteria!$E14+criteria!$F14),DistRevR!J14/(Mwh!J14*1000),(IF(AND(criteria!$G14="COS",J$3&lt;&gt;criteria!$E14+criteria!$F14),I14,(IF(VLOOKUP($A14,criteria!$A$4:$I$24,7,FALSE)="PBR",(I14*(1+exposure!J$5-exposure!J$7)),(IF(VLOOKUP($A14,criteria!$A$4:$I$24,7,FALSE)="MKT",I14,999)))))))))))</f>
        <v>1.3187698078665124E-2</v>
      </c>
      <c r="K14" s="31">
        <f>IF(K$3&lt;VLOOKUP($A14,criteria!$A$4:$I$24,$D$2,FALSE),J14,(IF(AND(criteria!$G14="COS",K$3=criteria!$E14),DistRevR!K14/(Mwh!K14*1000),(IF(AND(criteria!$G14="COS",K$3=criteria!$E14+criteria!$F14),DistRevR!K14/(Mwh!K14*1000),(IF(AND(criteria!$G14="COS",K$3&lt;&gt;criteria!$E14+criteria!$F14),J14,(IF(VLOOKUP($A14,criteria!$A$4:$I$24,7,FALSE)="PBR",(J14*(1+exposure!K$5-exposure!K$7)),(IF(VLOOKUP($A14,criteria!$A$4:$I$24,7,FALSE)="MKT",J14,999)))))))))))</f>
        <v>1.3187698078665124E-2</v>
      </c>
      <c r="L14" s="31">
        <f>IF(L$3&lt;VLOOKUP($A14,criteria!$A$4:$I$24,$D$2,FALSE),K14,(IF(AND(criteria!$G14="COS",L$3=criteria!$E14),DistRevR!L14/(Mwh!L14*1000),(IF(AND(criteria!$G14="COS",L$3=criteria!$E14+criteria!$F14),DistRevR!L14/(Mwh!L14*1000),(IF(AND(criteria!$G14="COS",L$3&lt;&gt;criteria!$E14+criteria!$F14),K14,(IF(VLOOKUP($A14,criteria!$A$4:$I$24,7,FALSE)="PBR",(K14*(1+exposure!L$5-exposure!L$7)),(IF(VLOOKUP($A14,criteria!$A$4:$I$24,7,FALSE)="MKT",K14,999)))))))))))</f>
        <v>1.3187698078665124E-2</v>
      </c>
      <c r="M14" s="31">
        <f>IF(M$3&lt;VLOOKUP($A14,criteria!$A$4:$I$24,$D$2,FALSE),L14,(IF(AND(criteria!$G14="COS",M$3=criteria!$E14),DistRevR!M14/(Mwh!M14*1000),(IF(AND(criteria!$G14="COS",M$3=criteria!$E14+criteria!$F14),DistRevR!M14/(Mwh!M14*1000),(IF(AND(criteria!$G14="COS",M$3&lt;&gt;criteria!$E14+criteria!$F14),L14,(IF(VLOOKUP($A14,criteria!$A$4:$I$24,7,FALSE)="PBR",(L14*(1+exposure!M$5-exposure!M$7)),(IF(VLOOKUP($A14,criteria!$A$4:$I$24,7,FALSE)="MKT",L14,999)))))))))))</f>
        <v>1.3187698078665124E-2</v>
      </c>
    </row>
    <row r="15" spans="1:13" x14ac:dyDescent="0.2">
      <c r="A15" t="str">
        <f>raw!A15</f>
        <v>Jersey Central Power &amp; Light Co.</v>
      </c>
      <c r="C15" s="32">
        <f>DistRevR!C15/(Mwh!C15*1000)</f>
        <v>3.1266736754280079E-2</v>
      </c>
      <c r="D15" s="31">
        <f>IF(D$3&lt;VLOOKUP($A15,criteria!$A$4:$I$24,$D$2,FALSE),C15,(IF(AND(criteria!$G15="COS",D$3=criteria!$E15),DistRevR!D15/(Mwh!D15*1000),(IF(AND(criteria!$G15="COS",D$3=criteria!$E15+criteria!$F15),DistRevR!D15/(Mwh!D15*1000),(IF(AND(criteria!$G15="COS",D$3&lt;&gt;criteria!$E15+criteria!$F15),C15,(IF(VLOOKUP($A15,criteria!$A$4:$I$24,7,FALSE)="PBR",(C15*(1+exposure!D$5-exposure!D$7)),(IF(VLOOKUP($A15,criteria!$A$4:$I$24,7,FALSE)="MKT",C15,999)))))))))))</f>
        <v>3.1266736754280079E-2</v>
      </c>
      <c r="E15" s="31">
        <f>IF(E$3&lt;VLOOKUP($A15,criteria!$A$4:$I$24,$D$2,FALSE),D15,(IF(AND(criteria!$G15="COS",E$3=criteria!$E15),DistRevR!E15/(Mwh!E15*1000),(IF(AND(criteria!$G15="COS",E$3=criteria!$E15+criteria!$F15),DistRevR!E15/(Mwh!E15*1000),(IF(AND(criteria!$G15="COS",E$3&lt;&gt;criteria!$E15+criteria!$F15),D15,(IF(VLOOKUP($A15,criteria!$A$4:$I$24,7,FALSE)="PBR",(D15*(1+exposure!E$5-exposure!E$7)),(IF(VLOOKUP($A15,criteria!$A$4:$I$24,7,FALSE)="MKT",D15,999)))))))))))</f>
        <v>3.1111797693260182E-2</v>
      </c>
      <c r="F15" s="31">
        <f>IF(F$3&lt;VLOOKUP($A15,criteria!$A$4:$I$24,$D$2,FALSE),E15,(IF(AND(criteria!$G15="COS",F$3=criteria!$E15),DistRevR!F15/(Mwh!F15*1000),(IF(AND(criteria!$G15="COS",F$3=criteria!$E15+criteria!$F15),DistRevR!F15/(Mwh!F15*1000),(IF(AND(criteria!$G15="COS",F$3&lt;&gt;criteria!$E15+criteria!$F15),E15,(IF(VLOOKUP($A15,criteria!$A$4:$I$24,7,FALSE)="PBR",(E15*(1+exposure!F$5-exposure!F$7)),(IF(VLOOKUP($A15,criteria!$A$4:$I$24,7,FALSE)="MKT",E15,999)))))))))))</f>
        <v>3.1111797693260182E-2</v>
      </c>
      <c r="G15" s="31">
        <f>IF(G$3&lt;VLOOKUP($A15,criteria!$A$4:$I$24,$D$2,FALSE),F15,(IF(AND(criteria!$G15="COS",G$3=criteria!$E15),DistRevR!G15/(Mwh!G15*1000),(IF(AND(criteria!$G15="COS",G$3=criteria!$E15+criteria!$F15),DistRevR!G15/(Mwh!G15*1000),(IF(AND(criteria!$G15="COS",G$3&lt;&gt;criteria!$E15+criteria!$F15),F15,(IF(VLOOKUP($A15,criteria!$A$4:$I$24,7,FALSE)="PBR",(F15*(1+exposure!G$5-exposure!G$7)),(IF(VLOOKUP($A15,criteria!$A$4:$I$24,7,FALSE)="MKT",F15,999)))))))))))</f>
        <v>3.1111797693260182E-2</v>
      </c>
      <c r="H15" s="31">
        <f>IF(H$3&lt;VLOOKUP($A15,criteria!$A$4:$I$24,$D$2,FALSE),G15,(IF(AND(criteria!$G15="COS",H$3=criteria!$E15),DistRevR!H15/(Mwh!H15*1000),(IF(AND(criteria!$G15="COS",H$3=criteria!$E15+criteria!$F15),DistRevR!H15/(Mwh!H15*1000),(IF(AND(criteria!$G15="COS",H$3&lt;&gt;criteria!$E15+criteria!$F15),G15,(IF(VLOOKUP($A15,criteria!$A$4:$I$24,7,FALSE)="PBR",(G15*(1+exposure!H$5-exposure!H$7)),(IF(VLOOKUP($A15,criteria!$A$4:$I$24,7,FALSE)="MKT",G15,999)))))))))))</f>
        <v>3.1111797693260182E-2</v>
      </c>
      <c r="I15" s="31">
        <f>IF(I$3&lt;VLOOKUP($A15,criteria!$A$4:$I$24,$D$2,FALSE),H15,(IF(AND(criteria!$G15="COS",I$3=criteria!$E15),DistRevR!I15/(Mwh!I15*1000),(IF(AND(criteria!$G15="COS",I$3=criteria!$E15+criteria!$F15),DistRevR!I15/(Mwh!I15*1000),(IF(AND(criteria!$G15="COS",I$3&lt;&gt;criteria!$E15+criteria!$F15),H15,(IF(VLOOKUP($A15,criteria!$A$4:$I$24,7,FALSE)="PBR",(H15*(1+exposure!I$5-exposure!I$7)),(IF(VLOOKUP($A15,criteria!$A$4:$I$24,7,FALSE)="MKT",H15,999)))))))))))</f>
        <v>3.049883787847826E-2</v>
      </c>
      <c r="J15" s="31">
        <f>IF(J$3&lt;VLOOKUP($A15,criteria!$A$4:$I$24,$D$2,FALSE),I15,(IF(AND(criteria!$G15="COS",J$3=criteria!$E15),DistRevR!J15/(Mwh!J15*1000),(IF(AND(criteria!$G15="COS",J$3=criteria!$E15+criteria!$F15),DistRevR!J15/(Mwh!J15*1000),(IF(AND(criteria!$G15="COS",J$3&lt;&gt;criteria!$E15+criteria!$F15),I15,(IF(VLOOKUP($A15,criteria!$A$4:$I$24,7,FALSE)="PBR",(I15*(1+exposure!J$5-exposure!J$7)),(IF(VLOOKUP($A15,criteria!$A$4:$I$24,7,FALSE)="MKT",I15,999)))))))))))</f>
        <v>3.049883787847826E-2</v>
      </c>
      <c r="K15" s="31">
        <f>IF(K$3&lt;VLOOKUP($A15,criteria!$A$4:$I$24,$D$2,FALSE),J15,(IF(AND(criteria!$G15="COS",K$3=criteria!$E15),DistRevR!K15/(Mwh!K15*1000),(IF(AND(criteria!$G15="COS",K$3=criteria!$E15+criteria!$F15),DistRevR!K15/(Mwh!K15*1000),(IF(AND(criteria!$G15="COS",K$3&lt;&gt;criteria!$E15+criteria!$F15),J15,(IF(VLOOKUP($A15,criteria!$A$4:$I$24,7,FALSE)="PBR",(J15*(1+exposure!K$5-exposure!K$7)),(IF(VLOOKUP($A15,criteria!$A$4:$I$24,7,FALSE)="MKT",J15,999)))))))))))</f>
        <v>3.049883787847826E-2</v>
      </c>
      <c r="L15" s="31">
        <f>IF(L$3&lt;VLOOKUP($A15,criteria!$A$4:$I$24,$D$2,FALSE),K15,(IF(AND(criteria!$G15="COS",L$3=criteria!$E15),DistRevR!L15/(Mwh!L15*1000),(IF(AND(criteria!$G15="COS",L$3=criteria!$E15+criteria!$F15),DistRevR!L15/(Mwh!L15*1000),(IF(AND(criteria!$G15="COS",L$3&lt;&gt;criteria!$E15+criteria!$F15),K15,(IF(VLOOKUP($A15,criteria!$A$4:$I$24,7,FALSE)="PBR",(K15*(1+exposure!L$5-exposure!L$7)),(IF(VLOOKUP($A15,criteria!$A$4:$I$24,7,FALSE)="MKT",K15,999)))))))))))</f>
        <v>3.049883787847826E-2</v>
      </c>
      <c r="M15" s="31">
        <f>IF(M$3&lt;VLOOKUP($A15,criteria!$A$4:$I$24,$D$2,FALSE),L15,(IF(AND(criteria!$G15="COS",M$3=criteria!$E15),DistRevR!M15/(Mwh!M15*1000),(IF(AND(criteria!$G15="COS",M$3=criteria!$E15+criteria!$F15),DistRevR!M15/(Mwh!M15*1000),(IF(AND(criteria!$G15="COS",M$3&lt;&gt;criteria!$E15+criteria!$F15),L15,(IF(VLOOKUP($A15,criteria!$A$4:$I$24,7,FALSE)="PBR",(L15*(1+exposure!M$5-exposure!M$7)),(IF(VLOOKUP($A15,criteria!$A$4:$I$24,7,FALSE)="MKT",L15,999)))))))))))</f>
        <v>3.049883787847826E-2</v>
      </c>
    </row>
    <row r="16" spans="1:13" x14ac:dyDescent="0.2">
      <c r="A16" t="str">
        <f>raw!A16</f>
        <v>Kentucky Utilities Co.</v>
      </c>
      <c r="C16" s="32">
        <f>DistRevR!C16/(Mwh!C16*1000)</f>
        <v>1.4058207503089309E-2</v>
      </c>
      <c r="D16" s="31">
        <f>IF(D$3&lt;VLOOKUP($A16,criteria!$A$4:$I$24,$D$2,FALSE),C16,(IF(AND(criteria!$G16="COS",D$3=criteria!$E16),DistRevR!D16/(Mwh!D16*1000),(IF(AND(criteria!$G16="COS",D$3=criteria!$E16+criteria!$F16),DistRevR!D16/(Mwh!D16*1000),(IF(AND(criteria!$G16="COS",D$3&lt;&gt;criteria!$E16+criteria!$F16),C16,(IF(VLOOKUP($A16,criteria!$A$4:$I$24,7,FALSE)="PBR",(C16*(1+exposure!D$5-exposure!D$7)),(IF(VLOOKUP($A16,criteria!$A$4:$I$24,7,FALSE)="MKT",C16,999)))))))))))</f>
        <v>1.4058207503089309E-2</v>
      </c>
      <c r="E16" s="31">
        <f>IF(E$3&lt;VLOOKUP($A16,criteria!$A$4:$I$24,$D$2,FALSE),D16,(IF(AND(criteria!$G16="COS",E$3=criteria!$E16),DistRevR!E16/(Mwh!E16*1000),(IF(AND(criteria!$G16="COS",E$3=criteria!$E16+criteria!$F16),DistRevR!E16/(Mwh!E16*1000),(IF(AND(criteria!$G16="COS",E$3&lt;&gt;criteria!$E16+criteria!$F16),D16,(IF(VLOOKUP($A16,criteria!$A$4:$I$24,7,FALSE)="PBR",(D16*(1+exposure!E$5-exposure!E$7)),(IF(VLOOKUP($A16,criteria!$A$4:$I$24,7,FALSE)="MKT",D16,999)))))))))))</f>
        <v>1.402605959341581E-2</v>
      </c>
      <c r="F16" s="31">
        <f>IF(F$3&lt;VLOOKUP($A16,criteria!$A$4:$I$24,$D$2,FALSE),E16,(IF(AND(criteria!$G16="COS",F$3=criteria!$E16),DistRevR!F16/(Mwh!F16*1000),(IF(AND(criteria!$G16="COS",F$3=criteria!$E16+criteria!$F16),DistRevR!F16/(Mwh!F16*1000),(IF(AND(criteria!$G16="COS",F$3&lt;&gt;criteria!$E16+criteria!$F16),E16,(IF(VLOOKUP($A16,criteria!$A$4:$I$24,7,FALSE)="PBR",(E16*(1+exposure!F$5-exposure!F$7)),(IF(VLOOKUP($A16,criteria!$A$4:$I$24,7,FALSE)="MKT",E16,999)))))))))))</f>
        <v>1.402605959341581E-2</v>
      </c>
      <c r="G16" s="31">
        <f>IF(G$3&lt;VLOOKUP($A16,criteria!$A$4:$I$24,$D$2,FALSE),F16,(IF(AND(criteria!$G16="COS",G$3=criteria!$E16),DistRevR!G16/(Mwh!G16*1000),(IF(AND(criteria!$G16="COS",G$3=criteria!$E16+criteria!$F16),DistRevR!G16/(Mwh!G16*1000),(IF(AND(criteria!$G16="COS",G$3&lt;&gt;criteria!$E16+criteria!$F16),F16,(IF(VLOOKUP($A16,criteria!$A$4:$I$24,7,FALSE)="PBR",(F16*(1+exposure!G$5-exposure!G$7)),(IF(VLOOKUP($A16,criteria!$A$4:$I$24,7,FALSE)="MKT",F16,999)))))))))))</f>
        <v>1.402605959341581E-2</v>
      </c>
      <c r="H16" s="31">
        <f>IF(H$3&lt;VLOOKUP($A16,criteria!$A$4:$I$24,$D$2,FALSE),G16,(IF(AND(criteria!$G16="COS",H$3=criteria!$E16),DistRevR!H16/(Mwh!H16*1000),(IF(AND(criteria!$G16="COS",H$3=criteria!$E16+criteria!$F16),DistRevR!H16/(Mwh!H16*1000),(IF(AND(criteria!$G16="COS",H$3&lt;&gt;criteria!$E16+criteria!$F16),G16,(IF(VLOOKUP($A16,criteria!$A$4:$I$24,7,FALSE)="PBR",(G16*(1+exposure!H$5-exposure!H$7)),(IF(VLOOKUP($A16,criteria!$A$4:$I$24,7,FALSE)="MKT",G16,999)))))))))))</f>
        <v>1.402605959341581E-2</v>
      </c>
      <c r="I16" s="31">
        <f>IF(I$3&lt;VLOOKUP($A16,criteria!$A$4:$I$24,$D$2,FALSE),H16,(IF(AND(criteria!$G16="COS",I$3=criteria!$E16),DistRevR!I16/(Mwh!I16*1000),(IF(AND(criteria!$G16="COS",I$3=criteria!$E16+criteria!$F16),DistRevR!I16/(Mwh!I16*1000),(IF(AND(criteria!$G16="COS",I$3&lt;&gt;criteria!$E16+criteria!$F16),H16,(IF(VLOOKUP($A16,criteria!$A$4:$I$24,7,FALSE)="PBR",(H16*(1+exposure!I$5-exposure!I$7)),(IF(VLOOKUP($A16,criteria!$A$4:$I$24,7,FALSE)="MKT",H16,999)))))))))))</f>
        <v>1.3798112057818833E-2</v>
      </c>
      <c r="J16" s="31">
        <f>IF(J$3&lt;VLOOKUP($A16,criteria!$A$4:$I$24,$D$2,FALSE),I16,(IF(AND(criteria!$G16="COS",J$3=criteria!$E16),DistRevR!J16/(Mwh!J16*1000),(IF(AND(criteria!$G16="COS",J$3=criteria!$E16+criteria!$F16),DistRevR!J16/(Mwh!J16*1000),(IF(AND(criteria!$G16="COS",J$3&lt;&gt;criteria!$E16+criteria!$F16),I16,(IF(VLOOKUP($A16,criteria!$A$4:$I$24,7,FALSE)="PBR",(I16*(1+exposure!J$5-exposure!J$7)),(IF(VLOOKUP($A16,criteria!$A$4:$I$24,7,FALSE)="MKT",I16,999)))))))))))</f>
        <v>1.3798112057818833E-2</v>
      </c>
      <c r="K16" s="31">
        <f>IF(K$3&lt;VLOOKUP($A16,criteria!$A$4:$I$24,$D$2,FALSE),J16,(IF(AND(criteria!$G16="COS",K$3=criteria!$E16),DistRevR!K16/(Mwh!K16*1000),(IF(AND(criteria!$G16="COS",K$3=criteria!$E16+criteria!$F16),DistRevR!K16/(Mwh!K16*1000),(IF(AND(criteria!$G16="COS",K$3&lt;&gt;criteria!$E16+criteria!$F16),J16,(IF(VLOOKUP($A16,criteria!$A$4:$I$24,7,FALSE)="PBR",(J16*(1+exposure!K$5-exposure!K$7)),(IF(VLOOKUP($A16,criteria!$A$4:$I$24,7,FALSE)="MKT",J16,999)))))))))))</f>
        <v>1.3798112057818833E-2</v>
      </c>
      <c r="L16" s="31">
        <f>IF(L$3&lt;VLOOKUP($A16,criteria!$A$4:$I$24,$D$2,FALSE),K16,(IF(AND(criteria!$G16="COS",L$3=criteria!$E16),DistRevR!L16/(Mwh!L16*1000),(IF(AND(criteria!$G16="COS",L$3=criteria!$E16+criteria!$F16),DistRevR!L16/(Mwh!L16*1000),(IF(AND(criteria!$G16="COS",L$3&lt;&gt;criteria!$E16+criteria!$F16),K16,(IF(VLOOKUP($A16,criteria!$A$4:$I$24,7,FALSE)="PBR",(K16*(1+exposure!L$5-exposure!L$7)),(IF(VLOOKUP($A16,criteria!$A$4:$I$24,7,FALSE)="MKT",K16,999)))))))))))</f>
        <v>1.3798112057818833E-2</v>
      </c>
      <c r="M16" s="31">
        <f>IF(M$3&lt;VLOOKUP($A16,criteria!$A$4:$I$24,$D$2,FALSE),L16,(IF(AND(criteria!$G16="COS",M$3=criteria!$E16),DistRevR!M16/(Mwh!M16*1000),(IF(AND(criteria!$G16="COS",M$3=criteria!$E16+criteria!$F16),DistRevR!M16/(Mwh!M16*1000),(IF(AND(criteria!$G16="COS",M$3&lt;&gt;criteria!$E16+criteria!$F16),L16,(IF(VLOOKUP($A16,criteria!$A$4:$I$24,7,FALSE)="PBR",(L16*(1+exposure!M$5-exposure!M$7)),(IF(VLOOKUP($A16,criteria!$A$4:$I$24,7,FALSE)="MKT",L16,999)))))))))))</f>
        <v>1.3798112057818833E-2</v>
      </c>
    </row>
    <row r="17" spans="1:13" x14ac:dyDescent="0.2">
      <c r="A17" t="str">
        <f>raw!A17</f>
        <v>Ohio Power Co.</v>
      </c>
      <c r="C17" s="32">
        <f>DistRevR!C17/(Mwh!C17*1000)</f>
        <v>8.392020748217547E-3</v>
      </c>
      <c r="D17" s="31">
        <f>IF(D$3&lt;VLOOKUP($A17,criteria!$A$4:$I$24,$D$2,FALSE),C17,(IF(AND(criteria!$G17="COS",D$3=criteria!$E17),DistRevR!D17/(Mwh!D17*1000),(IF(AND(criteria!$G17="COS",D$3=criteria!$E17+criteria!$F17),DistRevR!D17/(Mwh!D17*1000),(IF(AND(criteria!$G17="COS",D$3&lt;&gt;criteria!$E17+criteria!$F17),C17,(IF(VLOOKUP($A17,criteria!$A$4:$I$24,7,FALSE)="PBR",(C17*(1+exposure!D$5-exposure!D$7)),(IF(VLOOKUP($A17,criteria!$A$4:$I$24,7,FALSE)="MKT",C17,999)))))))))))</f>
        <v>8.392020748217547E-3</v>
      </c>
      <c r="E17" s="31">
        <f>IF(E$3&lt;VLOOKUP($A17,criteria!$A$4:$I$24,$D$2,FALSE),D17,(IF(AND(criteria!$G17="COS",E$3=criteria!$E17),DistRevR!E17/(Mwh!E17*1000),(IF(AND(criteria!$G17="COS",E$3=criteria!$E17+criteria!$F17),DistRevR!E17/(Mwh!E17*1000),(IF(AND(criteria!$G17="COS",E$3&lt;&gt;criteria!$E17+criteria!$F17),D17,(IF(VLOOKUP($A17,criteria!$A$4:$I$24,7,FALSE)="PBR",(D17*(1+exposure!E$5-exposure!E$7)),(IF(VLOOKUP($A17,criteria!$A$4:$I$24,7,FALSE)="MKT",D17,999)))))))))))</f>
        <v>8.3647480099771493E-3</v>
      </c>
      <c r="F17" s="31">
        <f>IF(F$3&lt;VLOOKUP($A17,criteria!$A$4:$I$24,$D$2,FALSE),E17,(IF(AND(criteria!$G17="COS",F$3=criteria!$E17),DistRevR!F17/(Mwh!F17*1000),(IF(AND(criteria!$G17="COS",F$3=criteria!$E17+criteria!$F17),DistRevR!F17/(Mwh!F17*1000),(IF(AND(criteria!$G17="COS",F$3&lt;&gt;criteria!$E17+criteria!$F17),E17,(IF(VLOOKUP($A17,criteria!$A$4:$I$24,7,FALSE)="PBR",(E17*(1+exposure!F$5-exposure!F$7)),(IF(VLOOKUP($A17,criteria!$A$4:$I$24,7,FALSE)="MKT",E17,999)))))))))))</f>
        <v>8.3647480099771493E-3</v>
      </c>
      <c r="G17" s="31">
        <f>IF(G$3&lt;VLOOKUP($A17,criteria!$A$4:$I$24,$D$2,FALSE),F17,(IF(AND(criteria!$G17="COS",G$3=criteria!$E17),DistRevR!G17/(Mwh!G17*1000),(IF(AND(criteria!$G17="COS",G$3=criteria!$E17+criteria!$F17),DistRevR!G17/(Mwh!G17*1000),(IF(AND(criteria!$G17="COS",G$3&lt;&gt;criteria!$E17+criteria!$F17),F17,(IF(VLOOKUP($A17,criteria!$A$4:$I$24,7,FALSE)="PBR",(F17*(1+exposure!G$5-exposure!G$7)),(IF(VLOOKUP($A17,criteria!$A$4:$I$24,7,FALSE)="MKT",F17,999)))))))))))</f>
        <v>8.3647480099771493E-3</v>
      </c>
      <c r="H17" s="31">
        <f>IF(H$3&lt;VLOOKUP($A17,criteria!$A$4:$I$24,$D$2,FALSE),G17,(IF(AND(criteria!$G17="COS",H$3=criteria!$E17),DistRevR!H17/(Mwh!H17*1000),(IF(AND(criteria!$G17="COS",H$3=criteria!$E17+criteria!$F17),DistRevR!H17/(Mwh!H17*1000),(IF(AND(criteria!$G17="COS",H$3&lt;&gt;criteria!$E17+criteria!$F17),G17,(IF(VLOOKUP($A17,criteria!$A$4:$I$24,7,FALSE)="PBR",(G17*(1+exposure!H$5-exposure!H$7)),(IF(VLOOKUP($A17,criteria!$A$4:$I$24,7,FALSE)="MKT",G17,999)))))))))))</f>
        <v>8.3647480099771493E-3</v>
      </c>
      <c r="I17" s="31">
        <f>IF(I$3&lt;VLOOKUP($A17,criteria!$A$4:$I$24,$D$2,FALSE),H17,(IF(AND(criteria!$G17="COS",I$3=criteria!$E17),DistRevR!I17/(Mwh!I17*1000),(IF(AND(criteria!$G17="COS",I$3=criteria!$E17+criteria!$F17),DistRevR!I17/(Mwh!I17*1000),(IF(AND(criteria!$G17="COS",I$3&lt;&gt;criteria!$E17+criteria!$F17),H17,(IF(VLOOKUP($A17,criteria!$A$4:$I$24,7,FALSE)="PBR",(H17*(1+exposure!I$5-exposure!I$7)),(IF(VLOOKUP($A17,criteria!$A$4:$I$24,7,FALSE)="MKT",H17,999)))))))))))</f>
        <v>8.219825400963986E-3</v>
      </c>
      <c r="J17" s="31">
        <f>IF(J$3&lt;VLOOKUP($A17,criteria!$A$4:$I$24,$D$2,FALSE),I17,(IF(AND(criteria!$G17="COS",J$3=criteria!$E17),DistRevR!J17/(Mwh!J17*1000),(IF(AND(criteria!$G17="COS",J$3=criteria!$E17+criteria!$F17),DistRevR!J17/(Mwh!J17*1000),(IF(AND(criteria!$G17="COS",J$3&lt;&gt;criteria!$E17+criteria!$F17),I17,(IF(VLOOKUP($A17,criteria!$A$4:$I$24,7,FALSE)="PBR",(I17*(1+exposure!J$5-exposure!J$7)),(IF(VLOOKUP($A17,criteria!$A$4:$I$24,7,FALSE)="MKT",I17,999)))))))))))</f>
        <v>8.219825400963986E-3</v>
      </c>
      <c r="K17" s="31">
        <f>IF(K$3&lt;VLOOKUP($A17,criteria!$A$4:$I$24,$D$2,FALSE),J17,(IF(AND(criteria!$G17="COS",K$3=criteria!$E17),DistRevR!K17/(Mwh!K17*1000),(IF(AND(criteria!$G17="COS",K$3=criteria!$E17+criteria!$F17),DistRevR!K17/(Mwh!K17*1000),(IF(AND(criteria!$G17="COS",K$3&lt;&gt;criteria!$E17+criteria!$F17),J17,(IF(VLOOKUP($A17,criteria!$A$4:$I$24,7,FALSE)="PBR",(J17*(1+exposure!K$5-exposure!K$7)),(IF(VLOOKUP($A17,criteria!$A$4:$I$24,7,FALSE)="MKT",J17,999)))))))))))</f>
        <v>8.219825400963986E-3</v>
      </c>
      <c r="L17" s="31">
        <f>IF(L$3&lt;VLOOKUP($A17,criteria!$A$4:$I$24,$D$2,FALSE),K17,(IF(AND(criteria!$G17="COS",L$3=criteria!$E17),DistRevR!L17/(Mwh!L17*1000),(IF(AND(criteria!$G17="COS",L$3=criteria!$E17+criteria!$F17),DistRevR!L17/(Mwh!L17*1000),(IF(AND(criteria!$G17="COS",L$3&lt;&gt;criteria!$E17+criteria!$F17),K17,(IF(VLOOKUP($A17,criteria!$A$4:$I$24,7,FALSE)="PBR",(K17*(1+exposure!L$5-exposure!L$7)),(IF(VLOOKUP($A17,criteria!$A$4:$I$24,7,FALSE)="MKT",K17,999)))))))))))</f>
        <v>8.219825400963986E-3</v>
      </c>
      <c r="M17" s="31">
        <f>IF(M$3&lt;VLOOKUP($A17,criteria!$A$4:$I$24,$D$2,FALSE),L17,(IF(AND(criteria!$G17="COS",M$3=criteria!$E17),DistRevR!M17/(Mwh!M17*1000),(IF(AND(criteria!$G17="COS",M$3=criteria!$E17+criteria!$F17),DistRevR!M17/(Mwh!M17*1000),(IF(AND(criteria!$G17="COS",M$3&lt;&gt;criteria!$E17+criteria!$F17),L17,(IF(VLOOKUP($A17,criteria!$A$4:$I$24,7,FALSE)="PBR",(L17*(1+exposure!M$5-exposure!M$7)),(IF(VLOOKUP($A17,criteria!$A$4:$I$24,7,FALSE)="MKT",L17,999)))))))))))</f>
        <v>8.219825400963986E-3</v>
      </c>
    </row>
    <row r="18" spans="1:13" x14ac:dyDescent="0.2">
      <c r="A18" t="str">
        <f>raw!A18</f>
        <v>PPL Electric Utilities Corp.</v>
      </c>
      <c r="C18" s="32">
        <f>DistRevR!C18/(Mwh!C18*1000)</f>
        <v>1.798925752910821E-2</v>
      </c>
      <c r="D18" s="31">
        <f>IF(D$3&lt;VLOOKUP($A18,criteria!$A$4:$I$24,$D$2,FALSE),C18,(IF(AND(criteria!$G18="COS",D$3=criteria!$E18),DistRevR!D18/(Mwh!D18*1000),(IF(AND(criteria!$G18="COS",D$3=criteria!$E18+criteria!$F18),DistRevR!D18/(Mwh!D18*1000),(IF(AND(criteria!$G18="COS",D$3&lt;&gt;criteria!$E18+criteria!$F18),C18,(IF(VLOOKUP($A18,criteria!$A$4:$I$24,7,FALSE)="PBR",(C18*(1+exposure!D$5-exposure!D$7)),(IF(VLOOKUP($A18,criteria!$A$4:$I$24,7,FALSE)="MKT",C18,999)))))))))))</f>
        <v>1.798925752910821E-2</v>
      </c>
      <c r="E18" s="31">
        <f>IF(E$3&lt;VLOOKUP($A18,criteria!$A$4:$I$24,$D$2,FALSE),D18,(IF(AND(criteria!$G18="COS",E$3=criteria!$E18),DistRevR!E18/(Mwh!E18*1000),(IF(AND(criteria!$G18="COS",E$3=criteria!$E18+criteria!$F18),DistRevR!E18/(Mwh!E18*1000),(IF(AND(criteria!$G18="COS",E$3&lt;&gt;criteria!$E18+criteria!$F18),D18,(IF(VLOOKUP($A18,criteria!$A$4:$I$24,7,FALSE)="PBR",(D18*(1+exposure!E$5-exposure!E$7)),(IF(VLOOKUP($A18,criteria!$A$4:$I$24,7,FALSE)="MKT",D18,999)))))))))))</f>
        <v>1.7905717534599772E-2</v>
      </c>
      <c r="F18" s="31">
        <f>IF(F$3&lt;VLOOKUP($A18,criteria!$A$4:$I$24,$D$2,FALSE),E18,(IF(AND(criteria!$G18="COS",F$3=criteria!$E18),DistRevR!F18/(Mwh!F18*1000),(IF(AND(criteria!$G18="COS",F$3=criteria!$E18+criteria!$F18),DistRevR!F18/(Mwh!F18*1000),(IF(AND(criteria!$G18="COS",F$3&lt;&gt;criteria!$E18+criteria!$F18),E18,(IF(VLOOKUP($A18,criteria!$A$4:$I$24,7,FALSE)="PBR",(E18*(1+exposure!F$5-exposure!F$7)),(IF(VLOOKUP($A18,criteria!$A$4:$I$24,7,FALSE)="MKT",E18,999)))))))))))</f>
        <v>1.7905717534599772E-2</v>
      </c>
      <c r="G18" s="31">
        <f>IF(G$3&lt;VLOOKUP($A18,criteria!$A$4:$I$24,$D$2,FALSE),F18,(IF(AND(criteria!$G18="COS",G$3=criteria!$E18),DistRevR!G18/(Mwh!G18*1000),(IF(AND(criteria!$G18="COS",G$3=criteria!$E18+criteria!$F18),DistRevR!G18/(Mwh!G18*1000),(IF(AND(criteria!$G18="COS",G$3&lt;&gt;criteria!$E18+criteria!$F18),F18,(IF(VLOOKUP($A18,criteria!$A$4:$I$24,7,FALSE)="PBR",(F18*(1+exposure!G$5-exposure!G$7)),(IF(VLOOKUP($A18,criteria!$A$4:$I$24,7,FALSE)="MKT",F18,999)))))))))))</f>
        <v>1.7905717534599772E-2</v>
      </c>
      <c r="H18" s="31">
        <f>IF(H$3&lt;VLOOKUP($A18,criteria!$A$4:$I$24,$D$2,FALSE),G18,(IF(AND(criteria!$G18="COS",H$3=criteria!$E18),DistRevR!H18/(Mwh!H18*1000),(IF(AND(criteria!$G18="COS",H$3=criteria!$E18+criteria!$F18),DistRevR!H18/(Mwh!H18*1000),(IF(AND(criteria!$G18="COS",H$3&lt;&gt;criteria!$E18+criteria!$F18),G18,(IF(VLOOKUP($A18,criteria!$A$4:$I$24,7,FALSE)="PBR",(G18*(1+exposure!H$5-exposure!H$7)),(IF(VLOOKUP($A18,criteria!$A$4:$I$24,7,FALSE)="MKT",G18,999)))))))))))</f>
        <v>1.7905717534599772E-2</v>
      </c>
      <c r="I18" s="31">
        <f>IF(I$3&lt;VLOOKUP($A18,criteria!$A$4:$I$24,$D$2,FALSE),H18,(IF(AND(criteria!$G18="COS",I$3=criteria!$E18),DistRevR!I18/(Mwh!I18*1000),(IF(AND(criteria!$G18="COS",I$3=criteria!$E18+criteria!$F18),DistRevR!I18/(Mwh!I18*1000),(IF(AND(criteria!$G18="COS",I$3&lt;&gt;criteria!$E18+criteria!$F18),H18,(IF(VLOOKUP($A18,criteria!$A$4:$I$24,7,FALSE)="PBR",(H18*(1+exposure!I$5-exposure!I$7)),(IF(VLOOKUP($A18,criteria!$A$4:$I$24,7,FALSE)="MKT",H18,999)))))))))))</f>
        <v>1.7563117744926072E-2</v>
      </c>
      <c r="J18" s="31">
        <f>IF(J$3&lt;VLOOKUP($A18,criteria!$A$4:$I$24,$D$2,FALSE),I18,(IF(AND(criteria!$G18="COS",J$3=criteria!$E18),DistRevR!J18/(Mwh!J18*1000),(IF(AND(criteria!$G18="COS",J$3=criteria!$E18+criteria!$F18),DistRevR!J18/(Mwh!J18*1000),(IF(AND(criteria!$G18="COS",J$3&lt;&gt;criteria!$E18+criteria!$F18),I18,(IF(VLOOKUP($A18,criteria!$A$4:$I$24,7,FALSE)="PBR",(I18*(1+exposure!J$5-exposure!J$7)),(IF(VLOOKUP($A18,criteria!$A$4:$I$24,7,FALSE)="MKT",I18,999)))))))))))</f>
        <v>1.7563117744926072E-2</v>
      </c>
      <c r="K18" s="31">
        <f>IF(K$3&lt;VLOOKUP($A18,criteria!$A$4:$I$24,$D$2,FALSE),J18,(IF(AND(criteria!$G18="COS",K$3=criteria!$E18),DistRevR!K18/(Mwh!K18*1000),(IF(AND(criteria!$G18="COS",K$3=criteria!$E18+criteria!$F18),DistRevR!K18/(Mwh!K18*1000),(IF(AND(criteria!$G18="COS",K$3&lt;&gt;criteria!$E18+criteria!$F18),J18,(IF(VLOOKUP($A18,criteria!$A$4:$I$24,7,FALSE)="PBR",(J18*(1+exposure!K$5-exposure!K$7)),(IF(VLOOKUP($A18,criteria!$A$4:$I$24,7,FALSE)="MKT",J18,999)))))))))))</f>
        <v>1.7563117744926072E-2</v>
      </c>
      <c r="L18" s="31">
        <f>IF(L$3&lt;VLOOKUP($A18,criteria!$A$4:$I$24,$D$2,FALSE),K18,(IF(AND(criteria!$G18="COS",L$3=criteria!$E18),DistRevR!L18/(Mwh!L18*1000),(IF(AND(criteria!$G18="COS",L$3=criteria!$E18+criteria!$F18),DistRevR!L18/(Mwh!L18*1000),(IF(AND(criteria!$G18="COS",L$3&lt;&gt;criteria!$E18+criteria!$F18),K18,(IF(VLOOKUP($A18,criteria!$A$4:$I$24,7,FALSE)="PBR",(K18*(1+exposure!L$5-exposure!L$7)),(IF(VLOOKUP($A18,criteria!$A$4:$I$24,7,FALSE)="MKT",K18,999)))))))))))</f>
        <v>1.7563117744926072E-2</v>
      </c>
      <c r="M18" s="31">
        <f>IF(M$3&lt;VLOOKUP($A18,criteria!$A$4:$I$24,$D$2,FALSE),L18,(IF(AND(criteria!$G18="COS",M$3=criteria!$E18),DistRevR!M18/(Mwh!M18*1000),(IF(AND(criteria!$G18="COS",M$3=criteria!$E18+criteria!$F18),DistRevR!M18/(Mwh!M18*1000),(IF(AND(criteria!$G18="COS",M$3&lt;&gt;criteria!$E18+criteria!$F18),L18,(IF(VLOOKUP($A18,criteria!$A$4:$I$24,7,FALSE)="PBR",(L18*(1+exposure!M$5-exposure!M$7)),(IF(VLOOKUP($A18,criteria!$A$4:$I$24,7,FALSE)="MKT",L18,999)))))))))))</f>
        <v>1.7563117744926072E-2</v>
      </c>
    </row>
    <row r="19" spans="1:13" x14ac:dyDescent="0.2">
      <c r="A19" t="str">
        <f>raw!A19</f>
        <v>Pacific Gas &amp; Electric Co.</v>
      </c>
      <c r="C19" s="32">
        <f>DistRevR!C19/(Mwh!C19*1000)</f>
        <v>3.9135963817907016E-2</v>
      </c>
      <c r="D19" s="31">
        <f>IF(D$3&lt;VLOOKUP($A19,criteria!$A$4:$I$24,$D$2,FALSE),C19,(IF(AND(criteria!$G19="COS",D$3=criteria!$E19),DistRevR!D19/(Mwh!D19*1000),(IF(AND(criteria!$G19="COS",D$3=criteria!$E19+criteria!$F19),DistRevR!D19/(Mwh!D19*1000),(IF(AND(criteria!$G19="COS",D$3&lt;&gt;criteria!$E19+criteria!$F19),C19,(IF(VLOOKUP($A19,criteria!$A$4:$I$24,7,FALSE)="PBR",(C19*(1+exposure!D$5-exposure!D$7)),(IF(VLOOKUP($A19,criteria!$A$4:$I$24,7,FALSE)="MKT",C19,999)))))))))))</f>
        <v>3.9112054300599094E-2</v>
      </c>
      <c r="E19" s="31">
        <f>IF(E$3&lt;VLOOKUP($A19,criteria!$A$4:$I$24,$D$2,FALSE),D19,(IF(AND(criteria!$G19="COS",E$3=criteria!$E19),DistRevR!E19/(Mwh!E19*1000),(IF(AND(criteria!$G19="COS",E$3=criteria!$E19+criteria!$F19),DistRevR!E19/(Mwh!E19*1000),(IF(AND(criteria!$G19="COS",E$3&lt;&gt;criteria!$E19+criteria!$F19),D19,(IF(VLOOKUP($A19,criteria!$A$4:$I$24,7,FALSE)="PBR",(D19*(1+exposure!E$5-exposure!E$7)),(IF(VLOOKUP($A19,criteria!$A$4:$I$24,7,FALSE)="MKT",D19,999)))))))))))</f>
        <v>3.9112054300599094E-2</v>
      </c>
      <c r="F19" s="31">
        <f>IF(F$3&lt;VLOOKUP($A19,criteria!$A$4:$I$24,$D$2,FALSE),E19,(IF(AND(criteria!$G19="COS",F$3=criteria!$E19),DistRevR!F19/(Mwh!F19*1000),(IF(AND(criteria!$G19="COS",F$3=criteria!$E19+criteria!$F19),DistRevR!F19/(Mwh!F19*1000),(IF(AND(criteria!$G19="COS",F$3&lt;&gt;criteria!$E19+criteria!$F19),E19,(IF(VLOOKUP($A19,criteria!$A$4:$I$24,7,FALSE)="PBR",(E19*(1+exposure!F$5-exposure!F$7)),(IF(VLOOKUP($A19,criteria!$A$4:$I$24,7,FALSE)="MKT",E19,999)))))))))))</f>
        <v>3.9112054300599094E-2</v>
      </c>
      <c r="G19" s="31">
        <f>IF(G$3&lt;VLOOKUP($A19,criteria!$A$4:$I$24,$D$2,FALSE),F19,(IF(AND(criteria!$G19="COS",G$3=criteria!$E19),DistRevR!G19/(Mwh!G19*1000),(IF(AND(criteria!$G19="COS",G$3=criteria!$E19+criteria!$F19),DistRevR!G19/(Mwh!G19*1000),(IF(AND(criteria!$G19="COS",G$3&lt;&gt;criteria!$E19+criteria!$F19),F19,(IF(VLOOKUP($A19,criteria!$A$4:$I$24,7,FALSE)="PBR",(F19*(1+exposure!G$5-exposure!G$7)),(IF(VLOOKUP($A19,criteria!$A$4:$I$24,7,FALSE)="MKT",F19,999)))))))))))</f>
        <v>3.9112054300599094E-2</v>
      </c>
      <c r="H19" s="31">
        <f>IF(H$3&lt;VLOOKUP($A19,criteria!$A$4:$I$24,$D$2,FALSE),G19,(IF(AND(criteria!$G19="COS",H$3=criteria!$E19),DistRevR!H19/(Mwh!H19*1000),(IF(AND(criteria!$G19="COS",H$3=criteria!$E19+criteria!$F19),DistRevR!H19/(Mwh!H19*1000),(IF(AND(criteria!$G19="COS",H$3&lt;&gt;criteria!$E19+criteria!$F19),G19,(IF(VLOOKUP($A19,criteria!$A$4:$I$24,7,FALSE)="PBR",(G19*(1+exposure!H$5-exposure!H$7)),(IF(VLOOKUP($A19,criteria!$A$4:$I$24,7,FALSE)="MKT",G19,999)))))))))))</f>
        <v>3.8547909846671086E-2</v>
      </c>
      <c r="I19" s="31">
        <f>IF(I$3&lt;VLOOKUP($A19,criteria!$A$4:$I$24,$D$2,FALSE),H19,(IF(AND(criteria!$G19="COS",I$3=criteria!$E19),DistRevR!I19/(Mwh!I19*1000),(IF(AND(criteria!$G19="COS",I$3=criteria!$E19+criteria!$F19),DistRevR!I19/(Mwh!I19*1000),(IF(AND(criteria!$G19="COS",I$3&lt;&gt;criteria!$E19+criteria!$F19),H19,(IF(VLOOKUP($A19,criteria!$A$4:$I$24,7,FALSE)="PBR",(H19*(1+exposure!I$5-exposure!I$7)),(IF(VLOOKUP($A19,criteria!$A$4:$I$24,7,FALSE)="MKT",H19,999)))))))))))</f>
        <v>3.8547909846671086E-2</v>
      </c>
      <c r="J19" s="31">
        <f>IF(J$3&lt;VLOOKUP($A19,criteria!$A$4:$I$24,$D$2,FALSE),I19,(IF(AND(criteria!$G19="COS",J$3=criteria!$E19),DistRevR!J19/(Mwh!J19*1000),(IF(AND(criteria!$G19="COS",J$3=criteria!$E19+criteria!$F19),DistRevR!J19/(Mwh!J19*1000),(IF(AND(criteria!$G19="COS",J$3&lt;&gt;criteria!$E19+criteria!$F19),I19,(IF(VLOOKUP($A19,criteria!$A$4:$I$24,7,FALSE)="PBR",(I19*(1+exposure!J$5-exposure!J$7)),(IF(VLOOKUP($A19,criteria!$A$4:$I$24,7,FALSE)="MKT",I19,999)))))))))))</f>
        <v>3.8547909846671086E-2</v>
      </c>
      <c r="K19" s="31">
        <f>IF(K$3&lt;VLOOKUP($A19,criteria!$A$4:$I$24,$D$2,FALSE),J19,(IF(AND(criteria!$G19="COS",K$3=criteria!$E19),DistRevR!K19/(Mwh!K19*1000),(IF(AND(criteria!$G19="COS",K$3=criteria!$E19+criteria!$F19),DistRevR!K19/(Mwh!K19*1000),(IF(AND(criteria!$G19="COS",K$3&lt;&gt;criteria!$E19+criteria!$F19),J19,(IF(VLOOKUP($A19,criteria!$A$4:$I$24,7,FALSE)="PBR",(J19*(1+exposure!K$5-exposure!K$7)),(IF(VLOOKUP($A19,criteria!$A$4:$I$24,7,FALSE)="MKT",J19,999)))))))))))</f>
        <v>3.8547909846671086E-2</v>
      </c>
      <c r="L19" s="31">
        <f>IF(L$3&lt;VLOOKUP($A19,criteria!$A$4:$I$24,$D$2,FALSE),K19,(IF(AND(criteria!$G19="COS",L$3=criteria!$E19),DistRevR!L19/(Mwh!L19*1000),(IF(AND(criteria!$G19="COS",L$3=criteria!$E19+criteria!$F19),DistRevR!L19/(Mwh!L19*1000),(IF(AND(criteria!$G19="COS",L$3&lt;&gt;criteria!$E19+criteria!$F19),K19,(IF(VLOOKUP($A19,criteria!$A$4:$I$24,7,FALSE)="PBR",(K19*(1+exposure!L$5-exposure!L$7)),(IF(VLOOKUP($A19,criteria!$A$4:$I$24,7,FALSE)="MKT",K19,999)))))))))))</f>
        <v>3.8547909846671086E-2</v>
      </c>
      <c r="M19" s="31">
        <f>IF(M$3&lt;VLOOKUP($A19,criteria!$A$4:$I$24,$D$2,FALSE),L19,(IF(AND(criteria!$G19="COS",M$3=criteria!$E19),DistRevR!M19/(Mwh!M19*1000),(IF(AND(criteria!$G19="COS",M$3=criteria!$E19+criteria!$F19),DistRevR!M19/(Mwh!M19*1000),(IF(AND(criteria!$G19="COS",M$3&lt;&gt;criteria!$E19+criteria!$F19),L19,(IF(VLOOKUP($A19,criteria!$A$4:$I$24,7,FALSE)="PBR",(L19*(1+exposure!M$5-exposure!M$7)),(IF(VLOOKUP($A19,criteria!$A$4:$I$24,7,FALSE)="MKT",L19,999)))))))))))</f>
        <v>3.8547909846671086E-2</v>
      </c>
    </row>
    <row r="20" spans="1:13" x14ac:dyDescent="0.2">
      <c r="A20" t="str">
        <f>raw!A20</f>
        <v>Public Service Electric &amp; Gas Co.</v>
      </c>
      <c r="C20" s="32">
        <f>DistRevR!C20/(Mwh!C20*1000)</f>
        <v>2.3318670731001818E-2</v>
      </c>
      <c r="D20" s="31">
        <f>IF(D$3&lt;VLOOKUP($A20,criteria!$A$4:$I$24,$D$2,FALSE),C20,(IF(AND(criteria!$G20="COS",D$3=criteria!$E20),DistRevR!D20/(Mwh!D20*1000),(IF(AND(criteria!$G20="COS",D$3=criteria!$E20+criteria!$F20),DistRevR!D20/(Mwh!D20*1000),(IF(AND(criteria!$G20="COS",D$3&lt;&gt;criteria!$E20+criteria!$F20),C20,(IF(VLOOKUP($A20,criteria!$A$4:$I$24,7,FALSE)="PBR",(C20*(1+exposure!D$5-exposure!D$7)),(IF(VLOOKUP($A20,criteria!$A$4:$I$24,7,FALSE)="MKT",C20,999)))))))))))</f>
        <v>2.3318670731001818E-2</v>
      </c>
      <c r="E20" s="31">
        <f>IF(E$3&lt;VLOOKUP($A20,criteria!$A$4:$I$24,$D$2,FALSE),D20,(IF(AND(criteria!$G20="COS",E$3=criteria!$E20),DistRevR!E20/(Mwh!E20*1000),(IF(AND(criteria!$G20="COS",E$3=criteria!$E20+criteria!$F20),DistRevR!E20/(Mwh!E20*1000),(IF(AND(criteria!$G20="COS",E$3&lt;&gt;criteria!$E20+criteria!$F20),D20,(IF(VLOOKUP($A20,criteria!$A$4:$I$24,7,FALSE)="PBR",(D20*(1+exposure!E$5-exposure!E$7)),(IF(VLOOKUP($A20,criteria!$A$4:$I$24,7,FALSE)="MKT",D20,999)))))))))))</f>
        <v>2.3196493312137734E-2</v>
      </c>
      <c r="F20" s="31">
        <f>IF(F$3&lt;VLOOKUP($A20,criteria!$A$4:$I$24,$D$2,FALSE),E20,(IF(AND(criteria!$G20="COS",F$3=criteria!$E20),DistRevR!F20/(Mwh!F20*1000),(IF(AND(criteria!$G20="COS",F$3=criteria!$E20+criteria!$F20),DistRevR!F20/(Mwh!F20*1000),(IF(AND(criteria!$G20="COS",F$3&lt;&gt;criteria!$E20+criteria!$F20),E20,(IF(VLOOKUP($A20,criteria!$A$4:$I$24,7,FALSE)="PBR",(E20*(1+exposure!F$5-exposure!F$7)),(IF(VLOOKUP($A20,criteria!$A$4:$I$24,7,FALSE)="MKT",E20,999)))))))))))</f>
        <v>2.3196493312137734E-2</v>
      </c>
      <c r="G20" s="31">
        <f>IF(G$3&lt;VLOOKUP($A20,criteria!$A$4:$I$24,$D$2,FALSE),F20,(IF(AND(criteria!$G20="COS",G$3=criteria!$E20),DistRevR!G20/(Mwh!G20*1000),(IF(AND(criteria!$G20="COS",G$3=criteria!$E20+criteria!$F20),DistRevR!G20/(Mwh!G20*1000),(IF(AND(criteria!$G20="COS",G$3&lt;&gt;criteria!$E20+criteria!$F20),F20,(IF(VLOOKUP($A20,criteria!$A$4:$I$24,7,FALSE)="PBR",(F20*(1+exposure!G$5-exposure!G$7)),(IF(VLOOKUP($A20,criteria!$A$4:$I$24,7,FALSE)="MKT",F20,999)))))))))))</f>
        <v>2.3196493312137734E-2</v>
      </c>
      <c r="H20" s="31">
        <f>IF(H$3&lt;VLOOKUP($A20,criteria!$A$4:$I$24,$D$2,FALSE),G20,(IF(AND(criteria!$G20="COS",H$3=criteria!$E20),DistRevR!H20/(Mwh!H20*1000),(IF(AND(criteria!$G20="COS",H$3=criteria!$E20+criteria!$F20),DistRevR!H20/(Mwh!H20*1000),(IF(AND(criteria!$G20="COS",H$3&lt;&gt;criteria!$E20+criteria!$F20),G20,(IF(VLOOKUP($A20,criteria!$A$4:$I$24,7,FALSE)="PBR",(G20*(1+exposure!H$5-exposure!H$7)),(IF(VLOOKUP($A20,criteria!$A$4:$I$24,7,FALSE)="MKT",G20,999)))))))))))</f>
        <v>2.3196493312137734E-2</v>
      </c>
      <c r="I20" s="31">
        <f>IF(I$3&lt;VLOOKUP($A20,criteria!$A$4:$I$24,$D$2,FALSE),H20,(IF(AND(criteria!$G20="COS",I$3=criteria!$E20),DistRevR!I20/(Mwh!I20*1000),(IF(AND(criteria!$G20="COS",I$3=criteria!$E20+criteria!$F20),DistRevR!I20/(Mwh!I20*1000),(IF(AND(criteria!$G20="COS",I$3&lt;&gt;criteria!$E20+criteria!$F20),H20,(IF(VLOOKUP($A20,criteria!$A$4:$I$24,7,FALSE)="PBR",(H20*(1+exposure!I$5-exposure!I$7)),(IF(VLOOKUP($A20,criteria!$A$4:$I$24,7,FALSE)="MKT",H20,999)))))))))))</f>
        <v>2.2732779188698711E-2</v>
      </c>
      <c r="J20" s="31">
        <f>IF(J$3&lt;VLOOKUP($A20,criteria!$A$4:$I$24,$D$2,FALSE),I20,(IF(AND(criteria!$G20="COS",J$3=criteria!$E20),DistRevR!J20/(Mwh!J20*1000),(IF(AND(criteria!$G20="COS",J$3=criteria!$E20+criteria!$F20),DistRevR!J20/(Mwh!J20*1000),(IF(AND(criteria!$G20="COS",J$3&lt;&gt;criteria!$E20+criteria!$F20),I20,(IF(VLOOKUP($A20,criteria!$A$4:$I$24,7,FALSE)="PBR",(I20*(1+exposure!J$5-exposure!J$7)),(IF(VLOOKUP($A20,criteria!$A$4:$I$24,7,FALSE)="MKT",I20,999)))))))))))</f>
        <v>2.2732779188698711E-2</v>
      </c>
      <c r="K20" s="31">
        <f>IF(K$3&lt;VLOOKUP($A20,criteria!$A$4:$I$24,$D$2,FALSE),J20,(IF(AND(criteria!$G20="COS",K$3=criteria!$E20),DistRevR!K20/(Mwh!K20*1000),(IF(AND(criteria!$G20="COS",K$3=criteria!$E20+criteria!$F20),DistRevR!K20/(Mwh!K20*1000),(IF(AND(criteria!$G20="COS",K$3&lt;&gt;criteria!$E20+criteria!$F20),J20,(IF(VLOOKUP($A20,criteria!$A$4:$I$24,7,FALSE)="PBR",(J20*(1+exposure!K$5-exposure!K$7)),(IF(VLOOKUP($A20,criteria!$A$4:$I$24,7,FALSE)="MKT",J20,999)))))))))))</f>
        <v>2.2732779188698711E-2</v>
      </c>
      <c r="L20" s="31">
        <f>IF(L$3&lt;VLOOKUP($A20,criteria!$A$4:$I$24,$D$2,FALSE),K20,(IF(AND(criteria!$G20="COS",L$3=criteria!$E20),DistRevR!L20/(Mwh!L20*1000),(IF(AND(criteria!$G20="COS",L$3=criteria!$E20+criteria!$F20),DistRevR!L20/(Mwh!L20*1000),(IF(AND(criteria!$G20="COS",L$3&lt;&gt;criteria!$E20+criteria!$F20),K20,(IF(VLOOKUP($A20,criteria!$A$4:$I$24,7,FALSE)="PBR",(K20*(1+exposure!L$5-exposure!L$7)),(IF(VLOOKUP($A20,criteria!$A$4:$I$24,7,FALSE)="MKT",K20,999)))))))))))</f>
        <v>2.2732779188698711E-2</v>
      </c>
      <c r="M20" s="31">
        <f>IF(M$3&lt;VLOOKUP($A20,criteria!$A$4:$I$24,$D$2,FALSE),L20,(IF(AND(criteria!$G20="COS",M$3=criteria!$E20),DistRevR!M20/(Mwh!M20*1000),(IF(AND(criteria!$G20="COS",M$3=criteria!$E20+criteria!$F20),DistRevR!M20/(Mwh!M20*1000),(IF(AND(criteria!$G20="COS",M$3&lt;&gt;criteria!$E20+criteria!$F20),L20,(IF(VLOOKUP($A20,criteria!$A$4:$I$24,7,FALSE)="PBR",(L20*(1+exposure!M$5-exposure!M$7)),(IF(VLOOKUP($A20,criteria!$A$4:$I$24,7,FALSE)="MKT",L20,999)))))))))))</f>
        <v>2.2732779188698711E-2</v>
      </c>
    </row>
    <row r="21" spans="1:13" x14ac:dyDescent="0.2">
      <c r="A21" t="str">
        <f>raw!A21</f>
        <v>San Diego Gas &amp; Electric Co.</v>
      </c>
      <c r="C21" s="32">
        <f>DistRevR!C21/(Mwh!C21*1000)</f>
        <v>3.4699387910572151E-2</v>
      </c>
      <c r="D21" s="31">
        <f>IF(D$3&lt;VLOOKUP($A21,criteria!$A$4:$I$24,$D$2,FALSE),C21,(IF(AND(criteria!$G21="COS",D$3=criteria!$E21),DistRevR!D21/(Mwh!D21*1000),(IF(AND(criteria!$G21="COS",D$3=criteria!$E21+criteria!$F21),DistRevR!D21/(Mwh!D21*1000),(IF(AND(criteria!$G21="COS",D$3&lt;&gt;criteria!$E21+criteria!$F21),C21,(IF(VLOOKUP($A21,criteria!$A$4:$I$24,7,FALSE)="PBR",(C21*(1+exposure!D$5-exposure!D$7)),(IF(VLOOKUP($A21,criteria!$A$4:$I$24,7,FALSE)="MKT",C21,999)))))))))))</f>
        <v>3.542807505669416E-2</v>
      </c>
      <c r="E21" s="31">
        <f>IF(E$3&lt;VLOOKUP($A21,criteria!$A$4:$I$24,$D$2,FALSE),D21,(IF(AND(criteria!$G21="COS",E$3=criteria!$E21),DistRevR!E21/(Mwh!E21*1000),(IF(AND(criteria!$G21="COS",E$3=criteria!$E21+criteria!$F21),DistRevR!E21/(Mwh!E21*1000),(IF(AND(criteria!$G21="COS",E$3&lt;&gt;criteria!$E21+criteria!$F21),D21,(IF(VLOOKUP($A21,criteria!$A$4:$I$24,7,FALSE)="PBR",(D21*(1+exposure!E$5-exposure!E$7)),(IF(VLOOKUP($A21,criteria!$A$4:$I$24,7,FALSE)="MKT",D21,999)))))))))))</f>
        <v>3.613663655782804E-2</v>
      </c>
      <c r="F21" s="31">
        <f>IF(F$3&lt;VLOOKUP($A21,criteria!$A$4:$I$24,$D$2,FALSE),E21,(IF(AND(criteria!$G21="COS",F$3=criteria!$E21),DistRevR!F21/(Mwh!F21*1000),(IF(AND(criteria!$G21="COS",F$3=criteria!$E21+criteria!$F21),DistRevR!F21/(Mwh!F21*1000),(IF(AND(criteria!$G21="COS",F$3&lt;&gt;criteria!$E21+criteria!$F21),E21,(IF(VLOOKUP($A21,criteria!$A$4:$I$24,7,FALSE)="PBR",(E21*(1+exposure!F$5-exposure!F$7)),(IF(VLOOKUP($A21,criteria!$A$4:$I$24,7,FALSE)="MKT",E21,999)))))))))))</f>
        <v>3.682323265242677E-2</v>
      </c>
      <c r="G21" s="31">
        <f>IF(G$3&lt;VLOOKUP($A21,criteria!$A$4:$I$24,$D$2,FALSE),F21,(IF(AND(criteria!$G21="COS",G$3=criteria!$E21),DistRevR!G21/(Mwh!G21*1000),(IF(AND(criteria!$G21="COS",G$3=criteria!$E21+criteria!$F21),DistRevR!G21/(Mwh!G21*1000),(IF(AND(criteria!$G21="COS",G$3&lt;&gt;criteria!$E21+criteria!$F21),F21,(IF(VLOOKUP($A21,criteria!$A$4:$I$24,7,FALSE)="PBR",(F21*(1+exposure!G$5-exposure!G$7)),(IF(VLOOKUP($A21,criteria!$A$4:$I$24,7,FALSE)="MKT",F21,999)))))))))))</f>
        <v>3.7504462456496662E-2</v>
      </c>
      <c r="H21" s="31">
        <f>IF(H$3&lt;VLOOKUP($A21,criteria!$A$4:$I$24,$D$2,FALSE),G21,(IF(AND(criteria!$G21="COS",H$3=criteria!$E21),DistRevR!H21/(Mwh!H21*1000),(IF(AND(criteria!$G21="COS",H$3=criteria!$E21+criteria!$F21),DistRevR!H21/(Mwh!H21*1000),(IF(AND(criteria!$G21="COS",H$3&lt;&gt;criteria!$E21+criteria!$F21),G21,(IF(VLOOKUP($A21,criteria!$A$4:$I$24,7,FALSE)="PBR",(G21*(1+exposure!H$5-exposure!H$7)),(IF(VLOOKUP($A21,criteria!$A$4:$I$24,7,FALSE)="MKT",G21,999)))))))))))</f>
        <v>3.8179542780713602E-2</v>
      </c>
      <c r="I21" s="31">
        <f>IF(I$3&lt;VLOOKUP($A21,criteria!$A$4:$I$24,$D$2,FALSE),H21,(IF(AND(criteria!$G21="COS",I$3=criteria!$E21),DistRevR!I21/(Mwh!I21*1000),(IF(AND(criteria!$G21="COS",I$3=criteria!$E21+criteria!$F21),DistRevR!I21/(Mwh!I21*1000),(IF(AND(criteria!$G21="COS",I$3&lt;&gt;criteria!$E21+criteria!$F21),H21,(IF(VLOOKUP($A21,criteria!$A$4:$I$24,7,FALSE)="PBR",(H21*(1+exposure!I$5-exposure!I$7)),(IF(VLOOKUP($A21,criteria!$A$4:$I$24,7,FALSE)="MKT",H21,999)))))))))))</f>
        <v>3.883623091654187E-2</v>
      </c>
      <c r="J21" s="31">
        <f>IF(J$3&lt;VLOOKUP($A21,criteria!$A$4:$I$24,$D$2,FALSE),I21,(IF(AND(criteria!$G21="COS",J$3=criteria!$E21),DistRevR!J21/(Mwh!J21*1000),(IF(AND(criteria!$G21="COS",J$3=criteria!$E21+criteria!$F21),DistRevR!J21/(Mwh!J21*1000),(IF(AND(criteria!$G21="COS",J$3&lt;&gt;criteria!$E21+criteria!$F21),I21,(IF(VLOOKUP($A21,criteria!$A$4:$I$24,7,FALSE)="PBR",(I21*(1+exposure!J$5-exposure!J$7)),(IF(VLOOKUP($A21,criteria!$A$4:$I$24,7,FALSE)="MKT",I21,999)))))))))))</f>
        <v>3.9484795972848118E-2</v>
      </c>
      <c r="K21" s="31">
        <f>IF(K$3&lt;VLOOKUP($A21,criteria!$A$4:$I$24,$D$2,FALSE),J21,(IF(AND(criteria!$G21="COS",K$3=criteria!$E21),DistRevR!K21/(Mwh!K21*1000),(IF(AND(criteria!$G21="COS",K$3=criteria!$E21+criteria!$F21),DistRevR!K21/(Mwh!K21*1000),(IF(AND(criteria!$G21="COS",K$3&lt;&gt;criteria!$E21+criteria!$F21),J21,(IF(VLOOKUP($A21,criteria!$A$4:$I$24,7,FALSE)="PBR",(J21*(1+exposure!K$5-exposure!K$7)),(IF(VLOOKUP($A21,criteria!$A$4:$I$24,7,FALSE)="MKT",J21,999)))))))))))</f>
        <v>4.012444966760826E-2</v>
      </c>
      <c r="L21" s="31">
        <f>IF(L$3&lt;VLOOKUP($A21,criteria!$A$4:$I$24,$D$2,FALSE),K21,(IF(AND(criteria!$G21="COS",L$3=criteria!$E21),DistRevR!L21/(Mwh!L21*1000),(IF(AND(criteria!$G21="COS",L$3=criteria!$E21+criteria!$F21),DistRevR!L21/(Mwh!L21*1000),(IF(AND(criteria!$G21="COS",L$3&lt;&gt;criteria!$E21+criteria!$F21),K21,(IF(VLOOKUP($A21,criteria!$A$4:$I$24,7,FALSE)="PBR",(K21*(1+exposure!L$5-exposure!L$7)),(IF(VLOOKUP($A21,criteria!$A$4:$I$24,7,FALSE)="MKT",K21,999)))))))))))</f>
        <v>4.0758415972356472E-2</v>
      </c>
      <c r="M21" s="31">
        <f>IF(M$3&lt;VLOOKUP($A21,criteria!$A$4:$I$24,$D$2,FALSE),L21,(IF(AND(criteria!$G21="COS",M$3=criteria!$E21),DistRevR!M21/(Mwh!M21*1000),(IF(AND(criteria!$G21="COS",M$3=criteria!$E21+criteria!$F21),DistRevR!M21/(Mwh!M21*1000),(IF(AND(criteria!$G21="COS",M$3&lt;&gt;criteria!$E21+criteria!$F21),L21,(IF(VLOOKUP($A21,criteria!$A$4:$I$24,7,FALSE)="PBR",(L21*(1+exposure!M$5-exposure!M$7)),(IF(VLOOKUP($A21,criteria!$A$4:$I$24,7,FALSE)="MKT",L21,999)))))))))))</f>
        <v>4.1386095578330763E-2</v>
      </c>
    </row>
    <row r="22" spans="1:13" x14ac:dyDescent="0.2">
      <c r="A22" t="str">
        <f>raw!A22</f>
        <v>Southern California Edison Co.</v>
      </c>
      <c r="C22" s="32">
        <f>DistRevR!C22/(Mwh!C22*1000)</f>
        <v>2.8117676855268711E-2</v>
      </c>
      <c r="D22" s="31">
        <f>IF(D$3&lt;VLOOKUP($A22,criteria!$A$4:$I$24,$D$2,FALSE),C22,(IF(AND(criteria!$G22="COS",D$3=criteria!$E22),DistRevR!D22/(Mwh!D22*1000),(IF(AND(criteria!$G22="COS",D$3=criteria!$E22+criteria!$F22),DistRevR!D22/(Mwh!D22*1000),(IF(AND(criteria!$G22="COS",D$3&lt;&gt;criteria!$E22+criteria!$F22),C22,(IF(VLOOKUP($A22,criteria!$A$4:$I$24,7,FALSE)="PBR",(C22*(1+exposure!D$5-exposure!D$7)),(IF(VLOOKUP($A22,criteria!$A$4:$I$24,7,FALSE)="MKT",C22,999)))))))))))</f>
        <v>2.8117676855268711E-2</v>
      </c>
      <c r="E22" s="31">
        <f>IF(E$3&lt;VLOOKUP($A22,criteria!$A$4:$I$24,$D$2,FALSE),D22,(IF(AND(criteria!$G22="COS",E$3=criteria!$E22),DistRevR!E22/(Mwh!E22*1000),(IF(AND(criteria!$G22="COS",E$3=criteria!$E22+criteria!$F22),DistRevR!E22/(Mwh!E22*1000),(IF(AND(criteria!$G22="COS",E$3&lt;&gt;criteria!$E22+criteria!$F22),D22,(IF(VLOOKUP($A22,criteria!$A$4:$I$24,7,FALSE)="PBR",(D22*(1+exposure!E$5-exposure!E$7)),(IF(VLOOKUP($A22,criteria!$A$4:$I$24,7,FALSE)="MKT",D22,999)))))))))))</f>
        <v>2.7834836678636728E-2</v>
      </c>
      <c r="F22" s="31">
        <f>IF(F$3&lt;VLOOKUP($A22,criteria!$A$4:$I$24,$D$2,FALSE),E22,(IF(AND(criteria!$G22="COS",F$3=criteria!$E22),DistRevR!F22/(Mwh!F22*1000),(IF(AND(criteria!$G22="COS",F$3=criteria!$E22+criteria!$F22),DistRevR!F22/(Mwh!F22*1000),(IF(AND(criteria!$G22="COS",F$3&lt;&gt;criteria!$E22+criteria!$F22),E22,(IF(VLOOKUP($A22,criteria!$A$4:$I$24,7,FALSE)="PBR",(E22*(1+exposure!F$5-exposure!F$7)),(IF(VLOOKUP($A22,criteria!$A$4:$I$24,7,FALSE)="MKT",E22,999)))))))))))</f>
        <v>2.7834836678636728E-2</v>
      </c>
      <c r="G22" s="31">
        <f>IF(G$3&lt;VLOOKUP($A22,criteria!$A$4:$I$24,$D$2,FALSE),F22,(IF(AND(criteria!$G22="COS",G$3=criteria!$E22),DistRevR!G22/(Mwh!G22*1000),(IF(AND(criteria!$G22="COS",G$3=criteria!$E22+criteria!$F22),DistRevR!G22/(Mwh!G22*1000),(IF(AND(criteria!$G22="COS",G$3&lt;&gt;criteria!$E22+criteria!$F22),F22,(IF(VLOOKUP($A22,criteria!$A$4:$I$24,7,FALSE)="PBR",(F22*(1+exposure!G$5-exposure!G$7)),(IF(VLOOKUP($A22,criteria!$A$4:$I$24,7,FALSE)="MKT",F22,999)))))))))))</f>
        <v>2.7834836678636728E-2</v>
      </c>
      <c r="H22" s="31">
        <f>IF(H$3&lt;VLOOKUP($A22,criteria!$A$4:$I$24,$D$2,FALSE),G22,(IF(AND(criteria!$G22="COS",H$3=criteria!$E22),DistRevR!H22/(Mwh!H22*1000),(IF(AND(criteria!$G22="COS",H$3=criteria!$E22+criteria!$F22),DistRevR!H22/(Mwh!H22*1000),(IF(AND(criteria!$G22="COS",H$3&lt;&gt;criteria!$E22+criteria!$F22),G22,(IF(VLOOKUP($A22,criteria!$A$4:$I$24,7,FALSE)="PBR",(G22*(1+exposure!H$5-exposure!H$7)),(IF(VLOOKUP($A22,criteria!$A$4:$I$24,7,FALSE)="MKT",G22,999)))))))))))</f>
        <v>2.7834836678636728E-2</v>
      </c>
      <c r="I22" s="31">
        <f>IF(I$3&lt;VLOOKUP($A22,criteria!$A$4:$I$24,$D$2,FALSE),H22,(IF(AND(criteria!$G22="COS",I$3=criteria!$E22),DistRevR!I22/(Mwh!I22*1000),(IF(AND(criteria!$G22="COS",I$3=criteria!$E22+criteria!$F22),DistRevR!I22/(Mwh!I22*1000),(IF(AND(criteria!$G22="COS",I$3&lt;&gt;criteria!$E22+criteria!$F22),H22,(IF(VLOOKUP($A22,criteria!$A$4:$I$24,7,FALSE)="PBR",(H22*(1+exposure!I$5-exposure!I$7)),(IF(VLOOKUP($A22,criteria!$A$4:$I$24,7,FALSE)="MKT",H22,999)))))))))))</f>
        <v>2.7022092980718195E-2</v>
      </c>
      <c r="J22" s="31">
        <f>IF(J$3&lt;VLOOKUP($A22,criteria!$A$4:$I$24,$D$2,FALSE),I22,(IF(AND(criteria!$G22="COS",J$3=criteria!$E22),DistRevR!J22/(Mwh!J22*1000),(IF(AND(criteria!$G22="COS",J$3=criteria!$E22+criteria!$F22),DistRevR!J22/(Mwh!J22*1000),(IF(AND(criteria!$G22="COS",J$3&lt;&gt;criteria!$E22+criteria!$F22),I22,(IF(VLOOKUP($A22,criteria!$A$4:$I$24,7,FALSE)="PBR",(I22*(1+exposure!J$5-exposure!J$7)),(IF(VLOOKUP($A22,criteria!$A$4:$I$24,7,FALSE)="MKT",I22,999)))))))))))</f>
        <v>2.7022092980718195E-2</v>
      </c>
      <c r="K22" s="31">
        <f>IF(K$3&lt;VLOOKUP($A22,criteria!$A$4:$I$24,$D$2,FALSE),J22,(IF(AND(criteria!$G22="COS",K$3=criteria!$E22),DistRevR!K22/(Mwh!K22*1000),(IF(AND(criteria!$G22="COS",K$3=criteria!$E22+criteria!$F22),DistRevR!K22/(Mwh!K22*1000),(IF(AND(criteria!$G22="COS",K$3&lt;&gt;criteria!$E22+criteria!$F22),J22,(IF(VLOOKUP($A22,criteria!$A$4:$I$24,7,FALSE)="PBR",(J22*(1+exposure!K$5-exposure!K$7)),(IF(VLOOKUP($A22,criteria!$A$4:$I$24,7,FALSE)="MKT",J22,999)))))))))))</f>
        <v>2.7022092980718195E-2</v>
      </c>
      <c r="L22" s="31">
        <f>IF(L$3&lt;VLOOKUP($A22,criteria!$A$4:$I$24,$D$2,FALSE),K22,(IF(AND(criteria!$G22="COS",L$3=criteria!$E22),DistRevR!L22/(Mwh!L22*1000),(IF(AND(criteria!$G22="COS",L$3=criteria!$E22+criteria!$F22),DistRevR!L22/(Mwh!L22*1000),(IF(AND(criteria!$G22="COS",L$3&lt;&gt;criteria!$E22+criteria!$F22),K22,(IF(VLOOKUP($A22,criteria!$A$4:$I$24,7,FALSE)="PBR",(K22*(1+exposure!L$5-exposure!L$7)),(IF(VLOOKUP($A22,criteria!$A$4:$I$24,7,FALSE)="MKT",K22,999)))))))))))</f>
        <v>2.7022092980718195E-2</v>
      </c>
      <c r="M22" s="31">
        <f>IF(M$3&lt;VLOOKUP($A22,criteria!$A$4:$I$24,$D$2,FALSE),L22,(IF(AND(criteria!$G22="COS",M$3=criteria!$E22),DistRevR!M22/(Mwh!M22*1000),(IF(AND(criteria!$G22="COS",M$3=criteria!$E22+criteria!$F22),DistRevR!M22/(Mwh!M22*1000),(IF(AND(criteria!$G22="COS",M$3&lt;&gt;criteria!$E22+criteria!$F22),L22,(IF(VLOOKUP($A22,criteria!$A$4:$I$24,7,FALSE)="PBR",(L22*(1+exposure!M$5-exposure!M$7)),(IF(VLOOKUP($A22,criteria!$A$4:$I$24,7,FALSE)="MKT",L22,999)))))))))))</f>
        <v>2.7022092980718195E-2</v>
      </c>
    </row>
    <row r="23" spans="1:13" x14ac:dyDescent="0.2">
      <c r="A23" t="str">
        <f>raw!A23</f>
        <v>Southwestern Public Service Co.</v>
      </c>
      <c r="C23" s="32">
        <f>DistRevR!C23/(Mwh!C23*1000)</f>
        <v>7.4164502580433668E-3</v>
      </c>
      <c r="D23" s="31">
        <f>IF(D$3&lt;VLOOKUP($A23,criteria!$A$4:$I$24,$D$2,FALSE),C23,(IF(AND(criteria!$G23="COS",D$3=criteria!$E23),DistRevR!D23/(Mwh!D23*1000),(IF(AND(criteria!$G23="COS",D$3=criteria!$E23+criteria!$F23),DistRevR!D23/(Mwh!D23*1000),(IF(AND(criteria!$G23="COS",D$3&lt;&gt;criteria!$E23+criteria!$F23),C23,(IF(VLOOKUP($A23,criteria!$A$4:$I$24,7,FALSE)="PBR",(C23*(1+exposure!D$5-exposure!D$7)),(IF(VLOOKUP($A23,criteria!$A$4:$I$24,7,FALSE)="MKT",C23,999)))))))))))</f>
        <v>7.4164502580433668E-3</v>
      </c>
      <c r="E23" s="31">
        <f>IF(E$3&lt;VLOOKUP($A23,criteria!$A$4:$I$24,$D$2,FALSE),D23,(IF(AND(criteria!$G23="COS",E$3=criteria!$E23),DistRevR!E23/(Mwh!E23*1000),(IF(AND(criteria!$G23="COS",E$3=criteria!$E23+criteria!$F23),DistRevR!E23/(Mwh!E23*1000),(IF(AND(criteria!$G23="COS",E$3&lt;&gt;criteria!$E23+criteria!$F23),D23,(IF(VLOOKUP($A23,criteria!$A$4:$I$24,7,FALSE)="PBR",(D23*(1+exposure!E$5-exposure!E$7)),(IF(VLOOKUP($A23,criteria!$A$4:$I$24,7,FALSE)="MKT",D23,999)))))))))))</f>
        <v>7.3782400660264051E-3</v>
      </c>
      <c r="F23" s="31">
        <f>IF(F$3&lt;VLOOKUP($A23,criteria!$A$4:$I$24,$D$2,FALSE),E23,(IF(AND(criteria!$G23="COS",F$3=criteria!$E23),DistRevR!F23/(Mwh!F23*1000),(IF(AND(criteria!$G23="COS",F$3=criteria!$E23+criteria!$F23),DistRevR!F23/(Mwh!F23*1000),(IF(AND(criteria!$G23="COS",F$3&lt;&gt;criteria!$E23+criteria!$F23),E23,(IF(VLOOKUP($A23,criteria!$A$4:$I$24,7,FALSE)="PBR",(E23*(1+exposure!F$5-exposure!F$7)),(IF(VLOOKUP($A23,criteria!$A$4:$I$24,7,FALSE)="MKT",E23,999)))))))))))</f>
        <v>7.3782400660264051E-3</v>
      </c>
      <c r="G23" s="31">
        <f>IF(G$3&lt;VLOOKUP($A23,criteria!$A$4:$I$24,$D$2,FALSE),F23,(IF(AND(criteria!$G23="COS",G$3=criteria!$E23),DistRevR!G23/(Mwh!G23*1000),(IF(AND(criteria!$G23="COS",G$3=criteria!$E23+criteria!$F23),DistRevR!G23/(Mwh!G23*1000),(IF(AND(criteria!$G23="COS",G$3&lt;&gt;criteria!$E23+criteria!$F23),F23,(IF(VLOOKUP($A23,criteria!$A$4:$I$24,7,FALSE)="PBR",(F23*(1+exposure!G$5-exposure!G$7)),(IF(VLOOKUP($A23,criteria!$A$4:$I$24,7,FALSE)="MKT",F23,999)))))))))))</f>
        <v>7.3782400660264051E-3</v>
      </c>
      <c r="H23" s="31">
        <f>IF(H$3&lt;VLOOKUP($A23,criteria!$A$4:$I$24,$D$2,FALSE),G23,(IF(AND(criteria!$G23="COS",H$3=criteria!$E23),DistRevR!H23/(Mwh!H23*1000),(IF(AND(criteria!$G23="COS",H$3=criteria!$E23+criteria!$F23),DistRevR!H23/(Mwh!H23*1000),(IF(AND(criteria!$G23="COS",H$3&lt;&gt;criteria!$E23+criteria!$F23),G23,(IF(VLOOKUP($A23,criteria!$A$4:$I$24,7,FALSE)="PBR",(G23*(1+exposure!H$5-exposure!H$7)),(IF(VLOOKUP($A23,criteria!$A$4:$I$24,7,FALSE)="MKT",G23,999)))))))))))</f>
        <v>7.3782400660264051E-3</v>
      </c>
      <c r="I23" s="31">
        <f>IF(I$3&lt;VLOOKUP($A23,criteria!$A$4:$I$24,$D$2,FALSE),H23,(IF(AND(criteria!$G23="COS",I$3=criteria!$E23),DistRevR!I23/(Mwh!I23*1000),(IF(AND(criteria!$G23="COS",I$3=criteria!$E23+criteria!$F23),DistRevR!I23/(Mwh!I23*1000),(IF(AND(criteria!$G23="COS",I$3&lt;&gt;criteria!$E23+criteria!$F23),H23,(IF(VLOOKUP($A23,criteria!$A$4:$I$24,7,FALSE)="PBR",(H23*(1+exposure!I$5-exposure!I$7)),(IF(VLOOKUP($A23,criteria!$A$4:$I$24,7,FALSE)="MKT",H23,999)))))))))))</f>
        <v>7.2278173479735364E-3</v>
      </c>
      <c r="J23" s="31">
        <f>IF(J$3&lt;VLOOKUP($A23,criteria!$A$4:$I$24,$D$2,FALSE),I23,(IF(AND(criteria!$G23="COS",J$3=criteria!$E23),DistRevR!J23/(Mwh!J23*1000),(IF(AND(criteria!$G23="COS",J$3=criteria!$E23+criteria!$F23),DistRevR!J23/(Mwh!J23*1000),(IF(AND(criteria!$G23="COS",J$3&lt;&gt;criteria!$E23+criteria!$F23),I23,(IF(VLOOKUP($A23,criteria!$A$4:$I$24,7,FALSE)="PBR",(I23*(1+exposure!J$5-exposure!J$7)),(IF(VLOOKUP($A23,criteria!$A$4:$I$24,7,FALSE)="MKT",I23,999)))))))))))</f>
        <v>7.2278173479735364E-3</v>
      </c>
      <c r="K23" s="31">
        <f>IF(K$3&lt;VLOOKUP($A23,criteria!$A$4:$I$24,$D$2,FALSE),J23,(IF(AND(criteria!$G23="COS",K$3=criteria!$E23),DistRevR!K23/(Mwh!K23*1000),(IF(AND(criteria!$G23="COS",K$3=criteria!$E23+criteria!$F23),DistRevR!K23/(Mwh!K23*1000),(IF(AND(criteria!$G23="COS",K$3&lt;&gt;criteria!$E23+criteria!$F23),J23,(IF(VLOOKUP($A23,criteria!$A$4:$I$24,7,FALSE)="PBR",(J23*(1+exposure!K$5-exposure!K$7)),(IF(VLOOKUP($A23,criteria!$A$4:$I$24,7,FALSE)="MKT",J23,999)))))))))))</f>
        <v>7.2278173479735364E-3</v>
      </c>
      <c r="L23" s="31">
        <f>IF(L$3&lt;VLOOKUP($A23,criteria!$A$4:$I$24,$D$2,FALSE),K23,(IF(AND(criteria!$G23="COS",L$3=criteria!$E23),DistRevR!L23/(Mwh!L23*1000),(IF(AND(criteria!$G23="COS",L$3=criteria!$E23+criteria!$F23),DistRevR!L23/(Mwh!L23*1000),(IF(AND(criteria!$G23="COS",L$3&lt;&gt;criteria!$E23+criteria!$F23),K23,(IF(VLOOKUP($A23,criteria!$A$4:$I$24,7,FALSE)="PBR",(K23*(1+exposure!L$5-exposure!L$7)),(IF(VLOOKUP($A23,criteria!$A$4:$I$24,7,FALSE)="MKT",K23,999)))))))))))</f>
        <v>7.2278173479735364E-3</v>
      </c>
      <c r="M23" s="31">
        <f>IF(M$3&lt;VLOOKUP($A23,criteria!$A$4:$I$24,$D$2,FALSE),L23,(IF(AND(criteria!$G23="COS",M$3=criteria!$E23),DistRevR!M23/(Mwh!M23*1000),(IF(AND(criteria!$G23="COS",M$3=criteria!$E23+criteria!$F23),DistRevR!M23/(Mwh!M23*1000),(IF(AND(criteria!$G23="COS",M$3&lt;&gt;criteria!$E23+criteria!$F23),L23,(IF(VLOOKUP($A23,criteria!$A$4:$I$24,7,FALSE)="PBR",(L23*(1+exposure!M$5-exposure!M$7)),(IF(VLOOKUP($A23,criteria!$A$4:$I$24,7,FALSE)="MKT",L23,999)))))))))))</f>
        <v>7.2278173479735364E-3</v>
      </c>
    </row>
    <row r="24" spans="1:13" x14ac:dyDescent="0.2">
      <c r="A24" t="str">
        <f>raw!A24</f>
        <v>TXU Electric Co.</v>
      </c>
      <c r="C24" s="32">
        <f>DistRevR!C24/(Mwh!C24*1000)</f>
        <v>1.3982255319935931E-2</v>
      </c>
      <c r="D24" s="31">
        <f>IF(D$3&lt;VLOOKUP($A24,criteria!$A$4:$I$24,$D$2,FALSE),C24,(IF(AND(criteria!$G24="COS",D$3=criteria!$E24),DistRevR!D24/(Mwh!D24*1000),(IF(AND(criteria!$G24="COS",D$3=criteria!$E24+criteria!$F24),DistRevR!D24/(Mwh!D24*1000),(IF(AND(criteria!$G24="COS",D$3&lt;&gt;criteria!$E24+criteria!$F24),C24,(IF(VLOOKUP($A24,criteria!$A$4:$I$24,7,FALSE)="PBR",(C24*(1+exposure!D$5-exposure!D$7)),(IF(VLOOKUP($A24,criteria!$A$4:$I$24,7,FALSE)="MKT",C24,999)))))))))))</f>
        <v>1.3982255319935931E-2</v>
      </c>
      <c r="E24" s="31">
        <f>IF(E$3&lt;VLOOKUP($A24,criteria!$A$4:$I$24,$D$2,FALSE),D24,(IF(AND(criteria!$G24="COS",E$3=criteria!$E24),DistRevR!E24/(Mwh!E24*1000),(IF(AND(criteria!$G24="COS",E$3=criteria!$E24+criteria!$F24),DistRevR!E24/(Mwh!E24*1000),(IF(AND(criteria!$G24="COS",E$3&lt;&gt;criteria!$E24+criteria!$F24),D24,(IF(VLOOKUP($A24,criteria!$A$4:$I$24,7,FALSE)="PBR",(D24*(1+exposure!E$5-exposure!E$7)),(IF(VLOOKUP($A24,criteria!$A$4:$I$24,7,FALSE)="MKT",D24,999)))))))))))</f>
        <v>1.393218602670529E-2</v>
      </c>
      <c r="F24" s="31">
        <f>IF(F$3&lt;VLOOKUP($A24,criteria!$A$4:$I$24,$D$2,FALSE),E24,(IF(AND(criteria!$G24="COS",F$3=criteria!$E24),DistRevR!F24/(Mwh!F24*1000),(IF(AND(criteria!$G24="COS",F$3=criteria!$E24+criteria!$F24),DistRevR!F24/(Mwh!F24*1000),(IF(AND(criteria!$G24="COS",F$3&lt;&gt;criteria!$E24+criteria!$F24),E24,(IF(VLOOKUP($A24,criteria!$A$4:$I$24,7,FALSE)="PBR",(E24*(1+exposure!F$5-exposure!F$7)),(IF(VLOOKUP($A24,criteria!$A$4:$I$24,7,FALSE)="MKT",E24,999)))))))))))</f>
        <v>1.393218602670529E-2</v>
      </c>
      <c r="G24" s="31">
        <f>IF(G$3&lt;VLOOKUP($A24,criteria!$A$4:$I$24,$D$2,FALSE),F24,(IF(AND(criteria!$G24="COS",G$3=criteria!$E24),DistRevR!G24/(Mwh!G24*1000),(IF(AND(criteria!$G24="COS",G$3=criteria!$E24+criteria!$F24),DistRevR!G24/(Mwh!G24*1000),(IF(AND(criteria!$G24="COS",G$3&lt;&gt;criteria!$E24+criteria!$F24),F24,(IF(VLOOKUP($A24,criteria!$A$4:$I$24,7,FALSE)="PBR",(F24*(1+exposure!G$5-exposure!G$7)),(IF(VLOOKUP($A24,criteria!$A$4:$I$24,7,FALSE)="MKT",F24,999)))))))))))</f>
        <v>1.393218602670529E-2</v>
      </c>
      <c r="H24" s="31">
        <f>IF(H$3&lt;VLOOKUP($A24,criteria!$A$4:$I$24,$D$2,FALSE),G24,(IF(AND(criteria!$G24="COS",H$3=criteria!$E24),DistRevR!H24/(Mwh!H24*1000),(IF(AND(criteria!$G24="COS",H$3=criteria!$E24+criteria!$F24),DistRevR!H24/(Mwh!H24*1000),(IF(AND(criteria!$G24="COS",H$3&lt;&gt;criteria!$E24+criteria!$F24),G24,(IF(VLOOKUP($A24,criteria!$A$4:$I$24,7,FALSE)="PBR",(G24*(1+exposure!H$5-exposure!H$7)),(IF(VLOOKUP($A24,criteria!$A$4:$I$24,7,FALSE)="MKT",G24,999)))))))))))</f>
        <v>1.393218602670529E-2</v>
      </c>
      <c r="I24" s="31">
        <f>IF(I$3&lt;VLOOKUP($A24,criteria!$A$4:$I$24,$D$2,FALSE),H24,(IF(AND(criteria!$G24="COS",I$3=criteria!$E24),DistRevR!I24/(Mwh!I24*1000),(IF(AND(criteria!$G24="COS",I$3=criteria!$E24+criteria!$F24),DistRevR!I24/(Mwh!I24*1000),(IF(AND(criteria!$G24="COS",I$3&lt;&gt;criteria!$E24+criteria!$F24),H24,(IF(VLOOKUP($A24,criteria!$A$4:$I$24,7,FALSE)="PBR",(H24*(1+exposure!I$5-exposure!I$7)),(IF(VLOOKUP($A24,criteria!$A$4:$I$24,7,FALSE)="MKT",H24,999)))))))))))</f>
        <v>1.3698791202805287E-2</v>
      </c>
      <c r="J24" s="31">
        <f>IF(J$3&lt;VLOOKUP($A24,criteria!$A$4:$I$24,$D$2,FALSE),I24,(IF(AND(criteria!$G24="COS",J$3=criteria!$E24),DistRevR!J24/(Mwh!J24*1000),(IF(AND(criteria!$G24="COS",J$3=criteria!$E24+criteria!$F24),DistRevR!J24/(Mwh!J24*1000),(IF(AND(criteria!$G24="COS",J$3&lt;&gt;criteria!$E24+criteria!$F24),I24,(IF(VLOOKUP($A24,criteria!$A$4:$I$24,7,FALSE)="PBR",(I24*(1+exposure!J$5-exposure!J$7)),(IF(VLOOKUP($A24,criteria!$A$4:$I$24,7,FALSE)="MKT",I24,999)))))))))))</f>
        <v>1.3698791202805287E-2</v>
      </c>
      <c r="K24" s="31">
        <f>IF(K$3&lt;VLOOKUP($A24,criteria!$A$4:$I$24,$D$2,FALSE),J24,(IF(AND(criteria!$G24="COS",K$3=criteria!$E24),DistRevR!K24/(Mwh!K24*1000),(IF(AND(criteria!$G24="COS",K$3=criteria!$E24+criteria!$F24),DistRevR!K24/(Mwh!K24*1000),(IF(AND(criteria!$G24="COS",K$3&lt;&gt;criteria!$E24+criteria!$F24),J24,(IF(VLOOKUP($A24,criteria!$A$4:$I$24,7,FALSE)="PBR",(J24*(1+exposure!K$5-exposure!K$7)),(IF(VLOOKUP($A24,criteria!$A$4:$I$24,7,FALSE)="MKT",J24,999)))))))))))</f>
        <v>1.3698791202805287E-2</v>
      </c>
      <c r="L24" s="31">
        <f>IF(L$3&lt;VLOOKUP($A24,criteria!$A$4:$I$24,$D$2,FALSE),K24,(IF(AND(criteria!$G24="COS",L$3=criteria!$E24),DistRevR!L24/(Mwh!L24*1000),(IF(AND(criteria!$G24="COS",L$3=criteria!$E24+criteria!$F24),DistRevR!L24/(Mwh!L24*1000),(IF(AND(criteria!$G24="COS",L$3&lt;&gt;criteria!$E24+criteria!$F24),K24,(IF(VLOOKUP($A24,criteria!$A$4:$I$24,7,FALSE)="PBR",(K24*(1+exposure!L$5-exposure!L$7)),(IF(VLOOKUP($A24,criteria!$A$4:$I$24,7,FALSE)="MKT",K24,999)))))))))))</f>
        <v>1.3698791202805287E-2</v>
      </c>
      <c r="M24" s="31">
        <f>IF(M$3&lt;VLOOKUP($A24,criteria!$A$4:$I$24,$D$2,FALSE),L24,(IF(AND(criteria!$G24="COS",M$3=criteria!$E24),DistRevR!M24/(Mwh!M24*1000),(IF(AND(criteria!$G24="COS",M$3=criteria!$E24+criteria!$F24),DistRevR!M24/(Mwh!M24*1000),(IF(AND(criteria!$G24="COS",M$3&lt;&gt;criteria!$E24+criteria!$F24),L24,(IF(VLOOKUP($A24,criteria!$A$4:$I$24,7,FALSE)="PBR",(L24*(1+exposure!M$5-exposure!M$7)),(IF(VLOOKUP($A24,criteria!$A$4:$I$24,7,FALSE)="MKT",L24,999)))))))))))</f>
        <v>1.3698791202805287E-2</v>
      </c>
    </row>
  </sheetData>
  <pageMargins left="0.75" right="0.75" top="1" bottom="1" header="0.5" footer="0.5"/>
  <pageSetup scale="59" orientation="landscape" verticalDpi="0" r:id="rId1"/>
  <headerFooter alignWithMargins="0">
    <oddFooter>Page &amp;P&amp;R&amp;A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workbookViewId="0">
      <selection activeCell="E25" sqref="E25"/>
    </sheetView>
  </sheetViews>
  <sheetFormatPr defaultRowHeight="12.75" x14ac:dyDescent="0.2"/>
  <cols>
    <col min="1" max="1" width="36.140625" bestFit="1" customWidth="1"/>
    <col min="2" max="2" width="5" bestFit="1" customWidth="1"/>
    <col min="3" max="13" width="14.85546875" bestFit="1" customWidth="1"/>
  </cols>
  <sheetData>
    <row r="1" spans="1:13" x14ac:dyDescent="0.2">
      <c r="A1" t="s">
        <v>510</v>
      </c>
    </row>
    <row r="3" spans="1:13" x14ac:dyDescent="0.2">
      <c r="A3" s="8" t="s">
        <v>177</v>
      </c>
      <c r="B3" s="8">
        <v>1998</v>
      </c>
      <c r="C3" s="8">
        <v>2000</v>
      </c>
      <c r="D3" s="8">
        <v>2001</v>
      </c>
      <c r="E3" s="8">
        <v>2002</v>
      </c>
      <c r="F3" s="8">
        <v>2003</v>
      </c>
      <c r="G3" s="8">
        <v>2004</v>
      </c>
      <c r="H3" s="8">
        <v>2005</v>
      </c>
      <c r="I3" s="8">
        <v>2006</v>
      </c>
      <c r="J3" s="8">
        <v>2007</v>
      </c>
      <c r="K3" s="8">
        <v>2008</v>
      </c>
      <c r="L3" s="8">
        <v>2009</v>
      </c>
      <c r="M3" s="8">
        <v>2010</v>
      </c>
    </row>
    <row r="4" spans="1:13" x14ac:dyDescent="0.2">
      <c r="A4" t="str">
        <f>raw!A4</f>
        <v>Boston Edison Co.</v>
      </c>
      <c r="C4" s="4">
        <f>((('TO&amp;M'!C4/('DO&amp;M'!C4+'TO&amp;M'!C4))*'A&amp;GO&amp;M'!C4)+Trans_rrb!C4+'TO&amp;M'!C4+TransDepr!C4+'PayTO&amp;M'!C4+TransTax!C4)/(1-raw!$BH4/100)</f>
        <v>1652386443.4756217</v>
      </c>
      <c r="D4" s="4">
        <f>((('TO&amp;M'!D4/('DO&amp;M'!D4+'TO&amp;M'!D4))*'A&amp;GO&amp;M'!D4)+Trans_rrb!D4+'TO&amp;M'!D4+TransDepr!D4+'PayTO&amp;M'!D4+TransTax!D4)/(1-raw!$BH4/100)</f>
        <v>1675956613.5156751</v>
      </c>
      <c r="E4" s="4">
        <f>((('TO&amp;M'!E4/('DO&amp;M'!E4+'TO&amp;M'!E4))*'A&amp;GO&amp;M'!E4)+Trans_rrb!E4+'TO&amp;M'!E4+TransDepr!E4+'PayTO&amp;M'!E4+TransTax!E4)/(1-raw!$BH4/100)</f>
        <v>1695871463.0899098</v>
      </c>
      <c r="F4" s="4">
        <f>((('TO&amp;M'!F4/('DO&amp;M'!F4+'TO&amp;M'!F4))*'A&amp;GO&amp;M'!F4)+Trans_rrb!F4+'TO&amp;M'!F4+TransDepr!F4+'PayTO&amp;M'!F4+TransTax!F4)/(1-raw!$BH4/100)</f>
        <v>1715685007.7504807</v>
      </c>
      <c r="G4" s="4">
        <f>((('TO&amp;M'!G4/('DO&amp;M'!G4+'TO&amp;M'!G4))*'A&amp;GO&amp;M'!G4)+Trans_rrb!G4+'TO&amp;M'!G4+TransDepr!G4+'PayTO&amp;M'!G4+TransTax!G4)/(1-raw!$BH4/100)</f>
        <v>1735018703.261806</v>
      </c>
      <c r="H4" s="4">
        <f>((('TO&amp;M'!H4/('DO&amp;M'!H4+'TO&amp;M'!H4))*'A&amp;GO&amp;M'!H4)+Trans_rrb!H4+'TO&amp;M'!H4+TransDepr!H4+'PayTO&amp;M'!H4+TransTax!H4)/(1-raw!$BH4/100)</f>
        <v>1752315523.7262962</v>
      </c>
      <c r="I4" s="4">
        <f>((('TO&amp;M'!I4/('DO&amp;M'!I4+'TO&amp;M'!I4))*'A&amp;GO&amp;M'!I4)+Trans_rrb!I4+'TO&amp;M'!I4+TransDepr!I4+'PayTO&amp;M'!I4+TransTax!I4)/(1-raw!$BH4/100)</f>
        <v>1768671618.9099886</v>
      </c>
      <c r="J4" s="4">
        <f>((('TO&amp;M'!J4/('DO&amp;M'!J4+'TO&amp;M'!J4))*'A&amp;GO&amp;M'!J4)+Trans_rrb!J4+'TO&amp;M'!J4+TransDepr!J4+'PayTO&amp;M'!J4+TransTax!J4)/(1-raw!$BH4/100)</f>
        <v>1783792844.5390885</v>
      </c>
      <c r="K4" s="4">
        <f>((('TO&amp;M'!K4/('DO&amp;M'!K4+'TO&amp;M'!K4))*'A&amp;GO&amp;M'!K4)+Trans_rrb!K4+'TO&amp;M'!K4+TransDepr!K4+'PayTO&amp;M'!K4+TransTax!K4)/(1-raw!$BH4/100)</f>
        <v>1798411817.4099312</v>
      </c>
      <c r="L4" s="4">
        <f>((('TO&amp;M'!L4/('DO&amp;M'!L4+'TO&amp;M'!L4))*'A&amp;GO&amp;M'!L4)+Trans_rrb!L4+'TO&amp;M'!L4+TransDepr!L4+'PayTO&amp;M'!L4+TransTax!L4)/(1-raw!$BH4/100)</f>
        <v>1812349377.4949892</v>
      </c>
      <c r="M4" s="4">
        <f>((('TO&amp;M'!M4/('DO&amp;M'!M4+'TO&amp;M'!M4))*'A&amp;GO&amp;M'!M4)+Trans_rrb!M4+'TO&amp;M'!M4+TransDepr!M4+'PayTO&amp;M'!M4+TransTax!M4)/(1-raw!$BH4/100)</f>
        <v>1825225631.3184817</v>
      </c>
    </row>
    <row r="5" spans="1:13" x14ac:dyDescent="0.2">
      <c r="A5" t="str">
        <f>raw!A5</f>
        <v>Carolina Power &amp; Light Co.</v>
      </c>
      <c r="C5" s="4">
        <f>((('TO&amp;M'!C5/('DO&amp;M'!C5+'TO&amp;M'!C5))*'A&amp;GO&amp;M'!C5)+Trans_rrb!C5+'TO&amp;M'!C5+TransDepr!C5+'PayTO&amp;M'!C5+TransTax!C5)/(1-raw!$BH5/100)</f>
        <v>1924547698.0898392</v>
      </c>
      <c r="D5" s="4">
        <f>((('TO&amp;M'!D5/('DO&amp;M'!D5+'TO&amp;M'!D5))*'A&amp;GO&amp;M'!D5)+Trans_rrb!D5+'TO&amp;M'!D5+TransDepr!D5+'PayTO&amp;M'!D5+TransTax!D5)/(1-raw!$BH5/100)</f>
        <v>1942607749.6909053</v>
      </c>
      <c r="E5" s="4">
        <f>((('TO&amp;M'!E5/('DO&amp;M'!E5+'TO&amp;M'!E5))*'A&amp;GO&amp;M'!E5)+Trans_rrb!E5+'TO&amp;M'!E5+TransDepr!E5+'PayTO&amp;M'!E5+TransTax!E5)/(1-raw!$BH5/100)</f>
        <v>1955516722.6982975</v>
      </c>
      <c r="F5" s="4">
        <f>((('TO&amp;M'!F5/('DO&amp;M'!F5+'TO&amp;M'!F5))*'A&amp;GO&amp;M'!F5)+Trans_rrb!F5+'TO&amp;M'!F5+TransDepr!F5+'PayTO&amp;M'!F5+TransTax!F5)/(1-raw!$BH5/100)</f>
        <v>1970502982.0884864</v>
      </c>
      <c r="G5" s="4">
        <f>((('TO&amp;M'!G5/('DO&amp;M'!G5+'TO&amp;M'!G5))*'A&amp;GO&amp;M'!G5)+Trans_rrb!G5+'TO&amp;M'!G5+TransDepr!G5+'PayTO&amp;M'!G5+TransTax!G5)/(1-raw!$BH5/100)</f>
        <v>1986159253.150002</v>
      </c>
      <c r="H5" s="4">
        <f>((('TO&amp;M'!H5/('DO&amp;M'!H5+'TO&amp;M'!H5))*'A&amp;GO&amp;M'!H5)+Trans_rrb!H5+'TO&amp;M'!H5+TransDepr!H5+'PayTO&amp;M'!H5+TransTax!H5)/(1-raw!$BH5/100)</f>
        <v>1998521446.2484267</v>
      </c>
      <c r="I5" s="4">
        <f>((('TO&amp;M'!I5/('DO&amp;M'!I5+'TO&amp;M'!I5))*'A&amp;GO&amp;M'!I5)+Trans_rrb!I5+'TO&amp;M'!I5+TransDepr!I5+'PayTO&amp;M'!I5+TransTax!I5)/(1-raw!$BH5/100)</f>
        <v>2010661300.5166163</v>
      </c>
      <c r="J5" s="4">
        <f>((('TO&amp;M'!J5/('DO&amp;M'!J5+'TO&amp;M'!J5))*'A&amp;GO&amp;M'!J5)+Trans_rrb!J5+'TO&amp;M'!J5+TransDepr!J5+'PayTO&amp;M'!J5+TransTax!J5)/(1-raw!$BH5/100)</f>
        <v>2021780470.9917026</v>
      </c>
      <c r="K5" s="4">
        <f>((('TO&amp;M'!K5/('DO&amp;M'!K5+'TO&amp;M'!K5))*'A&amp;GO&amp;M'!K5)+Trans_rrb!K5+'TO&amp;M'!K5+TransDepr!K5+'PayTO&amp;M'!K5+TransTax!K5)/(1-raw!$BH5/100)</f>
        <v>2033029150.2462611</v>
      </c>
      <c r="L5" s="4">
        <f>((('TO&amp;M'!L5/('DO&amp;M'!L5+'TO&amp;M'!L5))*'A&amp;GO&amp;M'!L5)+Trans_rrb!L5+'TO&amp;M'!L5+TransDepr!L5+'PayTO&amp;M'!L5+TransTax!L5)/(1-raw!$BH5/100)</f>
        <v>2043717636.2501566</v>
      </c>
      <c r="M5" s="4">
        <f>((('TO&amp;M'!M5/('DO&amp;M'!M5+'TO&amp;M'!M5))*'A&amp;GO&amp;M'!M5)+Trans_rrb!M5+'TO&amp;M'!M5+TransDepr!M5+'PayTO&amp;M'!M5+TransTax!M5)/(1-raw!$BH5/100)</f>
        <v>2053529897.4456987</v>
      </c>
    </row>
    <row r="6" spans="1:13" x14ac:dyDescent="0.2">
      <c r="A6" t="str">
        <f>raw!A6</f>
        <v>Central Hudson Gas &amp; Electric Corp.</v>
      </c>
      <c r="C6" s="4">
        <f>((('TO&amp;M'!C6/('DO&amp;M'!C6+'TO&amp;M'!C6))*'A&amp;GO&amp;M'!C6)+Trans_rrb!C6+'TO&amp;M'!C6+TransDepr!C6+'PayTO&amp;M'!C6+TransTax!C6)/(1-raw!$BH6/100)</f>
        <v>486686151.34465593</v>
      </c>
      <c r="D6" s="4">
        <f>((('TO&amp;M'!D6/('DO&amp;M'!D6+'TO&amp;M'!D6))*'A&amp;GO&amp;M'!D6)+Trans_rrb!D6+'TO&amp;M'!D6+TransDepr!D6+'PayTO&amp;M'!D6+TransTax!D6)/(1-raw!$BH6/100)</f>
        <v>494227414.53731251</v>
      </c>
      <c r="E6" s="4">
        <f>((('TO&amp;M'!E6/('DO&amp;M'!E6+'TO&amp;M'!E6))*'A&amp;GO&amp;M'!E6)+Trans_rrb!E6+'TO&amp;M'!E6+TransDepr!E6+'PayTO&amp;M'!E6+TransTax!E6)/(1-raw!$BH6/100)</f>
        <v>500707175.84050322</v>
      </c>
      <c r="F6" s="4">
        <f>((('TO&amp;M'!F6/('DO&amp;M'!F6+'TO&amp;M'!F6))*'A&amp;GO&amp;M'!F6)+Trans_rrb!F6+'TO&amp;M'!F6+TransDepr!F6+'PayTO&amp;M'!F6+TransTax!F6)/(1-raw!$BH6/100)</f>
        <v>507150344.57705426</v>
      </c>
      <c r="G6" s="4">
        <f>((('TO&amp;M'!G6/('DO&amp;M'!G6+'TO&amp;M'!G6))*'A&amp;GO&amp;M'!G6)+Trans_rrb!G6+'TO&amp;M'!G6+TransDepr!G6+'PayTO&amp;M'!G6+TransTax!G6)/(1-raw!$BH6/100)</f>
        <v>513459532.23751181</v>
      </c>
      <c r="H6" s="4">
        <f>((('TO&amp;M'!H6/('DO&amp;M'!H6+'TO&amp;M'!H6))*'A&amp;GO&amp;M'!H6)+Trans_rrb!H6+'TO&amp;M'!H6+TransDepr!H6+'PayTO&amp;M'!H6+TransTax!H6)/(1-raw!$BH6/100)</f>
        <v>519177235.23030698</v>
      </c>
      <c r="I6" s="4">
        <f>((('TO&amp;M'!I6/('DO&amp;M'!I6+'TO&amp;M'!I6))*'A&amp;GO&amp;M'!I6)+Trans_rrb!I6+'TO&amp;M'!I6+TransDepr!I6+'PayTO&amp;M'!I6+TransTax!I6)/(1-raw!$BH6/100)</f>
        <v>524616163.65428889</v>
      </c>
      <c r="J6" s="4">
        <f>((('TO&amp;M'!J6/('DO&amp;M'!J6+'TO&amp;M'!J6))*'A&amp;GO&amp;M'!J6)+Trans_rrb!J6+'TO&amp;M'!J6+TransDepr!J6+'PayTO&amp;M'!J6+TransTax!J6)/(1-raw!$BH6/100)</f>
        <v>529698366.47997892</v>
      </c>
      <c r="K6" s="4">
        <f>((('TO&amp;M'!K6/('DO&amp;M'!K6+'TO&amp;M'!K6))*'A&amp;GO&amp;M'!K6)+Trans_rrb!K6+'TO&amp;M'!K6+TransDepr!K6+'PayTO&amp;M'!K6+TransTax!K6)/(1-raw!$BH6/100)</f>
        <v>534633996.34414619</v>
      </c>
      <c r="L6" s="4">
        <f>((('TO&amp;M'!L6/('DO&amp;M'!L6+'TO&amp;M'!L6))*'A&amp;GO&amp;M'!L6)+Trans_rrb!L6+'TO&amp;M'!L6+TransDepr!L6+'PayTO&amp;M'!L6+TransTax!L6)/(1-raw!$BH6/100)</f>
        <v>539371168.64632213</v>
      </c>
      <c r="M6" s="4">
        <f>((('TO&amp;M'!M6/('DO&amp;M'!M6+'TO&amp;M'!M6))*'A&amp;GO&amp;M'!M6)+Trans_rrb!M6+'TO&amp;M'!M6+TransDepr!M6+'PayTO&amp;M'!M6+TransTax!M6)/(1-raw!$BH6/100)</f>
        <v>543802040.40610206</v>
      </c>
    </row>
    <row r="7" spans="1:13" x14ac:dyDescent="0.2">
      <c r="A7" t="str">
        <f>raw!A7</f>
        <v>Commonwealth Edison Co.</v>
      </c>
      <c r="C7" s="4">
        <f>((('TO&amp;M'!C7/('DO&amp;M'!C7+'TO&amp;M'!C7))*'A&amp;GO&amp;M'!C7)+Trans_rrb!C7+'TO&amp;M'!C7+TransDepr!C7+'PayTO&amp;M'!C7+TransTax!C7)/(1-raw!$BH7/100)</f>
        <v>4296250589.6311274</v>
      </c>
      <c r="D7" s="4">
        <f>((('TO&amp;M'!D7/('DO&amp;M'!D7+'TO&amp;M'!D7))*'A&amp;GO&amp;M'!D7)+Trans_rrb!D7+'TO&amp;M'!D7+TransDepr!D7+'PayTO&amp;M'!D7+TransTax!D7)/(1-raw!$BH7/100)</f>
        <v>4345471808.2048254</v>
      </c>
      <c r="E7" s="4">
        <f>((('TO&amp;M'!E7/('DO&amp;M'!E7+'TO&amp;M'!E7))*'A&amp;GO&amp;M'!E7)+Trans_rrb!E7+'TO&amp;M'!E7+TransDepr!E7+'PayTO&amp;M'!E7+TransTax!E7)/(1-raw!$BH7/100)</f>
        <v>4383145483.5523853</v>
      </c>
      <c r="F7" s="4">
        <f>((('TO&amp;M'!F7/('DO&amp;M'!F7+'TO&amp;M'!F7))*'A&amp;GO&amp;M'!F7)+Trans_rrb!F7+'TO&amp;M'!F7+TransDepr!F7+'PayTO&amp;M'!F7+TransTax!F7)/(1-raw!$BH7/100)</f>
        <v>4425291352.4674578</v>
      </c>
      <c r="G7" s="4">
        <f>((('TO&amp;M'!G7/('DO&amp;M'!G7+'TO&amp;M'!G7))*'A&amp;GO&amp;M'!G7)+Trans_rrb!G7+'TO&amp;M'!G7+TransDepr!G7+'PayTO&amp;M'!G7+TransTax!G7)/(1-raw!$BH7/100)</f>
        <v>4468896087.7262735</v>
      </c>
      <c r="H7" s="4">
        <f>((('TO&amp;M'!H7/('DO&amp;M'!H7+'TO&amp;M'!H7))*'A&amp;GO&amp;M'!H7)+Trans_rrb!H7+'TO&amp;M'!H7+TransDepr!H7+'PayTO&amp;M'!H7+TransTax!H7)/(1-raw!$BH7/100)</f>
        <v>4505123050.9932833</v>
      </c>
      <c r="I7" s="4">
        <f>((('TO&amp;M'!I7/('DO&amp;M'!I7+'TO&amp;M'!I7))*'A&amp;GO&amp;M'!I7)+Trans_rrb!I7+'TO&amp;M'!I7+TransDepr!I7+'PayTO&amp;M'!I7+TransTax!I7)/(1-raw!$BH7/100)</f>
        <v>4540769064.3391075</v>
      </c>
      <c r="J7" s="4">
        <f>((('TO&amp;M'!J7/('DO&amp;M'!J7+'TO&amp;M'!J7))*'A&amp;GO&amp;M'!J7)+Trans_rrb!J7+'TO&amp;M'!J7+TransDepr!J7+'PayTO&amp;M'!J7+TransTax!J7)/(1-raw!$BH7/100)</f>
        <v>4574090793.6332083</v>
      </c>
      <c r="K7" s="4">
        <f>((('TO&amp;M'!K7/('DO&amp;M'!K7+'TO&amp;M'!K7))*'A&amp;GO&amp;M'!K7)+Trans_rrb!K7+'TO&amp;M'!K7+TransDepr!K7+'PayTO&amp;M'!K7+TransTax!K7)/(1-raw!$BH7/100)</f>
        <v>4607675030.8876257</v>
      </c>
      <c r="L7" s="4">
        <f>((('TO&amp;M'!L7/('DO&amp;M'!L7+'TO&amp;M'!L7))*'A&amp;GO&amp;M'!L7)+Trans_rrb!L7+'TO&amp;M'!L7+TransDepr!L7+'PayTO&amp;M'!L7+TransTax!L7)/(1-raw!$BH7/100)</f>
        <v>4639986495.8913679</v>
      </c>
      <c r="M7" s="4">
        <f>((('TO&amp;M'!M7/('DO&amp;M'!M7+'TO&amp;M'!M7))*'A&amp;GO&amp;M'!M7)+Trans_rrb!M7+'TO&amp;M'!M7+TransDepr!M7+'PayTO&amp;M'!M7+TransTax!M7)/(1-raw!$BH7/100)</f>
        <v>4670312519.6493368</v>
      </c>
    </row>
    <row r="8" spans="1:13" x14ac:dyDescent="0.2">
      <c r="A8" t="str">
        <f>raw!A8</f>
        <v>Consolidated Edison Co. of New York, Inc.</v>
      </c>
      <c r="C8" s="4">
        <f>((('TO&amp;M'!C8/('DO&amp;M'!C8+'TO&amp;M'!C8))*'A&amp;GO&amp;M'!C8)+Trans_rrb!C8+'TO&amp;M'!C8+TransDepr!C8+'PayTO&amp;M'!C8+TransTax!C8)/(1-raw!$BH8/100)</f>
        <v>6274365067.3809204</v>
      </c>
      <c r="D8" s="4">
        <f>((('TO&amp;M'!D8/('DO&amp;M'!D8+'TO&amp;M'!D8))*'A&amp;GO&amp;M'!D8)+Trans_rrb!D8+'TO&amp;M'!D8+TransDepr!D8+'PayTO&amp;M'!D8+TransTax!D8)/(1-raw!$BH8/100)</f>
        <v>6352146055.1307573</v>
      </c>
      <c r="E8" s="4">
        <f>((('TO&amp;M'!E8/('DO&amp;M'!E8+'TO&amp;M'!E8))*'A&amp;GO&amp;M'!E8)+Trans_rrb!E8+'TO&amp;M'!E8+TransDepr!E8+'PayTO&amp;M'!E8+TransTax!E8)/(1-raw!$BH8/100)</f>
        <v>6414075656.9294472</v>
      </c>
      <c r="F8" s="4">
        <f>((('TO&amp;M'!F8/('DO&amp;M'!F8+'TO&amp;M'!F8))*'A&amp;GO&amp;M'!F8)+Trans_rrb!F8+'TO&amp;M'!F8+TransDepr!F8+'PayTO&amp;M'!F8+TransTax!F8)/(1-raw!$BH8/100)</f>
        <v>6477079600.6779451</v>
      </c>
      <c r="G8" s="4">
        <f>((('TO&amp;M'!G8/('DO&amp;M'!G8+'TO&amp;M'!G8))*'A&amp;GO&amp;M'!G8)+Trans_rrb!G8+'TO&amp;M'!G8+TransDepr!G8+'PayTO&amp;M'!G8+TransTax!G8)/(1-raw!$BH8/100)</f>
        <v>6538658568.8567219</v>
      </c>
      <c r="H8" s="4">
        <f>((('TO&amp;M'!H8/('DO&amp;M'!H8+'TO&amp;M'!H8))*'A&amp;GO&amp;M'!H8)+Trans_rrb!H8+'TO&amp;M'!H8+TransDepr!H8+'PayTO&amp;M'!H8+TransTax!H8)/(1-raw!$BH8/100)</f>
        <v>6591130617.6236887</v>
      </c>
      <c r="I8" s="4">
        <f>((('TO&amp;M'!I8/('DO&amp;M'!I8+'TO&amp;M'!I8))*'A&amp;GO&amp;M'!I8)+Trans_rrb!I8+'TO&amp;M'!I8+TransDepr!I8+'PayTO&amp;M'!I8+TransTax!I8)/(1-raw!$BH8/100)</f>
        <v>6640346971.7548923</v>
      </c>
      <c r="J8" s="4">
        <f>((('TO&amp;M'!J8/('DO&amp;M'!J8+'TO&amp;M'!J8))*'A&amp;GO&amp;M'!J8)+Trans_rrb!J8+'TO&amp;M'!J8+TransDepr!J8+'PayTO&amp;M'!J8+TransTax!J8)/(1-raw!$BH8/100)</f>
        <v>6684582817.7499609</v>
      </c>
      <c r="K8" s="4">
        <f>((('TO&amp;M'!K8/('DO&amp;M'!K8+'TO&amp;M'!K8))*'A&amp;GO&amp;M'!K8)+Trans_rrb!K8+'TO&amp;M'!K8+TransDepr!K8+'PayTO&amp;M'!K8+TransTax!K8)/(1-raw!$BH8/100)</f>
        <v>6727179160.8632717</v>
      </c>
      <c r="L8" s="4">
        <f>((('TO&amp;M'!L8/('DO&amp;M'!L8+'TO&amp;M'!L8))*'A&amp;GO&amp;M'!L8)+Trans_rrb!L8+'TO&amp;M'!L8+TransDepr!L8+'PayTO&amp;M'!L8+TransTax!L8)/(1-raw!$BH8/100)</f>
        <v>6767081495.7217903</v>
      </c>
      <c r="M8" s="4">
        <f>((('TO&amp;M'!M8/('DO&amp;M'!M8+'TO&amp;M'!M8))*'A&amp;GO&amp;M'!M8)+Trans_rrb!M8+'TO&amp;M'!M8+TransDepr!M8+'PayTO&amp;M'!M8+TransTax!M8)/(1-raw!$BH8/100)</f>
        <v>6802706715.6375723</v>
      </c>
    </row>
    <row r="9" spans="1:13" x14ac:dyDescent="0.2">
      <c r="A9" t="str">
        <f>raw!A9</f>
        <v>Consumers Energy Co.</v>
      </c>
      <c r="C9" s="4">
        <f>((('TO&amp;M'!C9/('DO&amp;M'!C9+'TO&amp;M'!C9))*'A&amp;GO&amp;M'!C9)+Trans_rrb!C9+'TO&amp;M'!C9+TransDepr!C9+'PayTO&amp;M'!C9+TransTax!C9)/(1-raw!$BH9/100)</f>
        <v>1507217060.4302626</v>
      </c>
      <c r="D9" s="4">
        <f>((('TO&amp;M'!D9/('DO&amp;M'!D9+'TO&amp;M'!D9))*'A&amp;GO&amp;M'!D9)+Trans_rrb!D9+'TO&amp;M'!D9+TransDepr!D9+'PayTO&amp;M'!D9+TransTax!D9)/(1-raw!$BH9/100)</f>
        <v>1521819967.837002</v>
      </c>
      <c r="E9" s="4">
        <f>((('TO&amp;M'!E9/('DO&amp;M'!E9+'TO&amp;M'!E9))*'A&amp;GO&amp;M'!E9)+Trans_rrb!E9+'TO&amp;M'!E9+TransDepr!E9+'PayTO&amp;M'!E9+TransTax!E9)/(1-raw!$BH9/100)</f>
        <v>1532293369.8515046</v>
      </c>
      <c r="F9" s="4">
        <f>((('TO&amp;M'!F9/('DO&amp;M'!F9+'TO&amp;M'!F9))*'A&amp;GO&amp;M'!F9)+Trans_rrb!F9+'TO&amp;M'!F9+TransDepr!F9+'PayTO&amp;M'!F9+TransTax!F9)/(1-raw!$BH9/100)</f>
        <v>1544394427.753231</v>
      </c>
      <c r="G9" s="4">
        <f>((('TO&amp;M'!G9/('DO&amp;M'!G9+'TO&amp;M'!G9))*'A&amp;GO&amp;M'!G9)+Trans_rrb!G9+'TO&amp;M'!G9+TransDepr!G9+'PayTO&amp;M'!G9+TransTax!G9)/(1-raw!$BH9/100)</f>
        <v>1557004850.2865095</v>
      </c>
      <c r="H9" s="4">
        <f>((('TO&amp;M'!H9/('DO&amp;M'!H9+'TO&amp;M'!H9))*'A&amp;GO&amp;M'!H9)+Trans_rrb!H9+'TO&amp;M'!H9+TransDepr!H9+'PayTO&amp;M'!H9+TransTax!H9)/(1-raw!$BH9/100)</f>
        <v>1566980478.4188526</v>
      </c>
      <c r="I9" s="4">
        <f>((('TO&amp;M'!I9/('DO&amp;M'!I9+'TO&amp;M'!I9))*'A&amp;GO&amp;M'!I9)+Trans_rrb!I9+'TO&amp;M'!I9+TransDepr!I9+'PayTO&amp;M'!I9+TransTax!I9)/(1-raw!$BH9/100)</f>
        <v>1576760988.7014978</v>
      </c>
      <c r="J9" s="4">
        <f>((('TO&amp;M'!J9/('DO&amp;M'!J9+'TO&amp;M'!J9))*'A&amp;GO&amp;M'!J9)+Trans_rrb!J9+'TO&amp;M'!J9+TransDepr!J9+'PayTO&amp;M'!J9+TransTax!J9)/(1-raw!$BH9/100)</f>
        <v>1585708358.1573846</v>
      </c>
      <c r="K9" s="4">
        <f>((('TO&amp;M'!K9/('DO&amp;M'!K9+'TO&amp;M'!K9))*'A&amp;GO&amp;M'!K9)+Trans_rrb!K9+'TO&amp;M'!K9+TransDepr!K9+'PayTO&amp;M'!K9+TransTax!K9)/(1-raw!$BH9/100)</f>
        <v>1594745225.3478413</v>
      </c>
      <c r="L9" s="4">
        <f>((('TO&amp;M'!L9/('DO&amp;M'!L9+'TO&amp;M'!L9))*'A&amp;GO&amp;M'!L9)+Trans_rrb!L9+'TO&amp;M'!L9+TransDepr!L9+'PayTO&amp;M'!L9+TransTax!L9)/(1-raw!$BH9/100)</f>
        <v>1603325660.5856361</v>
      </c>
      <c r="M9" s="4">
        <f>((('TO&amp;M'!M9/('DO&amp;M'!M9+'TO&amp;M'!M9))*'A&amp;GO&amp;M'!M9)+Trans_rrb!M9+'TO&amp;M'!M9+TransDepr!M9+'PayTO&amp;M'!M9+TransTax!M9)/(1-raw!$BH9/100)</f>
        <v>1611191000.9152513</v>
      </c>
    </row>
    <row r="10" spans="1:13" x14ac:dyDescent="0.2">
      <c r="A10" t="str">
        <f>raw!A10</f>
        <v>Duke Energy Corp.</v>
      </c>
      <c r="C10" s="4">
        <f>((('TO&amp;M'!C10/('DO&amp;M'!C10+'TO&amp;M'!C10))*'A&amp;GO&amp;M'!C10)+Trans_rrb!C10+'TO&amp;M'!C10+TransDepr!C10+'PayTO&amp;M'!C10+TransTax!C10)/(1-raw!$BH10/100)</f>
        <v>3432588801.1170025</v>
      </c>
      <c r="D10" s="4">
        <f>((('TO&amp;M'!D10/('DO&amp;M'!D10+'TO&amp;M'!D10))*'A&amp;GO&amp;M'!D10)+Trans_rrb!D10+'TO&amp;M'!D10+TransDepr!D10+'PayTO&amp;M'!D10+TransTax!D10)/(1-raw!$BH10/100)</f>
        <v>3465441569.8708825</v>
      </c>
      <c r="E10" s="4">
        <f>((('TO&amp;M'!E10/('DO&amp;M'!E10+'TO&amp;M'!E10))*'A&amp;GO&amp;M'!E10)+Trans_rrb!E10+'TO&amp;M'!E10+TransDepr!E10+'PayTO&amp;M'!E10+TransTax!E10)/(1-raw!$BH10/100)</f>
        <v>3490159864.0546765</v>
      </c>
      <c r="F10" s="4">
        <f>((('TO&amp;M'!F10/('DO&amp;M'!F10+'TO&amp;M'!F10))*'A&amp;GO&amp;M'!F10)+Trans_rrb!F10+'TO&amp;M'!F10+TransDepr!F10+'PayTO&amp;M'!F10+TransTax!F10)/(1-raw!$BH10/100)</f>
        <v>3517342340.846653</v>
      </c>
      <c r="G10" s="4">
        <f>((('TO&amp;M'!G10/('DO&amp;M'!G10+'TO&amp;M'!G10))*'A&amp;GO&amp;M'!G10)+Trans_rrb!G10+'TO&amp;M'!G10+TransDepr!G10+'PayTO&amp;M'!G10+TransTax!G10)/(1-raw!$BH10/100)</f>
        <v>3545146584.3251448</v>
      </c>
      <c r="H10" s="4">
        <f>((('TO&amp;M'!H10/('DO&amp;M'!H10+'TO&amp;M'!H10))*'A&amp;GO&amp;M'!H10)+Trans_rrb!H10+'TO&amp;M'!H10+TransDepr!H10+'PayTO&amp;M'!H10+TransTax!H10)/(1-raw!$BH10/100)</f>
        <v>3567954473.0842681</v>
      </c>
      <c r="I10" s="4">
        <f>((('TO&amp;M'!I10/('DO&amp;M'!I10+'TO&amp;M'!I10))*'A&amp;GO&amp;M'!I10)+Trans_rrb!I10+'TO&amp;M'!I10+TransDepr!I10+'PayTO&amp;M'!I10+TransTax!I10)/(1-raw!$BH10/100)</f>
        <v>3589978446.3349137</v>
      </c>
      <c r="J10" s="4">
        <f>((('TO&amp;M'!J10/('DO&amp;M'!J10+'TO&amp;M'!J10))*'A&amp;GO&amp;M'!J10)+Trans_rrb!J10+'TO&amp;M'!J10+TransDepr!J10+'PayTO&amp;M'!J10+TransTax!J10)/(1-raw!$BH10/100)</f>
        <v>3610169325.9048595</v>
      </c>
      <c r="K10" s="4">
        <f>((('TO&amp;M'!K10/('DO&amp;M'!K10+'TO&amp;M'!K10))*'A&amp;GO&amp;M'!K10)+Trans_rrb!K10+'TO&amp;M'!K10+TransDepr!K10+'PayTO&amp;M'!K10+TransTax!K10)/(1-raw!$BH10/100)</f>
        <v>3630254846.8571301</v>
      </c>
      <c r="L10" s="4">
        <f>((('TO&amp;M'!L10/('DO&amp;M'!L10+'TO&amp;M'!L10))*'A&amp;GO&amp;M'!L10)+Trans_rrb!L10+'TO&amp;M'!L10+TransDepr!L10+'PayTO&amp;M'!L10+TransTax!L10)/(1-raw!$BH10/100)</f>
        <v>3649328801.217804</v>
      </c>
      <c r="M10" s="4">
        <f>((('TO&amp;M'!M10/('DO&amp;M'!M10+'TO&amp;M'!M10))*'A&amp;GO&amp;M'!M10)+Trans_rrb!M10+'TO&amp;M'!M10+TransDepr!M10+'PayTO&amp;M'!M10+TransTax!M10)/(1-raw!$BH10/100)</f>
        <v>3666825909.1052194</v>
      </c>
    </row>
    <row r="11" spans="1:13" x14ac:dyDescent="0.2">
      <c r="A11" t="str">
        <f>raw!A11</f>
        <v>Entergy Mississippi, Inc.</v>
      </c>
      <c r="C11" s="4">
        <f>((('TO&amp;M'!C11/('DO&amp;M'!C11+'TO&amp;M'!C11))*'A&amp;GO&amp;M'!C11)+Trans_rrb!C11+'TO&amp;M'!C11+TransDepr!C11+'PayTO&amp;M'!C11+TransTax!C11)/(1-raw!$BH11/100)</f>
        <v>622378408.07783568</v>
      </c>
      <c r="D11" s="4">
        <f>((('TO&amp;M'!D11/('DO&amp;M'!D11+'TO&amp;M'!D11))*'A&amp;GO&amp;M'!D11)+Trans_rrb!D11+'TO&amp;M'!D11+TransDepr!D11+'PayTO&amp;M'!D11+TransTax!D11)/(1-raw!$BH11/100)</f>
        <v>627295554.73193526</v>
      </c>
      <c r="E11" s="4">
        <f>((('TO&amp;M'!E11/('DO&amp;M'!E11+'TO&amp;M'!E11))*'A&amp;GO&amp;M'!E11)+Trans_rrb!E11+'TO&amp;M'!E11+TransDepr!E11+'PayTO&amp;M'!E11+TransTax!E11)/(1-raw!$BH11/100)</f>
        <v>630495229.20810187</v>
      </c>
      <c r="F11" s="4">
        <f>((('TO&amp;M'!F11/('DO&amp;M'!F11+'TO&amp;M'!F11))*'A&amp;GO&amp;M'!F11)+Trans_rrb!F11+'TO&amp;M'!F11+TransDepr!F11+'PayTO&amp;M'!F11+TransTax!F11)/(1-raw!$BH11/100)</f>
        <v>634481725.07186842</v>
      </c>
      <c r="G11" s="4">
        <f>((('TO&amp;M'!G11/('DO&amp;M'!G11+'TO&amp;M'!G11))*'A&amp;GO&amp;M'!G11)+Trans_rrb!G11+'TO&amp;M'!G11+TransDepr!G11+'PayTO&amp;M'!G11+TransTax!G11)/(1-raw!$BH11/100)</f>
        <v>638747198.6496346</v>
      </c>
      <c r="H11" s="4">
        <f>((('TO&amp;M'!H11/('DO&amp;M'!H11+'TO&amp;M'!H11))*'A&amp;GO&amp;M'!H11)+Trans_rrb!H11+'TO&amp;M'!H11+TransDepr!H11+'PayTO&amp;M'!H11+TransTax!H11)/(1-raw!$BH11/100)</f>
        <v>641900371.02700257</v>
      </c>
      <c r="I11" s="4">
        <f>((('TO&amp;M'!I11/('DO&amp;M'!I11+'TO&amp;M'!I11))*'A&amp;GO&amp;M'!I11)+Trans_rrb!I11+'TO&amp;M'!I11+TransDepr!I11+'PayTO&amp;M'!I11+TransTax!I11)/(1-raw!$BH11/100)</f>
        <v>645025066.30825686</v>
      </c>
      <c r="J11" s="4">
        <f>((('TO&amp;M'!J11/('DO&amp;M'!J11+'TO&amp;M'!J11))*'A&amp;GO&amp;M'!J11)+Trans_rrb!J11+'TO&amp;M'!J11+TransDepr!J11+'PayTO&amp;M'!J11+TransTax!J11)/(1-raw!$BH11/100)</f>
        <v>647840482.92032969</v>
      </c>
      <c r="K11" s="4">
        <f>((('TO&amp;M'!K11/('DO&amp;M'!K11+'TO&amp;M'!K11))*'A&amp;GO&amp;M'!K11)+Trans_rrb!K11+'TO&amp;M'!K11+TransDepr!K11+'PayTO&amp;M'!K11+TransTax!K11)/(1-raw!$BH11/100)</f>
        <v>650732738.75046575</v>
      </c>
      <c r="L11" s="4">
        <f>((('TO&amp;M'!L11/('DO&amp;M'!L11+'TO&amp;M'!L11))*'A&amp;GO&amp;M'!L11)+Trans_rrb!L11+'TO&amp;M'!L11+TransDepr!L11+'PayTO&amp;M'!L11+TransTax!L11)/(1-raw!$BH11/100)</f>
        <v>653455654.64377892</v>
      </c>
      <c r="M11" s="4">
        <f>((('TO&amp;M'!M11/('DO&amp;M'!M11+'TO&amp;M'!M11))*'A&amp;GO&amp;M'!M11)+Trans_rrb!M11+'TO&amp;M'!M11+TransDepr!M11+'PayTO&amp;M'!M11+TransTax!M11)/(1-raw!$BH11/100)</f>
        <v>655912621.28604019</v>
      </c>
    </row>
    <row r="12" spans="1:13" x14ac:dyDescent="0.2">
      <c r="A12" t="str">
        <f>raw!A12</f>
        <v>Florida Power &amp; Light Co.</v>
      </c>
      <c r="C12" s="4">
        <f>((('TO&amp;M'!C12/('DO&amp;M'!C12+'TO&amp;M'!C12))*'A&amp;GO&amp;M'!C12)+Trans_rrb!C12+'TO&amp;M'!C12+TransDepr!C12+'PayTO&amp;M'!C12+TransTax!C12)/(1-raw!$BH12/100)</f>
        <v>3818290420.3108726</v>
      </c>
      <c r="D12" s="4">
        <f>((('TO&amp;M'!D12/('DO&amp;M'!D12+'TO&amp;M'!D12))*'A&amp;GO&amp;M'!D12)+Trans_rrb!D12+'TO&amp;M'!D12+TransDepr!D12+'PayTO&amp;M'!D12+TransTax!D12)/(1-raw!$BH12/100)</f>
        <v>3847175043.0245972</v>
      </c>
      <c r="E12" s="4">
        <f>((('TO&amp;M'!E12/('DO&amp;M'!E12+'TO&amp;M'!E12))*'A&amp;GO&amp;M'!E12)+Trans_rrb!E12+'TO&amp;M'!E12+TransDepr!E12+'PayTO&amp;M'!E12+TransTax!E12)/(1-raw!$BH12/100)</f>
        <v>3866733777.0597286</v>
      </c>
      <c r="F12" s="4">
        <f>((('TO&amp;M'!F12/('DO&amp;M'!F12+'TO&amp;M'!F12))*'A&amp;GO&amp;M'!F12)+Trans_rrb!F12+'TO&amp;M'!F12+TransDepr!F12+'PayTO&amp;M'!F12+TransTax!F12)/(1-raw!$BH12/100)</f>
        <v>3889829866.647944</v>
      </c>
      <c r="G12" s="4">
        <f>((('TO&amp;M'!G12/('DO&amp;M'!G12+'TO&amp;M'!G12))*'A&amp;GO&amp;M'!G12)+Trans_rrb!G12+'TO&amp;M'!G12+TransDepr!G12+'PayTO&amp;M'!G12+TransTax!G12)/(1-raw!$BH12/100)</f>
        <v>3914037131.1619167</v>
      </c>
      <c r="H12" s="4">
        <f>((('TO&amp;M'!H12/('DO&amp;M'!H12+'TO&amp;M'!H12))*'A&amp;GO&amp;M'!H12)+Trans_rrb!H12+'TO&amp;M'!H12+TransDepr!H12+'PayTO&amp;M'!H12+TransTax!H12)/(1-raw!$BH12/100)</f>
        <v>3932411230.2907047</v>
      </c>
      <c r="I12" s="4">
        <f>((('TO&amp;M'!I12/('DO&amp;M'!I12+'TO&amp;M'!I12))*'A&amp;GO&amp;M'!I12)+Trans_rrb!I12+'TO&amp;M'!I12+TransDepr!I12+'PayTO&amp;M'!I12+TransTax!I12)/(1-raw!$BH12/100)</f>
        <v>3950246004.8422246</v>
      </c>
      <c r="J12" s="4">
        <f>((('TO&amp;M'!J12/('DO&amp;M'!J12+'TO&amp;M'!J12))*'A&amp;GO&amp;M'!J12)+Trans_rrb!J12+'TO&amp;M'!J12+TransDepr!J12+'PayTO&amp;M'!J12+TransTax!J12)/(1-raw!$BH12/100)</f>
        <v>3966203247.6405091</v>
      </c>
      <c r="K12" s="4">
        <f>((('TO&amp;M'!K12/('DO&amp;M'!K12+'TO&amp;M'!K12))*'A&amp;GO&amp;M'!K12)+Trans_rrb!K12+'TO&amp;M'!K12+TransDepr!K12+'PayTO&amp;M'!K12+TransTax!K12)/(1-raw!$BH12/100)</f>
        <v>3982301509.5655808</v>
      </c>
      <c r="L12" s="4">
        <f>((('TO&amp;M'!L12/('DO&amp;M'!L12+'TO&amp;M'!L12))*'A&amp;GO&amp;M'!L12)+Trans_rrb!L12+'TO&amp;M'!L12+TransDepr!L12+'PayTO&amp;M'!L12+TransTax!L12)/(1-raw!$BH12/100)</f>
        <v>3997377492.4292717</v>
      </c>
      <c r="M12" s="4">
        <f>((('TO&amp;M'!M12/('DO&amp;M'!M12+'TO&amp;M'!M12))*'A&amp;GO&amp;M'!M12)+Trans_rrb!M12+'TO&amp;M'!M12+TransDepr!M12+'PayTO&amp;M'!M12+TransTax!M12)/(1-raw!$BH12/100)</f>
        <v>4010837147.6318545</v>
      </c>
    </row>
    <row r="13" spans="1:13" x14ac:dyDescent="0.2">
      <c r="A13" t="str">
        <f>raw!A13</f>
        <v>Gulf Power Co.</v>
      </c>
      <c r="C13" s="4">
        <f>((('TO&amp;M'!C13/('DO&amp;M'!C13+'TO&amp;M'!C13))*'A&amp;GO&amp;M'!C13)+Trans_rrb!C13+'TO&amp;M'!C13+TransDepr!C13+'PayTO&amp;M'!C13+TransTax!C13)/(1-raw!$BH13/100)</f>
        <v>412784753.44165468</v>
      </c>
      <c r="D13" s="4">
        <f>((('TO&amp;M'!D13/('DO&amp;M'!D13+'TO&amp;M'!D13))*'A&amp;GO&amp;M'!D13)+Trans_rrb!D13+'TO&amp;M'!D13+TransDepr!D13+'PayTO&amp;M'!D13+TransTax!D13)/(1-raw!$BH13/100)</f>
        <v>417833886.80528492</v>
      </c>
      <c r="E13" s="4">
        <f>((('TO&amp;M'!E13/('DO&amp;M'!E13+'TO&amp;M'!E13))*'A&amp;GO&amp;M'!E13)+Trans_rrb!E13+'TO&amp;M'!E13+TransDepr!E13+'PayTO&amp;M'!E13+TransTax!E13)/(1-raw!$BH13/100)</f>
        <v>421886231.53843927</v>
      </c>
      <c r="F13" s="4">
        <f>((('TO&amp;M'!F13/('DO&amp;M'!F13+'TO&amp;M'!F13))*'A&amp;GO&amp;M'!F13)+Trans_rrb!F13+'TO&amp;M'!F13+TransDepr!F13+'PayTO&amp;M'!F13+TransTax!F13)/(1-raw!$BH13/100)</f>
        <v>426099926.37414503</v>
      </c>
      <c r="G13" s="4">
        <f>((('TO&amp;M'!G13/('DO&amp;M'!G13+'TO&amp;M'!G13))*'A&amp;GO&amp;M'!G13)+Trans_rrb!G13+'TO&amp;M'!G13+TransDepr!G13+'PayTO&amp;M'!G13+TransTax!G13)/(1-raw!$BH13/100)</f>
        <v>430296942.49105173</v>
      </c>
      <c r="H13" s="4">
        <f>((('TO&amp;M'!H13/('DO&amp;M'!H13+'TO&amp;M'!H13))*'A&amp;GO&amp;M'!H13)+Trans_rrb!H13+'TO&amp;M'!H13+TransDepr!H13+'PayTO&amp;M'!H13+TransTax!H13)/(1-raw!$BH13/100)</f>
        <v>433903216.88507956</v>
      </c>
      <c r="I13" s="4">
        <f>((('TO&amp;M'!I13/('DO&amp;M'!I13+'TO&amp;M'!I13))*'A&amp;GO&amp;M'!I13)+Trans_rrb!I13+'TO&amp;M'!I13+TransDepr!I13+'PayTO&amp;M'!I13+TransTax!I13)/(1-raw!$BH13/100)</f>
        <v>437346650.17864996</v>
      </c>
      <c r="J13" s="4">
        <f>((('TO&amp;M'!J13/('DO&amp;M'!J13+'TO&amp;M'!J13))*'A&amp;GO&amp;M'!J13)+Trans_rrb!J13+'TO&amp;M'!J13+TransDepr!J13+'PayTO&amp;M'!J13+TransTax!J13)/(1-raw!$BH13/100)</f>
        <v>440514638.0484705</v>
      </c>
      <c r="K13" s="4">
        <f>((('TO&amp;M'!K13/('DO&amp;M'!K13+'TO&amp;M'!K13))*'A&amp;GO&amp;M'!K13)+Trans_rrb!K13+'TO&amp;M'!K13+TransDepr!K13+'PayTO&amp;M'!K13+TransTax!K13)/(1-raw!$BH13/100)</f>
        <v>443616519.01400471</v>
      </c>
      <c r="L13" s="4">
        <f>((('TO&amp;M'!L13/('DO&amp;M'!L13+'TO&amp;M'!L13))*'A&amp;GO&amp;M'!L13)+Trans_rrb!L13+'TO&amp;M'!L13+TransDepr!L13+'PayTO&amp;M'!L13+TransTax!L13)/(1-raw!$BH13/100)</f>
        <v>446566693.57489336</v>
      </c>
      <c r="M13" s="4">
        <f>((('TO&amp;M'!M13/('DO&amp;M'!M13+'TO&amp;M'!M13))*'A&amp;GO&amp;M'!M13)+Trans_rrb!M13+'TO&amp;M'!M13+TransDepr!M13+'PayTO&amp;M'!M13+TransTax!M13)/(1-raw!$BH13/100)</f>
        <v>449280123.23326796</v>
      </c>
    </row>
    <row r="14" spans="1:13" x14ac:dyDescent="0.2">
      <c r="A14" t="str">
        <f>raw!A14</f>
        <v>Illinois Power Co.</v>
      </c>
      <c r="C14" s="4">
        <f>((('TO&amp;M'!C14/('DO&amp;M'!C14+'TO&amp;M'!C14))*'A&amp;GO&amp;M'!C14)+Trans_rrb!C14+'TO&amp;M'!C14+TransDepr!C14+'PayTO&amp;M'!C14+TransTax!C14)/(1-raw!$BH14/100)</f>
        <v>588167003.36047542</v>
      </c>
      <c r="D14" s="4">
        <f>((('TO&amp;M'!D14/('DO&amp;M'!D14+'TO&amp;M'!D14))*'A&amp;GO&amp;M'!D14)+Trans_rrb!D14+'TO&amp;M'!D14+TransDepr!D14+'PayTO&amp;M'!D14+TransTax!D14)/(1-raw!$BH14/100)</f>
        <v>595439679.6910131</v>
      </c>
      <c r="E14" s="4">
        <f>((('TO&amp;M'!E14/('DO&amp;M'!E14+'TO&amp;M'!E14))*'A&amp;GO&amp;M'!E14)+Trans_rrb!E14+'TO&amp;M'!E14+TransDepr!E14+'PayTO&amp;M'!E14+TransTax!E14)/(1-raw!$BH14/100)</f>
        <v>601191537.51521754</v>
      </c>
      <c r="F14" s="4">
        <f>((('TO&amp;M'!F14/('DO&amp;M'!F14+'TO&amp;M'!F14))*'A&amp;GO&amp;M'!F14)+Trans_rrb!F14+'TO&amp;M'!F14+TransDepr!F14+'PayTO&amp;M'!F14+TransTax!F14)/(1-raw!$BH14/100)</f>
        <v>607311475.25106871</v>
      </c>
      <c r="G14" s="4">
        <f>((('TO&amp;M'!G14/('DO&amp;M'!G14+'TO&amp;M'!G14))*'A&amp;GO&amp;M'!G14)+Trans_rrb!G14+'TO&amp;M'!G14+TransDepr!G14+'PayTO&amp;M'!G14+TransTax!G14)/(1-raw!$BH14/100)</f>
        <v>613479083.73397493</v>
      </c>
      <c r="H14" s="4">
        <f>((('TO&amp;M'!H14/('DO&amp;M'!H14+'TO&amp;M'!H14))*'A&amp;GO&amp;M'!H14)+Trans_rrb!H14+'TO&amp;M'!H14+TransDepr!H14+'PayTO&amp;M'!H14+TransTax!H14)/(1-raw!$BH14/100)</f>
        <v>618717872.58214247</v>
      </c>
      <c r="I14" s="4">
        <f>((('TO&amp;M'!I14/('DO&amp;M'!I14+'TO&amp;M'!I14))*'A&amp;GO&amp;M'!I14)+Trans_rrb!I14+'TO&amp;M'!I14+TransDepr!I14+'PayTO&amp;M'!I14+TransTax!I14)/(1-raw!$BH14/100)</f>
        <v>623771190.71474457</v>
      </c>
      <c r="J14" s="4">
        <f>((('TO&amp;M'!J14/('DO&amp;M'!J14+'TO&amp;M'!J14))*'A&amp;GO&amp;M'!J14)+Trans_rrb!J14+'TO&amp;M'!J14+TransDepr!J14+'PayTO&amp;M'!J14+TransTax!J14)/(1-raw!$BH14/100)</f>
        <v>628442087.08797097</v>
      </c>
      <c r="K14" s="4">
        <f>((('TO&amp;M'!K14/('DO&amp;M'!K14+'TO&amp;M'!K14))*'A&amp;GO&amp;M'!K14)+Trans_rrb!K14+'TO&amp;M'!K14+TransDepr!K14+'PayTO&amp;M'!K14+TransTax!K14)/(1-raw!$BH14/100)</f>
        <v>633060374.67230916</v>
      </c>
      <c r="L14" s="4">
        <f>((('TO&amp;M'!L14/('DO&amp;M'!L14+'TO&amp;M'!L14))*'A&amp;GO&amp;M'!L14)+Trans_rrb!L14+'TO&amp;M'!L14+TransDepr!L14+'PayTO&amp;M'!L14+TransTax!L14)/(1-raw!$BH14/100)</f>
        <v>637468914.07783329</v>
      </c>
      <c r="M14" s="4">
        <f>((('TO&amp;M'!M14/('DO&amp;M'!M14+'TO&amp;M'!M14))*'A&amp;GO&amp;M'!M14)+Trans_rrb!M14+'TO&amp;M'!M14+TransDepr!M14+'PayTO&amp;M'!M14+TransTax!M14)/(1-raw!$BH14/100)</f>
        <v>641549548.51653755</v>
      </c>
    </row>
    <row r="15" spans="1:13" x14ac:dyDescent="0.2">
      <c r="A15" t="str">
        <f>raw!A15</f>
        <v>Jersey Central Power &amp; Light Co.</v>
      </c>
      <c r="C15" s="4">
        <f>((('TO&amp;M'!C15/('DO&amp;M'!C15+'TO&amp;M'!C15))*'A&amp;GO&amp;M'!C15)+Trans_rrb!C15+'TO&amp;M'!C15+TransDepr!C15+'PayTO&amp;M'!C15+TransTax!C15)/(1-raw!$BH15/100)</f>
        <v>1998920622.6173322</v>
      </c>
      <c r="D15" s="4">
        <f>((('TO&amp;M'!D15/('DO&amp;M'!D15+'TO&amp;M'!D15))*'A&amp;GO&amp;M'!D15)+Trans_rrb!D15+'TO&amp;M'!D15+TransDepr!D15+'PayTO&amp;M'!D15+TransTax!D15)/(1-raw!$BH15/100)</f>
        <v>2026394329.3590207</v>
      </c>
      <c r="E15" s="4">
        <f>((('TO&amp;M'!E15/('DO&amp;M'!E15+'TO&amp;M'!E15))*'A&amp;GO&amp;M'!E15)+Trans_rrb!E15+'TO&amp;M'!E15+TransDepr!E15+'PayTO&amp;M'!E15+TransTax!E15)/(1-raw!$BH15/100)</f>
        <v>2048811064.2753322</v>
      </c>
      <c r="F15" s="4">
        <f>((('TO&amp;M'!F15/('DO&amp;M'!F15+'TO&amp;M'!F15))*'A&amp;GO&amp;M'!F15)+Trans_rrb!F15+'TO&amp;M'!F15+TransDepr!F15+'PayTO&amp;M'!F15+TransTax!F15)/(1-raw!$BH15/100)</f>
        <v>2071944902.0208545</v>
      </c>
      <c r="G15" s="4">
        <f>((('TO&amp;M'!G15/('DO&amp;M'!G15+'TO&amp;M'!G15))*'A&amp;GO&amp;M'!G15)+Trans_rrb!G15+'TO&amp;M'!G15+TransDepr!G15+'PayTO&amp;M'!G15+TransTax!G15)/(1-raw!$BH15/100)</f>
        <v>2094912241.6477034</v>
      </c>
      <c r="H15" s="4">
        <f>((('TO&amp;M'!H15/('DO&amp;M'!H15+'TO&amp;M'!H15))*'A&amp;GO&amp;M'!H15)+Trans_rrb!H15+'TO&amp;M'!H15+TransDepr!H15+'PayTO&amp;M'!H15+TransTax!H15)/(1-raw!$BH15/100)</f>
        <v>2114881956.7803731</v>
      </c>
      <c r="I15" s="4">
        <f>((('TO&amp;M'!I15/('DO&amp;M'!I15+'TO&amp;M'!I15))*'A&amp;GO&amp;M'!I15)+Trans_rrb!I15+'TO&amp;M'!I15+TransDepr!I15+'PayTO&amp;M'!I15+TransTax!I15)/(1-raw!$BH15/100)</f>
        <v>2133991522.9327018</v>
      </c>
      <c r="J15" s="4">
        <f>((('TO&amp;M'!J15/('DO&amp;M'!J15+'TO&amp;M'!J15))*'A&amp;GO&amp;M'!J15)+Trans_rrb!J15+'TO&amp;M'!J15+TransDepr!J15+'PayTO&amp;M'!J15+TransTax!J15)/(1-raw!$BH15/100)</f>
        <v>2151655271.8300886</v>
      </c>
      <c r="K15" s="4">
        <f>((('TO&amp;M'!K15/('DO&amp;M'!K15+'TO&amp;M'!K15))*'A&amp;GO&amp;M'!K15)+Trans_rrb!K15+'TO&amp;M'!K15+TransDepr!K15+'PayTO&amp;M'!K15+TransTax!K15)/(1-raw!$BH15/100)</f>
        <v>2168954739.4806728</v>
      </c>
      <c r="L15" s="4">
        <f>((('TO&amp;M'!L15/('DO&amp;M'!L15+'TO&amp;M'!L15))*'A&amp;GO&amp;M'!L15)+Trans_rrb!L15+'TO&amp;M'!L15+TransDepr!L15+'PayTO&amp;M'!L15+TransTax!L15)/(1-raw!$BH15/100)</f>
        <v>2185464408.177927</v>
      </c>
      <c r="M15" s="4">
        <f>((('TO&amp;M'!M15/('DO&amp;M'!M15+'TO&amp;M'!M15))*'A&amp;GO&amp;M'!M15)+Trans_rrb!M15+'TO&amp;M'!M15+TransDepr!M15+'PayTO&amp;M'!M15+TransTax!M15)/(1-raw!$BH15/100)</f>
        <v>2200735183.4211268</v>
      </c>
    </row>
    <row r="16" spans="1:13" x14ac:dyDescent="0.2">
      <c r="A16" t="str">
        <f>raw!A16</f>
        <v>Kentucky Utilities Co.</v>
      </c>
      <c r="C16" s="4">
        <f>((('TO&amp;M'!C16/('DO&amp;M'!C16+'TO&amp;M'!C16))*'A&amp;GO&amp;M'!C16)+Trans_rrb!C16+'TO&amp;M'!C16+TransDepr!C16+'PayTO&amp;M'!C16+TransTax!C16)/(1-raw!$BH16/100)</f>
        <v>710606344.62232876</v>
      </c>
      <c r="D16" s="4">
        <f>((('TO&amp;M'!D16/('DO&amp;M'!D16+'TO&amp;M'!D16))*'A&amp;GO&amp;M'!D16)+Trans_rrb!D16+'TO&amp;M'!D16+TransDepr!D16+'PayTO&amp;M'!D16+TransTax!D16)/(1-raw!$BH16/100)</f>
        <v>719151403.7055763</v>
      </c>
      <c r="E16" s="4">
        <f>((('TO&amp;M'!E16/('DO&amp;M'!E16+'TO&amp;M'!E16))*'A&amp;GO&amp;M'!E16)+Trans_rrb!E16+'TO&amp;M'!E16+TransDepr!E16+'PayTO&amp;M'!E16+TransTax!E16)/(1-raw!$BH16/100)</f>
        <v>725882554.85972917</v>
      </c>
      <c r="F16" s="4">
        <f>((('TO&amp;M'!F16/('DO&amp;M'!F16+'TO&amp;M'!F16))*'A&amp;GO&amp;M'!F16)+Trans_rrb!F16+'TO&amp;M'!F16+TransDepr!F16+'PayTO&amp;M'!F16+TransTax!F16)/(1-raw!$BH16/100)</f>
        <v>733189600.68261015</v>
      </c>
      <c r="G16" s="4">
        <f>((('TO&amp;M'!G16/('DO&amp;M'!G16+'TO&amp;M'!G16))*'A&amp;GO&amp;M'!G16)+Trans_rrb!G16+'TO&amp;M'!G16+TransDepr!G16+'PayTO&amp;M'!G16+TransTax!G16)/(1-raw!$BH16/100)</f>
        <v>740647252.59806311</v>
      </c>
      <c r="H16" s="4">
        <f>((('TO&amp;M'!H16/('DO&amp;M'!H16+'TO&amp;M'!H16))*'A&amp;GO&amp;M'!H16)+Trans_rrb!H16+'TO&amp;M'!H16+TransDepr!H16+'PayTO&amp;M'!H16+TransTax!H16)/(1-raw!$BH16/100)</f>
        <v>746969860.55799055</v>
      </c>
      <c r="I16" s="4">
        <f>((('TO&amp;M'!I16/('DO&amp;M'!I16+'TO&amp;M'!I16))*'A&amp;GO&amp;M'!I16)+Trans_rrb!I16+'TO&amp;M'!I16+TransDepr!I16+'PayTO&amp;M'!I16+TransTax!I16)/(1-raw!$BH16/100)</f>
        <v>753138465.01225269</v>
      </c>
      <c r="J16" s="4">
        <f>((('TO&amp;M'!J16/('DO&amp;M'!J16+'TO&amp;M'!J16))*'A&amp;GO&amp;M'!J16)+Trans_rrb!J16+'TO&amp;M'!J16+TransDepr!J16+'PayTO&amp;M'!J16+TransTax!J16)/(1-raw!$BH16/100)</f>
        <v>758899981.85369599</v>
      </c>
      <c r="K16" s="4">
        <f>((('TO&amp;M'!K16/('DO&amp;M'!K16+'TO&amp;M'!K16))*'A&amp;GO&amp;M'!K16)+Trans_rrb!K16+'TO&amp;M'!K16+TransDepr!K16+'PayTO&amp;M'!K16+TransTax!K16)/(1-raw!$BH16/100)</f>
        <v>764654325.94487596</v>
      </c>
      <c r="L16" s="4">
        <f>((('TO&amp;M'!L16/('DO&amp;M'!L16+'TO&amp;M'!L16))*'A&amp;GO&amp;M'!L16)+Trans_rrb!L16+'TO&amp;M'!L16+TransDepr!L16+'PayTO&amp;M'!L16+TransTax!L16)/(1-raw!$BH16/100)</f>
        <v>770185335.52057397</v>
      </c>
      <c r="M16" s="4">
        <f>((('TO&amp;M'!M16/('DO&amp;M'!M16+'TO&amp;M'!M16))*'A&amp;GO&amp;M'!M16)+Trans_rrb!M16+'TO&amp;M'!M16+TransDepr!M16+'PayTO&amp;M'!M16+TransTax!M16)/(1-raw!$BH16/100)</f>
        <v>775368175.34344661</v>
      </c>
    </row>
    <row r="17" spans="1:13" x14ac:dyDescent="0.2">
      <c r="A17" t="str">
        <f>raw!A17</f>
        <v>Ohio Power Co.</v>
      </c>
      <c r="C17" s="4">
        <f>((('TO&amp;M'!C17/('DO&amp;M'!C17+'TO&amp;M'!C17))*'A&amp;GO&amp;M'!C17)+Trans_rrb!C17+'TO&amp;M'!C17+TransDepr!C17+'PayTO&amp;M'!C17+TransTax!C17)/(1-raw!$BH17/100)</f>
        <v>2470520901.1905103</v>
      </c>
      <c r="D17" s="4">
        <f>((('TO&amp;M'!D17/('DO&amp;M'!D17+'TO&amp;M'!D17))*'A&amp;GO&amp;M'!D17)+Trans_rrb!D17+'TO&amp;M'!D17+TransDepr!D17+'PayTO&amp;M'!D17+TransTax!D17)/(1-raw!$BH17/100)</f>
        <v>2505588008.2280154</v>
      </c>
      <c r="E17" s="4">
        <f>((('TO&amp;M'!E17/('DO&amp;M'!E17+'TO&amp;M'!E17))*'A&amp;GO&amp;M'!E17)+Trans_rrb!E17+'TO&amp;M'!E17+TransDepr!E17+'PayTO&amp;M'!E17+TransTax!E17)/(1-raw!$BH17/100)</f>
        <v>2534460562.8932266</v>
      </c>
      <c r="F17" s="4">
        <f>((('TO&amp;M'!F17/('DO&amp;M'!F17+'TO&amp;M'!F17))*'A&amp;GO&amp;M'!F17)+Trans_rrb!F17+'TO&amp;M'!F17+TransDepr!F17+'PayTO&amp;M'!F17+TransTax!F17)/(1-raw!$BH17/100)</f>
        <v>2564282805.8972602</v>
      </c>
      <c r="G17" s="4">
        <f>((('TO&amp;M'!G17/('DO&amp;M'!G17+'TO&amp;M'!G17))*'A&amp;GO&amp;M'!G17)+Trans_rrb!G17+'TO&amp;M'!G17+TransDepr!G17+'PayTO&amp;M'!G17+TransTax!G17)/(1-raw!$BH17/100)</f>
        <v>2593966267.5776744</v>
      </c>
      <c r="H17" s="4">
        <f>((('TO&amp;M'!H17/('DO&amp;M'!H17+'TO&amp;M'!H17))*'A&amp;GO&amp;M'!H17)+Trans_rrb!H17+'TO&amp;M'!H17+TransDepr!H17+'PayTO&amp;M'!H17+TransTax!H17)/(1-raw!$BH17/100)</f>
        <v>2619961590.2468319</v>
      </c>
      <c r="I17" s="4">
        <f>((('TO&amp;M'!I17/('DO&amp;M'!I17+'TO&amp;M'!I17))*'A&amp;GO&amp;M'!I17)+Trans_rrb!I17+'TO&amp;M'!I17+TransDepr!I17+'PayTO&amp;M'!I17+TransTax!I17)/(1-raw!$BH17/100)</f>
        <v>2644939495.1451664</v>
      </c>
      <c r="J17" s="4">
        <f>((('TO&amp;M'!J17/('DO&amp;M'!J17+'TO&amp;M'!J17))*'A&amp;GO&amp;M'!J17)+Trans_rrb!J17+'TO&amp;M'!J17+TransDepr!J17+'PayTO&amp;M'!J17+TransTax!J17)/(1-raw!$BH17/100)</f>
        <v>2668178936.9796224</v>
      </c>
      <c r="K17" s="4">
        <f>((('TO&amp;M'!K17/('DO&amp;M'!K17+'TO&amp;M'!K17))*'A&amp;GO&amp;M'!K17)+Trans_rrb!K17+'TO&amp;M'!K17+TransDepr!K17+'PayTO&amp;M'!K17+TransTax!K17)/(1-raw!$BH17/100)</f>
        <v>2691010158.9704638</v>
      </c>
      <c r="L17" s="4">
        <f>((('TO&amp;M'!L17/('DO&amp;M'!L17+'TO&amp;M'!L17))*'A&amp;GO&amp;M'!L17)+Trans_rrb!L17+'TO&amp;M'!L17+TransDepr!L17+'PayTO&amp;M'!L17+TransTax!L17)/(1-raw!$BH17/100)</f>
        <v>2712893246.0169721</v>
      </c>
      <c r="M17" s="4">
        <f>((('TO&amp;M'!M17/('DO&amp;M'!M17+'TO&amp;M'!M17))*'A&amp;GO&amp;M'!M17)+Trans_rrb!M17+'TO&amp;M'!M17+TransDepr!M17+'PayTO&amp;M'!M17+TransTax!M17)/(1-raw!$BH17/100)</f>
        <v>2733289209.2824388</v>
      </c>
    </row>
    <row r="18" spans="1:13" x14ac:dyDescent="0.2">
      <c r="A18" t="str">
        <f>raw!A18</f>
        <v>PPL Electric Utilities Corp.</v>
      </c>
      <c r="C18" s="4">
        <f>((('TO&amp;M'!C18/('DO&amp;M'!C18+'TO&amp;M'!C18))*'A&amp;GO&amp;M'!C18)+Trans_rrb!C18+'TO&amp;M'!C18+TransDepr!C18+'PayTO&amp;M'!C18+TransTax!C18)/(1-raw!$BH18/100)</f>
        <v>1075753632.5912647</v>
      </c>
      <c r="D18" s="4">
        <f>((('TO&amp;M'!D18/('DO&amp;M'!D18+'TO&amp;M'!D18))*'A&amp;GO&amp;M'!D18)+Trans_rrb!D18+'TO&amp;M'!D18+TransDepr!D18+'PayTO&amp;M'!D18+TransTax!D18)/(1-raw!$BH18/100)</f>
        <v>1089895606.8061302</v>
      </c>
      <c r="E18" s="4">
        <f>((('TO&amp;M'!E18/('DO&amp;M'!E18+'TO&amp;M'!E18))*'A&amp;GO&amp;M'!E18)+Trans_rrb!E18+'TO&amp;M'!E18+TransDepr!E18+'PayTO&amp;M'!E18+TransTax!E18)/(1-raw!$BH18/100)</f>
        <v>1101332452.4623146</v>
      </c>
      <c r="F18" s="4">
        <f>((('TO&amp;M'!F18/('DO&amp;M'!F18+'TO&amp;M'!F18))*'A&amp;GO&amp;M'!F18)+Trans_rrb!F18+'TO&amp;M'!F18+TransDepr!F18+'PayTO&amp;M'!F18+TransTax!F18)/(1-raw!$BH18/100)</f>
        <v>1113354958.5793602</v>
      </c>
      <c r="G18" s="4">
        <f>((('TO&amp;M'!G18/('DO&amp;M'!G18+'TO&amp;M'!G18))*'A&amp;GO&amp;M'!G18)+Trans_rrb!G18+'TO&amp;M'!G18+TransDepr!G18+'PayTO&amp;M'!G18+TransTax!G18)/(1-raw!$BH18/100)</f>
        <v>1125430432.6422632</v>
      </c>
      <c r="H18" s="4">
        <f>((('TO&amp;M'!H18/('DO&amp;M'!H18+'TO&amp;M'!H18))*'A&amp;GO&amp;M'!H18)+Trans_rrb!H18+'TO&amp;M'!H18+TransDepr!H18+'PayTO&amp;M'!H18+TransTax!H18)/(1-raw!$BH18/100)</f>
        <v>1135865750.9143243</v>
      </c>
      <c r="I18" s="4">
        <f>((('TO&amp;M'!I18/('DO&amp;M'!I18+'TO&amp;M'!I18))*'A&amp;GO&amp;M'!I18)+Trans_rrb!I18+'TO&amp;M'!I18+TransDepr!I18+'PayTO&amp;M'!I18+TransTax!I18)/(1-raw!$BH18/100)</f>
        <v>1145935762.4521592</v>
      </c>
      <c r="J18" s="4">
        <f>((('TO&amp;M'!J18/('DO&amp;M'!J18+'TO&amp;M'!J18))*'A&amp;GO&amp;M'!J18)+Trans_rrb!J18+'TO&amp;M'!J18+TransDepr!J18+'PayTO&amp;M'!J18+TransTax!J18)/(1-raw!$BH18/100)</f>
        <v>1155307502.5037332</v>
      </c>
      <c r="K18" s="4">
        <f>((('TO&amp;M'!K18/('DO&amp;M'!K18+'TO&amp;M'!K18))*'A&amp;GO&amp;M'!K18)+Trans_rrb!K18+'TO&amp;M'!K18+TransDepr!K18+'PayTO&amp;M'!K18+TransTax!K18)/(1-raw!$BH18/100)</f>
        <v>1164562913.2215154</v>
      </c>
      <c r="L18" s="4">
        <f>((('TO&amp;M'!L18/('DO&amp;M'!L18+'TO&amp;M'!L18))*'A&amp;GO&amp;M'!L18)+Trans_rrb!L18+'TO&amp;M'!L18+TransDepr!L18+'PayTO&amp;M'!L18+TransTax!L18)/(1-raw!$BH18/100)</f>
        <v>1173434464.4161963</v>
      </c>
      <c r="M18" s="4">
        <f>((('TO&amp;M'!M18/('DO&amp;M'!M18+'TO&amp;M'!M18))*'A&amp;GO&amp;M'!M18)+Trans_rrb!M18+'TO&amp;M'!M18+TransDepr!M18+'PayTO&amp;M'!M18+TransTax!M18)/(1-raw!$BH18/100)</f>
        <v>1181707806.5980372</v>
      </c>
    </row>
    <row r="19" spans="1:13" x14ac:dyDescent="0.2">
      <c r="A19" t="str">
        <f>raw!A19</f>
        <v>Pacific Gas &amp; Electric Co.</v>
      </c>
      <c r="C19" s="4">
        <f>((('TO&amp;M'!C19/('DO&amp;M'!C19+'TO&amp;M'!C19))*'A&amp;GO&amp;M'!C19)+Trans_rrb!C19+'TO&amp;M'!C19+TransDepr!C19+'PayTO&amp;M'!C19+TransTax!C19)/(1-raw!$BH19/100)</f>
        <v>5875836693.4280243</v>
      </c>
      <c r="D19" s="4">
        <f>((('TO&amp;M'!D19/('DO&amp;M'!D19+'TO&amp;M'!D19))*'A&amp;GO&amp;M'!D19)+Trans_rrb!D19+'TO&amp;M'!D19+TransDepr!D19+'PayTO&amp;M'!D19+TransTax!D19)/(1-raw!$BH19/100)</f>
        <v>5935251250.3571234</v>
      </c>
      <c r="E19" s="4">
        <f>((('TO&amp;M'!E19/('DO&amp;M'!E19+'TO&amp;M'!E19))*'A&amp;GO&amp;M'!E19)+Trans_rrb!E19+'TO&amp;M'!E19+TransDepr!E19+'PayTO&amp;M'!E19+TransTax!E19)/(1-raw!$BH19/100)</f>
        <v>5980129828.6912413</v>
      </c>
      <c r="F19" s="4">
        <f>((('TO&amp;M'!F19/('DO&amp;M'!F19+'TO&amp;M'!F19))*'A&amp;GO&amp;M'!F19)+Trans_rrb!F19+'TO&amp;M'!F19+TransDepr!F19+'PayTO&amp;M'!F19+TransTax!F19)/(1-raw!$BH19/100)</f>
        <v>6028594595.0522194</v>
      </c>
      <c r="G19" s="4">
        <f>((('TO&amp;M'!G19/('DO&amp;M'!G19+'TO&amp;M'!G19))*'A&amp;GO&amp;M'!G19)+Trans_rrb!G19+'TO&amp;M'!G19+TransDepr!G19+'PayTO&amp;M'!G19+TransTax!G19)/(1-raw!$BH19/100)</f>
        <v>6077556440.3662014</v>
      </c>
      <c r="H19" s="4">
        <f>((('TO&amp;M'!H19/('DO&amp;M'!H19+'TO&amp;M'!H19))*'A&amp;GO&amp;M'!H19)+Trans_rrb!H19+'TO&amp;M'!H19+TransDepr!H19+'PayTO&amp;M'!H19+TransTax!H19)/(1-raw!$BH19/100)</f>
        <v>6117741211.5945997</v>
      </c>
      <c r="I19" s="4">
        <f>((('TO&amp;M'!I19/('DO&amp;M'!I19+'TO&amp;M'!I19))*'A&amp;GO&amp;M'!I19)+Trans_rrb!I19+'TO&amp;M'!I19+TransDepr!I19+'PayTO&amp;M'!I19+TransTax!I19)/(1-raw!$BH19/100)</f>
        <v>6156155490.387742</v>
      </c>
      <c r="J19" s="4">
        <f>((('TO&amp;M'!J19/('DO&amp;M'!J19+'TO&amp;M'!J19))*'A&amp;GO&amp;M'!J19)+Trans_rrb!J19+'TO&amp;M'!J19+TransDepr!J19+'PayTO&amp;M'!J19+TransTax!J19)/(1-raw!$BH19/100)</f>
        <v>6190971881.5362406</v>
      </c>
      <c r="K19" s="4">
        <f>((('TO&amp;M'!K19/('DO&amp;M'!K19+'TO&amp;M'!K19))*'A&amp;GO&amp;M'!K19)+Trans_rrb!K19+'TO&amp;M'!K19+TransDepr!K19+'PayTO&amp;M'!K19+TransTax!K19)/(1-raw!$BH19/100)</f>
        <v>6225280907.5190744</v>
      </c>
      <c r="L19" s="4">
        <f>((('TO&amp;M'!L19/('DO&amp;M'!L19+'TO&amp;M'!L19))*'A&amp;GO&amp;M'!L19)+Trans_rrb!L19+'TO&amp;M'!L19+TransDepr!L19+'PayTO&amp;M'!L19+TransTax!L19)/(1-raw!$BH19/100)</f>
        <v>6257626588.5310163</v>
      </c>
      <c r="M19" s="4">
        <f>((('TO&amp;M'!M19/('DO&amp;M'!M19+'TO&amp;M'!M19))*'A&amp;GO&amp;M'!M19)+Trans_rrb!M19+'TO&amp;M'!M19+TransDepr!M19+'PayTO&amp;M'!M19+TransTax!M19)/(1-raw!$BH19/100)</f>
        <v>6286878236.1847057</v>
      </c>
    </row>
    <row r="20" spans="1:13" x14ac:dyDescent="0.2">
      <c r="A20" t="str">
        <f>raw!A20</f>
        <v>Public Service Electric &amp; Gas Co.</v>
      </c>
      <c r="C20" s="4">
        <f>((('TO&amp;M'!C20/('DO&amp;M'!C20+'TO&amp;M'!C20))*'A&amp;GO&amp;M'!C20)+Trans_rrb!C20+'TO&amp;M'!C20+TransDepr!C20+'PayTO&amp;M'!C20+TransTax!C20)/(1-raw!$BH20/100)</f>
        <v>2520960974.7048802</v>
      </c>
      <c r="D20" s="4">
        <f>((('TO&amp;M'!D20/('DO&amp;M'!D20+'TO&amp;M'!D20))*'A&amp;GO&amp;M'!D20)+Trans_rrb!D20+'TO&amp;M'!D20+TransDepr!D20+'PayTO&amp;M'!D20+TransTax!D20)/(1-raw!$BH20/100)</f>
        <v>2549657547.2995977</v>
      </c>
      <c r="E20" s="4">
        <f>((('TO&amp;M'!E20/('DO&amp;M'!E20+'TO&amp;M'!E20))*'A&amp;GO&amp;M'!E20)+Trans_rrb!E20+'TO&amp;M'!E20+TransDepr!E20+'PayTO&amp;M'!E20+TransTax!E20)/(1-raw!$BH20/100)</f>
        <v>2571991877.847826</v>
      </c>
      <c r="F20" s="4">
        <f>((('TO&amp;M'!F20/('DO&amp;M'!F20+'TO&amp;M'!F20))*'A&amp;GO&amp;M'!F20)+Trans_rrb!F20+'TO&amp;M'!F20+TransDepr!F20+'PayTO&amp;M'!F20+TransTax!F20)/(1-raw!$BH20/100)</f>
        <v>2596338554.0570869</v>
      </c>
      <c r="G20" s="4">
        <f>((('TO&amp;M'!G20/('DO&amp;M'!G20+'TO&amp;M'!G20))*'A&amp;GO&amp;M'!G20)+Trans_rrb!G20+'TO&amp;M'!G20+TransDepr!G20+'PayTO&amp;M'!G20+TransTax!G20)/(1-raw!$BH20/100)</f>
        <v>2621219137.8460984</v>
      </c>
      <c r="H20" s="4">
        <f>((('TO&amp;M'!H20/('DO&amp;M'!H20+'TO&amp;M'!H20))*'A&amp;GO&amp;M'!H20)+Trans_rrb!H20+'TO&amp;M'!H20+TransDepr!H20+'PayTO&amp;M'!H20+TransTax!H20)/(1-raw!$BH20/100)</f>
        <v>2642133000.7490516</v>
      </c>
      <c r="I20" s="4">
        <f>((('TO&amp;M'!I20/('DO&amp;M'!I20+'TO&amp;M'!I20))*'A&amp;GO&amp;M'!I20)+Trans_rrb!I20+'TO&amp;M'!I20+TransDepr!I20+'PayTO&amp;M'!I20+TransTax!I20)/(1-raw!$BH20/100)</f>
        <v>2662488724.4787812</v>
      </c>
      <c r="J20" s="4">
        <f>((('TO&amp;M'!J20/('DO&amp;M'!J20+'TO&amp;M'!J20))*'A&amp;GO&amp;M'!J20)+Trans_rrb!J20+'TO&amp;M'!J20+TransDepr!J20+'PayTO&amp;M'!J20+TransTax!J20)/(1-raw!$BH20/100)</f>
        <v>2681423060.5302405</v>
      </c>
      <c r="K20" s="4">
        <f>((('TO&amp;M'!K20/('DO&amp;M'!K20+'TO&amp;M'!K20))*'A&amp;GO&amp;M'!K20)+Trans_rrb!K20+'TO&amp;M'!K20+TransDepr!K20+'PayTO&amp;M'!K20+TransTax!K20)/(1-raw!$BH20/100)</f>
        <v>2700317600.0658426</v>
      </c>
      <c r="L20" s="4">
        <f>((('TO&amp;M'!L20/('DO&amp;M'!L20+'TO&amp;M'!L20))*'A&amp;GO&amp;M'!L20)+Trans_rrb!L20+'TO&amp;M'!L20+TransDepr!L20+'PayTO&amp;M'!L20+TransTax!L20)/(1-raw!$BH20/100)</f>
        <v>2718424728.3932395</v>
      </c>
      <c r="M20" s="4">
        <f>((('TO&amp;M'!M20/('DO&amp;M'!M20+'TO&amp;M'!M20))*'A&amp;GO&amp;M'!M20)+Trans_rrb!M20+'TO&amp;M'!M20+TransDepr!M20+'PayTO&amp;M'!M20+TransTax!M20)/(1-raw!$BH20/100)</f>
        <v>2735312426.8190827</v>
      </c>
    </row>
    <row r="21" spans="1:13" x14ac:dyDescent="0.2">
      <c r="A21" t="str">
        <f>raw!A21</f>
        <v>San Diego Gas &amp; Electric Co.</v>
      </c>
      <c r="C21" s="4">
        <f>((('TO&amp;M'!C21/('DO&amp;M'!C21+'TO&amp;M'!C21))*'A&amp;GO&amp;M'!C21)+Trans_rrb!C21+'TO&amp;M'!C21+TransDepr!C21+'PayTO&amp;M'!C21+TransTax!C21)/(1-raw!$BH21/100)</f>
        <v>1925907766.1733816</v>
      </c>
      <c r="D21" s="4">
        <f>((('TO&amp;M'!D21/('DO&amp;M'!D21+'TO&amp;M'!D21))*'A&amp;GO&amp;M'!D21)+Trans_rrb!D21+'TO&amp;M'!D21+TransDepr!D21+'PayTO&amp;M'!D21+TransTax!D21)/(1-raw!$BH21/100)</f>
        <v>1949198446.7864931</v>
      </c>
      <c r="E21" s="4">
        <f>((('TO&amp;M'!E21/('DO&amp;M'!E21+'TO&amp;M'!E21))*'A&amp;GO&amp;M'!E21)+Trans_rrb!E21+'TO&amp;M'!E21+TransDepr!E21+'PayTO&amp;M'!E21+TransTax!E21)/(1-raw!$BH21/100)</f>
        <v>1967522069.7021446</v>
      </c>
      <c r="F21" s="4">
        <f>((('TO&amp;M'!F21/('DO&amp;M'!F21+'TO&amp;M'!F21))*'A&amp;GO&amp;M'!F21)+Trans_rrb!F21+'TO&amp;M'!F21+TransDepr!F21+'PayTO&amp;M'!F21+TransTax!F21)/(1-raw!$BH21/100)</f>
        <v>1986666533.1606023</v>
      </c>
      <c r="G21" s="4">
        <f>((('TO&amp;M'!G21/('DO&amp;M'!G21+'TO&amp;M'!G21))*'A&amp;GO&amp;M'!G21)+Trans_rrb!G21+'TO&amp;M'!G21+TransDepr!G21+'PayTO&amp;M'!G21+TransTax!G21)/(1-raw!$BH21/100)</f>
        <v>2005686857.0506606</v>
      </c>
      <c r="H21" s="4">
        <f>((('TO&amp;M'!H21/('DO&amp;M'!H21+'TO&amp;M'!H21))*'A&amp;GO&amp;M'!H21)+Trans_rrb!H21+'TO&amp;M'!H21+TransDepr!H21+'PayTO&amp;M'!H21+TransTax!H21)/(1-raw!$BH21/100)</f>
        <v>2021751031.9375122</v>
      </c>
      <c r="I21" s="4">
        <f>((('TO&amp;M'!I21/('DO&amp;M'!I21+'TO&amp;M'!I21))*'A&amp;GO&amp;M'!I21)+Trans_rrb!I21+'TO&amp;M'!I21+TransDepr!I21+'PayTO&amp;M'!I21+TransTax!I21)/(1-raw!$BH21/100)</f>
        <v>2037029297.0118518</v>
      </c>
      <c r="J21" s="4">
        <f>((('TO&amp;M'!J21/('DO&amp;M'!J21+'TO&amp;M'!J21))*'A&amp;GO&amp;M'!J21)+Trans_rrb!J21+'TO&amp;M'!J21+TransDepr!J21+'PayTO&amp;M'!J21+TransTax!J21)/(1-raw!$BH21/100)</f>
        <v>2050914004.13235</v>
      </c>
      <c r="K21" s="4">
        <f>((('TO&amp;M'!K21/('DO&amp;M'!K21+'TO&amp;M'!K21))*'A&amp;GO&amp;M'!K21)+Trans_rrb!K21+'TO&amp;M'!K21+TransDepr!K21+'PayTO&amp;M'!K21+TransTax!K21)/(1-raw!$BH21/100)</f>
        <v>2064472327.2633572</v>
      </c>
      <c r="L21" s="4">
        <f>((('TO&amp;M'!L21/('DO&amp;M'!L21+'TO&amp;M'!L21))*'A&amp;GO&amp;M'!L21)+Trans_rrb!L21+'TO&amp;M'!L21+TransDepr!L21+'PayTO&amp;M'!L21+TransTax!L21)/(1-raw!$BH21/100)</f>
        <v>2077272134.1012723</v>
      </c>
      <c r="M21" s="4">
        <f>((('TO&amp;M'!M21/('DO&amp;M'!M21+'TO&amp;M'!M21))*'A&amp;GO&amp;M'!M21)+Trans_rrb!M21+'TO&amp;M'!M21+TransDepr!M21+'PayTO&amp;M'!M21+TransTax!M21)/(1-raw!$BH21/100)</f>
        <v>2088875646.5866151</v>
      </c>
    </row>
    <row r="22" spans="1:13" x14ac:dyDescent="0.2">
      <c r="A22" t="str">
        <f>raw!A22</f>
        <v>Southern California Edison Co.</v>
      </c>
      <c r="C22" s="4">
        <f>((('TO&amp;M'!C22/('DO&amp;M'!C22+'TO&amp;M'!C22))*'A&amp;GO&amp;M'!C22)+Trans_rrb!C22+'TO&amp;M'!C22+TransDepr!C22+'PayTO&amp;M'!C22+TransTax!C22)/(1-raw!$BH22/100)</f>
        <v>7717111649.8862047</v>
      </c>
      <c r="D22" s="4">
        <f>((('TO&amp;M'!D22/('DO&amp;M'!D22+'TO&amp;M'!D22))*'A&amp;GO&amp;M'!D22)+Trans_rrb!D22+'TO&amp;M'!D22+TransDepr!D22+'PayTO&amp;M'!D22+TransTax!D22)/(1-raw!$BH22/100)</f>
        <v>7791312204.0971088</v>
      </c>
      <c r="E22" s="4">
        <f>((('TO&amp;M'!E22/('DO&amp;M'!E22+'TO&amp;M'!E22))*'A&amp;GO&amp;M'!E22)+Trans_rrb!E22+'TO&amp;M'!E22+TransDepr!E22+'PayTO&amp;M'!E22+TransTax!E22)/(1-raw!$BH22/100)</f>
        <v>7846617878.6102543</v>
      </c>
      <c r="F22" s="4">
        <f>((('TO&amp;M'!F22/('DO&amp;M'!F22+'TO&amp;M'!F22))*'A&amp;GO&amp;M'!F22)+Trans_rrb!F22+'TO&amp;M'!F22+TransDepr!F22+'PayTO&amp;M'!F22+TransTax!F22)/(1-raw!$BH22/100)</f>
        <v>7906285968.5048742</v>
      </c>
      <c r="G22" s="4">
        <f>((('TO&amp;M'!G22/('DO&amp;M'!G22+'TO&amp;M'!G22))*'A&amp;GO&amp;M'!G22)+Trans_rrb!G22+'TO&amp;M'!G22+TransDepr!G22+'PayTO&amp;M'!G22+TransTax!G22)/(1-raw!$BH22/100)</f>
        <v>7966382498.908577</v>
      </c>
      <c r="H22" s="4">
        <f>((('TO&amp;M'!H22/('DO&amp;M'!H22+'TO&amp;M'!H22))*'A&amp;GO&amp;M'!H22)+Trans_rrb!H22+'TO&amp;M'!H22+TransDepr!H22+'PayTO&amp;M'!H22+TransTax!H22)/(1-raw!$BH22/100)</f>
        <v>8015182679.4027319</v>
      </c>
      <c r="I22" s="4">
        <f>((('TO&amp;M'!I22/('DO&amp;M'!I22+'TO&amp;M'!I22))*'A&amp;GO&amp;M'!I22)+Trans_rrb!I22+'TO&amp;M'!I22+TransDepr!I22+'PayTO&amp;M'!I22+TransTax!I22)/(1-raw!$BH22/100)</f>
        <v>8061541501.7877665</v>
      </c>
      <c r="J22" s="4">
        <f>((('TO&amp;M'!J22/('DO&amp;M'!J22+'TO&amp;M'!J22))*'A&amp;GO&amp;M'!J22)+Trans_rrb!J22+'TO&amp;M'!J22+TransDepr!J22+'PayTO&amp;M'!J22+TransTax!J22)/(1-raw!$BH22/100)</f>
        <v>8103125868.1401339</v>
      </c>
      <c r="K22" s="4">
        <f>((('TO&amp;M'!K22/('DO&amp;M'!K22+'TO&amp;M'!K22))*'A&amp;GO&amp;M'!K22)+Trans_rrb!K22+'TO&amp;M'!K22+TransDepr!K22+'PayTO&amp;M'!K22+TransTax!K22)/(1-raw!$BH22/100)</f>
        <v>8143935958.9637461</v>
      </c>
      <c r="L22" s="4">
        <f>((('TO&amp;M'!L22/('DO&amp;M'!L22+'TO&amp;M'!L22))*'A&amp;GO&amp;M'!L22)+Trans_rrb!L22+'TO&amp;M'!L22+TransDepr!L22+'PayTO&amp;M'!L22+TransTax!L22)/(1-raw!$BH22/100)</f>
        <v>8182163570.4364738</v>
      </c>
      <c r="M22" s="4">
        <f>((('TO&amp;M'!M22/('DO&amp;M'!M22+'TO&amp;M'!M22))*'A&amp;GO&amp;M'!M22)+Trans_rrb!M22+'TO&amp;M'!M22+TransDepr!M22+'PayTO&amp;M'!M22+TransTax!M22)/(1-raw!$BH22/100)</f>
        <v>8216285236.5202427</v>
      </c>
    </row>
    <row r="23" spans="1:13" x14ac:dyDescent="0.2">
      <c r="A23" t="str">
        <f>raw!A23</f>
        <v>Southwestern Public Service Co.</v>
      </c>
      <c r="C23" s="4">
        <f>((('TO&amp;M'!C23/('DO&amp;M'!C23+'TO&amp;M'!C23))*'A&amp;GO&amp;M'!C23)+Trans_rrb!C23+'TO&amp;M'!C23+TransDepr!C23+'PayTO&amp;M'!C23+TransTax!C23)/(1-raw!$BH23/100)</f>
        <v>639639311.48372495</v>
      </c>
      <c r="D23" s="4">
        <f>((('TO&amp;M'!D23/('DO&amp;M'!D23+'TO&amp;M'!D23))*'A&amp;GO&amp;M'!D23)+Trans_rrb!D23+'TO&amp;M'!D23+TransDepr!D23+'PayTO&amp;M'!D23+TransTax!D23)/(1-raw!$BH23/100)</f>
        <v>645220301.13079786</v>
      </c>
      <c r="E23" s="4">
        <f>((('TO&amp;M'!E23/('DO&amp;M'!E23+'TO&amp;M'!E23))*'A&amp;GO&amp;M'!E23)+Trans_rrb!E23+'TO&amp;M'!E23+TransDepr!E23+'PayTO&amp;M'!E23+TransTax!E23)/(1-raw!$BH23/100)</f>
        <v>649095767.90005374</v>
      </c>
      <c r="F23" s="4">
        <f>((('TO&amp;M'!F23/('DO&amp;M'!F23+'TO&amp;M'!F23))*'A&amp;GO&amp;M'!F23)+Trans_rrb!F23+'TO&amp;M'!F23+TransDepr!F23+'PayTO&amp;M'!F23+TransTax!F23)/(1-raw!$BH23/100)</f>
        <v>653850564.37463021</v>
      </c>
      <c r="G23" s="4">
        <f>((('TO&amp;M'!G23/('DO&amp;M'!G23+'TO&amp;M'!G23))*'A&amp;GO&amp;M'!G23)+Trans_rrb!G23+'TO&amp;M'!G23+TransDepr!G23+'PayTO&amp;M'!G23+TransTax!G23)/(1-raw!$BH23/100)</f>
        <v>658961021.90711462</v>
      </c>
      <c r="H23" s="4">
        <f>((('TO&amp;M'!H23/('DO&amp;M'!H23+'TO&amp;M'!H23))*'A&amp;GO&amp;M'!H23)+Trans_rrb!H23+'TO&amp;M'!H23+TransDepr!H23+'PayTO&amp;M'!H23+TransTax!H23)/(1-raw!$BH23/100)</f>
        <v>662944642.67500091</v>
      </c>
      <c r="I23" s="4">
        <f>((('TO&amp;M'!I23/('DO&amp;M'!I23+'TO&amp;M'!I23))*'A&amp;GO&amp;M'!I23)+Trans_rrb!I23+'TO&amp;M'!I23+TransDepr!I23+'PayTO&amp;M'!I23+TransTax!I23)/(1-raw!$BH23/100)</f>
        <v>666945597.1876204</v>
      </c>
      <c r="J23" s="4">
        <f>((('TO&amp;M'!J23/('DO&amp;M'!J23+'TO&amp;M'!J23))*'A&amp;GO&amp;M'!J23)+Trans_rrb!J23+'TO&amp;M'!J23+TransDepr!J23+'PayTO&amp;M'!J23+TransTax!J23)/(1-raw!$BH23/100)</f>
        <v>670679116.78456593</v>
      </c>
      <c r="K23" s="4">
        <f>((('TO&amp;M'!K23/('DO&amp;M'!K23+'TO&amp;M'!K23))*'A&amp;GO&amp;M'!K23)+Trans_rrb!K23+'TO&amp;M'!K23+TransDepr!K23+'PayTO&amp;M'!K23+TransTax!K23)/(1-raw!$BH23/100)</f>
        <v>674530851.72389925</v>
      </c>
      <c r="L23" s="4">
        <f>((('TO&amp;M'!L23/('DO&amp;M'!L23+'TO&amp;M'!L23))*'A&amp;GO&amp;M'!L23)+Trans_rrb!L23+'TO&amp;M'!L23+TransDepr!L23+'PayTO&amp;M'!L23+TransTax!L23)/(1-raw!$BH23/100)</f>
        <v>678233781.60212731</v>
      </c>
      <c r="M23" s="4">
        <f>((('TO&amp;M'!M23/('DO&amp;M'!M23+'TO&amp;M'!M23))*'A&amp;GO&amp;M'!M23)+Trans_rrb!M23+'TO&amp;M'!M23+TransDepr!M23+'PayTO&amp;M'!M23+TransTax!M23)/(1-raw!$BH23/100)</f>
        <v>681707551.88421488</v>
      </c>
    </row>
    <row r="24" spans="1:13" x14ac:dyDescent="0.2">
      <c r="A24" t="str">
        <f>raw!A24</f>
        <v>TXU Electric Co.</v>
      </c>
      <c r="C24" s="4">
        <f>((('TO&amp;M'!C24/('DO&amp;M'!C24+'TO&amp;M'!C24))*'A&amp;GO&amp;M'!C24)+Trans_rrb!C24+'TO&amp;M'!C24+TransDepr!C24+'PayTO&amp;M'!C24+TransTax!C24)/(1-raw!$BH24/100)</f>
        <v>4472247509.369998</v>
      </c>
      <c r="D24" s="4">
        <f>((('TO&amp;M'!D24/('DO&amp;M'!D24+'TO&amp;M'!D24))*'A&amp;GO&amp;M'!D24)+Trans_rrb!D24+'TO&amp;M'!D24+TransDepr!D24+'PayTO&amp;M'!D24+TransTax!D24)/(1-raw!$BH24/100)</f>
        <v>4538883392.3453016</v>
      </c>
      <c r="E24" s="4">
        <f>((('TO&amp;M'!E24/('DO&amp;M'!E24+'TO&amp;M'!E24))*'A&amp;GO&amp;M'!E24)+Trans_rrb!E24+'TO&amp;M'!E24+TransDepr!E24+'PayTO&amp;M'!E24+TransTax!E24)/(1-raw!$BH24/100)</f>
        <v>4594261155.9678669</v>
      </c>
      <c r="F24" s="4">
        <f>((('TO&amp;M'!F24/('DO&amp;M'!F24+'TO&amp;M'!F24))*'A&amp;GO&amp;M'!F24)+Trans_rrb!F24+'TO&amp;M'!F24+TransDepr!F24+'PayTO&amp;M'!F24+TransTax!F24)/(1-raw!$BH24/100)</f>
        <v>4650641916.0348902</v>
      </c>
      <c r="G24" s="4">
        <f>((('TO&amp;M'!G24/('DO&amp;M'!G24+'TO&amp;M'!G24))*'A&amp;GO&amp;M'!G24)+Trans_rrb!G24+'TO&amp;M'!G24+TransDepr!G24+'PayTO&amp;M'!G24+TransTax!G24)/(1-raw!$BH24/100)</f>
        <v>4706283180.7244978</v>
      </c>
      <c r="H24" s="4">
        <f>((('TO&amp;M'!H24/('DO&amp;M'!H24+'TO&amp;M'!H24))*'A&amp;GO&amp;M'!H24)+Trans_rrb!H24+'TO&amp;M'!H24+TransDepr!H24+'PayTO&amp;M'!H24+TransTax!H24)/(1-raw!$BH24/100)</f>
        <v>4755352789.7070045</v>
      </c>
      <c r="I24" s="4">
        <f>((('TO&amp;M'!I24/('DO&amp;M'!I24+'TO&amp;M'!I24))*'A&amp;GO&amp;M'!I24)+Trans_rrb!I24+'TO&amp;M'!I24+TransDepr!I24+'PayTO&amp;M'!I24+TransTax!I24)/(1-raw!$BH24/100)</f>
        <v>4802228694.4789515</v>
      </c>
      <c r="J24" s="4">
        <f>((('TO&amp;M'!J24/('DO&amp;M'!J24+'TO&amp;M'!J24))*'A&amp;GO&amp;M'!J24)+Trans_rrb!J24+'TO&amp;M'!J24+TransDepr!J24+'PayTO&amp;M'!J24+TransTax!J24)/(1-raw!$BH24/100)</f>
        <v>4845686130.1307182</v>
      </c>
      <c r="K24" s="4">
        <f>((('TO&amp;M'!K24/('DO&amp;M'!K24+'TO&amp;M'!K24))*'A&amp;GO&amp;M'!K24)+Trans_rrb!K24+'TO&amp;M'!K24+TransDepr!K24+'PayTO&amp;M'!K24+TransTax!K24)/(1-raw!$BH24/100)</f>
        <v>4888123872.1523743</v>
      </c>
      <c r="L24" s="4">
        <f>((('TO&amp;M'!L24/('DO&amp;M'!L24+'TO&amp;M'!L24))*'A&amp;GO&amp;M'!L24)+Trans_rrb!L24+'TO&amp;M'!L24+TransDepr!L24+'PayTO&amp;M'!L24+TransTax!L24)/(1-raw!$BH24/100)</f>
        <v>4928702351.8802099</v>
      </c>
      <c r="M24" s="4">
        <f>((('TO&amp;M'!M24/('DO&amp;M'!M24+'TO&amp;M'!M24))*'A&amp;GO&amp;M'!M24)+Trans_rrb!M24+'TO&amp;M'!M24+TransDepr!M24+'PayTO&amp;M'!M24+TransTax!M24)/(1-raw!$BH24/100)</f>
        <v>4966355991.829071</v>
      </c>
    </row>
    <row r="28" spans="1:13" x14ac:dyDescent="0.2">
      <c r="C28" s="37">
        <f>C19/DistRevR!C19</f>
        <v>0.20263434231884475</v>
      </c>
    </row>
    <row r="32" spans="1:13" x14ac:dyDescent="0.2">
      <c r="C32" s="37"/>
    </row>
  </sheetData>
  <pageMargins left="0.75" right="0.75" top="1" bottom="1" header="0.5" footer="0.5"/>
  <pageSetup scale="59" orientation="landscape" verticalDpi="0" r:id="rId1"/>
  <headerFooter alignWithMargins="0">
    <oddFooter>Page &amp;P&amp;R&amp;A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1"/>
  <sheetViews>
    <sheetView workbookViewId="0">
      <selection activeCell="E25" sqref="E25"/>
    </sheetView>
  </sheetViews>
  <sheetFormatPr defaultRowHeight="12.75" x14ac:dyDescent="0.2"/>
  <cols>
    <col min="1" max="1" width="36.140625" bestFit="1" customWidth="1"/>
    <col min="2" max="2" width="5" bestFit="1" customWidth="1"/>
    <col min="3" max="3" width="15.140625" customWidth="1"/>
    <col min="4" max="13" width="14.85546875" bestFit="1" customWidth="1"/>
  </cols>
  <sheetData>
    <row r="1" spans="1:13" x14ac:dyDescent="0.2">
      <c r="A1" t="s">
        <v>511</v>
      </c>
    </row>
    <row r="3" spans="1:13" x14ac:dyDescent="0.2">
      <c r="A3" s="8" t="s">
        <v>177</v>
      </c>
      <c r="B3" s="8">
        <v>1998</v>
      </c>
      <c r="C3" s="8">
        <v>2000</v>
      </c>
      <c r="D3" s="8">
        <v>2001</v>
      </c>
      <c r="E3" s="8">
        <v>2002</v>
      </c>
      <c r="F3" s="8">
        <v>2003</v>
      </c>
      <c r="G3" s="8">
        <v>2004</v>
      </c>
      <c r="H3" s="8">
        <v>2005</v>
      </c>
      <c r="I3" s="8">
        <v>2006</v>
      </c>
      <c r="J3" s="8">
        <v>2007</v>
      </c>
      <c r="K3" s="8">
        <v>2008</v>
      </c>
      <c r="L3" s="8">
        <v>2009</v>
      </c>
      <c r="M3" s="8">
        <v>2010</v>
      </c>
    </row>
    <row r="4" spans="1:13" x14ac:dyDescent="0.2">
      <c r="A4" t="str">
        <f>raw!A4</f>
        <v>Boston Edison Co.</v>
      </c>
      <c r="C4" s="4">
        <f>((('DO&amp;M'!C4/('DO&amp;M'!C4+'TO&amp;M'!C4))*'A&amp;GO&amp;M'!C4)+Dist_rrb!C4+'DO&amp;M'!C4+'CustO&amp;M'!C4+DistDepr!C4+'PayDO&amp;M'!C4+DistTax!C4)/(1-raw!$BH4/100)</f>
        <v>6565860598.9347277</v>
      </c>
      <c r="D4" s="4">
        <f>((('DO&amp;M'!D4/('DO&amp;M'!D4+'TO&amp;M'!D4))*'A&amp;GO&amp;M'!D4)+Dist_rrb!D4+'DO&amp;M'!D4+'CustO&amp;M'!D4+DistDepr!D4+'PayDO&amp;M'!D4+DistTax!D4)/(1-raw!$BH4/100)</f>
        <v>6686125014.3629246</v>
      </c>
      <c r="E4" s="4">
        <f>((('DO&amp;M'!E4/('DO&amp;M'!E4+'TO&amp;M'!E4))*'A&amp;GO&amp;M'!E4)+Dist_rrb!E4+'DO&amp;M'!E4+'CustO&amp;M'!E4+DistDepr!E4+'PayDO&amp;M'!E4+DistTax!E4)/(1-raw!$BH4/100)</f>
        <v>6792101486.2575445</v>
      </c>
      <c r="F4" s="4">
        <f>((('DO&amp;M'!F4/('DO&amp;M'!F4+'TO&amp;M'!F4))*'A&amp;GO&amp;M'!F4)+Dist_rrb!F4+'DO&amp;M'!F4+'CustO&amp;M'!F4+DistDepr!F4+'PayDO&amp;M'!F4+DistTax!F4)/(1-raw!$BH4/100)</f>
        <v>6897759831.4891844</v>
      </c>
      <c r="G4" s="4">
        <f>((('DO&amp;M'!G4/('DO&amp;M'!G4+'TO&amp;M'!G4))*'A&amp;GO&amp;M'!G4)+Dist_rrb!G4+'DO&amp;M'!G4+'CustO&amp;M'!G4+DistDepr!G4+'PayDO&amp;M'!G4+DistTax!G4)/(1-raw!$BH4/100)</f>
        <v>7001788402.5045357</v>
      </c>
      <c r="H4" s="4">
        <f>((('DO&amp;M'!H4/('DO&amp;M'!H4+'TO&amp;M'!H4))*'A&amp;GO&amp;M'!H4)+Dist_rrb!H4+'DO&amp;M'!H4+'CustO&amp;M'!H4+DistDepr!H4+'PayDO&amp;M'!H4+DistTax!H4)/(1-raw!$BH4/100)</f>
        <v>7097862247.422945</v>
      </c>
      <c r="I4" s="4">
        <f>((('DO&amp;M'!I4/('DO&amp;M'!I4+'TO&amp;M'!I4))*'A&amp;GO&amp;M'!I4)+Dist_rrb!I4+'DO&amp;M'!I4+'CustO&amp;M'!I4+DistDepr!I4+'PayDO&amp;M'!I4+DistTax!I4)/(1-raw!$BH4/100)</f>
        <v>7190426170.9162855</v>
      </c>
      <c r="J4" s="4">
        <f>((('DO&amp;M'!J4/('DO&amp;M'!J4+'TO&amp;M'!J4))*'A&amp;GO&amp;M'!J4)+Dist_rrb!J4+'DO&amp;M'!J4+'CustO&amp;M'!J4+DistDepr!J4+'PayDO&amp;M'!J4+DistTax!J4)/(1-raw!$BH4/100)</f>
        <v>7278302022.0250502</v>
      </c>
      <c r="K4" s="4">
        <f>((('DO&amp;M'!K4/('DO&amp;M'!K4+'TO&amp;M'!K4))*'A&amp;GO&amp;M'!K4)+Dist_rrb!K4+'DO&amp;M'!K4+'CustO&amp;M'!K4+DistDepr!K4+'PayDO&amp;M'!K4+DistTax!K4)/(1-raw!$BH4/100)</f>
        <v>7364501798.3777285</v>
      </c>
      <c r="L4" s="4">
        <f>((('DO&amp;M'!L4/('DO&amp;M'!L4+'TO&amp;M'!L4))*'A&amp;GO&amp;M'!L4)+Dist_rrb!L4+'DO&amp;M'!L4+'CustO&amp;M'!L4+DistDepr!L4+'PayDO&amp;M'!L4+DistTax!L4)/(1-raw!$BH4/100)</f>
        <v>7448249586.5606728</v>
      </c>
      <c r="M4" s="4">
        <f>((('DO&amp;M'!M4/('DO&amp;M'!M4+'TO&amp;M'!M4))*'A&amp;GO&amp;M'!M4)+Dist_rrb!M4+'DO&amp;M'!M4+'CustO&amp;M'!M4+DistDepr!M4+'PayDO&amp;M'!M4+DistTax!M4)/(1-raw!$BH4/100)</f>
        <v>7528046754.3305264</v>
      </c>
    </row>
    <row r="5" spans="1:13" x14ac:dyDescent="0.2">
      <c r="A5" t="str">
        <f>raw!A5</f>
        <v>Carolina Power &amp; Light Co.</v>
      </c>
      <c r="C5" s="4">
        <f>((('DO&amp;M'!C5/('DO&amp;M'!C5+'TO&amp;M'!C5))*'A&amp;GO&amp;M'!C5)+Dist_rrb!C5+'DO&amp;M'!C5+'CustO&amp;M'!C5+DistDepr!C5+'PayDO&amp;M'!C5+DistTax!C5)/(1-raw!$BH5/100)</f>
        <v>6396021148.3888597</v>
      </c>
      <c r="D5" s="4">
        <f>((('DO&amp;M'!D5/('DO&amp;M'!D5+'TO&amp;M'!D5))*'A&amp;GO&amp;M'!D5)+Dist_rrb!D5+'DO&amp;M'!D5+'CustO&amp;M'!D5+DistDepr!D5+'PayDO&amp;M'!D5+DistTax!D5)/(1-raw!$BH5/100)</f>
        <v>6511380161.6853514</v>
      </c>
      <c r="E5" s="4">
        <f>((('DO&amp;M'!E5/('DO&amp;M'!E5+'TO&amp;M'!E5))*'A&amp;GO&amp;M'!E5)+Dist_rrb!E5+'DO&amp;M'!E5+'CustO&amp;M'!E5+DistDepr!E5+'PayDO&amp;M'!E5+DistTax!E5)/(1-raw!$BH5/100)</f>
        <v>6611134793.225914</v>
      </c>
      <c r="F5" s="4">
        <f>((('DO&amp;M'!F5/('DO&amp;M'!F5+'TO&amp;M'!F5))*'A&amp;GO&amp;M'!F5)+Dist_rrb!F5+'DO&amp;M'!F5+'CustO&amp;M'!F5+DistDepr!F5+'PayDO&amp;M'!F5+DistTax!F5)/(1-raw!$BH5/100)</f>
        <v>6713336387.3425455</v>
      </c>
      <c r="G5" s="4">
        <f>((('DO&amp;M'!G5/('DO&amp;M'!G5+'TO&amp;M'!G5))*'A&amp;GO&amp;M'!G5)+Dist_rrb!G5+'DO&amp;M'!G5+'CustO&amp;M'!G5+DistDepr!G5+'PayDO&amp;M'!G5+DistTax!G5)/(1-raw!$BH5/100)</f>
        <v>6815445636.973175</v>
      </c>
      <c r="H5" s="4">
        <f>((('DO&amp;M'!H5/('DO&amp;M'!H5+'TO&amp;M'!H5))*'A&amp;GO&amp;M'!H5)+Dist_rrb!H5+'DO&amp;M'!H5+'CustO&amp;M'!H5+DistDepr!H5+'PayDO&amp;M'!H5+DistTax!H5)/(1-raw!$BH5/100)</f>
        <v>6908374726.2905474</v>
      </c>
      <c r="I5" s="4">
        <f>((('DO&amp;M'!I5/('DO&amp;M'!I5+'TO&amp;M'!I5))*'A&amp;GO&amp;M'!I5)+Dist_rrb!I5+'DO&amp;M'!I5+'CustO&amp;M'!I5+DistDepr!I5+'PayDO&amp;M'!I5+DistTax!I5)/(1-raw!$BH5/100)</f>
        <v>6998952870.7618055</v>
      </c>
      <c r="J5" s="4">
        <f>((('DO&amp;M'!J5/('DO&amp;M'!J5+'TO&amp;M'!J5))*'A&amp;GO&amp;M'!J5)+Dist_rrb!J5+'DO&amp;M'!J5+'CustO&amp;M'!J5+DistDepr!J5+'PayDO&amp;M'!J5+DistTax!J5)/(1-raw!$BH5/100)</f>
        <v>7085334939.0249863</v>
      </c>
      <c r="K5" s="4">
        <f>((('DO&amp;M'!K5/('DO&amp;M'!K5+'TO&amp;M'!K5))*'A&amp;GO&amp;M'!K5)+Dist_rrb!K5+'DO&amp;M'!K5+'CustO&amp;M'!K5+DistDepr!K5+'PayDO&amp;M'!K5+DistTax!K5)/(1-raw!$BH5/100)</f>
        <v>7171058782.1158142</v>
      </c>
      <c r="L5" s="4">
        <f>((('DO&amp;M'!L5/('DO&amp;M'!L5+'TO&amp;M'!L5))*'A&amp;GO&amp;M'!L5)+Dist_rrb!L5+'DO&amp;M'!L5+'CustO&amp;M'!L5+DistDepr!L5+'PayDO&amp;M'!L5+DistTax!L5)/(1-raw!$BH5/100)</f>
        <v>7254715449.6669006</v>
      </c>
      <c r="M5" s="4">
        <f>((('DO&amp;M'!M5/('DO&amp;M'!M5+'TO&amp;M'!M5))*'A&amp;GO&amp;M'!M5)+Dist_rrb!M5+'DO&amp;M'!M5+'CustO&amp;M'!M5+DistDepr!M5+'PayDO&amp;M'!M5+DistTax!M5)/(1-raw!$BH5/100)</f>
        <v>7334894695.9508085</v>
      </c>
    </row>
    <row r="6" spans="1:13" x14ac:dyDescent="0.2">
      <c r="A6" t="str">
        <f>raw!A6</f>
        <v>Central Hudson Gas &amp; Electric Corp.</v>
      </c>
      <c r="C6" s="4">
        <f>((('DO&amp;M'!C6/('DO&amp;M'!C6+'TO&amp;M'!C6))*'A&amp;GO&amp;M'!C6)+Dist_rrb!C6+'DO&amp;M'!C6+'CustO&amp;M'!C6+DistDepr!C6+'PayDO&amp;M'!C6+DistTax!C6)/(1-raw!$BH6/100)</f>
        <v>1498596651.9142532</v>
      </c>
      <c r="D6" s="4">
        <f>((('DO&amp;M'!D6/('DO&amp;M'!D6+'TO&amp;M'!D6))*'A&amp;GO&amp;M'!D6)+Dist_rrb!D6+'DO&amp;M'!D6+'CustO&amp;M'!D6+DistDepr!D6+'PayDO&amp;M'!D6+DistTax!D6)/(1-raw!$BH6/100)</f>
        <v>1527138667.7983522</v>
      </c>
      <c r="E6" s="4">
        <f>((('DO&amp;M'!E6/('DO&amp;M'!E6+'TO&amp;M'!E6))*'A&amp;GO&amp;M'!E6)+Dist_rrb!E6+'DO&amp;M'!E6+'CustO&amp;M'!E6+DistDepr!E6+'PayDO&amp;M'!E6+DistTax!E6)/(1-raw!$BH6/100)</f>
        <v>1552480282.3013685</v>
      </c>
      <c r="F6" s="4">
        <f>((('DO&amp;M'!F6/('DO&amp;M'!F6+'TO&amp;M'!F6))*'A&amp;GO&amp;M'!F6)+Dist_rrb!F6+'DO&amp;M'!F6+'CustO&amp;M'!F6+DistDepr!F6+'PayDO&amp;M'!F6+DistTax!F6)/(1-raw!$BH6/100)</f>
        <v>1577695125.1137962</v>
      </c>
      <c r="G6" s="4">
        <f>((('DO&amp;M'!G6/('DO&amp;M'!G6+'TO&amp;M'!G6))*'A&amp;GO&amp;M'!G6)+Dist_rrb!G6+'DO&amp;M'!G6+'CustO&amp;M'!G6+DistDepr!G6+'PayDO&amp;M'!G6+DistTax!G6)/(1-raw!$BH6/100)</f>
        <v>1602542233.9821784</v>
      </c>
      <c r="H6" s="4">
        <f>((('DO&amp;M'!H6/('DO&amp;M'!H6+'TO&amp;M'!H6))*'A&amp;GO&amp;M'!H6)+Dist_rrb!H6+'DO&amp;M'!H6+'CustO&amp;M'!H6+DistDepr!H6+'PayDO&amp;M'!H6+DistTax!H6)/(1-raw!$BH6/100)</f>
        <v>1625624931.8369246</v>
      </c>
      <c r="I6" s="4">
        <f>((('DO&amp;M'!I6/('DO&amp;M'!I6+'TO&amp;M'!I6))*'A&amp;GO&amp;M'!I6)+Dist_rrb!I6+'DO&amp;M'!I6+'CustO&amp;M'!I6+DistDepr!I6+'PayDO&amp;M'!I6+DistTax!I6)/(1-raw!$BH6/100)</f>
        <v>1647891730.1593087</v>
      </c>
      <c r="J6" s="4">
        <f>((('DO&amp;M'!J6/('DO&amp;M'!J6+'TO&amp;M'!J6))*'A&amp;GO&amp;M'!J6)+Dist_rrb!J6+'DO&amp;M'!J6+'CustO&amp;M'!J6+DistDepr!J6+'PayDO&amp;M'!J6+DistTax!J6)/(1-raw!$BH6/100)</f>
        <v>1669108235.7695224</v>
      </c>
      <c r="K6" s="4">
        <f>((('DO&amp;M'!K6/('DO&amp;M'!K6+'TO&amp;M'!K6))*'A&amp;GO&amp;M'!K6)+Dist_rrb!K6+'DO&amp;M'!K6+'CustO&amp;M'!K6+DistDepr!K6+'PayDO&amp;M'!K6+DistTax!K6)/(1-raw!$BH6/100)</f>
        <v>1689941216.5053587</v>
      </c>
      <c r="L6" s="4">
        <f>((('DO&amp;M'!L6/('DO&amp;M'!L6+'TO&amp;M'!L6))*'A&amp;GO&amp;M'!L6)+Dist_rrb!L6+'DO&amp;M'!L6+'CustO&amp;M'!L6+DistDepr!L6+'PayDO&amp;M'!L6+DistTax!L6)/(1-raw!$BH6/100)</f>
        <v>1710227327.8353453</v>
      </c>
      <c r="M6" s="4">
        <f>((('DO&amp;M'!M6/('DO&amp;M'!M6+'TO&amp;M'!M6))*'A&amp;GO&amp;M'!M6)+Dist_rrb!M6+'DO&amp;M'!M6+'CustO&amp;M'!M6+DistDepr!M6+'PayDO&amp;M'!M6+DistTax!M6)/(1-raw!$BH6/100)</f>
        <v>1729631895.7184865</v>
      </c>
    </row>
    <row r="7" spans="1:13" x14ac:dyDescent="0.2">
      <c r="A7" t="str">
        <f>raw!A7</f>
        <v>Commonwealth Edison Co.</v>
      </c>
      <c r="C7" s="4">
        <f>((('DO&amp;M'!C7/('DO&amp;M'!C7+'TO&amp;M'!C7))*'A&amp;GO&amp;M'!C7)+Dist_rrb!C7+'DO&amp;M'!C7+'CustO&amp;M'!C7+DistDepr!C7+'PayDO&amp;M'!C7+DistTax!C7)/(1-raw!$BH7/100)</f>
        <v>15286264689.90774</v>
      </c>
      <c r="D7" s="4">
        <f>((('DO&amp;M'!D7/('DO&amp;M'!D7+'TO&amp;M'!D7))*'A&amp;GO&amp;M'!D7)+Dist_rrb!D7+'DO&amp;M'!D7+'CustO&amp;M'!D7+DistDepr!D7+'PayDO&amp;M'!D7+DistTax!D7)/(1-raw!$BH7/100)</f>
        <v>15591044169.11533</v>
      </c>
      <c r="E7" s="4">
        <f>((('DO&amp;M'!E7/('DO&amp;M'!E7+'TO&amp;M'!E7))*'A&amp;GO&amp;M'!E7)+Dist_rrb!E7+'DO&amp;M'!E7+'CustO&amp;M'!E7+DistDepr!E7+'PayDO&amp;M'!E7+DistTax!E7)/(1-raw!$BH7/100)</f>
        <v>15861342358.68133</v>
      </c>
      <c r="F7" s="4">
        <f>((('DO&amp;M'!F7/('DO&amp;M'!F7+'TO&amp;M'!F7))*'A&amp;GO&amp;M'!F7)+Dist_rrb!F7+'DO&amp;M'!F7+'CustO&amp;M'!F7+DistDepr!F7+'PayDO&amp;M'!F7+DistTax!F7)/(1-raw!$BH7/100)</f>
        <v>16129549852.164566</v>
      </c>
      <c r="G7" s="4">
        <f>((('DO&amp;M'!G7/('DO&amp;M'!G7+'TO&amp;M'!G7))*'A&amp;GO&amp;M'!G7)+Dist_rrb!G7+'DO&amp;M'!G7+'CustO&amp;M'!G7+DistDepr!G7+'PayDO&amp;M'!G7+DistTax!G7)/(1-raw!$BH7/100)</f>
        <v>16393089528.439905</v>
      </c>
      <c r="H7" s="4">
        <f>((('DO&amp;M'!H7/('DO&amp;M'!H7+'TO&amp;M'!H7))*'A&amp;GO&amp;M'!H7)+Dist_rrb!H7+'DO&amp;M'!H7+'CustO&amp;M'!H7+DistDepr!H7+'PayDO&amp;M'!H7+DistTax!H7)/(1-raw!$BH7/100)</f>
        <v>16637830348.911383</v>
      </c>
      <c r="I7" s="4">
        <f>((('DO&amp;M'!I7/('DO&amp;M'!I7+'TO&amp;M'!I7))*'A&amp;GO&amp;M'!I7)+Dist_rrb!I7+'DO&amp;M'!I7+'CustO&amp;M'!I7+DistDepr!I7+'PayDO&amp;M'!I7+DistTax!I7)/(1-raw!$BH7/100)</f>
        <v>16873646217.727621</v>
      </c>
      <c r="J7" s="4">
        <f>((('DO&amp;M'!J7/('DO&amp;M'!J7+'TO&amp;M'!J7))*'A&amp;GO&amp;M'!J7)+Dist_rrb!J7+'DO&amp;M'!J7+'CustO&amp;M'!J7+DistDepr!J7+'PayDO&amp;M'!J7+DistTax!J7)/(1-raw!$BH7/100)</f>
        <v>17097829255.883221</v>
      </c>
      <c r="K7" s="4">
        <f>((('DO&amp;M'!K7/('DO&amp;M'!K7+'TO&amp;M'!K7))*'A&amp;GO&amp;M'!K7)+Dist_rrb!K7+'DO&amp;M'!K7+'CustO&amp;M'!K7+DistDepr!K7+'PayDO&amp;M'!K7+DistTax!K7)/(1-raw!$BH7/100)</f>
        <v>17317772159.626339</v>
      </c>
      <c r="L7" s="4">
        <f>((('DO&amp;M'!L7/('DO&amp;M'!L7+'TO&amp;M'!L7))*'A&amp;GO&amp;M'!L7)+Dist_rrb!L7+'DO&amp;M'!L7+'CustO&amp;M'!L7+DistDepr!L7+'PayDO&amp;M'!L7+DistTax!L7)/(1-raw!$BH7/100)</f>
        <v>17531856711.066349</v>
      </c>
      <c r="M7" s="4">
        <f>((('DO&amp;M'!M7/('DO&amp;M'!M7+'TO&amp;M'!M7))*'A&amp;GO&amp;M'!M7)+Dist_rrb!M7+'DO&amp;M'!M7+'CustO&amp;M'!M7+DistDepr!M7+'PayDO&amp;M'!M7+DistTax!M7)/(1-raw!$BH7/100)</f>
        <v>17736245059.101295</v>
      </c>
    </row>
    <row r="8" spans="1:13" x14ac:dyDescent="0.2">
      <c r="A8" t="str">
        <f>raw!A8</f>
        <v>Consolidated Edison Co. of New York, Inc.</v>
      </c>
      <c r="C8" s="4">
        <f>((('DO&amp;M'!C8/('DO&amp;M'!C8+'TO&amp;M'!C8))*'A&amp;GO&amp;M'!C8)+Dist_rrb!C8+'DO&amp;M'!C8+'CustO&amp;M'!C8+DistDepr!C8+'PayDO&amp;M'!C8+DistTax!C8)/(1-raw!$BH8/100)</f>
        <v>24375455615.223507</v>
      </c>
      <c r="D8" s="4">
        <f>((('DO&amp;M'!D8/('DO&amp;M'!D8+'TO&amp;M'!D8))*'A&amp;GO&amp;M'!D8)+Dist_rrb!D8+'DO&amp;M'!D8+'CustO&amp;M'!D8+DistDepr!D8+'PayDO&amp;M'!D8+DistTax!D8)/(1-raw!$BH8/100)</f>
        <v>24779701473.517818</v>
      </c>
      <c r="E8" s="4">
        <f>((('DO&amp;M'!E8/('DO&amp;M'!E8+'TO&amp;M'!E8))*'A&amp;GO&amp;M'!E8)+Dist_rrb!E8+'DO&amp;M'!E8+'CustO&amp;M'!E8+DistDepr!E8+'PayDO&amp;M'!E8+DistTax!E8)/(1-raw!$BH8/100)</f>
        <v>25121912913.463066</v>
      </c>
      <c r="F8" s="4">
        <f>((('DO&amp;M'!F8/('DO&amp;M'!F8+'TO&amp;M'!F8))*'A&amp;GO&amp;M'!F8)+Dist_rrb!F8+'DO&amp;M'!F8+'CustO&amp;M'!F8+DistDepr!F8+'PayDO&amp;M'!F8+DistTax!F8)/(1-raw!$BH8/100)</f>
        <v>25470803372.710396</v>
      </c>
      <c r="G8" s="4">
        <f>((('DO&amp;M'!G8/('DO&amp;M'!G8+'TO&amp;M'!G8))*'A&amp;GO&amp;M'!G8)+Dist_rrb!G8+'DO&amp;M'!G8+'CustO&amp;M'!G8+DistDepr!G8+'PayDO&amp;M'!G8+DistTax!G8)/(1-raw!$BH8/100)</f>
        <v>25816366177.327229</v>
      </c>
      <c r="H8" s="4">
        <f>((('DO&amp;M'!H8/('DO&amp;M'!H8+'TO&amp;M'!H8))*'A&amp;GO&amp;M'!H8)+Dist_rrb!H8+'DO&amp;M'!H8+'CustO&amp;M'!H8+DistDepr!H8+'PayDO&amp;M'!H8+DistTax!H8)/(1-raw!$BH8/100)</f>
        <v>26125655230.477062</v>
      </c>
      <c r="I8" s="4">
        <f>((('DO&amp;M'!I8/('DO&amp;M'!I8+'TO&amp;M'!I8))*'A&amp;GO&amp;M'!I8)+Dist_rrb!I8+'DO&amp;M'!I8+'CustO&amp;M'!I8+DistDepr!I8+'PayDO&amp;M'!I8+DistTax!I8)/(1-raw!$BH8/100)</f>
        <v>26423905513.131615</v>
      </c>
      <c r="J8" s="4">
        <f>((('DO&amp;M'!J8/('DO&amp;M'!J8+'TO&amp;M'!J8))*'A&amp;GO&amp;M'!J8)+Dist_rrb!J8+'DO&amp;M'!J8+'CustO&amp;M'!J8+DistDepr!J8+'PayDO&amp;M'!J8+DistTax!J8)/(1-raw!$BH8/100)</f>
        <v>26703803638.872169</v>
      </c>
      <c r="K8" s="4">
        <f>((('DO&amp;M'!K8/('DO&amp;M'!K8+'TO&amp;M'!K8))*'A&amp;GO&amp;M'!K8)+Dist_rrb!K8+'DO&amp;M'!K8+'CustO&amp;M'!K8+DistDepr!K8+'PayDO&amp;M'!K8+DistTax!K8)/(1-raw!$BH8/100)</f>
        <v>26979153469.32185</v>
      </c>
      <c r="L8" s="4">
        <f>((('DO&amp;M'!L8/('DO&amp;M'!L8+'TO&amp;M'!L8))*'A&amp;GO&amp;M'!L8)+Dist_rrb!L8+'DO&amp;M'!L8+'CustO&amp;M'!L8+DistDepr!L8+'PayDO&amp;M'!L8+DistTax!L8)/(1-raw!$BH8/100)</f>
        <v>27245007997.470505</v>
      </c>
      <c r="M8" s="4">
        <f>((('DO&amp;M'!M8/('DO&amp;M'!M8+'TO&amp;M'!M8))*'A&amp;GO&amp;M'!M8)+Dist_rrb!M8+'DO&amp;M'!M8+'CustO&amp;M'!M8+DistDepr!M8+'PayDO&amp;M'!M8+DistTax!M8)/(1-raw!$BH8/100)</f>
        <v>27495377782.57391</v>
      </c>
    </row>
    <row r="9" spans="1:13" x14ac:dyDescent="0.2">
      <c r="A9" t="str">
        <f>raw!A9</f>
        <v>Consumers Energy Co.</v>
      </c>
      <c r="C9" s="4">
        <f>((('DO&amp;M'!C9/('DO&amp;M'!C9+'TO&amp;M'!C9))*'A&amp;GO&amp;M'!C9)+Dist_rrb!C9+'DO&amp;M'!C9+'CustO&amp;M'!C9+DistDepr!C9+'PayDO&amp;M'!C9+DistTax!C9)/(1-raw!$BH9/100)</f>
        <v>6302001395.4177542</v>
      </c>
      <c r="D9" s="4">
        <f>((('DO&amp;M'!D9/('DO&amp;M'!D9+'TO&amp;M'!D9))*'A&amp;GO&amp;M'!D9)+Dist_rrb!D9+'DO&amp;M'!D9+'CustO&amp;M'!D9+DistDepr!D9+'PayDO&amp;M'!D9+DistTax!D9)/(1-raw!$BH9/100)</f>
        <v>6417596578.9446659</v>
      </c>
      <c r="E9" s="4">
        <f>((('DO&amp;M'!E9/('DO&amp;M'!E9+'TO&amp;M'!E9))*'A&amp;GO&amp;M'!E9)+Dist_rrb!E9+'DO&amp;M'!E9+'CustO&amp;M'!E9+DistDepr!E9+'PayDO&amp;M'!E9+DistTax!E9)/(1-raw!$BH9/100)</f>
        <v>6517830501.2894611</v>
      </c>
      <c r="F9" s="4">
        <f>((('DO&amp;M'!F9/('DO&amp;M'!F9+'TO&amp;M'!F9))*'A&amp;GO&amp;M'!F9)+Dist_rrb!F9+'DO&amp;M'!F9+'CustO&amp;M'!F9+DistDepr!F9+'PayDO&amp;M'!F9+DistTax!F9)/(1-raw!$BH9/100)</f>
        <v>6619157989.5007</v>
      </c>
      <c r="G9" s="4">
        <f>((('DO&amp;M'!G9/('DO&amp;M'!G9+'TO&amp;M'!G9))*'A&amp;GO&amp;M'!G9)+Dist_rrb!G9+'DO&amp;M'!G9+'CustO&amp;M'!G9+DistDepr!G9+'PayDO&amp;M'!G9+DistTax!G9)/(1-raw!$BH9/100)</f>
        <v>6719517740.8970356</v>
      </c>
      <c r="H9" s="4">
        <f>((('DO&amp;M'!H9/('DO&amp;M'!H9+'TO&amp;M'!H9))*'A&amp;GO&amp;M'!H9)+Dist_rrb!H9+'DO&amp;M'!H9+'CustO&amp;M'!H9+DistDepr!H9+'PayDO&amp;M'!H9+DistTax!H9)/(1-raw!$BH9/100)</f>
        <v>6811064301.5929499</v>
      </c>
      <c r="I9" s="4">
        <f>((('DO&amp;M'!I9/('DO&amp;M'!I9+'TO&amp;M'!I9))*'A&amp;GO&amp;M'!I9)+Dist_rrb!I9+'DO&amp;M'!I9+'CustO&amp;M'!I9+DistDepr!I9+'PayDO&amp;M'!I9+DistTax!I9)/(1-raw!$BH9/100)</f>
        <v>6899623482.8933687</v>
      </c>
      <c r="J9" s="4">
        <f>((('DO&amp;M'!J9/('DO&amp;M'!J9+'TO&amp;M'!J9))*'A&amp;GO&amp;M'!J9)+Dist_rrb!J9+'DO&amp;M'!J9+'CustO&amp;M'!J9+DistDepr!J9+'PayDO&amp;M'!J9+DistTax!J9)/(1-raw!$BH9/100)</f>
        <v>6983576781.3433657</v>
      </c>
      <c r="K9" s="4">
        <f>((('DO&amp;M'!K9/('DO&amp;M'!K9+'TO&amp;M'!K9))*'A&amp;GO&amp;M'!K9)+Dist_rrb!K9+'DO&amp;M'!K9+'CustO&amp;M'!K9+DistDepr!K9+'PayDO&amp;M'!K9+DistTax!K9)/(1-raw!$BH9/100)</f>
        <v>7066322069.8822908</v>
      </c>
      <c r="L9" s="4">
        <f>((('DO&amp;M'!L9/('DO&amp;M'!L9+'TO&amp;M'!L9))*'A&amp;GO&amp;M'!L9)+Dist_rrb!L9+'DO&amp;M'!L9+'CustO&amp;M'!L9+DistDepr!L9+'PayDO&amp;M'!L9+DistTax!L9)/(1-raw!$BH9/100)</f>
        <v>7146737109.3367157</v>
      </c>
      <c r="M9" s="4">
        <f>((('DO&amp;M'!M9/('DO&amp;M'!M9+'TO&amp;M'!M9))*'A&amp;GO&amp;M'!M9)+Dist_rrb!M9+'DO&amp;M'!M9+'CustO&amp;M'!M9+DistDepr!M9+'PayDO&amp;M'!M9+DistTax!M9)/(1-raw!$BH9/100)</f>
        <v>7223301929.7014666</v>
      </c>
    </row>
    <row r="10" spans="1:13" x14ac:dyDescent="0.2">
      <c r="A10" t="str">
        <f>raw!A10</f>
        <v>Duke Energy Corp.</v>
      </c>
      <c r="C10" s="4">
        <f>((('DO&amp;M'!C10/('DO&amp;M'!C10+'TO&amp;M'!C10))*'A&amp;GO&amp;M'!C10)+Dist_rrb!C10+'DO&amp;M'!C10+'CustO&amp;M'!C10+DistDepr!C10+'PayDO&amp;M'!C10+DistTax!C10)/(1-raw!$BH10/100)</f>
        <v>12036812326.942268</v>
      </c>
      <c r="D10" s="4">
        <f>((('DO&amp;M'!D10/('DO&amp;M'!D10+'TO&amp;M'!D10))*'A&amp;GO&amp;M'!D10)+Dist_rrb!D10+'DO&amp;M'!D10+'CustO&amp;M'!D10+DistDepr!D10+'PayDO&amp;M'!D10+DistTax!D10)/(1-raw!$BH10/100)</f>
        <v>12227163884.784281</v>
      </c>
      <c r="E10" s="4">
        <f>((('DO&amp;M'!E10/('DO&amp;M'!E10+'TO&amp;M'!E10))*'A&amp;GO&amp;M'!E10)+Dist_rrb!E10+'DO&amp;M'!E10+'CustO&amp;M'!E10+DistDepr!E10+'PayDO&amp;M'!E10+DistTax!E10)/(1-raw!$BH10/100)</f>
        <v>12389604410.669327</v>
      </c>
      <c r="F10" s="4">
        <f>((('DO&amp;M'!F10/('DO&amp;M'!F10+'TO&amp;M'!F10))*'A&amp;GO&amp;M'!F10)+Dist_rrb!F10+'DO&amp;M'!F10+'CustO&amp;M'!F10+DistDepr!F10+'PayDO&amp;M'!F10+DistTax!F10)/(1-raw!$BH10/100)</f>
        <v>12558720101.60125</v>
      </c>
      <c r="G10" s="4">
        <f>((('DO&amp;M'!G10/('DO&amp;M'!G10+'TO&amp;M'!G10))*'A&amp;GO&amp;M'!G10)+Dist_rrb!G10+'DO&amp;M'!G10+'CustO&amp;M'!G10+DistDepr!G10+'PayDO&amp;M'!G10+DistTax!G10)/(1-raw!$BH10/100)</f>
        <v>12729251202.419415</v>
      </c>
      <c r="H10" s="4">
        <f>((('DO&amp;M'!H10/('DO&amp;M'!H10+'TO&amp;M'!H10))*'A&amp;GO&amp;M'!H10)+Dist_rrb!H10+'DO&amp;M'!H10+'CustO&amp;M'!H10+DistDepr!H10+'PayDO&amp;M'!H10+DistTax!H10)/(1-raw!$BH10/100)</f>
        <v>12882819183.476189</v>
      </c>
      <c r="I10" s="4">
        <f>((('DO&amp;M'!I10/('DO&amp;M'!I10+'TO&amp;M'!I10))*'A&amp;GO&amp;M'!I10)+Dist_rrb!I10+'DO&amp;M'!I10+'CustO&amp;M'!I10+DistDepr!I10+'PayDO&amp;M'!I10+DistTax!I10)/(1-raw!$BH10/100)</f>
        <v>13033070340.155279</v>
      </c>
      <c r="J10" s="4">
        <f>((('DO&amp;M'!J10/('DO&amp;M'!J10+'TO&amp;M'!J10))*'A&amp;GO&amp;M'!J10)+Dist_rrb!J10+'DO&amp;M'!J10+'CustO&amp;M'!J10+DistDepr!J10+'PayDO&amp;M'!J10+DistTax!J10)/(1-raw!$BH10/100)</f>
        <v>13176592097.043455</v>
      </c>
      <c r="K10" s="4">
        <f>((('DO&amp;M'!K10/('DO&amp;M'!K10+'TO&amp;M'!K10))*'A&amp;GO&amp;M'!K10)+Dist_rrb!K10+'DO&amp;M'!K10+'CustO&amp;M'!K10+DistDepr!K10+'PayDO&amp;M'!K10+DistTax!K10)/(1-raw!$BH10/100)</f>
        <v>13319562325.829241</v>
      </c>
      <c r="L10" s="4">
        <f>((('DO&amp;M'!L10/('DO&amp;M'!L10+'TO&amp;M'!L10))*'A&amp;GO&amp;M'!L10)+Dist_rrb!L10+'DO&amp;M'!L10+'CustO&amp;M'!L10+DistDepr!L10+'PayDO&amp;M'!L10+DistTax!L10)/(1-raw!$BH10/100)</f>
        <v>13459016360.968353</v>
      </c>
      <c r="M10" s="4">
        <f>((('DO&amp;M'!M10/('DO&amp;M'!M10+'TO&amp;M'!M10))*'A&amp;GO&amp;M'!M10)+Dist_rrb!M10+'DO&amp;M'!M10+'CustO&amp;M'!M10+DistDepr!M10+'PayDO&amp;M'!M10+DistTax!M10)/(1-raw!$BH10/100)</f>
        <v>13592822112.005352</v>
      </c>
    </row>
    <row r="11" spans="1:13" x14ac:dyDescent="0.2">
      <c r="A11" t="str">
        <f>raw!A11</f>
        <v>Entergy Mississippi, Inc.</v>
      </c>
      <c r="C11" s="4">
        <f>((('DO&amp;M'!C11/('DO&amp;M'!C11+'TO&amp;M'!C11))*'A&amp;GO&amp;M'!C11)+Dist_rrb!C11+'DO&amp;M'!C11+'CustO&amp;M'!C11+DistDepr!C11+'PayDO&amp;M'!C11+DistTax!C11)/(1-raw!$BH11/100)</f>
        <v>2181065495.1779017</v>
      </c>
      <c r="D11" s="4">
        <f>((('DO&amp;M'!D11/('DO&amp;M'!D11+'TO&amp;M'!D11))*'A&amp;GO&amp;M'!D11)+Dist_rrb!D11+'DO&amp;M'!D11+'CustO&amp;M'!D11+DistDepr!D11+'PayDO&amp;M'!D11+DistTax!D11)/(1-raw!$BH11/100)</f>
        <v>2222435172.6198354</v>
      </c>
      <c r="E11" s="4">
        <f>((('DO&amp;M'!E11/('DO&amp;M'!E11+'TO&amp;M'!E11))*'A&amp;GO&amp;M'!E11)+Dist_rrb!E11+'DO&amp;M'!E11+'CustO&amp;M'!E11+DistDepr!E11+'PayDO&amp;M'!E11+DistTax!E11)/(1-raw!$BH11/100)</f>
        <v>2258817375.7267141</v>
      </c>
      <c r="F11" s="4">
        <f>((('DO&amp;M'!F11/('DO&amp;M'!F11+'TO&amp;M'!F11))*'A&amp;GO&amp;M'!F11)+Dist_rrb!F11+'DO&amp;M'!F11+'CustO&amp;M'!F11+DistDepr!F11+'PayDO&amp;M'!F11+DistTax!F11)/(1-raw!$BH11/100)</f>
        <v>2294431786.7894192</v>
      </c>
      <c r="G11" s="4">
        <f>((('DO&amp;M'!G11/('DO&amp;M'!G11+'TO&amp;M'!G11))*'A&amp;GO&amp;M'!G11)+Dist_rrb!G11+'DO&amp;M'!G11+'CustO&amp;M'!G11+DistDepr!G11+'PayDO&amp;M'!G11+DistTax!G11)/(1-raw!$BH11/100)</f>
        <v>2329007640.6806216</v>
      </c>
      <c r="H11" s="4">
        <f>((('DO&amp;M'!H11/('DO&amp;M'!H11+'TO&amp;M'!H11))*'A&amp;GO&amp;M'!H11)+Dist_rrb!H11+'DO&amp;M'!H11+'CustO&amp;M'!H11+DistDepr!H11+'PayDO&amp;M'!H11+DistTax!H11)/(1-raw!$BH11/100)</f>
        <v>2360916508.2207193</v>
      </c>
      <c r="I11" s="4">
        <f>((('DO&amp;M'!I11/('DO&amp;M'!I11+'TO&amp;M'!I11))*'A&amp;GO&amp;M'!I11)+Dist_rrb!I11+'DO&amp;M'!I11+'CustO&amp;M'!I11+DistDepr!I11+'PayDO&amp;M'!I11+DistTax!I11)/(1-raw!$BH11/100)</f>
        <v>2391276276.4645782</v>
      </c>
      <c r="J11" s="4">
        <f>((('DO&amp;M'!J11/('DO&amp;M'!J11+'TO&amp;M'!J11))*'A&amp;GO&amp;M'!J11)+Dist_rrb!J11+'DO&amp;M'!J11+'CustO&amp;M'!J11+DistDepr!J11+'PayDO&amp;M'!J11+DistTax!J11)/(1-raw!$BH11/100)</f>
        <v>2419747033.7786474</v>
      </c>
      <c r="K11" s="4">
        <f>((('DO&amp;M'!K11/('DO&amp;M'!K11+'TO&amp;M'!K11))*'A&amp;GO&amp;M'!K11)+Dist_rrb!K11+'DO&amp;M'!K11+'CustO&amp;M'!K11+DistDepr!K11+'PayDO&amp;M'!K11+DistTax!K11)/(1-raw!$BH11/100)</f>
        <v>2447353164.8545432</v>
      </c>
      <c r="L11" s="4">
        <f>((('DO&amp;M'!L11/('DO&amp;M'!L11+'TO&amp;M'!L11))*'A&amp;GO&amp;M'!L11)+Dist_rrb!L11+'DO&amp;M'!L11+'CustO&amp;M'!L11+DistDepr!L11+'PayDO&amp;M'!L11+DistTax!L11)/(1-raw!$BH11/100)</f>
        <v>2473955662.3116312</v>
      </c>
      <c r="M11" s="4">
        <f>((('DO&amp;M'!M11/('DO&amp;M'!M11+'TO&amp;M'!M11))*'A&amp;GO&amp;M'!M11)+Dist_rrb!M11+'DO&amp;M'!M11+'CustO&amp;M'!M11+DistDepr!M11+'PayDO&amp;M'!M11+DistTax!M11)/(1-raw!$BH11/100)</f>
        <v>2498954263.438848</v>
      </c>
    </row>
    <row r="12" spans="1:13" x14ac:dyDescent="0.2">
      <c r="A12" t="str">
        <f>raw!A12</f>
        <v>Florida Power &amp; Light Co.</v>
      </c>
      <c r="C12" s="4">
        <f>((('DO&amp;M'!C12/('DO&amp;M'!C12+'TO&amp;M'!C12))*'A&amp;GO&amp;M'!C12)+Dist_rrb!C12+'DO&amp;M'!C12+'CustO&amp;M'!C12+DistDepr!C12+'PayDO&amp;M'!C12+DistTax!C12)/(1-raw!$BH12/100)</f>
        <v>17951186241.459831</v>
      </c>
      <c r="D12" s="4">
        <f>((('DO&amp;M'!D12/('DO&amp;M'!D12+'TO&amp;M'!D12))*'A&amp;GO&amp;M'!D12)+Dist_rrb!D12+'DO&amp;M'!D12+'CustO&amp;M'!D12+DistDepr!D12+'PayDO&amp;M'!D12+DistTax!D12)/(1-raw!$BH12/100)</f>
        <v>18256460387.760498</v>
      </c>
      <c r="E12" s="4">
        <f>((('DO&amp;M'!E12/('DO&amp;M'!E12+'TO&amp;M'!E12))*'A&amp;GO&amp;M'!E12)+Dist_rrb!E12+'DO&amp;M'!E12+'CustO&amp;M'!E12+DistDepr!E12+'PayDO&amp;M'!E12+DistTax!E12)/(1-raw!$BH12/100)</f>
        <v>18521517435.880802</v>
      </c>
      <c r="F12" s="4">
        <f>((('DO&amp;M'!F12/('DO&amp;M'!F12+'TO&amp;M'!F12))*'A&amp;GO&amp;M'!F12)+Dist_rrb!F12+'DO&amp;M'!F12+'CustO&amp;M'!F12+DistDepr!F12+'PayDO&amp;M'!F12+DistTax!F12)/(1-raw!$BH12/100)</f>
        <v>18788978097.784218</v>
      </c>
      <c r="G12" s="4">
        <f>((('DO&amp;M'!G12/('DO&amp;M'!G12+'TO&amp;M'!G12))*'A&amp;GO&amp;M'!G12)+Dist_rrb!G12+'DO&amp;M'!G12+'CustO&amp;M'!G12+DistDepr!G12+'PayDO&amp;M'!G12+DistTax!G12)/(1-raw!$BH12/100)</f>
        <v>19053850739.123188</v>
      </c>
      <c r="H12" s="4">
        <f>((('DO&amp;M'!H12/('DO&amp;M'!H12+'TO&amp;M'!H12))*'A&amp;GO&amp;M'!H12)+Dist_rrb!H12+'DO&amp;M'!H12+'CustO&amp;M'!H12+DistDepr!H12+'PayDO&amp;M'!H12+DistTax!H12)/(1-raw!$BH12/100)</f>
        <v>19295589134.619984</v>
      </c>
      <c r="I12" s="4">
        <f>((('DO&amp;M'!I12/('DO&amp;M'!I12+'TO&amp;M'!I12))*'A&amp;GO&amp;M'!I12)+Dist_rrb!I12+'DO&amp;M'!I12+'CustO&amp;M'!I12+DistDepr!I12+'PayDO&amp;M'!I12+DistTax!I12)/(1-raw!$BH12/100)</f>
        <v>19528939668.182411</v>
      </c>
      <c r="J12" s="4">
        <f>((('DO&amp;M'!J12/('DO&amp;M'!J12+'TO&amp;M'!J12))*'A&amp;GO&amp;M'!J12)+Dist_rrb!J12+'DO&amp;M'!J12+'CustO&amp;M'!J12+DistDepr!J12+'PayDO&amp;M'!J12+DistTax!J12)/(1-raw!$BH12/100)</f>
        <v>19750108753.625614</v>
      </c>
      <c r="K12" s="4">
        <f>((('DO&amp;M'!K12/('DO&amp;M'!K12+'TO&amp;M'!K12))*'A&amp;GO&amp;M'!K12)+Dist_rrb!K12+'DO&amp;M'!K12+'CustO&amp;M'!K12+DistDepr!K12+'PayDO&amp;M'!K12+DistTax!K12)/(1-raw!$BH12/100)</f>
        <v>19967607861.344154</v>
      </c>
      <c r="L12" s="4">
        <f>((('DO&amp;M'!L12/('DO&amp;M'!L12+'TO&amp;M'!L12))*'A&amp;GO&amp;M'!L12)+Dist_rrb!L12+'DO&amp;M'!L12+'CustO&amp;M'!L12+DistDepr!L12+'PayDO&amp;M'!L12+DistTax!L12)/(1-raw!$BH12/100)</f>
        <v>20178599591.516407</v>
      </c>
      <c r="M12" s="4">
        <f>((('DO&amp;M'!M12/('DO&amp;M'!M12+'TO&amp;M'!M12))*'A&amp;GO&amp;M'!M12)+Dist_rrb!M12+'DO&amp;M'!M12+'CustO&amp;M'!M12+DistDepr!M12+'PayDO&amp;M'!M12+DistTax!M12)/(1-raw!$BH12/100)</f>
        <v>20379273100.859165</v>
      </c>
    </row>
    <row r="13" spans="1:13" x14ac:dyDescent="0.2">
      <c r="A13" t="str">
        <f>raw!A13</f>
        <v>Gulf Power Co.</v>
      </c>
      <c r="C13" s="4">
        <f>((('DO&amp;M'!C13/('DO&amp;M'!C13+'TO&amp;M'!C13))*'A&amp;GO&amp;M'!C13)+Dist_rrb!C13+'DO&amp;M'!C13+'CustO&amp;M'!C13+DistDepr!C13+'PayDO&amp;M'!C13+DistTax!C13)/(1-raw!$BH13/100)</f>
        <v>1629727638.8506117</v>
      </c>
      <c r="D13" s="4">
        <f>((('DO&amp;M'!D13/('DO&amp;M'!D13+'TO&amp;M'!D13))*'A&amp;GO&amp;M'!D13)+Dist_rrb!D13+'DO&amp;M'!D13+'CustO&amp;M'!D13+DistDepr!D13+'PayDO&amp;M'!D13+DistTax!D13)/(1-raw!$BH13/100)</f>
        <v>1659132196.9345138</v>
      </c>
      <c r="E13" s="4">
        <f>((('DO&amp;M'!E13/('DO&amp;M'!E13+'TO&amp;M'!E13))*'A&amp;GO&amp;M'!E13)+Dist_rrb!E13+'DO&amp;M'!E13+'CustO&amp;M'!E13+DistDepr!E13+'PayDO&amp;M'!E13+DistTax!E13)/(1-raw!$BH13/100)</f>
        <v>1684736141.2121553</v>
      </c>
      <c r="F13" s="4">
        <f>((('DO&amp;M'!F13/('DO&amp;M'!F13+'TO&amp;M'!F13))*'A&amp;GO&amp;M'!F13)+Dist_rrb!F13+'DO&amp;M'!F13+'CustO&amp;M'!F13+DistDepr!F13+'PayDO&amp;M'!F13+DistTax!F13)/(1-raw!$BH13/100)</f>
        <v>1710659473.6149831</v>
      </c>
      <c r="G13" s="4">
        <f>((('DO&amp;M'!G13/('DO&amp;M'!G13+'TO&amp;M'!G13))*'A&amp;GO&amp;M'!G13)+Dist_rrb!G13+'DO&amp;M'!G13+'CustO&amp;M'!G13+DistDepr!G13+'PayDO&amp;M'!G13+DistTax!G13)/(1-raw!$BH13/100)</f>
        <v>1736394149.1217952</v>
      </c>
      <c r="H13" s="4">
        <f>((('DO&amp;M'!H13/('DO&amp;M'!H13+'TO&amp;M'!H13))*'A&amp;GO&amp;M'!H13)+Dist_rrb!H13+'DO&amp;M'!H13+'CustO&amp;M'!H13+DistDepr!H13+'PayDO&amp;M'!H13+DistTax!H13)/(1-raw!$BH13/100)</f>
        <v>1759936927.6315234</v>
      </c>
      <c r="I13" s="4">
        <f>((('DO&amp;M'!I13/('DO&amp;M'!I13+'TO&amp;M'!I13))*'A&amp;GO&amp;M'!I13)+Dist_rrb!I13+'DO&amp;M'!I13+'CustO&amp;M'!I13+DistDepr!I13+'PayDO&amp;M'!I13+DistTax!I13)/(1-raw!$BH13/100)</f>
        <v>1782755283.7349038</v>
      </c>
      <c r="J13" s="4">
        <f>((('DO&amp;M'!J13/('DO&amp;M'!J13+'TO&amp;M'!J13))*'A&amp;GO&amp;M'!J13)+Dist_rrb!J13+'DO&amp;M'!J13+'CustO&amp;M'!J13+DistDepr!J13+'PayDO&amp;M'!J13+DistTax!J13)/(1-raw!$BH13/100)</f>
        <v>1804458337.3041153</v>
      </c>
      <c r="K13" s="4">
        <f>((('DO&amp;M'!K13/('DO&amp;M'!K13+'TO&amp;M'!K13))*'A&amp;GO&amp;M'!K13)+Dist_rrb!K13+'DO&amp;M'!K13+'CustO&amp;M'!K13+DistDepr!K13+'PayDO&amp;M'!K13+DistTax!K13)/(1-raw!$BH13/100)</f>
        <v>1825878600.4937947</v>
      </c>
      <c r="L13" s="4">
        <f>((('DO&amp;M'!L13/('DO&amp;M'!L13+'TO&amp;M'!L13))*'A&amp;GO&amp;M'!L13)+Dist_rrb!L13+'DO&amp;M'!L13+'CustO&amp;M'!L13+DistDepr!L13+'PayDO&amp;M'!L13+DistTax!L13)/(1-raw!$BH13/100)</f>
        <v>1846727831.337708</v>
      </c>
      <c r="M13" s="4">
        <f>((('DO&amp;M'!M13/('DO&amp;M'!M13+'TO&amp;M'!M13))*'A&amp;GO&amp;M'!M13)+Dist_rrb!M13+'DO&amp;M'!M13+'CustO&amp;M'!M13+DistDepr!M13+'PayDO&amp;M'!M13+DistTax!M13)/(1-raw!$BH13/100)</f>
        <v>1866643121.4901302</v>
      </c>
    </row>
    <row r="14" spans="1:13" x14ac:dyDescent="0.2">
      <c r="A14" t="str">
        <f>raw!A14</f>
        <v>Illinois Power Co.</v>
      </c>
      <c r="C14" s="4">
        <f>((('DO&amp;M'!C14/('DO&amp;M'!C14+'TO&amp;M'!C14))*'A&amp;GO&amp;M'!C14)+Dist_rrb!C14+'DO&amp;M'!C14+'CustO&amp;M'!C14+DistDepr!C14+'PayDO&amp;M'!C14+DistTax!C14)/(1-raw!$BH14/100)</f>
        <v>2890573846.9794731</v>
      </c>
      <c r="D14" s="4">
        <f>((('DO&amp;M'!D14/('DO&amp;M'!D14+'TO&amp;M'!D14))*'A&amp;GO&amp;M'!D14)+Dist_rrb!D14+'DO&amp;M'!D14+'CustO&amp;M'!D14+DistDepr!D14+'PayDO&amp;M'!D14+DistTax!D14)/(1-raw!$BH14/100)</f>
        <v>2945425448.2247844</v>
      </c>
      <c r="E14" s="4">
        <f>((('DO&amp;M'!E14/('DO&amp;M'!E14+'TO&amp;M'!E14))*'A&amp;GO&amp;M'!E14)+Dist_rrb!E14+'DO&amp;M'!E14+'CustO&amp;M'!E14+DistDepr!E14+'PayDO&amp;M'!E14+DistTax!E14)/(1-raw!$BH14/100)</f>
        <v>2993428205.4393101</v>
      </c>
      <c r="F14" s="4">
        <f>((('DO&amp;M'!F14/('DO&amp;M'!F14+'TO&amp;M'!F14))*'A&amp;GO&amp;M'!F14)+Dist_rrb!F14+'DO&amp;M'!F14+'CustO&amp;M'!F14+DistDepr!F14+'PayDO&amp;M'!F14+DistTax!F14)/(1-raw!$BH14/100)</f>
        <v>3041560431.6493149</v>
      </c>
      <c r="G14" s="4">
        <f>((('DO&amp;M'!G14/('DO&amp;M'!G14+'TO&amp;M'!G14))*'A&amp;GO&amp;M'!G14)+Dist_rrb!G14+'DO&amp;M'!G14+'CustO&amp;M'!G14+DistDepr!G14+'PayDO&amp;M'!G14+DistTax!G14)/(1-raw!$BH14/100)</f>
        <v>3089057006.1480408</v>
      </c>
      <c r="H14" s="4">
        <f>((('DO&amp;M'!H14/('DO&amp;M'!H14+'TO&amp;M'!H14))*'A&amp;GO&amp;M'!H14)+Dist_rrb!H14+'DO&amp;M'!H14+'CustO&amp;M'!H14+DistDepr!H14+'PayDO&amp;M'!H14+DistTax!H14)/(1-raw!$BH14/100)</f>
        <v>3132701190.7079601</v>
      </c>
      <c r="I14" s="4">
        <f>((('DO&amp;M'!I14/('DO&amp;M'!I14+'TO&amp;M'!I14))*'A&amp;GO&amp;M'!I14)+Dist_rrb!I14+'DO&amp;M'!I14+'CustO&amp;M'!I14+DistDepr!I14+'PayDO&amp;M'!I14+DistTax!I14)/(1-raw!$BH14/100)</f>
        <v>3174840199.6147923</v>
      </c>
      <c r="J14" s="4">
        <f>((('DO&amp;M'!J14/('DO&amp;M'!J14+'TO&amp;M'!J14))*'A&amp;GO&amp;M'!J14)+Dist_rrb!J14+'DO&amp;M'!J14+'CustO&amp;M'!J14+DistDepr!J14+'PayDO&amp;M'!J14+DistTax!J14)/(1-raw!$BH14/100)</f>
        <v>3214819775.7414341</v>
      </c>
      <c r="K14" s="4">
        <f>((('DO&amp;M'!K14/('DO&amp;M'!K14+'TO&amp;M'!K14))*'A&amp;GO&amp;M'!K14)+Dist_rrb!K14+'DO&amp;M'!K14+'CustO&amp;M'!K14+DistDepr!K14+'PayDO&amp;M'!K14+DistTax!K14)/(1-raw!$BH14/100)</f>
        <v>3254138603.9551549</v>
      </c>
      <c r="L14" s="4">
        <f>((('DO&amp;M'!L14/('DO&amp;M'!L14+'TO&amp;M'!L14))*'A&amp;GO&amp;M'!L14)+Dist_rrb!L14+'DO&amp;M'!L14+'CustO&amp;M'!L14+DistDepr!L14+'PayDO&amp;M'!L14+DistTax!L14)/(1-raw!$BH14/100)</f>
        <v>3292367542.2338009</v>
      </c>
      <c r="M14" s="4">
        <f>((('DO&amp;M'!M14/('DO&amp;M'!M14+'TO&amp;M'!M14))*'A&amp;GO&amp;M'!M14)+Dist_rrb!M14+'DO&amp;M'!M14+'CustO&amp;M'!M14+DistDepr!M14+'PayDO&amp;M'!M14+DistTax!M14)/(1-raw!$BH14/100)</f>
        <v>3328793010.8769412</v>
      </c>
    </row>
    <row r="15" spans="1:13" x14ac:dyDescent="0.2">
      <c r="A15" t="str">
        <f>raw!A15</f>
        <v>Jersey Central Power &amp; Light Co.</v>
      </c>
      <c r="C15" s="4">
        <f>((('DO&amp;M'!C15/('DO&amp;M'!C15+'TO&amp;M'!C15))*'A&amp;GO&amp;M'!C15)+Dist_rrb!C15+'DO&amp;M'!C15+'CustO&amp;M'!C15+DistDepr!C15+'PayDO&amp;M'!C15+DistTax!C15)/(1-raw!$BH15/100)</f>
        <v>5776309247.3926001</v>
      </c>
      <c r="D15" s="4">
        <f>((('DO&amp;M'!D15/('DO&amp;M'!D15+'TO&amp;M'!D15))*'A&amp;GO&amp;M'!D15)+Dist_rrb!D15+'DO&amp;M'!D15+'CustO&amp;M'!D15+DistDepr!D15+'PayDO&amp;M'!D15+DistTax!D15)/(1-raw!$BH15/100)</f>
        <v>5885133706.1482859</v>
      </c>
      <c r="E15" s="4">
        <f>((('DO&amp;M'!E15/('DO&amp;M'!E15+'TO&amp;M'!E15))*'A&amp;GO&amp;M'!E15)+Dist_rrb!E15+'DO&amp;M'!E15+'CustO&amp;M'!E15+DistDepr!E15+'PayDO&amp;M'!E15+DistTax!E15)/(1-raw!$BH15/100)</f>
        <v>5979891835.9340162</v>
      </c>
      <c r="F15" s="4">
        <f>((('DO&amp;M'!F15/('DO&amp;M'!F15+'TO&amp;M'!F15))*'A&amp;GO&amp;M'!F15)+Dist_rrb!F15+'DO&amp;M'!F15+'CustO&amp;M'!F15+DistDepr!F15+'PayDO&amp;M'!F15+DistTax!F15)/(1-raw!$BH15/100)</f>
        <v>6076242109.1627674</v>
      </c>
      <c r="G15" s="4">
        <f>((('DO&amp;M'!G15/('DO&amp;M'!G15+'TO&amp;M'!G15))*'A&amp;GO&amp;M'!G15)+Dist_rrb!G15+'DO&amp;M'!G15+'CustO&amp;M'!G15+DistDepr!G15+'PayDO&amp;M'!G15+DistTax!G15)/(1-raw!$BH15/100)</f>
        <v>6172133305.4184256</v>
      </c>
      <c r="H15" s="4">
        <f>((('DO&amp;M'!H15/('DO&amp;M'!H15+'TO&amp;M'!H15))*'A&amp;GO&amp;M'!H15)+Dist_rrb!H15+'DO&amp;M'!H15+'CustO&amp;M'!H15+DistDepr!H15+'PayDO&amp;M'!H15+DistTax!H15)/(1-raw!$BH15/100)</f>
        <v>6259907282.1882067</v>
      </c>
      <c r="I15" s="4">
        <f>((('DO&amp;M'!I15/('DO&amp;M'!I15+'TO&amp;M'!I15))*'A&amp;GO&amp;M'!I15)+Dist_rrb!I15+'DO&amp;M'!I15+'CustO&amp;M'!I15+DistDepr!I15+'PayDO&amp;M'!I15+DistTax!I15)/(1-raw!$BH15/100)</f>
        <v>6345300597.8272028</v>
      </c>
      <c r="J15" s="4">
        <f>((('DO&amp;M'!J15/('DO&amp;M'!J15+'TO&amp;M'!J15))*'A&amp;GO&amp;M'!J15)+Dist_rrb!J15+'DO&amp;M'!J15+'CustO&amp;M'!J15+DistDepr!J15+'PayDO&amp;M'!J15+DistTax!J15)/(1-raw!$BH15/100)</f>
        <v>6426732087.4532146</v>
      </c>
      <c r="K15" s="4">
        <f>((('DO&amp;M'!K15/('DO&amp;M'!K15+'TO&amp;M'!K15))*'A&amp;GO&amp;M'!K15)+Dist_rrb!K15+'DO&amp;M'!K15+'CustO&amp;M'!K15+DistDepr!K15+'PayDO&amp;M'!K15+DistTax!K15)/(1-raw!$BH15/100)</f>
        <v>6507396301.1039095</v>
      </c>
      <c r="L15" s="4">
        <f>((('DO&amp;M'!L15/('DO&amp;M'!L15+'TO&amp;M'!L15))*'A&amp;GO&amp;M'!L15)+Dist_rrb!L15+'DO&amp;M'!L15+'CustO&amp;M'!L15+DistDepr!L15+'PayDO&amp;M'!L15+DistTax!L15)/(1-raw!$BH15/100)</f>
        <v>6586150154.0965557</v>
      </c>
      <c r="M15" s="4">
        <f>((('DO&amp;M'!M15/('DO&amp;M'!M15+'TO&amp;M'!M15))*'A&amp;GO&amp;M'!M15)+Dist_rrb!M15+'DO&amp;M'!M15+'CustO&amp;M'!M15+DistDepr!M15+'PayDO&amp;M'!M15+DistTax!M15)/(1-raw!$BH15/100)</f>
        <v>6661638768.7332478</v>
      </c>
    </row>
    <row r="16" spans="1:13" x14ac:dyDescent="0.2">
      <c r="A16" t="str">
        <f>raw!A16</f>
        <v>Kentucky Utilities Co.</v>
      </c>
      <c r="C16" s="4">
        <f>((('DO&amp;M'!C16/('DO&amp;M'!C16+'TO&amp;M'!C16))*'A&amp;GO&amp;M'!C16)+Dist_rrb!C16+'DO&amp;M'!C16+'CustO&amp;M'!C16+DistDepr!C16+'PayDO&amp;M'!C16+DistTax!C16)/(1-raw!$BH16/100)</f>
        <v>2294855494.7273374</v>
      </c>
      <c r="D16" s="4">
        <f>((('DO&amp;M'!D16/('DO&amp;M'!D16+'TO&amp;M'!D16))*'A&amp;GO&amp;M'!D16)+Dist_rrb!D16+'DO&amp;M'!D16+'CustO&amp;M'!D16+DistDepr!D16+'PayDO&amp;M'!D16+DistTax!D16)/(1-raw!$BH16/100)</f>
        <v>2341021400.8106484</v>
      </c>
      <c r="E16" s="4">
        <f>((('DO&amp;M'!E16/('DO&amp;M'!E16+'TO&amp;M'!E16))*'A&amp;GO&amp;M'!E16)+Dist_rrb!E16+'DO&amp;M'!E16+'CustO&amp;M'!E16+DistDepr!E16+'PayDO&amp;M'!E16+DistTax!E16)/(1-raw!$BH16/100)</f>
        <v>2382107834.8024206</v>
      </c>
      <c r="F16" s="4">
        <f>((('DO&amp;M'!F16/('DO&amp;M'!F16+'TO&amp;M'!F16))*'A&amp;GO&amp;M'!F16)+Dist_rrb!F16+'DO&amp;M'!F16+'CustO&amp;M'!F16+DistDepr!F16+'PayDO&amp;M'!F16+DistTax!F16)/(1-raw!$BH16/100)</f>
        <v>2422920579.4509988</v>
      </c>
      <c r="G16" s="4">
        <f>((('DO&amp;M'!G16/('DO&amp;M'!G16+'TO&amp;M'!G16))*'A&amp;GO&amp;M'!G16)+Dist_rrb!G16+'DO&amp;M'!G16+'CustO&amp;M'!G16+DistDepr!G16+'PayDO&amp;M'!G16+DistTax!G16)/(1-raw!$BH16/100)</f>
        <v>2463078666.1862326</v>
      </c>
      <c r="H16" s="4">
        <f>((('DO&amp;M'!H16/('DO&amp;M'!H16+'TO&amp;M'!H16))*'A&amp;GO&amp;M'!H16)+Dist_rrb!H16+'DO&amp;M'!H16+'CustO&amp;M'!H16+DistDepr!H16+'PayDO&amp;M'!H16+DistTax!H16)/(1-raw!$BH16/100)</f>
        <v>2500467790.301599</v>
      </c>
      <c r="I16" s="4">
        <f>((('DO&amp;M'!I16/('DO&amp;M'!I16+'TO&amp;M'!I16))*'A&amp;GO&amp;M'!I16)+Dist_rrb!I16+'DO&amp;M'!I16+'CustO&amp;M'!I16+DistDepr!I16+'PayDO&amp;M'!I16+DistTax!I16)/(1-raw!$BH16/100)</f>
        <v>2536565565.0058503</v>
      </c>
      <c r="J16" s="4">
        <f>((('DO&amp;M'!J16/('DO&amp;M'!J16+'TO&amp;M'!J16))*'A&amp;GO&amp;M'!J16)+Dist_rrb!J16+'DO&amp;M'!J16+'CustO&amp;M'!J16+DistDepr!J16+'PayDO&amp;M'!J16+DistTax!J16)/(1-raw!$BH16/100)</f>
        <v>2570969699.0425758</v>
      </c>
      <c r="K16" s="4">
        <f>((('DO&amp;M'!K16/('DO&amp;M'!K16+'TO&amp;M'!K16))*'A&amp;GO&amp;M'!K16)+Dist_rrb!K16+'DO&amp;M'!K16+'CustO&amp;M'!K16+DistDepr!K16+'PayDO&amp;M'!K16+DistTax!K16)/(1-raw!$BH16/100)</f>
        <v>2604776435.2345786</v>
      </c>
      <c r="L16" s="4">
        <f>((('DO&amp;M'!L16/('DO&amp;M'!L16+'TO&amp;M'!L16))*'A&amp;GO&amp;M'!L16)+Dist_rrb!L16+'DO&amp;M'!L16+'CustO&amp;M'!L16+DistDepr!L16+'PayDO&amp;M'!L16+DistTax!L16)/(1-raw!$BH16/100)</f>
        <v>2637739937.4877744</v>
      </c>
      <c r="M16" s="4">
        <f>((('DO&amp;M'!M16/('DO&amp;M'!M16+'TO&amp;M'!M16))*'A&amp;GO&amp;M'!M16)+Dist_rrb!M16+'DO&amp;M'!M16+'CustO&amp;M'!M16+DistDepr!M16+'PayDO&amp;M'!M16+DistTax!M16)/(1-raw!$BH16/100)</f>
        <v>2669296742.6152081</v>
      </c>
    </row>
    <row r="17" spans="1:13" x14ac:dyDescent="0.2">
      <c r="A17" t="str">
        <f>raw!A17</f>
        <v>Ohio Power Co.</v>
      </c>
      <c r="C17" s="4">
        <f>((('DO&amp;M'!C17/('DO&amp;M'!C17+'TO&amp;M'!C17))*'A&amp;GO&amp;M'!C17)+Dist_rrb!C17+'DO&amp;M'!C17+'CustO&amp;M'!C17+DistDepr!C17+'PayDO&amp;M'!C17+DistTax!C17)/(1-raw!$BH17/100)</f>
        <v>3717078564.0340104</v>
      </c>
      <c r="D17" s="4">
        <f>((('DO&amp;M'!D17/('DO&amp;M'!D17+'TO&amp;M'!D17))*'A&amp;GO&amp;M'!D17)+Dist_rrb!D17+'DO&amp;M'!D17+'CustO&amp;M'!D17+DistDepr!D17+'PayDO&amp;M'!D17+DistTax!D17)/(1-raw!$BH17/100)</f>
        <v>3790226498.6497169</v>
      </c>
      <c r="E17" s="4">
        <f>((('DO&amp;M'!E17/('DO&amp;M'!E17+'TO&amp;M'!E17))*'A&amp;GO&amp;M'!E17)+Dist_rrb!E17+'DO&amp;M'!E17+'CustO&amp;M'!E17+DistDepr!E17+'PayDO&amp;M'!E17+DistTax!E17)/(1-raw!$BH17/100)</f>
        <v>3854680592.7963009</v>
      </c>
      <c r="F17" s="4">
        <f>((('DO&amp;M'!F17/('DO&amp;M'!F17+'TO&amp;M'!F17))*'A&amp;GO&amp;M'!F17)+Dist_rrb!F17+'DO&amp;M'!F17+'CustO&amp;M'!F17+DistDepr!F17+'PayDO&amp;M'!F17+DistTax!F17)/(1-raw!$BH17/100)</f>
        <v>3919437108.3461089</v>
      </c>
      <c r="G17" s="4">
        <f>((('DO&amp;M'!G17/('DO&amp;M'!G17+'TO&amp;M'!G17))*'A&amp;GO&amp;M'!G17)+Dist_rrb!G17+'DO&amp;M'!G17+'CustO&amp;M'!G17+DistDepr!G17+'PayDO&amp;M'!G17+DistTax!G17)/(1-raw!$BH17/100)</f>
        <v>3983516868.5207005</v>
      </c>
      <c r="H17" s="4">
        <f>((('DO&amp;M'!H17/('DO&amp;M'!H17+'TO&amp;M'!H17))*'A&amp;GO&amp;M'!H17)+Dist_rrb!H17+'DO&amp;M'!H17+'CustO&amp;M'!H17+DistDepr!H17+'PayDO&amp;M'!H17+DistTax!H17)/(1-raw!$BH17/100)</f>
        <v>4042729085.028985</v>
      </c>
      <c r="I17" s="4">
        <f>((('DO&amp;M'!I17/('DO&amp;M'!I17+'TO&amp;M'!I17))*'A&amp;GO&amp;M'!I17)+Dist_rrb!I17+'DO&amp;M'!I17+'CustO&amp;M'!I17+DistDepr!I17+'PayDO&amp;M'!I17+DistTax!I17)/(1-raw!$BH17/100)</f>
        <v>4100141215.3715429</v>
      </c>
      <c r="J17" s="4">
        <f>((('DO&amp;M'!J17/('DO&amp;M'!J17+'TO&amp;M'!J17))*'A&amp;GO&amp;M'!J17)+Dist_rrb!J17+'DO&amp;M'!J17+'CustO&amp;M'!J17+DistDepr!J17+'PayDO&amp;M'!J17+DistTax!J17)/(1-raw!$BH17/100)</f>
        <v>4154902890.126163</v>
      </c>
      <c r="K17" s="4">
        <f>((('DO&amp;M'!K17/('DO&amp;M'!K17+'TO&amp;M'!K17))*'A&amp;GO&amp;M'!K17)+Dist_rrb!K17+'DO&amp;M'!K17+'CustO&amp;M'!K17+DistDepr!K17+'PayDO&amp;M'!K17+DistTax!K17)/(1-raw!$BH17/100)</f>
        <v>4208957529.3724942</v>
      </c>
      <c r="L17" s="4">
        <f>((('DO&amp;M'!L17/('DO&amp;M'!L17+'TO&amp;M'!L17))*'A&amp;GO&amp;M'!L17)+Dist_rrb!L17+'DO&amp;M'!L17+'CustO&amp;M'!L17+DistDepr!L17+'PayDO&amp;M'!L17+DistTax!L17)/(1-raw!$BH17/100)</f>
        <v>4261736074.1269755</v>
      </c>
      <c r="M17" s="4">
        <f>((('DO&amp;M'!M17/('DO&amp;M'!M17+'TO&amp;M'!M17))*'A&amp;GO&amp;M'!M17)+Dist_rrb!M17+'DO&amp;M'!M17+'CustO&amp;M'!M17+DistDepr!M17+'PayDO&amp;M'!M17+DistTax!M17)/(1-raw!$BH17/100)</f>
        <v>4312331835.70012</v>
      </c>
    </row>
    <row r="18" spans="1:13" x14ac:dyDescent="0.2">
      <c r="A18" t="str">
        <f>raw!A18</f>
        <v>PPL Electric Utilities Corp.</v>
      </c>
      <c r="C18" s="4">
        <f>((('DO&amp;M'!C18/('DO&amp;M'!C18+'TO&amp;M'!C18))*'A&amp;GO&amp;M'!C18)+Dist_rrb!C18+'DO&amp;M'!C18+'CustO&amp;M'!C18+DistDepr!C18+'PayDO&amp;M'!C18+DistTax!C18)/(1-raw!$BH18/100)</f>
        <v>7854403799.6659279</v>
      </c>
      <c r="D18" s="4">
        <f>((('DO&amp;M'!D18/('DO&amp;M'!D18+'TO&amp;M'!D18))*'A&amp;GO&amp;M'!D18)+Dist_rrb!D18+'DO&amp;M'!D18+'CustO&amp;M'!D18+DistDepr!D18+'PayDO&amp;M'!D18+DistTax!D18)/(1-raw!$BH18/100)</f>
        <v>8003323790.7075472</v>
      </c>
      <c r="E18" s="4">
        <f>((('DO&amp;M'!E18/('DO&amp;M'!E18+'TO&amp;M'!E18))*'A&amp;GO&amp;M'!E18)+Dist_rrb!E18+'DO&amp;M'!E18+'CustO&amp;M'!E18+DistDepr!E18+'PayDO&amp;M'!E18+DistTax!E18)/(1-raw!$BH18/100)</f>
        <v>8133773199.4031286</v>
      </c>
      <c r="F18" s="4">
        <f>((('DO&amp;M'!F18/('DO&amp;M'!F18+'TO&amp;M'!F18))*'A&amp;GO&amp;M'!F18)+Dist_rrb!F18+'DO&amp;M'!F18+'CustO&amp;M'!F18+DistDepr!F18+'PayDO&amp;M'!F18+DistTax!F18)/(1-raw!$BH18/100)</f>
        <v>8265951262.0037498</v>
      </c>
      <c r="G18" s="4">
        <f>((('DO&amp;M'!G18/('DO&amp;M'!G18+'TO&amp;M'!G18))*'A&amp;GO&amp;M'!G18)+Dist_rrb!G18+'DO&amp;M'!G18+'CustO&amp;M'!G18+DistDepr!G18+'PayDO&amp;M'!G18+DistTax!G18)/(1-raw!$BH18/100)</f>
        <v>8397409191.8584757</v>
      </c>
      <c r="H18" s="4">
        <f>((('DO&amp;M'!H18/('DO&amp;M'!H18+'TO&amp;M'!H18))*'A&amp;GO&amp;M'!H18)+Dist_rrb!H18+'DO&amp;M'!H18+'CustO&amp;M'!H18+DistDepr!H18+'PayDO&amp;M'!H18+DistTax!H18)/(1-raw!$BH18/100)</f>
        <v>8518278675.6275311</v>
      </c>
      <c r="I18" s="4">
        <f>((('DO&amp;M'!I18/('DO&amp;M'!I18+'TO&amp;M'!I18))*'A&amp;GO&amp;M'!I18)+Dist_rrb!I18+'DO&amp;M'!I18+'CustO&amp;M'!I18+DistDepr!I18+'PayDO&amp;M'!I18+DistTax!I18)/(1-raw!$BH18/100)</f>
        <v>8635801063.1629524</v>
      </c>
      <c r="J18" s="4">
        <f>((('DO&amp;M'!J18/('DO&amp;M'!J18+'TO&amp;M'!J18))*'A&amp;GO&amp;M'!J18)+Dist_rrb!J18+'DO&amp;M'!J18+'CustO&amp;M'!J18+DistDepr!J18+'PayDO&amp;M'!J18+DistTax!J18)/(1-raw!$BH18/100)</f>
        <v>8748050008.334774</v>
      </c>
      <c r="K18" s="4">
        <f>((('DO&amp;M'!K18/('DO&amp;M'!K18+'TO&amp;M'!K18))*'A&amp;GO&amp;M'!K18)+Dist_rrb!K18+'DO&amp;M'!K18+'CustO&amp;M'!K18+DistDepr!K18+'PayDO&amp;M'!K18+DistTax!K18)/(1-raw!$BH18/100)</f>
        <v>8859151427.3124504</v>
      </c>
      <c r="L18" s="4">
        <f>((('DO&amp;M'!L18/('DO&amp;M'!L18+'TO&amp;M'!L18))*'A&amp;GO&amp;M'!L18)+Dist_rrb!L18+'DO&amp;M'!L18+'CustO&amp;M'!L18+DistDepr!L18+'PayDO&amp;M'!L18+DistTax!L18)/(1-raw!$BH18/100)</f>
        <v>8967674772.700695</v>
      </c>
      <c r="M18" s="4">
        <f>((('DO&amp;M'!M18/('DO&amp;M'!M18+'TO&amp;M'!M18))*'A&amp;GO&amp;M'!M18)+Dist_rrb!M18+'DO&amp;M'!M18+'CustO&amp;M'!M18+DistDepr!M18+'PayDO&amp;M'!M18+DistTax!M18)/(1-raw!$BH18/100)</f>
        <v>9071842431.4988556</v>
      </c>
    </row>
    <row r="19" spans="1:13" x14ac:dyDescent="0.2">
      <c r="A19" t="str">
        <f>raw!A19</f>
        <v>Pacific Gas &amp; Electric Co.</v>
      </c>
      <c r="C19" s="4">
        <f>((('DO&amp;M'!C19/('DO&amp;M'!C19+'TO&amp;M'!C19))*'A&amp;GO&amp;M'!C19)+Dist_rrb!C19+'DO&amp;M'!C19+'CustO&amp;M'!C19+DistDepr!C19+'PayDO&amp;M'!C19+DistTax!C19)/(1-raw!$BH19/100)</f>
        <v>28997240182.428734</v>
      </c>
      <c r="D19" s="4">
        <f>((('DO&amp;M'!D19/('DO&amp;M'!D19+'TO&amp;M'!D19))*'A&amp;GO&amp;M'!D19)+Dist_rrb!D19+'DO&amp;M'!D19+'CustO&amp;M'!D19+DistDepr!D19+'PayDO&amp;M'!D19+DistTax!D19)/(1-raw!$BH19/100)</f>
        <v>29472176683.912739</v>
      </c>
      <c r="E19" s="4">
        <f>((('DO&amp;M'!E19/('DO&amp;M'!E19+'TO&amp;M'!E19))*'A&amp;GO&amp;M'!E19)+Dist_rrb!E19+'DO&amp;M'!E19+'CustO&amp;M'!E19+DistDepr!E19+'PayDO&amp;M'!E19+DistTax!E19)/(1-raw!$BH19/100)</f>
        <v>29877493856.229824</v>
      </c>
      <c r="F19" s="4">
        <f>((('DO&amp;M'!F19/('DO&amp;M'!F19+'TO&amp;M'!F19))*'A&amp;GO&amp;M'!F19)+Dist_rrb!F19+'DO&amp;M'!F19+'CustO&amp;M'!F19+DistDepr!F19+'PayDO&amp;M'!F19+DistTax!F19)/(1-raw!$BH19/100)</f>
        <v>30291238899.952492</v>
      </c>
      <c r="G19" s="4">
        <f>((('DO&amp;M'!G19/('DO&amp;M'!G19+'TO&amp;M'!G19))*'A&amp;GO&amp;M'!G19)+Dist_rrb!G19+'DO&amp;M'!G19+'CustO&amp;M'!G19+DistDepr!G19+'PayDO&amp;M'!G19+DistTax!G19)/(1-raw!$BH19/100)</f>
        <v>30702670160.319538</v>
      </c>
      <c r="H19" s="4">
        <f>((('DO&amp;M'!H19/('DO&amp;M'!H19+'TO&amp;M'!H19))*'A&amp;GO&amp;M'!H19)+Dist_rrb!H19+'DO&amp;M'!H19+'CustO&amp;M'!H19+DistDepr!H19+'PayDO&amp;M'!H19+DistTax!H19)/(1-raw!$BH19/100)</f>
        <v>31073217947.859272</v>
      </c>
      <c r="I19" s="4">
        <f>((('DO&amp;M'!I19/('DO&amp;M'!I19+'TO&amp;M'!I19))*'A&amp;GO&amp;M'!I19)+Dist_rrb!I19+'DO&amp;M'!I19+'CustO&amp;M'!I19+DistDepr!I19+'PayDO&amp;M'!I19+DistTax!I19)/(1-raw!$BH19/100)</f>
        <v>31431465678.664227</v>
      </c>
      <c r="J19" s="4">
        <f>((('DO&amp;M'!J19/('DO&amp;M'!J19+'TO&amp;M'!J19))*'A&amp;GO&amp;M'!J19)+Dist_rrb!J19+'DO&amp;M'!J19+'CustO&amp;M'!J19+DistDepr!J19+'PayDO&amp;M'!J19+DistTax!J19)/(1-raw!$BH19/100)</f>
        <v>31769802836.61541</v>
      </c>
      <c r="K19" s="4">
        <f>((('DO&amp;M'!K19/('DO&amp;M'!K19+'TO&amp;M'!K19))*'A&amp;GO&amp;M'!K19)+Dist_rrb!K19+'DO&amp;M'!K19+'CustO&amp;M'!K19+DistDepr!K19+'PayDO&amp;M'!K19+DistTax!K19)/(1-raw!$BH19/100)</f>
        <v>32103319349.938278</v>
      </c>
      <c r="L19" s="4">
        <f>((('DO&amp;M'!L19/('DO&amp;M'!L19+'TO&amp;M'!L19))*'A&amp;GO&amp;M'!L19)+Dist_rrb!L19+'DO&amp;M'!L19+'CustO&amp;M'!L19+DistDepr!L19+'PayDO&amp;M'!L19+DistTax!L19)/(1-raw!$BH19/100)</f>
        <v>32426280145.467827</v>
      </c>
      <c r="M19" s="4">
        <f>((('DO&amp;M'!M19/('DO&amp;M'!M19+'TO&amp;M'!M19))*'A&amp;GO&amp;M'!M19)+Dist_rrb!M19+'DO&amp;M'!M19+'CustO&amp;M'!M19+DistDepr!M19+'PayDO&amp;M'!M19+DistTax!M19)/(1-raw!$BH19/100)</f>
        <v>32732384110.480789</v>
      </c>
    </row>
    <row r="20" spans="1:13" x14ac:dyDescent="0.2">
      <c r="A20" t="str">
        <f>raw!A20</f>
        <v>Public Service Electric &amp; Gas Co.</v>
      </c>
      <c r="C20" s="4">
        <f>((('DO&amp;M'!C20/('DO&amp;M'!C20+'TO&amp;M'!C20))*'A&amp;GO&amp;M'!C20)+Dist_rrb!C20+'DO&amp;M'!C20+'CustO&amp;M'!C20+DistDepr!C20+'PayDO&amp;M'!C20+DistTax!C20)/(1-raw!$BH20/100)</f>
        <v>9368293198.6776505</v>
      </c>
      <c r="D20" s="4">
        <f>((('DO&amp;M'!D20/('DO&amp;M'!D20+'TO&amp;M'!D20))*'A&amp;GO&amp;M'!D20)+Dist_rrb!D20+'DO&amp;M'!D20+'CustO&amp;M'!D20+DistDepr!D20+'PayDO&amp;M'!D20+DistTax!D20)/(1-raw!$BH20/100)</f>
        <v>9542725482.0859146</v>
      </c>
      <c r="E20" s="4">
        <f>((('DO&amp;M'!E20/('DO&amp;M'!E20+'TO&amp;M'!E20))*'A&amp;GO&amp;M'!E20)+Dist_rrb!E20+'DO&amp;M'!E20+'CustO&amp;M'!E20+DistDepr!E20+'PayDO&amp;M'!E20+DistTax!E20)/(1-raw!$BH20/100)</f>
        <v>9695704346.9064331</v>
      </c>
      <c r="F20" s="4">
        <f>((('DO&amp;M'!F20/('DO&amp;M'!F20+'TO&amp;M'!F20))*'A&amp;GO&amp;M'!F20)+Dist_rrb!F20+'DO&amp;M'!F20+'CustO&amp;M'!F20+DistDepr!F20+'PayDO&amp;M'!F20+DistTax!F20)/(1-raw!$BH20/100)</f>
        <v>9850759829.1994648</v>
      </c>
      <c r="G20" s="4">
        <f>((('DO&amp;M'!G20/('DO&amp;M'!G20+'TO&amp;M'!G20))*'A&amp;GO&amp;M'!G20)+Dist_rrb!G20+'DO&amp;M'!G20+'CustO&amp;M'!G20+DistDepr!G20+'PayDO&amp;M'!G20+DistTax!G20)/(1-raw!$BH20/100)</f>
        <v>10005097934.968204</v>
      </c>
      <c r="H20" s="4">
        <f>((('DO&amp;M'!H20/('DO&amp;M'!H20+'TO&amp;M'!H20))*'A&amp;GO&amp;M'!H20)+Dist_rrb!H20+'DO&amp;M'!H20+'CustO&amp;M'!H20+DistDepr!H20+'PayDO&amp;M'!H20+DistTax!H20)/(1-raw!$BH20/100)</f>
        <v>10147083685.471176</v>
      </c>
      <c r="I20" s="4">
        <f>((('DO&amp;M'!I20/('DO&amp;M'!I20+'TO&amp;M'!I20))*'A&amp;GO&amp;M'!I20)+Dist_rrb!I20+'DO&amp;M'!I20+'CustO&amp;M'!I20+DistDepr!I20+'PayDO&amp;M'!I20+DistTax!I20)/(1-raw!$BH20/100)</f>
        <v>10285140964.901636</v>
      </c>
      <c r="J20" s="4">
        <f>((('DO&amp;M'!J20/('DO&amp;M'!J20+'TO&amp;M'!J20))*'A&amp;GO&amp;M'!J20)+Dist_rrb!J20+'DO&amp;M'!J20+'CustO&amp;M'!J20+DistDepr!J20+'PayDO&amp;M'!J20+DistTax!J20)/(1-raw!$BH20/100)</f>
        <v>10417110436.796392</v>
      </c>
      <c r="K20" s="4">
        <f>((('DO&amp;M'!K20/('DO&amp;M'!K20+'TO&amp;M'!K20))*'A&amp;GO&amp;M'!K20)+Dist_rrb!K20+'DO&amp;M'!K20+'CustO&amp;M'!K20+DistDepr!K20+'PayDO&amp;M'!K20+DistTax!K20)/(1-raw!$BH20/100)</f>
        <v>10547711276.551117</v>
      </c>
      <c r="L20" s="4">
        <f>((('DO&amp;M'!L20/('DO&amp;M'!L20+'TO&amp;M'!L20))*'A&amp;GO&amp;M'!L20)+Dist_rrb!L20+'DO&amp;M'!L20+'CustO&amp;M'!L20+DistDepr!L20+'PayDO&amp;M'!L20+DistTax!L20)/(1-raw!$BH20/100)</f>
        <v>10675262472.472507</v>
      </c>
      <c r="M20" s="4">
        <f>((('DO&amp;M'!M20/('DO&amp;M'!M20+'TO&amp;M'!M20))*'A&amp;GO&amp;M'!M20)+Dist_rrb!M20+'DO&amp;M'!M20+'CustO&amp;M'!M20+DistDepr!M20+'PayDO&amp;M'!M20+DistTax!M20)/(1-raw!$BH20/100)</f>
        <v>10797759020.413696</v>
      </c>
    </row>
    <row r="21" spans="1:13" x14ac:dyDescent="0.2">
      <c r="A21" t="str">
        <f>raw!A21</f>
        <v>San Diego Gas &amp; Electric Co.</v>
      </c>
      <c r="C21" s="4">
        <f>((('DO&amp;M'!C21/('DO&amp;M'!C21+'TO&amp;M'!C21))*'A&amp;GO&amp;M'!C21)+Dist_rrb!C21+'DO&amp;M'!C21+'CustO&amp;M'!C21+DistDepr!C21+'PayDO&amp;M'!C21+DistTax!C21)/(1-raw!$BH21/100)</f>
        <v>5495703839.2156668</v>
      </c>
      <c r="D21" s="4">
        <f>((('DO&amp;M'!D21/('DO&amp;M'!D21+'TO&amp;M'!D21))*'A&amp;GO&amp;M'!D21)+Dist_rrb!D21+'DO&amp;M'!D21+'CustO&amp;M'!D21+DistDepr!D21+'PayDO&amp;M'!D21+DistTax!D21)/(1-raw!$BH21/100)</f>
        <v>5589357080.7683468</v>
      </c>
      <c r="E21" s="4">
        <f>((('DO&amp;M'!E21/('DO&amp;M'!E21+'TO&amp;M'!E21))*'A&amp;GO&amp;M'!E21)+Dist_rrb!E21+'DO&amp;M'!E21+'CustO&amp;M'!E21+DistDepr!E21+'PayDO&amp;M'!E21+DistTax!E21)/(1-raw!$BH21/100)</f>
        <v>5668823186.9247227</v>
      </c>
      <c r="F21" s="4">
        <f>((('DO&amp;M'!F21/('DO&amp;M'!F21+'TO&amp;M'!F21))*'A&amp;GO&amp;M'!F21)+Dist_rrb!F21+'DO&amp;M'!F21+'CustO&amp;M'!F21+DistDepr!F21+'PayDO&amp;M'!F21+DistTax!F21)/(1-raw!$BH21/100)</f>
        <v>5751623962.0763979</v>
      </c>
      <c r="G21" s="4">
        <f>((('DO&amp;M'!G21/('DO&amp;M'!G21+'TO&amp;M'!G21))*'A&amp;GO&amp;M'!G21)+Dist_rrb!G21+'DO&amp;M'!G21+'CustO&amp;M'!G21+DistDepr!G21+'PayDO&amp;M'!G21+DistTax!G21)/(1-raw!$BH21/100)</f>
        <v>5834931845.6062613</v>
      </c>
      <c r="H21" s="4">
        <f>((('DO&amp;M'!H21/('DO&amp;M'!H21+'TO&amp;M'!H21))*'A&amp;GO&amp;M'!H21)+Dist_rrb!H21+'DO&amp;M'!H21+'CustO&amp;M'!H21+DistDepr!H21+'PayDO&amp;M'!H21+DistTax!H21)/(1-raw!$BH21/100)</f>
        <v>5909670528.2591362</v>
      </c>
      <c r="I21" s="4">
        <f>((('DO&amp;M'!I21/('DO&amp;M'!I21+'TO&amp;M'!I21))*'A&amp;GO&amp;M'!I21)+Dist_rrb!I21+'DO&amp;M'!I21+'CustO&amp;M'!I21+DistDepr!I21+'PayDO&amp;M'!I21+DistTax!I21)/(1-raw!$BH21/100)</f>
        <v>5982839031.880805</v>
      </c>
      <c r="J21" s="4">
        <f>((('DO&amp;M'!J21/('DO&amp;M'!J21+'TO&amp;M'!J21))*'A&amp;GO&amp;M'!J21)+Dist_rrb!J21+'DO&amp;M'!J21+'CustO&amp;M'!J21+DistDepr!J21+'PayDO&amp;M'!J21+DistTax!J21)/(1-raw!$BH21/100)</f>
        <v>6052509683.3433208</v>
      </c>
      <c r="K21" s="4">
        <f>((('DO&amp;M'!K21/('DO&amp;M'!K21+'TO&amp;M'!K21))*'A&amp;GO&amp;M'!K21)+Dist_rrb!K21+'DO&amp;M'!K21+'CustO&amp;M'!K21+DistDepr!K21+'PayDO&amp;M'!K21+DistTax!K21)/(1-raw!$BH21/100)</f>
        <v>6121980409.1873684</v>
      </c>
      <c r="L21" s="4">
        <f>((('DO&amp;M'!L21/('DO&amp;M'!L21+'TO&amp;M'!L21))*'A&amp;GO&amp;M'!L21)+Dist_rrb!L21+'DO&amp;M'!L21+'CustO&amp;M'!L21+DistDepr!L21+'PayDO&amp;M'!L21+DistTax!L21)/(1-raw!$BH21/100)</f>
        <v>6189753191.4643402</v>
      </c>
      <c r="M21" s="4">
        <f>((('DO&amp;M'!M21/('DO&amp;M'!M21+'TO&amp;M'!M21))*'A&amp;GO&amp;M'!M21)+Dist_rrb!M21+'DO&amp;M'!M21+'CustO&amp;M'!M21+DistDepr!M21+'PayDO&amp;M'!M21+DistTax!M21)/(1-raw!$BH21/100)</f>
        <v>6254634259.9652824</v>
      </c>
    </row>
    <row r="22" spans="1:13" x14ac:dyDescent="0.2">
      <c r="A22" t="str">
        <f>raw!A22</f>
        <v>Southern California Edison Co.</v>
      </c>
      <c r="C22" s="4">
        <f>((('DO&amp;M'!C22/('DO&amp;M'!C22+'TO&amp;M'!C22))*'A&amp;GO&amp;M'!C22)+Dist_rrb!C22+'DO&amp;M'!C22+'CustO&amp;M'!C22+DistDepr!C22+'PayDO&amp;M'!C22+DistTax!C22)/(1-raw!$BH22/100)</f>
        <v>20902934820.59341</v>
      </c>
      <c r="D22" s="4">
        <f>((('DO&amp;M'!D22/('DO&amp;M'!D22+'TO&amp;M'!D22))*'A&amp;GO&amp;M'!D22)+Dist_rrb!D22+'DO&amp;M'!D22+'CustO&amp;M'!D22+DistDepr!D22+'PayDO&amp;M'!D22+DistTax!D22)/(1-raw!$BH22/100)</f>
        <v>21240827406.701164</v>
      </c>
      <c r="E22" s="4">
        <f>((('DO&amp;M'!E22/('DO&amp;M'!E22+'TO&amp;M'!E22))*'A&amp;GO&amp;M'!E22)+Dist_rrb!E22+'DO&amp;M'!E22+'CustO&amp;M'!E22+DistDepr!E22+'PayDO&amp;M'!E22+DistTax!E22)/(1-raw!$BH22/100)</f>
        <v>21528652702.548164</v>
      </c>
      <c r="F22" s="4">
        <f>((('DO&amp;M'!F22/('DO&amp;M'!F22+'TO&amp;M'!F22))*'A&amp;GO&amp;M'!F22)+Dist_rrb!F22+'DO&amp;M'!F22+'CustO&amp;M'!F22+DistDepr!F22+'PayDO&amp;M'!F22+DistTax!F22)/(1-raw!$BH22/100)</f>
        <v>21821189739.509972</v>
      </c>
      <c r="G22" s="4">
        <f>((('DO&amp;M'!G22/('DO&amp;M'!G22+'TO&amp;M'!G22))*'A&amp;GO&amp;M'!G22)+Dist_rrb!G22+'DO&amp;M'!G22+'CustO&amp;M'!G22+DistDepr!G22+'PayDO&amp;M'!G22+DistTax!G22)/(1-raw!$BH22/100)</f>
        <v>22111077746.514286</v>
      </c>
      <c r="H22" s="4">
        <f>((('DO&amp;M'!H22/('DO&amp;M'!H22+'TO&amp;M'!H22))*'A&amp;GO&amp;M'!H22)+Dist_rrb!H22+'DO&amp;M'!H22+'CustO&amp;M'!H22+DistDepr!H22+'PayDO&amp;M'!H22+DistTax!H22)/(1-raw!$BH22/100)</f>
        <v>22371756764.608284</v>
      </c>
      <c r="I22" s="4">
        <f>((('DO&amp;M'!I22/('DO&amp;M'!I22+'TO&amp;M'!I22))*'A&amp;GO&amp;M'!I22)+Dist_rrb!I22+'DO&amp;M'!I22+'CustO&amp;M'!I22+DistDepr!I22+'PayDO&amp;M'!I22+DistTax!I22)/(1-raw!$BH22/100)</f>
        <v>22622877584.031353</v>
      </c>
      <c r="J22" s="4">
        <f>((('DO&amp;M'!J22/('DO&amp;M'!J22+'TO&amp;M'!J22))*'A&amp;GO&amp;M'!J22)+Dist_rrb!J22+'DO&amp;M'!J22+'CustO&amp;M'!J22+DistDepr!J22+'PayDO&amp;M'!J22+DistTax!J22)/(1-raw!$BH22/100)</f>
        <v>22859135616.663086</v>
      </c>
      <c r="K22" s="4">
        <f>((('DO&amp;M'!K22/('DO&amp;M'!K22+'TO&amp;M'!K22))*'A&amp;GO&amp;M'!K22)+Dist_rrb!K22+'DO&amp;M'!K22+'CustO&amp;M'!K22+DistDepr!K22+'PayDO&amp;M'!K22+DistTax!K22)/(1-raw!$BH22/100)</f>
        <v>23091280430.134892</v>
      </c>
      <c r="L22" s="4">
        <f>((('DO&amp;M'!L22/('DO&amp;M'!L22+'TO&amp;M'!L22))*'A&amp;GO&amp;M'!L22)+Dist_rrb!L22+'DO&amp;M'!L22+'CustO&amp;M'!L22+DistDepr!L22+'PayDO&amp;M'!L22+DistTax!L22)/(1-raw!$BH22/100)</f>
        <v>23315462065.054729</v>
      </c>
      <c r="M22" s="4">
        <f>((('DO&amp;M'!M22/('DO&amp;M'!M22+'TO&amp;M'!M22))*'A&amp;GO&amp;M'!M22)+Dist_rrb!M22+'DO&amp;M'!M22+'CustO&amp;M'!M22+DistDepr!M22+'PayDO&amp;M'!M22+DistTax!M22)/(1-raw!$BH22/100)</f>
        <v>23527012712.67284</v>
      </c>
    </row>
    <row r="23" spans="1:13" x14ac:dyDescent="0.2">
      <c r="A23" t="str">
        <f>raw!A23</f>
        <v>Southwestern Public Service Co.</v>
      </c>
      <c r="C23" s="4">
        <f>((('DO&amp;M'!C23/('DO&amp;M'!C23+'TO&amp;M'!C23))*'A&amp;GO&amp;M'!C23)+Dist_rrb!C23+'DO&amp;M'!C23+'CustO&amp;M'!C23+DistDepr!C23+'PayDO&amp;M'!C23+DistTax!C23)/(1-raw!$BH23/100)</f>
        <v>1428037059.615685</v>
      </c>
      <c r="D23" s="4">
        <f>((('DO&amp;M'!D23/('DO&amp;M'!D23+'TO&amp;M'!D23))*'A&amp;GO&amp;M'!D23)+Dist_rrb!D23+'DO&amp;M'!D23+'CustO&amp;M'!D23+DistDepr!D23+'PayDO&amp;M'!D23+DistTax!D23)/(1-raw!$BH23/100)</f>
        <v>1454612846.7851031</v>
      </c>
      <c r="E23" s="4">
        <f>((('DO&amp;M'!E23/('DO&amp;M'!E23+'TO&amp;M'!E23))*'A&amp;GO&amp;M'!E23)+Dist_rrb!E23+'DO&amp;M'!E23+'CustO&amp;M'!E23+DistDepr!E23+'PayDO&amp;M'!E23+DistTax!E23)/(1-raw!$BH23/100)</f>
        <v>1478075148.8488681</v>
      </c>
      <c r="F23" s="4">
        <f>((('DO&amp;M'!F23/('DO&amp;M'!F23+'TO&amp;M'!F23))*'A&amp;GO&amp;M'!F23)+Dist_rrb!F23+'DO&amp;M'!F23+'CustO&amp;M'!F23+DistDepr!F23+'PayDO&amp;M'!F23+DistTax!F23)/(1-raw!$BH23/100)</f>
        <v>1501607955.232471</v>
      </c>
      <c r="G23" s="4">
        <f>((('DO&amp;M'!G23/('DO&amp;M'!G23+'TO&amp;M'!G23))*'A&amp;GO&amp;M'!G23)+Dist_rrb!G23+'DO&amp;M'!G23+'CustO&amp;M'!G23+DistDepr!G23+'PayDO&amp;M'!G23+DistTax!G23)/(1-raw!$BH23/100)</f>
        <v>1524904242.7854493</v>
      </c>
      <c r="H23" s="4">
        <f>((('DO&amp;M'!H23/('DO&amp;M'!H23+'TO&amp;M'!H23))*'A&amp;GO&amp;M'!H23)+Dist_rrb!H23+'DO&amp;M'!H23+'CustO&amp;M'!H23+DistDepr!H23+'PayDO&amp;M'!H23+DistTax!H23)/(1-raw!$BH23/100)</f>
        <v>1546449623.4535902</v>
      </c>
      <c r="I23" s="4">
        <f>((('DO&amp;M'!I23/('DO&amp;M'!I23+'TO&amp;M'!I23))*'A&amp;GO&amp;M'!I23)+Dist_rrb!I23+'DO&amp;M'!I23+'CustO&amp;M'!I23+DistDepr!I23+'PayDO&amp;M'!I23+DistTax!I23)/(1-raw!$BH23/100)</f>
        <v>1567298036.6604455</v>
      </c>
      <c r="J23" s="4">
        <f>((('DO&amp;M'!J23/('DO&amp;M'!J23+'TO&amp;M'!J23))*'A&amp;GO&amp;M'!J23)+Dist_rrb!J23+'DO&amp;M'!J23+'CustO&amp;M'!J23+DistDepr!J23+'PayDO&amp;M'!J23+DistTax!J23)/(1-raw!$BH23/100)</f>
        <v>1587190290.2868421</v>
      </c>
      <c r="K23" s="4">
        <f>((('DO&amp;M'!K23/('DO&amp;M'!K23+'TO&amp;M'!K23))*'A&amp;GO&amp;M'!K23)+Dist_rrb!K23+'DO&amp;M'!K23+'CustO&amp;M'!K23+DistDepr!K23+'PayDO&amp;M'!K23+DistTax!K23)/(1-raw!$BH23/100)</f>
        <v>1606785077.7358553</v>
      </c>
      <c r="L23" s="4">
        <f>((('DO&amp;M'!L23/('DO&amp;M'!L23+'TO&amp;M'!L23))*'A&amp;GO&amp;M'!L23)+Dist_rrb!L23+'DO&amp;M'!L23+'CustO&amp;M'!L23+DistDepr!L23+'PayDO&amp;M'!L23+DistTax!L23)/(1-raw!$BH23/100)</f>
        <v>1625885819.302505</v>
      </c>
      <c r="M23" s="4">
        <f>((('DO&amp;M'!M23/('DO&amp;M'!M23+'TO&amp;M'!M23))*'A&amp;GO&amp;M'!M23)+Dist_rrb!M23+'DO&amp;M'!M23+'CustO&amp;M'!M23+DistDepr!M23+'PayDO&amp;M'!M23+DistTax!M23)/(1-raw!$BH23/100)</f>
        <v>1644186228.8534214</v>
      </c>
    </row>
    <row r="24" spans="1:13" x14ac:dyDescent="0.2">
      <c r="A24" t="str">
        <f>raw!A24</f>
        <v>TXU Electric Co.</v>
      </c>
      <c r="C24" s="4">
        <f>((('DO&amp;M'!C24/('DO&amp;M'!C24+'TO&amp;M'!C24))*'A&amp;GO&amp;M'!C24)+Dist_rrb!C24+'DO&amp;M'!C24+'CustO&amp;M'!C24+DistDepr!C24+'PayDO&amp;M'!C24+DistTax!C24)/(1-raw!$BH24/100)</f>
        <v>11925155254.18104</v>
      </c>
      <c r="D24" s="4">
        <f>((('DO&amp;M'!D24/('DO&amp;M'!D24+'TO&amp;M'!D24))*'A&amp;GO&amp;M'!D24)+Dist_rrb!D24+'DO&amp;M'!D24+'CustO&amp;M'!D24+DistDepr!D24+'PayDO&amp;M'!D24+DistTax!D24)/(1-raw!$BH24/100)</f>
        <v>12158529069.962141</v>
      </c>
      <c r="E24" s="4">
        <f>((('DO&amp;M'!E24/('DO&amp;M'!E24+'TO&amp;M'!E24))*'A&amp;GO&amp;M'!E24)+Dist_rrb!E24+'DO&amp;M'!E24+'CustO&amp;M'!E24+DistDepr!E24+'PayDO&amp;M'!E24+DistTax!E24)/(1-raw!$BH24/100)</f>
        <v>12362503336.685417</v>
      </c>
      <c r="F24" s="4">
        <f>((('DO&amp;M'!F24/('DO&amp;M'!F24+'TO&amp;M'!F24))*'A&amp;GO&amp;M'!F24)+Dist_rrb!F24+'DO&amp;M'!F24+'CustO&amp;M'!F24+DistDepr!F24+'PayDO&amp;M'!F24+DistTax!F24)/(1-raw!$BH24/100)</f>
        <v>12570933093.72658</v>
      </c>
      <c r="G24" s="4">
        <f>((('DO&amp;M'!G24/('DO&amp;M'!G24+'TO&amp;M'!G24))*'A&amp;GO&amp;M'!G24)+Dist_rrb!G24+'DO&amp;M'!G24+'CustO&amp;M'!G24+DistDepr!G24+'PayDO&amp;M'!G24+DistTax!G24)/(1-raw!$BH24/100)</f>
        <v>12779214893.422293</v>
      </c>
      <c r="H24" s="4">
        <f>((('DO&amp;M'!H24/('DO&amp;M'!H24+'TO&amp;M'!H24))*'A&amp;GO&amp;M'!H24)+Dist_rrb!H24+'DO&amp;M'!H24+'CustO&amp;M'!H24+DistDepr!H24+'PayDO&amp;M'!H24+DistTax!H24)/(1-raw!$BH24/100)</f>
        <v>12970441630.593248</v>
      </c>
      <c r="I24" s="4">
        <f>((('DO&amp;M'!I24/('DO&amp;M'!I24+'TO&amp;M'!I24))*'A&amp;GO&amp;M'!I24)+Dist_rrb!I24+'DO&amp;M'!I24+'CustO&amp;M'!I24+DistDepr!I24+'PayDO&amp;M'!I24+DistTax!I24)/(1-raw!$BH24/100)</f>
        <v>13157400377.965853</v>
      </c>
      <c r="J24" s="4">
        <f>((('DO&amp;M'!J24/('DO&amp;M'!J24+'TO&amp;M'!J24))*'A&amp;GO&amp;M'!J24)+Dist_rrb!J24+'DO&amp;M'!J24+'CustO&amp;M'!J24+DistDepr!J24+'PayDO&amp;M'!J24+DistTax!J24)/(1-raw!$BH24/100)</f>
        <v>13336568136.137375</v>
      </c>
      <c r="K24" s="4">
        <f>((('DO&amp;M'!K24/('DO&amp;M'!K24+'TO&amp;M'!K24))*'A&amp;GO&amp;M'!K24)+Dist_rrb!K24+'DO&amp;M'!K24+'CustO&amp;M'!K24+DistDepr!K24+'PayDO&amp;M'!K24+DistTax!K24)/(1-raw!$BH24/100)</f>
        <v>13514815932.683966</v>
      </c>
      <c r="L24" s="4">
        <f>((('DO&amp;M'!L24/('DO&amp;M'!L24+'TO&amp;M'!L24))*'A&amp;GO&amp;M'!L24)+Dist_rrb!L24+'DO&amp;M'!L24+'CustO&amp;M'!L24+DistDepr!L24+'PayDO&amp;M'!L24+DistTax!L24)/(1-raw!$BH24/100)</f>
        <v>13689525427.61702</v>
      </c>
      <c r="M24" s="4">
        <f>((('DO&amp;M'!M24/('DO&amp;M'!M24+'TO&amp;M'!M24))*'A&amp;GO&amp;M'!M24)+Dist_rrb!M24+'DO&amp;M'!M24+'CustO&amp;M'!M24+DistDepr!M24+'PayDO&amp;M'!M24+DistTax!M24)/(1-raw!$BH24/100)</f>
        <v>13857921882.140205</v>
      </c>
    </row>
    <row r="31" spans="1:13" x14ac:dyDescent="0.2">
      <c r="C31" s="9"/>
    </row>
  </sheetData>
  <pageMargins left="0.75" right="0.75" top="1" bottom="1" header="0.5" footer="0.5"/>
  <pageSetup scale="59" orientation="landscape" verticalDpi="0" r:id="rId1"/>
  <headerFooter alignWithMargins="0">
    <oddFooter>Page &amp;P&amp;R&amp;A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workbookViewId="0">
      <selection activeCell="E25" sqref="E25"/>
    </sheetView>
  </sheetViews>
  <sheetFormatPr defaultRowHeight="12.75" x14ac:dyDescent="0.2"/>
  <cols>
    <col min="1" max="1" width="36.140625" bestFit="1" customWidth="1"/>
    <col min="2" max="2" width="5" bestFit="1" customWidth="1"/>
    <col min="3" max="13" width="13.85546875" bestFit="1" customWidth="1"/>
  </cols>
  <sheetData>
    <row r="1" spans="1:13" x14ac:dyDescent="0.2">
      <c r="A1" t="s">
        <v>509</v>
      </c>
    </row>
    <row r="3" spans="1:13" x14ac:dyDescent="0.2">
      <c r="A3" s="8" t="s">
        <v>177</v>
      </c>
      <c r="B3" s="8">
        <v>1998</v>
      </c>
      <c r="C3" s="8">
        <v>2000</v>
      </c>
      <c r="D3" s="8">
        <v>2001</v>
      </c>
      <c r="E3" s="8">
        <v>2002</v>
      </c>
      <c r="F3" s="8">
        <v>2003</v>
      </c>
      <c r="G3" s="8">
        <v>2004</v>
      </c>
      <c r="H3" s="8">
        <v>2005</v>
      </c>
      <c r="I3" s="8">
        <v>2006</v>
      </c>
      <c r="J3" s="8">
        <v>2007</v>
      </c>
      <c r="K3" s="8">
        <v>2008</v>
      </c>
      <c r="L3" s="8">
        <v>2009</v>
      </c>
      <c r="M3" s="8">
        <v>2010</v>
      </c>
    </row>
    <row r="4" spans="1:13" x14ac:dyDescent="0.2">
      <c r="A4" t="str">
        <f>raw!A4</f>
        <v>Boston Edison Co.</v>
      </c>
      <c r="B4" s="1"/>
      <c r="C4" s="4">
        <f>WACC!C4*Transbase!C4</f>
        <v>210313281.39888415</v>
      </c>
      <c r="D4" s="4">
        <f>WACC!D4*Transbase!D4</f>
        <v>209491829.29848647</v>
      </c>
      <c r="E4" s="4">
        <f>WACC!E4*Transbase!E4</f>
        <v>207816976.57318637</v>
      </c>
      <c r="F4" s="4">
        <f>WACC!F4*Transbase!F4</f>
        <v>207001979.4482491</v>
      </c>
      <c r="G4" s="4">
        <f>WACC!G4*Transbase!G4</f>
        <v>206615718.24800351</v>
      </c>
      <c r="H4" s="4">
        <f>WACC!H4*Transbase!H4</f>
        <v>205591986.64479572</v>
      </c>
      <c r="I4" s="4">
        <f>WACC!I4*Transbase!I4</f>
        <v>204783817.85008949</v>
      </c>
      <c r="J4" s="4">
        <f>WACC!J4*Transbase!J4</f>
        <v>203978044.72252268</v>
      </c>
      <c r="K4" s="4">
        <f>WACC!K4*Transbase!K4</f>
        <v>203386235.32238841</v>
      </c>
      <c r="L4" s="4">
        <f>WACC!L4*Transbase!L4</f>
        <v>202796019.51867506</v>
      </c>
      <c r="M4" s="4">
        <f>WACC!M4*Transbase!M4</f>
        <v>202207393.10276201</v>
      </c>
    </row>
    <row r="5" spans="1:13" x14ac:dyDescent="0.2">
      <c r="A5" t="str">
        <f>raw!A5</f>
        <v>Carolina Power &amp; Light Co.</v>
      </c>
      <c r="B5" s="1"/>
      <c r="C5" s="4">
        <f>WACC!C5*Transbase!C5</f>
        <v>502519070.20008308</v>
      </c>
      <c r="D5" s="4">
        <f>WACC!D5*Transbase!D5</f>
        <v>501518187.72772247</v>
      </c>
      <c r="E5" s="4">
        <f>WACC!E5*Transbase!E5</f>
        <v>498495892.39376497</v>
      </c>
      <c r="F5" s="4">
        <f>WACC!F5*Transbase!F5</f>
        <v>497494892.27434152</v>
      </c>
      <c r="G5" s="4">
        <f>WACC!G5*Transbase!G5</f>
        <v>497504579.22662652</v>
      </c>
      <c r="H5" s="4">
        <f>WACC!H5*Transbase!H5</f>
        <v>495998147.54316247</v>
      </c>
      <c r="I5" s="4">
        <f>WACC!I5*Transbase!I5</f>
        <v>494997039.81977081</v>
      </c>
      <c r="J5" s="4">
        <f>WACC!J5*Transbase!J5</f>
        <v>493995892.94589072</v>
      </c>
      <c r="K5" s="4">
        <f>WACC!K5*Transbase!K5</f>
        <v>493500109.39152575</v>
      </c>
      <c r="L5" s="4">
        <f>WACC!L5*Transbase!L5</f>
        <v>493004306.36618227</v>
      </c>
      <c r="M5" s="4">
        <f>WACC!M5*Transbase!M5</f>
        <v>492508483.8692168</v>
      </c>
    </row>
    <row r="6" spans="1:13" x14ac:dyDescent="0.2">
      <c r="A6" t="str">
        <f>raw!A6</f>
        <v>Central Hudson Gas &amp; Electric Corp.</v>
      </c>
      <c r="B6" s="1"/>
      <c r="C6" s="4">
        <f>WACC!C6*Transbase!C6</f>
        <v>62909492.395733334</v>
      </c>
      <c r="D6" s="4">
        <f>WACC!D6*Transbase!D6</f>
        <v>62793557.392461613</v>
      </c>
      <c r="E6" s="4">
        <f>WACC!E6*Transbase!E6</f>
        <v>62427433.214880042</v>
      </c>
      <c r="F6" s="4">
        <f>WACC!F6*Transbase!F6</f>
        <v>62311392.474740878</v>
      </c>
      <c r="G6" s="4">
        <f>WACC!G6*Transbase!G6</f>
        <v>62320430.500028096</v>
      </c>
      <c r="H6" s="4">
        <f>WACC!H6*Transbase!H6</f>
        <v>62141772.575461067</v>
      </c>
      <c r="I6" s="4">
        <f>WACC!I6*Transbase!I6</f>
        <v>62025636.643820003</v>
      </c>
      <c r="J6" s="4">
        <f>WACC!J6*Transbase!J6</f>
        <v>61909465.940067522</v>
      </c>
      <c r="K6" s="4">
        <f>WACC!K6*Transbase!K6</f>
        <v>61855853.515861943</v>
      </c>
      <c r="L6" s="4">
        <f>WACC!L6*Transbase!L6</f>
        <v>61802224.461567558</v>
      </c>
      <c r="M6" s="4">
        <f>WACC!M6*Transbase!M6</f>
        <v>61748578.772804365</v>
      </c>
    </row>
    <row r="7" spans="1:13" x14ac:dyDescent="0.2">
      <c r="A7" t="str">
        <f>raw!A7</f>
        <v>Commonwealth Edison Co.</v>
      </c>
      <c r="B7" s="1"/>
      <c r="C7" s="4">
        <f>WACC!C7*Transbase!C7</f>
        <v>1092763863.2071054</v>
      </c>
      <c r="D7" s="4">
        <f>WACC!D7*Transbase!D7</f>
        <v>1093506751.7666025</v>
      </c>
      <c r="E7" s="4">
        <f>WACC!E7*Transbase!E7</f>
        <v>1089656577.0429199</v>
      </c>
      <c r="F7" s="4">
        <f>WACC!F7*Transbase!F7</f>
        <v>1090379903.4294481</v>
      </c>
      <c r="G7" s="4">
        <f>WACC!G7*Transbase!G7</f>
        <v>1093407326.7017217</v>
      </c>
      <c r="H7" s="4">
        <f>WACC!H7*Transbase!H7</f>
        <v>1092973039.9767766</v>
      </c>
      <c r="I7" s="4">
        <f>WACC!I7*Transbase!I7</f>
        <v>1093689002.9466136</v>
      </c>
      <c r="J7" s="4">
        <f>WACC!J7*Transbase!J7</f>
        <v>1094401388.8000231</v>
      </c>
      <c r="K7" s="4">
        <f>WACC!K7*Transbase!K7</f>
        <v>1096276839.8255601</v>
      </c>
      <c r="L7" s="4">
        <f>WACC!L7*Transbase!L7</f>
        <v>1098155139.9490128</v>
      </c>
      <c r="M7" s="4">
        <f>WACC!M7*Transbase!M7</f>
        <v>1100036287.9584713</v>
      </c>
    </row>
    <row r="8" spans="1:13" x14ac:dyDescent="0.2">
      <c r="A8" t="str">
        <f>raw!A8</f>
        <v>Consolidated Edison Co. of New York, Inc.</v>
      </c>
      <c r="B8" s="1"/>
      <c r="C8" s="4">
        <f>WACC!C8*Transbase!C8</f>
        <v>1075048297.130271</v>
      </c>
      <c r="D8" s="4">
        <f>WACC!D8*Transbase!D8</f>
        <v>1069765715.7863696</v>
      </c>
      <c r="E8" s="4">
        <f>WACC!E8*Transbase!E8</f>
        <v>1060325820.5130295</v>
      </c>
      <c r="F8" s="4">
        <f>WACC!F8*Transbase!F8</f>
        <v>1055103775.8257636</v>
      </c>
      <c r="G8" s="4">
        <f>WACC!G8*Transbase!G8</f>
        <v>1051983976.1744423</v>
      </c>
      <c r="H8" s="4">
        <f>WACC!H8*Transbase!H8</f>
        <v>1045767301.4464241</v>
      </c>
      <c r="I8" s="4">
        <f>WACC!I8*Transbase!I8</f>
        <v>1040613474.7502565</v>
      </c>
      <c r="J8" s="4">
        <f>WACC!J8*Transbase!J8</f>
        <v>1035483198.7156549</v>
      </c>
      <c r="K8" s="4">
        <f>WACC!K8*Transbase!K8</f>
        <v>1031403337.6568654</v>
      </c>
      <c r="L8" s="4">
        <f>WACC!L8*Transbase!L8</f>
        <v>1027340758.4602131</v>
      </c>
      <c r="M8" s="4">
        <f>WACC!M8*Transbase!M8</f>
        <v>1023295386.420419</v>
      </c>
    </row>
    <row r="9" spans="1:13" x14ac:dyDescent="0.2">
      <c r="A9" t="str">
        <f>raw!A9</f>
        <v>Consumers Energy Co.</v>
      </c>
      <c r="B9" s="1"/>
      <c r="C9" s="4">
        <f>WACC!C9*Transbase!C9</f>
        <v>405120321.88969094</v>
      </c>
      <c r="D9" s="4">
        <f>WACC!D9*Transbase!D9</f>
        <v>404328325.16233808</v>
      </c>
      <c r="E9" s="4">
        <f>WACC!E9*Transbase!E9</f>
        <v>401849932.93810552</v>
      </c>
      <c r="F9" s="4">
        <f>WACC!F9*Transbase!F9</f>
        <v>401057314.58145767</v>
      </c>
      <c r="G9" s="4">
        <f>WACC!G9*Transbase!G9</f>
        <v>401107799.11661172</v>
      </c>
      <c r="H9" s="4">
        <f>WACC!H9*Transbase!H9</f>
        <v>399893170.37181842</v>
      </c>
      <c r="I9" s="4">
        <f>WACC!I9*Transbase!I9</f>
        <v>399099990.59375674</v>
      </c>
      <c r="J9" s="4">
        <f>WACC!J9*Transbase!J9</f>
        <v>398306605.89554089</v>
      </c>
      <c r="K9" s="4">
        <f>WACC!K9*Transbase!K9</f>
        <v>397934882.43258989</v>
      </c>
      <c r="L9" s="4">
        <f>WACC!L9*Transbase!L9</f>
        <v>397563060.17697769</v>
      </c>
      <c r="M9" s="4">
        <f>WACC!M9*Transbase!M9</f>
        <v>397191139.10620517</v>
      </c>
    </row>
    <row r="10" spans="1:13" x14ac:dyDescent="0.2">
      <c r="A10" t="str">
        <f>raw!A10</f>
        <v>Duke Energy Corp.</v>
      </c>
      <c r="B10" s="1"/>
      <c r="C10" s="4">
        <f>WACC!C10*Transbase!C10</f>
        <v>760937756.24960005</v>
      </c>
      <c r="D10" s="4">
        <f>WACC!D10*Transbase!D10</f>
        <v>756906770.87323034</v>
      </c>
      <c r="E10" s="4">
        <f>WACC!E10*Transbase!E10</f>
        <v>749981221.12334847</v>
      </c>
      <c r="F10" s="4">
        <f>WACC!F10*Transbase!F10</f>
        <v>746000876.66132331</v>
      </c>
      <c r="G10" s="4">
        <f>WACC!G10*Transbase!G10</f>
        <v>743488450.94325531</v>
      </c>
      <c r="H10" s="4">
        <f>WACC!H10*Transbase!H10</f>
        <v>738822134.86843026</v>
      </c>
      <c r="I10" s="4">
        <f>WACC!I10*Transbase!I10</f>
        <v>734899687.08879304</v>
      </c>
      <c r="J10" s="4">
        <f>WACC!J10*Transbase!J10</f>
        <v>730997151.12076545</v>
      </c>
      <c r="K10" s="4">
        <f>WACC!K10*Transbase!K10</f>
        <v>727828594.9919306</v>
      </c>
      <c r="L10" s="4">
        <f>WACC!L10*Transbase!L10</f>
        <v>724674954.96576321</v>
      </c>
      <c r="M10" s="4">
        <f>WACC!M10*Transbase!M10</f>
        <v>721536159.63194668</v>
      </c>
    </row>
    <row r="11" spans="1:13" x14ac:dyDescent="0.2">
      <c r="A11" t="str">
        <f>raw!A11</f>
        <v>Entergy Mississippi, Inc.</v>
      </c>
      <c r="B11" s="1"/>
      <c r="C11" s="4">
        <f>WACC!C11*Transbase!C11</f>
        <v>176346082.35572428</v>
      </c>
      <c r="D11" s="4">
        <f>WACC!D11*Transbase!D11</f>
        <v>175760208.1814</v>
      </c>
      <c r="E11" s="4">
        <f>WACC!E11*Transbase!E11</f>
        <v>174453997.30323249</v>
      </c>
      <c r="F11" s="4">
        <f>WACC!F11*Transbase!F11</f>
        <v>173871596.01297966</v>
      </c>
      <c r="G11" s="4">
        <f>WACC!G11*Transbase!G11</f>
        <v>173650356.15762129</v>
      </c>
      <c r="H11" s="4">
        <f>WACC!H11*Transbase!H11</f>
        <v>172890321.40747452</v>
      </c>
      <c r="I11" s="4">
        <f>WACC!I11*Transbase!I11</f>
        <v>172311498.0039818</v>
      </c>
      <c r="J11" s="4">
        <f>WACC!J11*Transbase!J11</f>
        <v>171733938.26067311</v>
      </c>
      <c r="K11" s="4">
        <f>WACC!K11*Transbase!K11</f>
        <v>171336670.982786</v>
      </c>
      <c r="L11" s="4">
        <f>WACC!L11*Transbase!L11</f>
        <v>170940207.00809774</v>
      </c>
      <c r="M11" s="4">
        <f>WACC!M11*Transbase!M11</f>
        <v>170544544.69094223</v>
      </c>
    </row>
    <row r="12" spans="1:13" x14ac:dyDescent="0.2">
      <c r="A12" t="str">
        <f>raw!A12</f>
        <v>Florida Power &amp; Light Co.</v>
      </c>
      <c r="B12" s="1"/>
      <c r="C12" s="4">
        <f>WACC!C12*Transbase!C12</f>
        <v>939461915.84399045</v>
      </c>
      <c r="D12" s="4">
        <f>WACC!D12*Transbase!D12</f>
        <v>933323604.21320164</v>
      </c>
      <c r="E12" s="4">
        <f>WACC!E12*Transbase!E12</f>
        <v>923588009.24187994</v>
      </c>
      <c r="F12" s="4">
        <f>WACC!F12*Transbase!F12</f>
        <v>917544748.59921813</v>
      </c>
      <c r="G12" s="4">
        <f>WACC!G12*Transbase!G12</f>
        <v>913341894.03464043</v>
      </c>
      <c r="H12" s="4">
        <f>WACC!H12*Transbase!H12</f>
        <v>906470888.8261137</v>
      </c>
      <c r="I12" s="4">
        <f>WACC!I12*Transbase!I12</f>
        <v>900538983.30534101</v>
      </c>
      <c r="J12" s="4">
        <f>WACC!J12*Transbase!J12</f>
        <v>894645096.93212807</v>
      </c>
      <c r="K12" s="4">
        <f>WACC!K12*Transbase!K12</f>
        <v>889673459.99855232</v>
      </c>
      <c r="L12" s="4">
        <f>WACC!L12*Transbase!L12</f>
        <v>884731284.45020163</v>
      </c>
      <c r="M12" s="4">
        <f>WACC!M12*Transbase!M12</f>
        <v>879818395.00726378</v>
      </c>
    </row>
    <row r="13" spans="1:13" x14ac:dyDescent="0.2">
      <c r="A13" t="str">
        <f>raw!A13</f>
        <v>Gulf Power Co.</v>
      </c>
      <c r="B13" s="1"/>
      <c r="C13" s="4">
        <f>WACC!C13*Transbase!C13</f>
        <v>77885117.199703217</v>
      </c>
      <c r="D13" s="4">
        <f>WACC!D13*Transbase!D13</f>
        <v>77613298.746296912</v>
      </c>
      <c r="E13" s="4">
        <f>WACC!E13*Transbase!E13</f>
        <v>77030979.205073074</v>
      </c>
      <c r="F13" s="4">
        <f>WACC!F13*Transbase!F13</f>
        <v>76760937.486153439</v>
      </c>
      <c r="G13" s="4">
        <f>WACC!G13*Transbase!G13</f>
        <v>76646665.859589636</v>
      </c>
      <c r="H13" s="4">
        <f>WACC!H13*Transbase!H13</f>
        <v>76300256.497208998</v>
      </c>
      <c r="I13" s="4">
        <f>WACC!I13*Transbase!I13</f>
        <v>76032056.289044529</v>
      </c>
      <c r="J13" s="4">
        <f>WACC!J13*Transbase!J13</f>
        <v>75764505.582631022</v>
      </c>
      <c r="K13" s="4">
        <f>WACC!K13*Transbase!K13</f>
        <v>75574700.496646062</v>
      </c>
      <c r="L13" s="4">
        <f>WACC!L13*Transbase!L13</f>
        <v>75385312.642787024</v>
      </c>
      <c r="M13" s="4">
        <f>WACC!M13*Transbase!M13</f>
        <v>75196341.134331778</v>
      </c>
    </row>
    <row r="14" spans="1:13" x14ac:dyDescent="0.2">
      <c r="A14" t="str">
        <f>raw!A14</f>
        <v>Illinois Power Co.</v>
      </c>
      <c r="B14" s="1"/>
      <c r="C14" s="4">
        <f>WACC!C14*Transbase!C14</f>
        <v>126466994.38226669</v>
      </c>
      <c r="D14" s="4">
        <f>WACC!D14*Transbase!D14</f>
        <v>126352650.07538018</v>
      </c>
      <c r="E14" s="4">
        <f>WACC!E14*Transbase!E14</f>
        <v>125715663.60927567</v>
      </c>
      <c r="F14" s="4">
        <f>WACC!F14*Transbase!F14</f>
        <v>125599899.14048612</v>
      </c>
      <c r="G14" s="4">
        <f>WACC!G14*Transbase!G14</f>
        <v>125745447.8955711</v>
      </c>
      <c r="H14" s="4">
        <f>WACC!H14*Transbase!H14</f>
        <v>125498153.04057766</v>
      </c>
      <c r="I14" s="4">
        <f>WACC!I14*Transbase!I14</f>
        <v>125381308.18300934</v>
      </c>
      <c r="J14" s="4">
        <f>WACC!J14*Transbase!J14</f>
        <v>125264050.85016844</v>
      </c>
      <c r="K14" s="4">
        <f>WACC!K14*Transbase!K14</f>
        <v>125277849.51108636</v>
      </c>
      <c r="L14" s="4">
        <f>WACC!L14*Transbase!L14</f>
        <v>125291538.75105605</v>
      </c>
      <c r="M14" s="4">
        <f>WACC!M14*Transbase!M14</f>
        <v>125305118.21748041</v>
      </c>
    </row>
    <row r="15" spans="1:13" x14ac:dyDescent="0.2">
      <c r="A15" t="str">
        <f>raw!A15</f>
        <v>Jersey Central Power &amp; Light Co.</v>
      </c>
      <c r="B15" s="1"/>
      <c r="C15" s="4">
        <f>WACC!C15*Transbase!C15</f>
        <v>366437655.51335162</v>
      </c>
      <c r="D15" s="4">
        <f>WACC!D15*Transbase!D15</f>
        <v>366397596.35991496</v>
      </c>
      <c r="E15" s="4">
        <f>WACC!E15*Transbase!E15</f>
        <v>364882384.79822445</v>
      </c>
      <c r="F15" s="4">
        <f>WACC!F15*Transbase!F15</f>
        <v>364837023.82273388</v>
      </c>
      <c r="G15" s="4">
        <f>WACC!G15*Transbase!G15</f>
        <v>365530150.92376947</v>
      </c>
      <c r="H15" s="4">
        <f>WACC!H15*Transbase!H15</f>
        <v>365113077.08937752</v>
      </c>
      <c r="I15" s="4">
        <f>WACC!I15*Transbase!I15</f>
        <v>365064603.81414908</v>
      </c>
      <c r="J15" s="4">
        <f>WACC!J15*Transbase!J15</f>
        <v>365014847.93089736</v>
      </c>
      <c r="K15" s="4">
        <f>WACC!K15*Transbase!K15</f>
        <v>365336501.74953389</v>
      </c>
      <c r="L15" s="4">
        <f>WACC!L15*Transbase!L15</f>
        <v>365658279.35695851</v>
      </c>
      <c r="M15" s="4">
        <f>WACC!M15*Transbase!M15</f>
        <v>365980179.45297033</v>
      </c>
    </row>
    <row r="16" spans="1:13" x14ac:dyDescent="0.2">
      <c r="A16" t="str">
        <f>raw!A16</f>
        <v>Kentucky Utilities Co.</v>
      </c>
      <c r="B16" s="1"/>
      <c r="C16" s="4">
        <f>WACC!C16*Transbase!C16</f>
        <v>162991966.97218606</v>
      </c>
      <c r="D16" s="4">
        <f>WACC!D16*Transbase!D16</f>
        <v>163101026.67757919</v>
      </c>
      <c r="E16" s="4">
        <f>WACC!E16*Transbase!E16</f>
        <v>162559051.52714163</v>
      </c>
      <c r="F16" s="4">
        <f>WACC!F16*Transbase!F16</f>
        <v>162665296.01890254</v>
      </c>
      <c r="G16" s="4">
        <f>WACC!G16*Transbase!G16</f>
        <v>163097967.04966995</v>
      </c>
      <c r="H16" s="4">
        <f>WACC!H16*Transbase!H16</f>
        <v>163040046.66001111</v>
      </c>
      <c r="I16" s="4">
        <f>WACC!I16*Transbase!I16</f>
        <v>163145056.42109847</v>
      </c>
      <c r="J16" s="4">
        <f>WACC!J16*Transbase!J16</f>
        <v>163249502.62470695</v>
      </c>
      <c r="K16" s="4">
        <f>WACC!K16*Transbase!K16</f>
        <v>163518617.86379012</v>
      </c>
      <c r="L16" s="4">
        <f>WACC!L16*Transbase!L16</f>
        <v>163788041.0072031</v>
      </c>
      <c r="M16" s="4">
        <f>WACC!M16*Transbase!M16</f>
        <v>164057771.69478005</v>
      </c>
    </row>
    <row r="17" spans="1:13" x14ac:dyDescent="0.2">
      <c r="A17" t="str">
        <f>raw!A17</f>
        <v>Ohio Power Co.</v>
      </c>
      <c r="B17" s="1"/>
      <c r="C17" s="4">
        <f>WACC!C17*Transbase!C17</f>
        <v>465013147.17176324</v>
      </c>
      <c r="D17" s="4">
        <f>WACC!D17*Transbase!D17</f>
        <v>465603298.14287764</v>
      </c>
      <c r="E17" s="4">
        <f>WACC!E17*Transbase!E17</f>
        <v>464348269.52908629</v>
      </c>
      <c r="F17" s="4">
        <f>WACC!F17*Transbase!F17</f>
        <v>464931942.96721113</v>
      </c>
      <c r="G17" s="4">
        <f>WACC!G17*Transbase!G17</f>
        <v>466443814.46328676</v>
      </c>
      <c r="H17" s="4">
        <f>WACC!H17*Transbase!H17</f>
        <v>466564181.91141731</v>
      </c>
      <c r="I17" s="4">
        <f>WACC!I17*Transbase!I17</f>
        <v>467148488.03552401</v>
      </c>
      <c r="J17" s="4">
        <f>WACC!J17*Transbase!J17</f>
        <v>467732480.15417397</v>
      </c>
      <c r="K17" s="4">
        <f>WACC!K17*Transbase!K17</f>
        <v>468786461.84382069</v>
      </c>
      <c r="L17" s="4">
        <f>WACC!L17*Transbase!L17</f>
        <v>469843171.00049263</v>
      </c>
      <c r="M17" s="4">
        <f>WACC!M17*Transbase!M17</f>
        <v>470902612.16283035</v>
      </c>
    </row>
    <row r="18" spans="1:13" x14ac:dyDescent="0.2">
      <c r="A18" t="str">
        <f>raw!A18</f>
        <v>PPL Electric Utilities Corp.</v>
      </c>
      <c r="B18" s="1"/>
      <c r="C18" s="4">
        <f>WACC!C18*Transbase!C18</f>
        <v>214195438.77979741</v>
      </c>
      <c r="D18" s="4">
        <f>WACC!D18*Transbase!D18</f>
        <v>214186741.71075317</v>
      </c>
      <c r="E18" s="4">
        <f>WACC!E18*Transbase!E18</f>
        <v>213305972.91271034</v>
      </c>
      <c r="F18" s="4">
        <f>WACC!F18*Transbase!F18</f>
        <v>213294080.70851591</v>
      </c>
      <c r="G18" s="4">
        <f>WACC!G18*Transbase!G18</f>
        <v>213718856.93211934</v>
      </c>
      <c r="H18" s="4">
        <f>WACC!H18*Transbase!H18</f>
        <v>213487212.55090773</v>
      </c>
      <c r="I18" s="4">
        <f>WACC!I18*Transbase!I18</f>
        <v>213473525.84727696</v>
      </c>
      <c r="J18" s="4">
        <f>WACC!J18*Transbase!J18</f>
        <v>213459088.82005441</v>
      </c>
      <c r="K18" s="4">
        <f>WACC!K18*Transbase!K18</f>
        <v>213664350.82338119</v>
      </c>
      <c r="L18" s="4">
        <f>WACC!L18*Transbase!L18</f>
        <v>213869734.48296893</v>
      </c>
      <c r="M18" s="4">
        <f>WACC!M18*Transbase!M18</f>
        <v>214075239.05048248</v>
      </c>
    </row>
    <row r="19" spans="1:13" x14ac:dyDescent="0.2">
      <c r="A19" t="str">
        <f>raw!A19</f>
        <v>Pacific Gas &amp; Electric Co.</v>
      </c>
      <c r="B19" s="1"/>
      <c r="C19" s="4">
        <f>WACC!C19*Transbase!C19</f>
        <v>1182837900.6930871</v>
      </c>
      <c r="D19" s="4">
        <f>WACC!D19*Transbase!D19</f>
        <v>1175905040.4182613</v>
      </c>
      <c r="E19" s="4">
        <f>WACC!E19*Transbase!E19</f>
        <v>1164245556.4671865</v>
      </c>
      <c r="F19" s="4">
        <f>WACC!F19*Transbase!F19</f>
        <v>1157411783.7342291</v>
      </c>
      <c r="G19" s="4">
        <f>WACC!G19*Transbase!G19</f>
        <v>1152983337.8685293</v>
      </c>
      <c r="H19" s="4">
        <f>WACC!H19*Transbase!H19</f>
        <v>1145042046.4895341</v>
      </c>
      <c r="I19" s="4">
        <f>WACC!I19*Transbase!I19</f>
        <v>1138322943.6140137</v>
      </c>
      <c r="J19" s="4">
        <f>WACC!J19*Transbase!J19</f>
        <v>1131643109.743695</v>
      </c>
      <c r="K19" s="4">
        <f>WACC!K19*Transbase!K19</f>
        <v>1126167042.5430489</v>
      </c>
      <c r="L19" s="4">
        <f>WACC!L19*Transbase!L19</f>
        <v>1120720909.2075343</v>
      </c>
      <c r="M19" s="4">
        <f>WACC!M19*Transbase!M19</f>
        <v>1115304541.7948411</v>
      </c>
    </row>
    <row r="20" spans="1:13" x14ac:dyDescent="0.2">
      <c r="A20" t="str">
        <f>raw!A20</f>
        <v>Public Service Electric &amp; Gas Co.</v>
      </c>
      <c r="B20" s="1"/>
      <c r="C20" s="4">
        <f>WACC!C20*Transbase!C20</f>
        <v>552781413.93925178</v>
      </c>
      <c r="D20" s="4">
        <f>WACC!D20*Transbase!D20</f>
        <v>552012233.22810471</v>
      </c>
      <c r="E20" s="4">
        <f>WACC!E20*Transbase!E20</f>
        <v>548988719.70046425</v>
      </c>
      <c r="F20" s="4">
        <f>WACC!F20*Transbase!F20</f>
        <v>548215705.84158945</v>
      </c>
      <c r="G20" s="4">
        <f>WACC!G20*Transbase!G20</f>
        <v>548569525.79973698</v>
      </c>
      <c r="H20" s="4">
        <f>WACC!H20*Transbase!H20</f>
        <v>547230475.77019536</v>
      </c>
      <c r="I20" s="4">
        <f>WACC!I20*Transbase!I20</f>
        <v>546454243.6950227</v>
      </c>
      <c r="J20" s="4">
        <f>WACC!J20*Transbase!J20</f>
        <v>545676814.86281431</v>
      </c>
      <c r="K20" s="4">
        <f>WACC!K20*Transbase!K20</f>
        <v>545463658.95380342</v>
      </c>
      <c r="L20" s="4">
        <f>WACC!L20*Transbase!L20</f>
        <v>545250033.69371963</v>
      </c>
      <c r="M20" s="4">
        <f>WACC!M20*Transbase!M20</f>
        <v>545035938.46458375</v>
      </c>
    </row>
    <row r="21" spans="1:13" x14ac:dyDescent="0.2">
      <c r="A21" t="str">
        <f>raw!A21</f>
        <v>San Diego Gas &amp; Electric Co.</v>
      </c>
      <c r="B21" s="1"/>
      <c r="C21" s="4">
        <f>WACC!C21*Transbase!C21</f>
        <v>374142044.71350008</v>
      </c>
      <c r="D21" s="4">
        <f>WACC!D21*Transbase!D21</f>
        <v>373134816.37710965</v>
      </c>
      <c r="E21" s="4">
        <f>WACC!E21*Transbase!E21</f>
        <v>370647755.34485322</v>
      </c>
      <c r="F21" s="4">
        <f>WACC!F21*Transbase!F21</f>
        <v>369644133.2496646</v>
      </c>
      <c r="G21" s="4">
        <f>WACC!G21*Transbase!G21</f>
        <v>369381286.5405038</v>
      </c>
      <c r="H21" s="4">
        <f>WACC!H21*Transbase!H21</f>
        <v>368010195.63225752</v>
      </c>
      <c r="I21" s="4">
        <f>WACC!I21*Transbase!I21</f>
        <v>367010126.27863526</v>
      </c>
      <c r="J21" s="4">
        <f>WACC!J21*Transbase!J21</f>
        <v>366011325.93726873</v>
      </c>
      <c r="K21" s="4">
        <f>WACC!K21*Transbase!K21</f>
        <v>365382493.90611345</v>
      </c>
      <c r="L21" s="4">
        <f>WACC!L21*Transbase!L21</f>
        <v>364754403.86385179</v>
      </c>
      <c r="M21" s="4">
        <f>WACC!M21*Transbase!M21</f>
        <v>364127054.96920937</v>
      </c>
    </row>
    <row r="22" spans="1:13" x14ac:dyDescent="0.2">
      <c r="A22" t="str">
        <f>raw!A22</f>
        <v>Southern California Edison Co.</v>
      </c>
      <c r="B22" s="1"/>
      <c r="C22" s="4">
        <f>WACC!C22*Transbase!C22</f>
        <v>1493690361.1853328</v>
      </c>
      <c r="D22" s="4">
        <f>WACC!D22*Transbase!D22</f>
        <v>1482614705.1436377</v>
      </c>
      <c r="E22" s="4">
        <f>WACC!E22*Transbase!E22</f>
        <v>1465547191.5076649</v>
      </c>
      <c r="F22" s="4">
        <f>WACC!F22*Transbase!F22</f>
        <v>1454670097.3609943</v>
      </c>
      <c r="G22" s="4">
        <f>WACC!G22*Transbase!G22</f>
        <v>1446879981.8324938</v>
      </c>
      <c r="H22" s="4">
        <f>WACC!H22*Transbase!H22</f>
        <v>1434655381.0958896</v>
      </c>
      <c r="I22" s="4">
        <f>WACC!I22*Transbase!I22</f>
        <v>1424014017.3570132</v>
      </c>
      <c r="J22" s="4">
        <f>WACC!J22*Transbase!J22</f>
        <v>1413452720.2092702</v>
      </c>
      <c r="K22" s="4">
        <f>WACC!K22*Transbase!K22</f>
        <v>1404441593.4747972</v>
      </c>
      <c r="L22" s="4">
        <f>WACC!L22*Transbase!L22</f>
        <v>1395493652.2934844</v>
      </c>
      <c r="M22" s="4">
        <f>WACC!M22*Transbase!M22</f>
        <v>1386608449.1736963</v>
      </c>
    </row>
    <row r="23" spans="1:13" x14ac:dyDescent="0.2">
      <c r="A23" t="str">
        <f>raw!A23</f>
        <v>Southwestern Public Service Co.</v>
      </c>
      <c r="B23" s="1"/>
      <c r="C23" s="4">
        <f>WACC!C23*Transbase!C23</f>
        <v>199930327.96327072</v>
      </c>
      <c r="D23" s="4">
        <f>WACC!D23*Transbase!D23</f>
        <v>199700230.28374261</v>
      </c>
      <c r="E23" s="4">
        <f>WACC!E23*Transbase!E23</f>
        <v>198672439.4925335</v>
      </c>
      <c r="F23" s="4">
        <f>WACC!F23*Transbase!F23</f>
        <v>198440675.66721132</v>
      </c>
      <c r="G23" s="4">
        <f>WACC!G23*Transbase!G23</f>
        <v>198607681.2498256</v>
      </c>
      <c r="H23" s="4">
        <f>WACC!H23*Transbase!H23</f>
        <v>198175450.76988134</v>
      </c>
      <c r="I23" s="4">
        <f>WACC!I23*Transbase!I23</f>
        <v>197942353.62137866</v>
      </c>
      <c r="J23" s="4">
        <f>WACC!J23*Transbase!J23</f>
        <v>197708754.41268736</v>
      </c>
      <c r="K23" s="4">
        <f>WACC!K23*Transbase!K23</f>
        <v>197674960.01566857</v>
      </c>
      <c r="L23" s="4">
        <f>WACC!L23*Transbase!L23</f>
        <v>197640999.29990256</v>
      </c>
      <c r="M23" s="4">
        <f>WACC!M23*Transbase!M23</f>
        <v>197606871.92101088</v>
      </c>
    </row>
    <row r="24" spans="1:13" x14ac:dyDescent="0.2">
      <c r="A24" t="str">
        <f>raw!A24</f>
        <v>TXU Electric Co.</v>
      </c>
      <c r="B24" s="1"/>
      <c r="C24" s="4">
        <f>WACC!C24*Transbase!C24</f>
        <v>832877662.54095054</v>
      </c>
      <c r="D24" s="4">
        <f>WACC!D24*Transbase!D24</f>
        <v>834021702.51516521</v>
      </c>
      <c r="E24" s="4">
        <f>WACC!E24*Transbase!E24</f>
        <v>831771219.71880758</v>
      </c>
      <c r="F24" s="4">
        <f>WACC!F24*Transbase!F24</f>
        <v>832901956.41011298</v>
      </c>
      <c r="G24" s="4">
        <f>WACC!G24*Transbase!G24</f>
        <v>835740154.35526347</v>
      </c>
      <c r="H24" s="4">
        <f>WACC!H24*Transbase!H24</f>
        <v>836017665.60947657</v>
      </c>
      <c r="I24" s="4">
        <f>WACC!I24*Transbase!I24</f>
        <v>837148391.23033774</v>
      </c>
      <c r="J24" s="4">
        <f>WACC!J24*Transbase!J24</f>
        <v>838278098.63815057</v>
      </c>
      <c r="K24" s="4">
        <f>WACC!K24*Transbase!K24</f>
        <v>840272681.9300921</v>
      </c>
      <c r="L24" s="4">
        <f>WACC!L24*Transbase!L24</f>
        <v>842272106.75633693</v>
      </c>
      <c r="M24" s="4">
        <f>WACC!M24*Transbase!M24</f>
        <v>844276380.20557332</v>
      </c>
    </row>
  </sheetData>
  <pageMargins left="0.75" right="0.75" top="1" bottom="1" header="0.5" footer="0.5"/>
  <pageSetup scale="63" orientation="landscape" verticalDpi="0" r:id="rId1"/>
  <headerFooter alignWithMargins="0">
    <oddFooter>Page &amp;P&amp;R&amp;A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2"/>
  <sheetViews>
    <sheetView workbookViewId="0">
      <selection activeCell="E25" sqref="E25"/>
    </sheetView>
  </sheetViews>
  <sheetFormatPr defaultRowHeight="12.75" x14ac:dyDescent="0.2"/>
  <cols>
    <col min="1" max="1" width="36.140625" bestFit="1" customWidth="1"/>
    <col min="2" max="2" width="5" bestFit="1" customWidth="1"/>
    <col min="3" max="3" width="16.42578125" bestFit="1" customWidth="1"/>
    <col min="4" max="13" width="13.85546875" bestFit="1" customWidth="1"/>
  </cols>
  <sheetData>
    <row r="1" spans="1:14" x14ac:dyDescent="0.2">
      <c r="A1" t="s">
        <v>516</v>
      </c>
    </row>
    <row r="3" spans="1:14" x14ac:dyDescent="0.2">
      <c r="A3" s="8" t="s">
        <v>177</v>
      </c>
      <c r="B3" s="8">
        <v>1998</v>
      </c>
      <c r="C3" s="8">
        <v>2000</v>
      </c>
      <c r="D3" s="8">
        <v>2001</v>
      </c>
      <c r="E3" s="8">
        <v>2002</v>
      </c>
      <c r="F3" s="8">
        <v>2003</v>
      </c>
      <c r="G3" s="8">
        <v>2004</v>
      </c>
      <c r="H3" s="8">
        <v>2005</v>
      </c>
      <c r="I3" s="8">
        <v>2006</v>
      </c>
      <c r="J3" s="8">
        <v>2007</v>
      </c>
      <c r="K3" s="8">
        <v>2008</v>
      </c>
      <c r="L3" s="8">
        <v>2009</v>
      </c>
      <c r="M3" s="8">
        <v>2010</v>
      </c>
    </row>
    <row r="4" spans="1:14" x14ac:dyDescent="0.2">
      <c r="A4" t="str">
        <f>raw!A4</f>
        <v>Boston Edison Co.</v>
      </c>
      <c r="B4" s="1"/>
      <c r="C4" s="4">
        <f>WACC!C4*Distbase!C4</f>
        <v>809928646.27483368</v>
      </c>
      <c r="D4" s="4">
        <f>WACC!D4*Distbase!D4</f>
        <v>817348824.4806186</v>
      </c>
      <c r="E4" s="4">
        <f>WACC!E4*Distbase!E4</f>
        <v>821463077.39323008</v>
      </c>
      <c r="F4" s="4">
        <f>WACC!F4*Distbase!F4</f>
        <v>828999962.58043134</v>
      </c>
      <c r="G4" s="4">
        <f>WACC!G4*Distbase!G4</f>
        <v>838344669.13144112</v>
      </c>
      <c r="H4" s="4">
        <f>WACC!H4*Distbase!H4</f>
        <v>845183201.56766427</v>
      </c>
      <c r="I4" s="4">
        <f>WACC!I4*Distbase!I4</f>
        <v>852966266.18032873</v>
      </c>
      <c r="J4" s="4">
        <f>WACC!J4*Distbase!J4</f>
        <v>860829718.00890887</v>
      </c>
      <c r="K4" s="4">
        <f>WACC!K4*Distbase!K4</f>
        <v>869679011.45333099</v>
      </c>
      <c r="L4" s="4">
        <f>WACC!L4*Distbase!L4</f>
        <v>878630748.54399967</v>
      </c>
      <c r="M4" s="4">
        <f>WACC!M4*Distbase!M4</f>
        <v>887686091.41896033</v>
      </c>
      <c r="N4" s="4"/>
    </row>
    <row r="5" spans="1:14" x14ac:dyDescent="0.2">
      <c r="A5" t="str">
        <f>raw!A5</f>
        <v>Carolina Power &amp; Light Co.</v>
      </c>
      <c r="B5" s="1"/>
      <c r="C5" s="4">
        <f>WACC!C5*Distbase!C5</f>
        <v>1151567282.6092498</v>
      </c>
      <c r="D5" s="4">
        <f>WACC!D5*Distbase!D5</f>
        <v>1164168933.7761576</v>
      </c>
      <c r="E5" s="4">
        <f>WACC!E5*Distbase!E5</f>
        <v>1172176596.9930162</v>
      </c>
      <c r="F5" s="4">
        <f>WACC!F5*Distbase!F5</f>
        <v>1185036482.6079688</v>
      </c>
      <c r="G5" s="4">
        <f>WACC!G5*Distbase!G5</f>
        <v>1200497310.9734097</v>
      </c>
      <c r="H5" s="4">
        <f>WACC!H5*Distbase!H5</f>
        <v>1212479640.7428174</v>
      </c>
      <c r="I5" s="4">
        <f>WACC!I5*Distbase!I5</f>
        <v>1225847556.2743292</v>
      </c>
      <c r="J5" s="4">
        <f>WACC!J5*Distbase!J5</f>
        <v>1239383567.5524704</v>
      </c>
      <c r="K5" s="4">
        <f>WACC!K5*Distbase!K5</f>
        <v>1254374294.4176528</v>
      </c>
      <c r="L5" s="4">
        <f>WACC!L5*Distbase!L5</f>
        <v>1269570915.8058677</v>
      </c>
      <c r="M5" s="4">
        <f>WACC!M5*Distbase!M5</f>
        <v>1284976215.091574</v>
      </c>
      <c r="N5" s="4"/>
    </row>
    <row r="6" spans="1:14" x14ac:dyDescent="0.2">
      <c r="A6" t="str">
        <f>raw!A6</f>
        <v>Central Hudson Gas &amp; Electric Corp.</v>
      </c>
      <c r="B6" s="1"/>
      <c r="C6" s="4">
        <f>WACC!C6*Distbase!C6</f>
        <v>183701932.11128891</v>
      </c>
      <c r="D6" s="4">
        <f>WACC!D6*Distbase!D6</f>
        <v>185656521.26792207</v>
      </c>
      <c r="E6" s="4">
        <f>WACC!E6*Distbase!E6</f>
        <v>186887895.07530683</v>
      </c>
      <c r="F6" s="4">
        <f>WACC!F6*Distbase!F6</f>
        <v>188884615.08548179</v>
      </c>
      <c r="G6" s="4">
        <f>WACC!G6*Distbase!G6</f>
        <v>191291529.29567781</v>
      </c>
      <c r="H6" s="4">
        <f>WACC!H6*Distbase!H6</f>
        <v>193151327.13477999</v>
      </c>
      <c r="I6" s="4">
        <f>WACC!I6*Distbase!I6</f>
        <v>195229986.15814531</v>
      </c>
      <c r="J6" s="4">
        <f>WACC!J6*Distbase!J6</f>
        <v>197335819.12842515</v>
      </c>
      <c r="K6" s="4">
        <f>WACC!K6*Distbase!K6</f>
        <v>199671210.49533993</v>
      </c>
      <c r="L6" s="4">
        <f>WACC!L6*Distbase!L6</f>
        <v>202039654.27595004</v>
      </c>
      <c r="M6" s="4">
        <f>WACC!M6*Distbase!M6</f>
        <v>204441609.57964733</v>
      </c>
      <c r="N6" s="4"/>
    </row>
    <row r="7" spans="1:14" x14ac:dyDescent="0.2">
      <c r="A7" t="str">
        <f>raw!A7</f>
        <v>Commonwealth Edison Co.</v>
      </c>
      <c r="B7" s="1"/>
      <c r="C7" s="4">
        <f>WACC!C7*Distbase!C7</f>
        <v>1870234110.3589752</v>
      </c>
      <c r="D7" s="4">
        <f>WACC!D7*Distbase!D7</f>
        <v>1895785242.6530547</v>
      </c>
      <c r="E7" s="4">
        <f>WACC!E7*Distbase!E7</f>
        <v>1913681781.8682027</v>
      </c>
      <c r="F7" s="4">
        <f>WACC!F7*Distbase!F7</f>
        <v>1939923103.9360509</v>
      </c>
      <c r="G7" s="4">
        <f>WACC!G7*Distbase!G7</f>
        <v>1970739631.4741704</v>
      </c>
      <c r="H7" s="4">
        <f>WACC!H7*Distbase!H7</f>
        <v>1995772869.5583386</v>
      </c>
      <c r="I7" s="4">
        <f>WACC!I7*Distbase!I7</f>
        <v>2023315055.961163</v>
      </c>
      <c r="J7" s="4">
        <f>WACC!J7*Distbase!J7</f>
        <v>2051293123.3903885</v>
      </c>
      <c r="K7" s="4">
        <f>WACC!K7*Distbase!K7</f>
        <v>2081929301.6841209</v>
      </c>
      <c r="L7" s="4">
        <f>WACC!L7*Distbase!L7</f>
        <v>2113085787.0234532</v>
      </c>
      <c r="M7" s="4">
        <f>WACC!M7*Distbase!M7</f>
        <v>2144771306.170913</v>
      </c>
      <c r="N7" s="4"/>
    </row>
    <row r="8" spans="1:14" x14ac:dyDescent="0.2">
      <c r="A8" t="str">
        <f>raw!A8</f>
        <v>Consolidated Edison Co. of New York, Inc.</v>
      </c>
      <c r="B8" s="1"/>
      <c r="C8" s="4">
        <f>WACC!C8*Distbase!C8</f>
        <v>4342741796.4017839</v>
      </c>
      <c r="D8" s="4">
        <f>WACC!D8*Distbase!D8</f>
        <v>4373079349.4588337</v>
      </c>
      <c r="E8" s="4">
        <f>WACC!E8*Distbase!E8</f>
        <v>4386391444.9335003</v>
      </c>
      <c r="F8" s="4">
        <f>WACC!F8*Distbase!F8</f>
        <v>4417120568.3161068</v>
      </c>
      <c r="G8" s="4">
        <f>WACC!G8*Distbase!G8</f>
        <v>4456930232.6593838</v>
      </c>
      <c r="H8" s="4">
        <f>WACC!H8*Distbase!H8</f>
        <v>4483848762.91012</v>
      </c>
      <c r="I8" s="4">
        <f>WACC!I8*Distbase!I8</f>
        <v>4515449873.1216135</v>
      </c>
      <c r="J8" s="4">
        <f>WACC!J8*Distbase!J8</f>
        <v>4547333032.5450039</v>
      </c>
      <c r="K8" s="4">
        <f>WACC!K8*Distbase!K8</f>
        <v>4584064817.514122</v>
      </c>
      <c r="L8" s="4">
        <f>WACC!L8*Distbase!L8</f>
        <v>4621166123.1000595</v>
      </c>
      <c r="M8" s="4">
        <f>WACC!M8*Distbase!M8</f>
        <v>4658640543.8694992</v>
      </c>
      <c r="N8" s="4"/>
    </row>
    <row r="9" spans="1:14" x14ac:dyDescent="0.2">
      <c r="A9" t="str">
        <f>raw!A9</f>
        <v>Consumers Energy Co.</v>
      </c>
      <c r="B9" s="1"/>
      <c r="C9" s="4">
        <f>WACC!C9*Distbase!C9</f>
        <v>1035965932.9265455</v>
      </c>
      <c r="D9" s="4">
        <f>WACC!D9*Distbase!D9</f>
        <v>1046520977.0670102</v>
      </c>
      <c r="E9" s="4">
        <f>WACC!E9*Distbase!E9</f>
        <v>1052793220.827462</v>
      </c>
      <c r="F9" s="4">
        <f>WACC!F9*Distbase!F9</f>
        <v>1063564870.4901911</v>
      </c>
      <c r="G9" s="4">
        <f>WACC!G9*Distbase!G9</f>
        <v>1076737502.5800707</v>
      </c>
      <c r="H9" s="4">
        <f>WACC!H9*Distbase!H9</f>
        <v>1086667333.351692</v>
      </c>
      <c r="I9" s="4">
        <f>WACC!I9*Distbase!I9</f>
        <v>1097869723.6444325</v>
      </c>
      <c r="J9" s="4">
        <f>WACC!J9*Distbase!J9</f>
        <v>1109214442.3897433</v>
      </c>
      <c r="K9" s="4">
        <f>WACC!K9*Distbase!K9</f>
        <v>1121892530.1187296</v>
      </c>
      <c r="L9" s="4">
        <f>WACC!L9*Distbase!L9</f>
        <v>1134746128.8858881</v>
      </c>
      <c r="M9" s="4">
        <f>WACC!M9*Distbase!M9</f>
        <v>1147777616.6050456</v>
      </c>
      <c r="N9" s="4"/>
    </row>
    <row r="10" spans="1:14" x14ac:dyDescent="0.2">
      <c r="A10" t="str">
        <f>raw!A10</f>
        <v>Duke Energy Corp.</v>
      </c>
      <c r="B10" s="1"/>
      <c r="C10" s="4">
        <f>WACC!C10*Distbase!C10</f>
        <v>2400432854.4750376</v>
      </c>
      <c r="D10" s="4">
        <f>WACC!D10*Distbase!D10</f>
        <v>2416892411.9820094</v>
      </c>
      <c r="E10" s="4">
        <f>WACC!E10*Distbase!E10</f>
        <v>2424063687.0381145</v>
      </c>
      <c r="F10" s="4">
        <f>WACC!F10*Distbase!F10</f>
        <v>2440708145.1725607</v>
      </c>
      <c r="G10" s="4">
        <f>WACC!G10*Distbase!G10</f>
        <v>2462281720.4646025</v>
      </c>
      <c r="H10" s="4">
        <f>WACC!H10*Distbase!H10</f>
        <v>2476820296.7241778</v>
      </c>
      <c r="I10" s="4">
        <f>WACC!I10*Distbase!I10</f>
        <v>2493892848.2667608</v>
      </c>
      <c r="J10" s="4">
        <f>WACC!J10*Distbase!J10</f>
        <v>2511103077.8292804</v>
      </c>
      <c r="K10" s="4">
        <f>WACC!K10*Distbase!K10</f>
        <v>2530935389.224699</v>
      </c>
      <c r="L10" s="4">
        <f>WACC!L10*Distbase!L10</f>
        <v>2550951510.4152231</v>
      </c>
      <c r="M10" s="4">
        <f>WACC!M10*Distbase!M10</f>
        <v>2571153093.6563988</v>
      </c>
      <c r="N10" s="4"/>
    </row>
    <row r="11" spans="1:14" x14ac:dyDescent="0.2">
      <c r="A11" t="str">
        <f>raw!A11</f>
        <v>Entergy Mississippi, Inc.</v>
      </c>
      <c r="B11" s="1"/>
      <c r="C11" s="4">
        <f>WACC!C11*Distbase!C11</f>
        <v>236499589.9956097</v>
      </c>
      <c r="D11" s="4">
        <f>WACC!D11*Distbase!D11</f>
        <v>238378412.62832704</v>
      </c>
      <c r="E11" s="4">
        <f>WACC!E11*Distbase!E11</f>
        <v>239288399.29853839</v>
      </c>
      <c r="F11" s="4">
        <f>WACC!F11*Distbase!F11</f>
        <v>241199381.63989803</v>
      </c>
      <c r="G11" s="4">
        <f>WACC!G11*Distbase!G11</f>
        <v>243636551.15799391</v>
      </c>
      <c r="H11" s="4">
        <f>WACC!H11*Distbase!H11</f>
        <v>245340336.74194437</v>
      </c>
      <c r="I11" s="4">
        <f>WACC!I11*Distbase!I11</f>
        <v>247318297.99180898</v>
      </c>
      <c r="J11" s="4">
        <f>WACC!J11*Distbase!J11</f>
        <v>249318181.77612096</v>
      </c>
      <c r="K11" s="4">
        <f>WACC!K11*Distbase!K11</f>
        <v>251603107.73570153</v>
      </c>
      <c r="L11" s="4">
        <f>WACC!L11*Distbase!L11</f>
        <v>253915779.91727078</v>
      </c>
      <c r="M11" s="4">
        <f>WACC!M11*Distbase!M11</f>
        <v>256256524.12252009</v>
      </c>
      <c r="N11" s="4"/>
    </row>
    <row r="12" spans="1:14" x14ac:dyDescent="0.2">
      <c r="A12" t="str">
        <f>raw!A12</f>
        <v>Florida Power &amp; Light Co.</v>
      </c>
      <c r="B12" s="1"/>
      <c r="C12" s="4">
        <f>WACC!C12*Distbase!C12</f>
        <v>2811421128.1693358</v>
      </c>
      <c r="D12" s="4">
        <f>WACC!D12*Distbase!D12</f>
        <v>2830099640.2294474</v>
      </c>
      <c r="E12" s="4">
        <f>WACC!E12*Distbase!E12</f>
        <v>2837742979.7641988</v>
      </c>
      <c r="F12" s="4">
        <f>WACC!F12*Distbase!F12</f>
        <v>2856602626.1610656</v>
      </c>
      <c r="G12" s="4">
        <f>WACC!G12*Distbase!G12</f>
        <v>2881285123.4542055</v>
      </c>
      <c r="H12" s="4">
        <f>WACC!H12*Distbase!H12</f>
        <v>2897606736.632103</v>
      </c>
      <c r="I12" s="4">
        <f>WACC!I12*Distbase!I12</f>
        <v>2916911351.9902654</v>
      </c>
      <c r="J12" s="4">
        <f>WACC!J12*Distbase!J12</f>
        <v>2936358015.7619152</v>
      </c>
      <c r="K12" s="4">
        <f>WACC!K12*Distbase!K12</f>
        <v>2958889205.6530433</v>
      </c>
      <c r="L12" s="4">
        <f>WACC!L12*Distbase!L12</f>
        <v>2981615309.5976224</v>
      </c>
      <c r="M12" s="4">
        <f>WACC!M12*Distbase!M12</f>
        <v>3004537963.2746172</v>
      </c>
      <c r="N12" s="4"/>
    </row>
    <row r="13" spans="1:14" x14ac:dyDescent="0.2">
      <c r="A13" t="str">
        <f>raw!A13</f>
        <v>Gulf Power Co.</v>
      </c>
      <c r="B13" s="1"/>
      <c r="C13" s="4">
        <f>WACC!C13*Distbase!C13</f>
        <v>263711470.20355806</v>
      </c>
      <c r="D13" s="4">
        <f>WACC!D13*Distbase!D13</f>
        <v>266326925.13222036</v>
      </c>
      <c r="E13" s="4">
        <f>WACC!E13*Distbase!E13</f>
        <v>267889302.5205811</v>
      </c>
      <c r="F13" s="4">
        <f>WACC!F13*Distbase!F13</f>
        <v>270550164.34219098</v>
      </c>
      <c r="G13" s="4">
        <f>WACC!G13*Distbase!G13</f>
        <v>273794592.60473621</v>
      </c>
      <c r="H13" s="4">
        <f>WACC!H13*Distbase!H13</f>
        <v>276240964.51926982</v>
      </c>
      <c r="I13" s="4">
        <f>WACC!I13*Distbase!I13</f>
        <v>278994507.28786397</v>
      </c>
      <c r="J13" s="4">
        <f>WACC!J13*Distbase!J13</f>
        <v>281778480.62023544</v>
      </c>
      <c r="K13" s="4">
        <f>WACC!K13*Distbase!K13</f>
        <v>284883822.27779227</v>
      </c>
      <c r="L13" s="4">
        <f>WACC!L13*Distbase!L13</f>
        <v>288027237.73698139</v>
      </c>
      <c r="M13" s="4">
        <f>WACC!M13*Distbase!M13</f>
        <v>291209185.93544281</v>
      </c>
      <c r="N13" s="4"/>
    </row>
    <row r="14" spans="1:14" x14ac:dyDescent="0.2">
      <c r="A14" t="str">
        <f>raw!A14</f>
        <v>Illinois Power Co.</v>
      </c>
      <c r="B14" s="1"/>
      <c r="C14" s="4">
        <f>WACC!C14*Distbase!C14</f>
        <v>423395321.68237144</v>
      </c>
      <c r="D14" s="4">
        <f>WACC!D14*Distbase!D14</f>
        <v>428209551.4360953</v>
      </c>
      <c r="E14" s="4">
        <f>WACC!E14*Distbase!E14</f>
        <v>431299385.56664997</v>
      </c>
      <c r="F14" s="4">
        <f>WACC!F14*Distbase!F14</f>
        <v>436224795.78662181</v>
      </c>
      <c r="G14" s="4">
        <f>WACC!G14*Distbase!G14</f>
        <v>442139119.20128125</v>
      </c>
      <c r="H14" s="4">
        <f>WACC!H14*Distbase!H14</f>
        <v>446748870.54461014</v>
      </c>
      <c r="I14" s="4">
        <f>WACC!I14*Distbase!I14</f>
        <v>451889320.43088353</v>
      </c>
      <c r="J14" s="4">
        <f>WACC!J14*Distbase!J14</f>
        <v>457101266.19103724</v>
      </c>
      <c r="K14" s="4">
        <f>WACC!K14*Distbase!K14</f>
        <v>462871392.43318301</v>
      </c>
      <c r="L14" s="4">
        <f>WACC!L14*Distbase!L14</f>
        <v>468728225.92656374</v>
      </c>
      <c r="M14" s="4">
        <f>WACC!M14*Distbase!M14</f>
        <v>474673046.60251361</v>
      </c>
      <c r="N14" s="4"/>
    </row>
    <row r="15" spans="1:14" x14ac:dyDescent="0.2">
      <c r="A15" t="str">
        <f>raw!A15</f>
        <v>Jersey Central Power &amp; Light Co.</v>
      </c>
      <c r="B15" s="1"/>
      <c r="C15" s="4">
        <f>WACC!C15*Distbase!C15</f>
        <v>957282665.6396935</v>
      </c>
      <c r="D15" s="4">
        <f>WACC!D15*Distbase!D15</f>
        <v>969132560.32201934</v>
      </c>
      <c r="E15" s="4">
        <f>WACC!E15*Distbase!E15</f>
        <v>977214685.00674701</v>
      </c>
      <c r="F15" s="4">
        <f>WACC!F15*Distbase!F15</f>
        <v>989369156.36077976</v>
      </c>
      <c r="G15" s="4">
        <f>WACC!G15*Distbase!G15</f>
        <v>1003738802.1894845</v>
      </c>
      <c r="H15" s="4">
        <f>WACC!H15*Distbase!H15</f>
        <v>1015262678.0112597</v>
      </c>
      <c r="I15" s="4">
        <f>WACC!I15*Distbase!I15</f>
        <v>1027991632.1908101</v>
      </c>
      <c r="J15" s="4">
        <f>WACC!J15*Distbase!J15</f>
        <v>1040912712.2884766</v>
      </c>
      <c r="K15" s="4">
        <f>WACC!K15*Distbase!K15</f>
        <v>1055105045.5176438</v>
      </c>
      <c r="L15" s="4">
        <f>WACC!L15*Distbase!L15</f>
        <v>1069526717.9664228</v>
      </c>
      <c r="M15" s="4">
        <f>WACC!M15*Distbase!M15</f>
        <v>1084181379.2682195</v>
      </c>
      <c r="N15" s="4"/>
    </row>
    <row r="16" spans="1:14" x14ac:dyDescent="0.2">
      <c r="A16" t="str">
        <f>raw!A16</f>
        <v>Kentucky Utilities Co.</v>
      </c>
      <c r="B16" s="1"/>
      <c r="C16" s="4">
        <f>WACC!C16*Distbase!C16</f>
        <v>281650473.15855366</v>
      </c>
      <c r="D16" s="4">
        <f>WACC!D16*Distbase!D16</f>
        <v>285876517.35223973</v>
      </c>
      <c r="E16" s="4">
        <f>WACC!E16*Distbase!E16</f>
        <v>289011408.74587268</v>
      </c>
      <c r="F16" s="4">
        <f>WACC!F16*Distbase!F16</f>
        <v>293349427.37037516</v>
      </c>
      <c r="G16" s="4">
        <f>WACC!G16*Distbase!G16</f>
        <v>298352569.53333104</v>
      </c>
      <c r="H16" s="4">
        <f>WACC!H16*Distbase!H16</f>
        <v>302531598.74467486</v>
      </c>
      <c r="I16" s="4">
        <f>WACC!I16*Distbase!I16</f>
        <v>307078799.79057711</v>
      </c>
      <c r="J16" s="4">
        <f>WACC!J16*Distbase!J16</f>
        <v>311696140.83422536</v>
      </c>
      <c r="K16" s="4">
        <f>WACC!K16*Distbase!K16</f>
        <v>316704706.42768675</v>
      </c>
      <c r="L16" s="4">
        <f>WACC!L16*Distbase!L16</f>
        <v>321796480.877083</v>
      </c>
      <c r="M16" s="4">
        <f>WACC!M16*Distbase!M16</f>
        <v>326972837.76738417</v>
      </c>
      <c r="N16" s="4"/>
    </row>
    <row r="17" spans="1:14" x14ac:dyDescent="0.2">
      <c r="A17" t="str">
        <f>raw!A17</f>
        <v>Ohio Power Co.</v>
      </c>
      <c r="B17" s="1"/>
      <c r="C17" s="4">
        <f>WACC!C17*Distbase!C17</f>
        <v>544952932.62614715</v>
      </c>
      <c r="D17" s="4">
        <f>WACC!D17*Distbase!D17</f>
        <v>552611135.59795308</v>
      </c>
      <c r="E17" s="4">
        <f>WACC!E17*Distbase!E17</f>
        <v>558180791.57894373</v>
      </c>
      <c r="F17" s="4">
        <f>WACC!F17*Distbase!F17</f>
        <v>566063719.70423734</v>
      </c>
      <c r="G17" s="4">
        <f>WACC!G17*Distbase!G17</f>
        <v>575224428.83457613</v>
      </c>
      <c r="H17" s="4">
        <f>WACC!H17*Distbase!H17</f>
        <v>582811825.6941632</v>
      </c>
      <c r="I17" s="4">
        <f>WACC!I17*Distbase!I17</f>
        <v>591109008.0912019</v>
      </c>
      <c r="J17" s="4">
        <f>WACC!J17*Distbase!J17</f>
        <v>599545692.48001039</v>
      </c>
      <c r="K17" s="4">
        <f>WACC!K17*Distbase!K17</f>
        <v>608734858.52142918</v>
      </c>
      <c r="L17" s="4">
        <f>WACC!L17*Distbase!L17</f>
        <v>618088091.59633923</v>
      </c>
      <c r="M17" s="4">
        <f>WACC!M17*Distbase!M17</f>
        <v>627608285.56138194</v>
      </c>
      <c r="N17" s="4"/>
    </row>
    <row r="18" spans="1:14" x14ac:dyDescent="0.2">
      <c r="A18" t="str">
        <f>raw!A18</f>
        <v>PPL Electric Utilities Corp.</v>
      </c>
      <c r="B18" s="1"/>
      <c r="C18" s="4">
        <f>WACC!C18*Distbase!C18</f>
        <v>1232872016.594969</v>
      </c>
      <c r="D18" s="4">
        <f>WACC!D18*Distbase!D18</f>
        <v>1248002000.5021942</v>
      </c>
      <c r="E18" s="4">
        <f>WACC!E18*Distbase!E18</f>
        <v>1258222600.2245059</v>
      </c>
      <c r="F18" s="4">
        <f>WACC!F18*Distbase!F18</f>
        <v>1273742640.4383807</v>
      </c>
      <c r="G18" s="4">
        <f>WACC!G18*Distbase!G18</f>
        <v>1292143071.3661041</v>
      </c>
      <c r="H18" s="4">
        <f>WACC!H18*Distbase!H18</f>
        <v>1306835025.3583677</v>
      </c>
      <c r="I18" s="4">
        <f>WACC!I18*Distbase!I18</f>
        <v>1323092264.4656277</v>
      </c>
      <c r="J18" s="4">
        <f>WACC!J18*Distbase!J18</f>
        <v>1339596006.5221012</v>
      </c>
      <c r="K18" s="4">
        <f>WACC!K18*Distbase!K18</f>
        <v>1357750693.3210776</v>
      </c>
      <c r="L18" s="4">
        <f>WACC!L18*Distbase!L18</f>
        <v>1376200038.2217088</v>
      </c>
      <c r="M18" s="4">
        <f>WACC!M18*Distbase!M18</f>
        <v>1394948746.9828908</v>
      </c>
      <c r="N18" s="4"/>
    </row>
    <row r="19" spans="1:14" x14ac:dyDescent="0.2">
      <c r="A19" t="str">
        <f>raw!A19</f>
        <v>Pacific Gas &amp; Electric Co.</v>
      </c>
      <c r="B19" s="1"/>
      <c r="C19" s="4">
        <f>WACC!C19*Distbase!C19</f>
        <v>4829688937.669261</v>
      </c>
      <c r="D19" s="4">
        <f>WACC!D19*Distbase!D19</f>
        <v>4857640277.7779703</v>
      </c>
      <c r="E19" s="4">
        <f>WACC!E19*Distbase!E19</f>
        <v>4865885115.8320971</v>
      </c>
      <c r="F19" s="4">
        <f>WACC!F19*Distbase!F19</f>
        <v>4894116158.545289</v>
      </c>
      <c r="G19" s="4">
        <f>WACC!G19*Distbase!G19</f>
        <v>4932685424.3150988</v>
      </c>
      <c r="H19" s="4">
        <f>WACC!H19*Distbase!H19</f>
        <v>4956335520.430315</v>
      </c>
      <c r="I19" s="4">
        <f>WACC!I19*Distbase!I19</f>
        <v>4985267245.3389835</v>
      </c>
      <c r="J19" s="4">
        <f>WACC!J19*Distbase!J19</f>
        <v>5014422245.762001</v>
      </c>
      <c r="K19" s="4">
        <f>WACC!K19*Distbase!K19</f>
        <v>5049023849.0870228</v>
      </c>
      <c r="L19" s="4">
        <f>WACC!L19*Distbase!L19</f>
        <v>5083934627.2086411</v>
      </c>
      <c r="M19" s="4">
        <f>WACC!M19*Distbase!M19</f>
        <v>5119157216.3185606</v>
      </c>
      <c r="N19" s="4"/>
    </row>
    <row r="20" spans="1:14" x14ac:dyDescent="0.2">
      <c r="A20" t="str">
        <f>raw!A20</f>
        <v>Public Service Electric &amp; Gas Co.</v>
      </c>
      <c r="B20" s="1"/>
      <c r="C20" s="4">
        <f>WACC!C20*Distbase!C20</f>
        <v>1428507488.3981965</v>
      </c>
      <c r="D20" s="4">
        <f>WACC!D20*Distbase!D20</f>
        <v>1444663903.3400912</v>
      </c>
      <c r="E20" s="4">
        <f>WACC!E20*Distbase!E20</f>
        <v>1455066318.0452225</v>
      </c>
      <c r="F20" s="4">
        <f>WACC!F20*Distbase!F20</f>
        <v>1471580989.444922</v>
      </c>
      <c r="G20" s="4">
        <f>WACC!G20*Distbase!G20</f>
        <v>1491384574.9453301</v>
      </c>
      <c r="H20" s="4">
        <f>WACC!H20*Distbase!H20</f>
        <v>1506833715.2839923</v>
      </c>
      <c r="I20" s="4">
        <f>WACC!I20*Distbase!I20</f>
        <v>1524044392.3609989</v>
      </c>
      <c r="J20" s="4">
        <f>WACC!J20*Distbase!J20</f>
        <v>1541486127.5805192</v>
      </c>
      <c r="K20" s="4">
        <f>WACC!K20*Distbase!K20</f>
        <v>1560779877.1855042</v>
      </c>
      <c r="L20" s="4">
        <f>WACC!L20*Distbase!L20</f>
        <v>1580354560.6626561</v>
      </c>
      <c r="M20" s="4">
        <f>WACC!M20*Distbase!M20</f>
        <v>1600214201.3430016</v>
      </c>
      <c r="N20" s="4"/>
    </row>
    <row r="21" spans="1:14" x14ac:dyDescent="0.2">
      <c r="A21" t="str">
        <f>raw!A21</f>
        <v>San Diego Gas &amp; Electric Co.</v>
      </c>
      <c r="B21" s="1"/>
      <c r="C21" s="4">
        <f>WACC!C21*Distbase!C21</f>
        <v>1127476711.6907003</v>
      </c>
      <c r="D21" s="4">
        <f>WACC!D21*Distbase!D21</f>
        <v>1138610065.649097</v>
      </c>
      <c r="E21" s="4">
        <f>WACC!E21*Distbase!E21</f>
        <v>1145300309.8937907</v>
      </c>
      <c r="F21" s="4">
        <f>WACC!F21*Distbase!F21</f>
        <v>1156647587.6647811</v>
      </c>
      <c r="G21" s="4">
        <f>WACC!G21*Distbase!G21</f>
        <v>1170473905.2871723</v>
      </c>
      <c r="H21" s="4">
        <f>WACC!H21*Distbase!H21</f>
        <v>1180936580.3585496</v>
      </c>
      <c r="I21" s="4">
        <f>WACC!I21*Distbase!I21</f>
        <v>1192709884.9652741</v>
      </c>
      <c r="J21" s="4">
        <f>WACC!J21*Distbase!J21</f>
        <v>1204623719.5073185</v>
      </c>
      <c r="K21" s="4">
        <f>WACC!K21*Distbase!K21</f>
        <v>1217908615.3306289</v>
      </c>
      <c r="L21" s="4">
        <f>WACC!L21*Distbase!L21</f>
        <v>1231366852.4289448</v>
      </c>
      <c r="M21" s="4">
        <f>WACC!M21*Distbase!M21</f>
        <v>1245000647.8977611</v>
      </c>
      <c r="N21" s="4"/>
    </row>
    <row r="22" spans="1:14" x14ac:dyDescent="0.2">
      <c r="A22" t="str">
        <f>raw!A22</f>
        <v>Southern California Edison Co.</v>
      </c>
      <c r="B22" s="1"/>
      <c r="C22" s="4">
        <f>WACC!C22*Distbase!C22</f>
        <v>3322114057.9458771</v>
      </c>
      <c r="D22" s="4">
        <f>WACC!D22*Distbase!D22</f>
        <v>3338385593.8835359</v>
      </c>
      <c r="E22" s="4">
        <f>WACC!E22*Distbase!E22</f>
        <v>3340902518.3488369</v>
      </c>
      <c r="F22" s="4">
        <f>WACC!F22*Distbase!F22</f>
        <v>3357266731.3470392</v>
      </c>
      <c r="G22" s="4">
        <f>WACC!G22*Distbase!G22</f>
        <v>3380747133.6033354</v>
      </c>
      <c r="H22" s="4">
        <f>WACC!H22*Distbase!H22</f>
        <v>3393814430.075623</v>
      </c>
      <c r="I22" s="4">
        <f>WACC!I22*Distbase!I22</f>
        <v>3410488019.0801034</v>
      </c>
      <c r="J22" s="4">
        <f>WACC!J22*Distbase!J22</f>
        <v>3427257426.8477879</v>
      </c>
      <c r="K22" s="4">
        <f>WACC!K22*Distbase!K22</f>
        <v>3447733440.7272558</v>
      </c>
      <c r="L22" s="4">
        <f>WACC!L22*Distbase!L22</f>
        <v>3468356835.0961895</v>
      </c>
      <c r="M22" s="4">
        <f>WACC!M22*Distbase!M22</f>
        <v>3489128613.6041617</v>
      </c>
      <c r="N22" s="4"/>
    </row>
    <row r="23" spans="1:14" x14ac:dyDescent="0.2">
      <c r="A23" t="str">
        <f>raw!A23</f>
        <v>Southwestern Public Service Co.</v>
      </c>
      <c r="B23" s="1"/>
      <c r="C23" s="4">
        <f>WACC!C23*Distbase!C23</f>
        <v>214525487.16590887</v>
      </c>
      <c r="D23" s="4">
        <f>WACC!D23*Distbase!D23</f>
        <v>216633000.43446016</v>
      </c>
      <c r="E23" s="4">
        <f>WACC!E23*Distbase!E23</f>
        <v>217895269.03522876</v>
      </c>
      <c r="F23" s="4">
        <f>WACC!F23*Distbase!F23</f>
        <v>220050898.63052219</v>
      </c>
      <c r="G23" s="4">
        <f>WACC!G23*Distbase!G23</f>
        <v>222683868.8830297</v>
      </c>
      <c r="H23" s="4">
        <f>WACC!H23*Distbase!H23</f>
        <v>224678069.12298539</v>
      </c>
      <c r="I23" s="4">
        <f>WACC!I23*Distbase!I23</f>
        <v>226926576.504114</v>
      </c>
      <c r="J23" s="4">
        <f>WACC!J23*Distbase!J23</f>
        <v>229205943.4167234</v>
      </c>
      <c r="K23" s="4">
        <f>WACC!K23*Distbase!K23</f>
        <v>231751400.17246366</v>
      </c>
      <c r="L23" s="4">
        <f>WACC!L23*Distbase!L23</f>
        <v>234334221.94128069</v>
      </c>
      <c r="M23" s="4">
        <f>WACC!M23*Distbase!M23</f>
        <v>236954943.41440815</v>
      </c>
      <c r="N23" s="4"/>
    </row>
    <row r="24" spans="1:14" x14ac:dyDescent="0.2">
      <c r="A24" t="str">
        <f>raw!A24</f>
        <v>TXU Electric Co.</v>
      </c>
      <c r="B24" s="1"/>
      <c r="C24" s="4">
        <f>WACC!C24*Distbase!C24</f>
        <v>2272005224.9312792</v>
      </c>
      <c r="D24" s="4">
        <f>WACC!D24*Distbase!D24</f>
        <v>2305945778.8429403</v>
      </c>
      <c r="E24" s="4">
        <f>WACC!E24*Distbase!E24</f>
        <v>2330939816.0828028</v>
      </c>
      <c r="F24" s="4">
        <f>WACC!F24*Distbase!F24</f>
        <v>2365854892.4235983</v>
      </c>
      <c r="G24" s="4">
        <f>WACC!G24*Distbase!G24</f>
        <v>2406267902.8946495</v>
      </c>
      <c r="H24" s="4">
        <f>WACC!H24*Distbase!H24</f>
        <v>2439933035.147388</v>
      </c>
      <c r="I24" s="4">
        <f>WACC!I24*Distbase!I24</f>
        <v>2476656187.5332565</v>
      </c>
      <c r="J24" s="4">
        <f>WACC!J24*Distbase!J24</f>
        <v>2513987524.9651403</v>
      </c>
      <c r="K24" s="4">
        <f>WACC!K24*Distbase!K24</f>
        <v>2554569340.8963037</v>
      </c>
      <c r="L24" s="4">
        <f>WACC!L24*Distbase!L24</f>
        <v>2595869638.8917775</v>
      </c>
      <c r="M24" s="4">
        <f>WACC!M24*Distbase!M24</f>
        <v>2637901022.8770719</v>
      </c>
    </row>
    <row r="32" spans="1:14" x14ac:dyDescent="0.2">
      <c r="C32" s="9"/>
    </row>
  </sheetData>
  <pageMargins left="0.75" right="0.75" top="1" bottom="1" header="0.5" footer="0.5"/>
  <pageSetup scale="63" orientation="landscape" verticalDpi="0" r:id="rId1"/>
  <headerFooter alignWithMargins="0">
    <oddFooter>Page &amp;P&amp;R&amp;A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workbookViewId="0">
      <selection activeCell="E25" sqref="E25"/>
    </sheetView>
  </sheetViews>
  <sheetFormatPr defaultRowHeight="12.75" x14ac:dyDescent="0.2"/>
  <cols>
    <col min="1" max="1" width="36.140625" bestFit="1" customWidth="1"/>
    <col min="2" max="2" width="5" bestFit="1" customWidth="1"/>
  </cols>
  <sheetData>
    <row r="1" spans="1:13" x14ac:dyDescent="0.2">
      <c r="A1" t="s">
        <v>517</v>
      </c>
    </row>
    <row r="2" spans="1:13" x14ac:dyDescent="0.2">
      <c r="C2">
        <v>4</v>
      </c>
    </row>
    <row r="3" spans="1:13" x14ac:dyDescent="0.2">
      <c r="A3" s="8" t="s">
        <v>177</v>
      </c>
      <c r="B3" s="8">
        <v>1998</v>
      </c>
      <c r="C3" s="8">
        <v>2000</v>
      </c>
      <c r="D3" s="8">
        <v>2001</v>
      </c>
      <c r="E3" s="8">
        <v>2002</v>
      </c>
      <c r="F3" s="8">
        <v>2003</v>
      </c>
      <c r="G3" s="8">
        <v>2004</v>
      </c>
      <c r="H3" s="8">
        <v>2005</v>
      </c>
      <c r="I3" s="8">
        <v>2006</v>
      </c>
      <c r="J3" s="8">
        <v>2007</v>
      </c>
      <c r="K3" s="8">
        <v>2008</v>
      </c>
      <c r="L3" s="8">
        <v>2009</v>
      </c>
      <c r="M3" s="8">
        <v>2010</v>
      </c>
    </row>
    <row r="4" spans="1:13" x14ac:dyDescent="0.2">
      <c r="A4" t="str">
        <f>raw!A4</f>
        <v>Boston Edison Co.</v>
      </c>
      <c r="B4" s="1"/>
      <c r="C4" s="18">
        <f>(leverage!C4*Cdebt!C4)+((1-leverage!C4)*Cequity!C4)</f>
        <v>9.7929702970297031E-2</v>
      </c>
      <c r="D4" s="18">
        <f>(leverage!D4*Cdebt!D4)+((1-leverage!D4)*Cequity!D4)</f>
        <v>9.7729702970297025E-2</v>
      </c>
      <c r="E4" s="18">
        <f>(leverage!E4*Cdebt!E4)+((1-leverage!E4)*Cequity!E4)</f>
        <v>9.7129702970297035E-2</v>
      </c>
      <c r="F4" s="18">
        <f>(leverage!F4*Cdebt!F4)+((1-leverage!F4)*Cequity!F4)</f>
        <v>9.692970297029703E-2</v>
      </c>
      <c r="G4" s="18">
        <f>(leverage!G4*Cdebt!G4)+((1-leverage!G4)*Cequity!G4)</f>
        <v>9.692970297029703E-2</v>
      </c>
      <c r="H4" s="18">
        <f>(leverage!H4*Cdebt!H4)+((1-leverage!H4)*Cequity!H4)</f>
        <v>9.6629702970297035E-2</v>
      </c>
      <c r="I4" s="18">
        <f>(leverage!I4*Cdebt!I4)+((1-leverage!I4)*Cequity!I4)</f>
        <v>9.6429702970297029E-2</v>
      </c>
      <c r="J4" s="18">
        <f>(leverage!J4*Cdebt!J4)+((1-leverage!J4)*Cequity!J4)</f>
        <v>9.6229702970297037E-2</v>
      </c>
      <c r="K4" s="18">
        <f>(leverage!K4*Cdebt!K4)+((1-leverage!K4)*Cequity!K4)</f>
        <v>9.6129702970297035E-2</v>
      </c>
      <c r="L4" s="18">
        <f>(leverage!L4*Cdebt!L4)+((1-leverage!L4)*Cequity!L4)</f>
        <v>9.6029702970297032E-2</v>
      </c>
      <c r="M4" s="18">
        <f>(leverage!M4*Cdebt!M4)+((1-leverage!M4)*Cequity!M4)</f>
        <v>9.5929702970297029E-2</v>
      </c>
    </row>
    <row r="5" spans="1:13" x14ac:dyDescent="0.2">
      <c r="A5" t="str">
        <f>raw!A5</f>
        <v>Carolina Power &amp; Light Co.</v>
      </c>
      <c r="B5" s="1"/>
      <c r="C5" s="18">
        <f>(leverage!C5*Cdebt!C5)+((1-leverage!C5)*Cequity!C5)</f>
        <v>9.9444973544973544E-2</v>
      </c>
      <c r="D5" s="18">
        <f>(leverage!D5*Cdebt!D5)+((1-leverage!D5)*Cequity!D5)</f>
        <v>9.9244973544973539E-2</v>
      </c>
      <c r="E5" s="18">
        <f>(leverage!E5*Cdebt!E5)+((1-leverage!E5)*Cequity!E5)</f>
        <v>9.8644973544973549E-2</v>
      </c>
      <c r="F5" s="18">
        <f>(leverage!F5*Cdebt!F5)+((1-leverage!F5)*Cequity!F5)</f>
        <v>9.8444973544973544E-2</v>
      </c>
      <c r="G5" s="18">
        <f>(leverage!G5*Cdebt!G5)+((1-leverage!G5)*Cequity!G5)</f>
        <v>9.8444973544973544E-2</v>
      </c>
      <c r="H5" s="18">
        <f>(leverage!H5*Cdebt!H5)+((1-leverage!H5)*Cequity!H5)</f>
        <v>9.8144973544973549E-2</v>
      </c>
      <c r="I5" s="18">
        <f>(leverage!I5*Cdebt!I5)+((1-leverage!I5)*Cequity!I5)</f>
        <v>9.7944973544973543E-2</v>
      </c>
      <c r="J5" s="18">
        <f>(leverage!J5*Cdebt!J5)+((1-leverage!J5)*Cequity!J5)</f>
        <v>9.7744973544973551E-2</v>
      </c>
      <c r="K5" s="18">
        <f>(leverage!K5*Cdebt!K5)+((1-leverage!K5)*Cequity!K5)</f>
        <v>9.7644973544973535E-2</v>
      </c>
      <c r="L5" s="18">
        <f>(leverage!L5*Cdebt!L5)+((1-leverage!L5)*Cequity!L5)</f>
        <v>9.7544973544973546E-2</v>
      </c>
      <c r="M5" s="18">
        <f>(leverage!M5*Cdebt!M5)+((1-leverage!M5)*Cequity!M5)</f>
        <v>9.7444973544973529E-2</v>
      </c>
    </row>
    <row r="6" spans="1:13" x14ac:dyDescent="0.2">
      <c r="A6" t="str">
        <f>raw!A6</f>
        <v>Central Hudson Gas &amp; Electric Corp.</v>
      </c>
      <c r="B6" s="1"/>
      <c r="C6" s="18">
        <f>(leverage!C6*Cdebt!C6)+((1-leverage!C6)*Cequity!C6)</f>
        <v>0.10062222222222222</v>
      </c>
      <c r="D6" s="18">
        <f>(leverage!D6*Cdebt!D6)+((1-leverage!D6)*Cequity!D6)</f>
        <v>0.10042222222222222</v>
      </c>
      <c r="E6" s="18">
        <f>(leverage!E6*Cdebt!E6)+((1-leverage!E6)*Cequity!E6)</f>
        <v>9.9822222222222229E-2</v>
      </c>
      <c r="F6" s="18">
        <f>(leverage!F6*Cdebt!F6)+((1-leverage!F6)*Cequity!F6)</f>
        <v>9.9622222222222223E-2</v>
      </c>
      <c r="G6" s="18">
        <f>(leverage!G6*Cdebt!G6)+((1-leverage!G6)*Cequity!G6)</f>
        <v>9.9622222222222223E-2</v>
      </c>
      <c r="H6" s="18">
        <f>(leverage!H6*Cdebt!H6)+((1-leverage!H6)*Cequity!H6)</f>
        <v>9.9322222222222228E-2</v>
      </c>
      <c r="I6" s="18">
        <f>(leverage!I6*Cdebt!I6)+((1-leverage!I6)*Cequity!I6)</f>
        <v>9.9122222222222223E-2</v>
      </c>
      <c r="J6" s="18">
        <f>(leverage!J6*Cdebt!J6)+((1-leverage!J6)*Cequity!J6)</f>
        <v>9.8922222222222217E-2</v>
      </c>
      <c r="K6" s="18">
        <f>(leverage!K6*Cdebt!K6)+((1-leverage!K6)*Cequity!K6)</f>
        <v>9.8822222222222228E-2</v>
      </c>
      <c r="L6" s="18">
        <f>(leverage!L6*Cdebt!L6)+((1-leverage!L6)*Cequity!L6)</f>
        <v>9.8722222222222211E-2</v>
      </c>
      <c r="M6" s="18">
        <f>(leverage!M6*Cdebt!M6)+((1-leverage!M6)*Cequity!M6)</f>
        <v>9.8622222222222222E-2</v>
      </c>
    </row>
    <row r="7" spans="1:13" x14ac:dyDescent="0.2">
      <c r="A7" t="str">
        <f>raw!A7</f>
        <v>Commonwealth Edison Co.</v>
      </c>
      <c r="B7" s="1"/>
      <c r="C7" s="18">
        <f>(leverage!C7*Cdebt!C7)+((1-leverage!C7)*Cequity!C7)</f>
        <v>9.5766071428571437E-2</v>
      </c>
      <c r="D7" s="18">
        <f>(leverage!D7*Cdebt!D7)+((1-leverage!D7)*Cequity!D7)</f>
        <v>9.5566071428571431E-2</v>
      </c>
      <c r="E7" s="18">
        <f>(leverage!E7*Cdebt!E7)+((1-leverage!E7)*Cequity!E7)</f>
        <v>9.4966071428571441E-2</v>
      </c>
      <c r="F7" s="18">
        <f>(leverage!F7*Cdebt!F7)+((1-leverage!F7)*Cequity!F7)</f>
        <v>9.4766071428571436E-2</v>
      </c>
      <c r="G7" s="18">
        <f>(leverage!G7*Cdebt!G7)+((1-leverage!G7)*Cequity!G7)</f>
        <v>9.4766071428571436E-2</v>
      </c>
      <c r="H7" s="18">
        <f>(leverage!H7*Cdebt!H7)+((1-leverage!H7)*Cequity!H7)</f>
        <v>9.4466071428571441E-2</v>
      </c>
      <c r="I7" s="18">
        <f>(leverage!I7*Cdebt!I7)+((1-leverage!I7)*Cequity!I7)</f>
        <v>9.4266071428571435E-2</v>
      </c>
      <c r="J7" s="18">
        <f>(leverage!J7*Cdebt!J7)+((1-leverage!J7)*Cequity!J7)</f>
        <v>9.4066071428571429E-2</v>
      </c>
      <c r="K7" s="18">
        <f>(leverage!K7*Cdebt!K7)+((1-leverage!K7)*Cequity!K7)</f>
        <v>9.396607142857144E-2</v>
      </c>
      <c r="L7" s="18">
        <f>(leverage!L7*Cdebt!L7)+((1-leverage!L7)*Cequity!L7)</f>
        <v>9.3866071428571424E-2</v>
      </c>
      <c r="M7" s="18">
        <f>(leverage!M7*Cdebt!M7)+((1-leverage!M7)*Cequity!M7)</f>
        <v>9.3766071428571435E-2</v>
      </c>
    </row>
    <row r="8" spans="1:13" x14ac:dyDescent="0.2">
      <c r="A8" t="str">
        <f>raw!A8</f>
        <v>Consolidated Edison Co. of New York, Inc.</v>
      </c>
      <c r="B8" s="1"/>
      <c r="C8" s="18">
        <f>(leverage!C8*Cdebt!C8)+((1-leverage!C8)*Cequity!C8)</f>
        <v>0.10223136094674556</v>
      </c>
      <c r="D8" s="18">
        <f>(leverage!D8*Cdebt!D8)+((1-leverage!D8)*Cequity!D8)</f>
        <v>0.10203136094674556</v>
      </c>
      <c r="E8" s="18">
        <f>(leverage!E8*Cdebt!E8)+((1-leverage!E8)*Cequity!E8)</f>
        <v>0.10143136094674557</v>
      </c>
      <c r="F8" s="18">
        <f>(leverage!F8*Cdebt!F8)+((1-leverage!F8)*Cequity!F8)</f>
        <v>0.10123136094674556</v>
      </c>
      <c r="G8" s="18">
        <f>(leverage!G8*Cdebt!G8)+((1-leverage!G8)*Cequity!G8)</f>
        <v>0.10123136094674556</v>
      </c>
      <c r="H8" s="18">
        <f>(leverage!H8*Cdebt!H8)+((1-leverage!H8)*Cequity!H8)</f>
        <v>0.10093136094674557</v>
      </c>
      <c r="I8" s="18">
        <f>(leverage!I8*Cdebt!I8)+((1-leverage!I8)*Cequity!I8)</f>
        <v>0.10073136094674556</v>
      </c>
      <c r="J8" s="18">
        <f>(leverage!J8*Cdebt!J8)+((1-leverage!J8)*Cequity!J8)</f>
        <v>0.10053136094674556</v>
      </c>
      <c r="K8" s="18">
        <f>(leverage!K8*Cdebt!K8)+((1-leverage!K8)*Cequity!K8)</f>
        <v>0.10043136094674557</v>
      </c>
      <c r="L8" s="18">
        <f>(leverage!L8*Cdebt!L8)+((1-leverage!L8)*Cequity!L8)</f>
        <v>0.10033136094674557</v>
      </c>
      <c r="M8" s="18">
        <f>(leverage!M8*Cdebt!M8)+((1-leverage!M8)*Cequity!M8)</f>
        <v>0.10023136094674556</v>
      </c>
    </row>
    <row r="9" spans="1:13" x14ac:dyDescent="0.2">
      <c r="A9" t="str">
        <f>raw!A9</f>
        <v>Consumers Energy Co.</v>
      </c>
      <c r="B9" s="1"/>
      <c r="C9" s="18">
        <f>(leverage!C9*Cdebt!C9)+((1-leverage!C9)*Cequity!C9)</f>
        <v>9.6127272727272728E-2</v>
      </c>
      <c r="D9" s="18">
        <f>(leverage!D9*Cdebt!D9)+((1-leverage!D9)*Cequity!D9)</f>
        <v>9.5927272727272722E-2</v>
      </c>
      <c r="E9" s="18">
        <f>(leverage!E9*Cdebt!E9)+((1-leverage!E9)*Cequity!E9)</f>
        <v>9.5327272727272733E-2</v>
      </c>
      <c r="F9" s="18">
        <f>(leverage!F9*Cdebt!F9)+((1-leverage!F9)*Cequity!F9)</f>
        <v>9.5127272727272727E-2</v>
      </c>
      <c r="G9" s="18">
        <f>(leverage!G9*Cdebt!G9)+((1-leverage!G9)*Cequity!G9)</f>
        <v>9.5127272727272727E-2</v>
      </c>
      <c r="H9" s="18">
        <f>(leverage!H9*Cdebt!H9)+((1-leverage!H9)*Cequity!H9)</f>
        <v>9.4827272727272732E-2</v>
      </c>
      <c r="I9" s="18">
        <f>(leverage!I9*Cdebt!I9)+((1-leverage!I9)*Cequity!I9)</f>
        <v>9.4627272727272727E-2</v>
      </c>
      <c r="J9" s="18">
        <f>(leverage!J9*Cdebt!J9)+((1-leverage!J9)*Cequity!J9)</f>
        <v>9.4427272727272721E-2</v>
      </c>
      <c r="K9" s="18">
        <f>(leverage!K9*Cdebt!K9)+((1-leverage!K9)*Cequity!K9)</f>
        <v>9.4327272727272732E-2</v>
      </c>
      <c r="L9" s="18">
        <f>(leverage!L9*Cdebt!L9)+((1-leverage!L9)*Cequity!L9)</f>
        <v>9.4227272727272715E-2</v>
      </c>
      <c r="M9" s="18">
        <f>(leverage!M9*Cdebt!M9)+((1-leverage!M9)*Cequity!M9)</f>
        <v>9.4127272727272726E-2</v>
      </c>
    </row>
    <row r="10" spans="1:13" x14ac:dyDescent="0.2">
      <c r="A10" t="str">
        <f>raw!A10</f>
        <v>Duke Energy Corp.</v>
      </c>
      <c r="B10" s="1"/>
      <c r="C10" s="18">
        <f>(leverage!C10*Cdebt!C10)+((1-leverage!C10)*Cequity!C10)</f>
        <v>0.10371250000000001</v>
      </c>
      <c r="D10" s="18">
        <f>(leverage!D10*Cdebt!D10)+((1-leverage!D10)*Cequity!D10)</f>
        <v>0.10351249999999999</v>
      </c>
      <c r="E10" s="18">
        <f>(leverage!E10*Cdebt!E10)+((1-leverage!E10)*Cequity!E10)</f>
        <v>0.1029125</v>
      </c>
      <c r="F10" s="18">
        <f>(leverage!F10*Cdebt!F10)+((1-leverage!F10)*Cequity!F10)</f>
        <v>0.10271249999999998</v>
      </c>
      <c r="G10" s="18">
        <f>(leverage!G10*Cdebt!G10)+((1-leverage!G10)*Cequity!G10)</f>
        <v>0.10271249999999998</v>
      </c>
      <c r="H10" s="18">
        <f>(leverage!H10*Cdebt!H10)+((1-leverage!H10)*Cequity!H10)</f>
        <v>0.1024125</v>
      </c>
      <c r="I10" s="18">
        <f>(leverage!I10*Cdebt!I10)+((1-leverage!I10)*Cequity!I10)</f>
        <v>0.1022125</v>
      </c>
      <c r="J10" s="18">
        <f>(leverage!J10*Cdebt!J10)+((1-leverage!J10)*Cequity!J10)</f>
        <v>0.10201250000000001</v>
      </c>
      <c r="K10" s="18">
        <f>(leverage!K10*Cdebt!K10)+((1-leverage!K10)*Cequity!K10)</f>
        <v>0.1019125</v>
      </c>
      <c r="L10" s="18">
        <f>(leverage!L10*Cdebt!L10)+((1-leverage!L10)*Cequity!L10)</f>
        <v>0.1018125</v>
      </c>
      <c r="M10" s="18">
        <f>(leverage!M10*Cdebt!M10)+((1-leverage!M10)*Cequity!M10)</f>
        <v>0.10171250000000001</v>
      </c>
    </row>
    <row r="11" spans="1:13" x14ac:dyDescent="0.2">
      <c r="A11" t="str">
        <f>raw!A11</f>
        <v>Entergy Mississippi, Inc.</v>
      </c>
      <c r="B11" s="1"/>
      <c r="C11" s="18">
        <f>(leverage!C11*Cdebt!C11)+((1-leverage!C11)*Cequity!C11)</f>
        <v>9.7501941747572818E-2</v>
      </c>
      <c r="D11" s="18">
        <f>(leverage!D11*Cdebt!D11)+((1-leverage!D11)*Cequity!D11)</f>
        <v>9.7301941747572812E-2</v>
      </c>
      <c r="E11" s="18">
        <f>(leverage!E11*Cdebt!E11)+((1-leverage!E11)*Cequity!E11)</f>
        <v>9.6701941747572823E-2</v>
      </c>
      <c r="F11" s="18">
        <f>(leverage!F11*Cdebt!F11)+((1-leverage!F11)*Cequity!F11)</f>
        <v>9.6501941747572817E-2</v>
      </c>
      <c r="G11" s="18">
        <f>(leverage!G11*Cdebt!G11)+((1-leverage!G11)*Cequity!G11)</f>
        <v>9.6501941747572817E-2</v>
      </c>
      <c r="H11" s="18">
        <f>(leverage!H11*Cdebt!H11)+((1-leverage!H11)*Cequity!H11)</f>
        <v>9.6201941747572822E-2</v>
      </c>
      <c r="I11" s="18">
        <f>(leverage!I11*Cdebt!I11)+((1-leverage!I11)*Cequity!I11)</f>
        <v>9.6001941747572817E-2</v>
      </c>
      <c r="J11" s="18">
        <f>(leverage!J11*Cdebt!J11)+((1-leverage!J11)*Cequity!J11)</f>
        <v>9.5801941747572811E-2</v>
      </c>
      <c r="K11" s="18">
        <f>(leverage!K11*Cdebt!K11)+((1-leverage!K11)*Cequity!K11)</f>
        <v>9.5701941747572822E-2</v>
      </c>
      <c r="L11" s="18">
        <f>(leverage!L11*Cdebt!L11)+((1-leverage!L11)*Cequity!L11)</f>
        <v>9.5601941747572805E-2</v>
      </c>
      <c r="M11" s="18">
        <f>(leverage!M11*Cdebt!M11)+((1-leverage!M11)*Cequity!M11)</f>
        <v>9.5501941747572816E-2</v>
      </c>
    </row>
    <row r="12" spans="1:13" x14ac:dyDescent="0.2">
      <c r="A12" t="str">
        <f>raw!A12</f>
        <v>Florida Power &amp; Light Co.</v>
      </c>
      <c r="B12" s="1"/>
      <c r="C12" s="18">
        <f>(leverage!C12*Cdebt!C12)+((1-leverage!C12)*Cequity!C12)</f>
        <v>0.10238809523809524</v>
      </c>
      <c r="D12" s="18">
        <f>(leverage!D12*Cdebt!D12)+((1-leverage!D12)*Cequity!D12)</f>
        <v>0.10218809523809524</v>
      </c>
      <c r="E12" s="18">
        <f>(leverage!E12*Cdebt!E12)+((1-leverage!E12)*Cequity!E12)</f>
        <v>0.10158809523809524</v>
      </c>
      <c r="F12" s="18">
        <f>(leverage!F12*Cdebt!F12)+((1-leverage!F12)*Cequity!F12)</f>
        <v>0.10138809523809525</v>
      </c>
      <c r="G12" s="18">
        <f>(leverage!G12*Cdebt!G12)+((1-leverage!G12)*Cequity!G12)</f>
        <v>0.10138809523809525</v>
      </c>
      <c r="H12" s="18">
        <f>(leverage!H12*Cdebt!H12)+((1-leverage!H12)*Cequity!H12)</f>
        <v>0.10108809523809524</v>
      </c>
      <c r="I12" s="18">
        <f>(leverage!I12*Cdebt!I12)+((1-leverage!I12)*Cequity!I12)</f>
        <v>0.10088809523809525</v>
      </c>
      <c r="J12" s="18">
        <f>(leverage!J12*Cdebt!J12)+((1-leverage!J12)*Cequity!J12)</f>
        <v>0.10068809523809524</v>
      </c>
      <c r="K12" s="18">
        <f>(leverage!K12*Cdebt!K12)+((1-leverage!K12)*Cequity!K12)</f>
        <v>0.10058809523809524</v>
      </c>
      <c r="L12" s="18">
        <f>(leverage!L12*Cdebt!L12)+((1-leverage!L12)*Cequity!L12)</f>
        <v>0.10048809523809524</v>
      </c>
      <c r="M12" s="18">
        <f>(leverage!M12*Cdebt!M12)+((1-leverage!M12)*Cequity!M12)</f>
        <v>0.10038809523809525</v>
      </c>
    </row>
    <row r="13" spans="1:13" x14ac:dyDescent="0.2">
      <c r="A13" t="str">
        <f>raw!A13</f>
        <v>Gulf Power Co.</v>
      </c>
      <c r="B13" s="1"/>
      <c r="C13" s="18">
        <f>(leverage!C13*Cdebt!C13)+((1-leverage!C13)*Cequity!C13)</f>
        <v>9.9824731182795695E-2</v>
      </c>
      <c r="D13" s="18">
        <f>(leverage!D13*Cdebt!D13)+((1-leverage!D13)*Cequity!D13)</f>
        <v>9.9624731182795689E-2</v>
      </c>
      <c r="E13" s="18">
        <f>(leverage!E13*Cdebt!E13)+((1-leverage!E13)*Cequity!E13)</f>
        <v>9.90247311827957E-2</v>
      </c>
      <c r="F13" s="18">
        <f>(leverage!F13*Cdebt!F13)+((1-leverage!F13)*Cequity!F13)</f>
        <v>9.8824731182795694E-2</v>
      </c>
      <c r="G13" s="18">
        <f>(leverage!G13*Cdebt!G13)+((1-leverage!G13)*Cequity!G13)</f>
        <v>9.8824731182795694E-2</v>
      </c>
      <c r="H13" s="18">
        <f>(leverage!H13*Cdebt!H13)+((1-leverage!H13)*Cequity!H13)</f>
        <v>9.85247311827957E-2</v>
      </c>
      <c r="I13" s="18">
        <f>(leverage!I13*Cdebt!I13)+((1-leverage!I13)*Cequity!I13)</f>
        <v>9.8324731182795694E-2</v>
      </c>
      <c r="J13" s="18">
        <f>(leverage!J13*Cdebt!J13)+((1-leverage!J13)*Cequity!J13)</f>
        <v>9.8124731182795688E-2</v>
      </c>
      <c r="K13" s="18">
        <f>(leverage!K13*Cdebt!K13)+((1-leverage!K13)*Cequity!K13)</f>
        <v>9.8024731182795699E-2</v>
      </c>
      <c r="L13" s="18">
        <f>(leverage!L13*Cdebt!L13)+((1-leverage!L13)*Cequity!L13)</f>
        <v>9.7924731182795696E-2</v>
      </c>
      <c r="M13" s="18">
        <f>(leverage!M13*Cdebt!M13)+((1-leverage!M13)*Cequity!M13)</f>
        <v>9.7824731182795693E-2</v>
      </c>
    </row>
    <row r="14" spans="1:13" x14ac:dyDescent="0.2">
      <c r="A14" t="str">
        <f>raw!A14</f>
        <v>Illinois Power Co.</v>
      </c>
      <c r="B14" s="1"/>
      <c r="C14" s="18">
        <f>(leverage!C14*Cdebt!C14)+((1-leverage!C14)*Cequity!C14)</f>
        <v>9.7090476190476199E-2</v>
      </c>
      <c r="D14" s="18">
        <f>(leverage!D14*Cdebt!D14)+((1-leverage!D14)*Cequity!D14)</f>
        <v>9.689047619047618E-2</v>
      </c>
      <c r="E14" s="18">
        <f>(leverage!E14*Cdebt!E14)+((1-leverage!E14)*Cequity!E14)</f>
        <v>9.6290476190476204E-2</v>
      </c>
      <c r="F14" s="18">
        <f>(leverage!F14*Cdebt!F14)+((1-leverage!F14)*Cequity!F14)</f>
        <v>9.6090476190476198E-2</v>
      </c>
      <c r="G14" s="18">
        <f>(leverage!G14*Cdebt!G14)+((1-leverage!G14)*Cequity!G14)</f>
        <v>9.6090476190476198E-2</v>
      </c>
      <c r="H14" s="18">
        <f>(leverage!H14*Cdebt!H14)+((1-leverage!H14)*Cequity!H14)</f>
        <v>9.5790476190476204E-2</v>
      </c>
      <c r="I14" s="18">
        <f>(leverage!I14*Cdebt!I14)+((1-leverage!I14)*Cequity!I14)</f>
        <v>9.5590476190476198E-2</v>
      </c>
      <c r="J14" s="18">
        <f>(leverage!J14*Cdebt!J14)+((1-leverage!J14)*Cequity!J14)</f>
        <v>9.5390476190476192E-2</v>
      </c>
      <c r="K14" s="18">
        <f>(leverage!K14*Cdebt!K14)+((1-leverage!K14)*Cequity!K14)</f>
        <v>9.5290476190476203E-2</v>
      </c>
      <c r="L14" s="18">
        <f>(leverage!L14*Cdebt!L14)+((1-leverage!L14)*Cequity!L14)</f>
        <v>9.5190476190476186E-2</v>
      </c>
      <c r="M14" s="18">
        <f>(leverage!M14*Cdebt!M14)+((1-leverage!M14)*Cequity!M14)</f>
        <v>9.5090476190476184E-2</v>
      </c>
    </row>
    <row r="15" spans="1:13" x14ac:dyDescent="0.2">
      <c r="A15" t="str">
        <f>raw!A15</f>
        <v>Jersey Central Power &amp; Light Co.</v>
      </c>
      <c r="B15" s="1"/>
      <c r="C15" s="18">
        <f>(leverage!C15*Cdebt!C15)+((1-leverage!C15)*Cequity!C15)</f>
        <v>9.9824731182795695E-2</v>
      </c>
      <c r="D15" s="18">
        <f>(leverage!D15*Cdebt!D15)+((1-leverage!D15)*Cequity!D15)</f>
        <v>9.9624731182795689E-2</v>
      </c>
      <c r="E15" s="18">
        <f>(leverage!E15*Cdebt!E15)+((1-leverage!E15)*Cequity!E15)</f>
        <v>9.90247311827957E-2</v>
      </c>
      <c r="F15" s="18">
        <f>(leverage!F15*Cdebt!F15)+((1-leverage!F15)*Cequity!F15)</f>
        <v>9.8824731182795694E-2</v>
      </c>
      <c r="G15" s="18">
        <f>(leverage!G15*Cdebt!G15)+((1-leverage!G15)*Cequity!G15)</f>
        <v>9.8824731182795694E-2</v>
      </c>
      <c r="H15" s="18">
        <f>(leverage!H15*Cdebt!H15)+((1-leverage!H15)*Cequity!H15)</f>
        <v>9.85247311827957E-2</v>
      </c>
      <c r="I15" s="18">
        <f>(leverage!I15*Cdebt!I15)+((1-leverage!I15)*Cequity!I15)</f>
        <v>9.8324731182795694E-2</v>
      </c>
      <c r="J15" s="18">
        <f>(leverage!J15*Cdebt!J15)+((1-leverage!J15)*Cequity!J15)</f>
        <v>9.8124731182795688E-2</v>
      </c>
      <c r="K15" s="18">
        <f>(leverage!K15*Cdebt!K15)+((1-leverage!K15)*Cequity!K15)</f>
        <v>9.8024731182795699E-2</v>
      </c>
      <c r="L15" s="18">
        <f>(leverage!L15*Cdebt!L15)+((1-leverage!L15)*Cequity!L15)</f>
        <v>9.7924731182795696E-2</v>
      </c>
      <c r="M15" s="18">
        <f>(leverage!M15*Cdebt!M15)+((1-leverage!M15)*Cequity!M15)</f>
        <v>9.7824731182795693E-2</v>
      </c>
    </row>
    <row r="16" spans="1:13" x14ac:dyDescent="0.2">
      <c r="A16" t="str">
        <f>raw!A16</f>
        <v>Kentucky Utilities Co.</v>
      </c>
      <c r="B16" s="1"/>
      <c r="C16" s="18">
        <f>(leverage!C16*Cdebt!C16)+((1-leverage!C16)*Cequity!C16)</f>
        <v>0.10076033519553074</v>
      </c>
      <c r="D16" s="18">
        <f>(leverage!D16*Cdebt!D16)+((1-leverage!D16)*Cequity!D16)</f>
        <v>0.10056033519553073</v>
      </c>
      <c r="E16" s="18">
        <f>(leverage!E16*Cdebt!E16)+((1-leverage!E16)*Cequity!E16)</f>
        <v>9.9960335195530742E-2</v>
      </c>
      <c r="F16" s="18">
        <f>(leverage!F16*Cdebt!F16)+((1-leverage!F16)*Cequity!F16)</f>
        <v>9.9760335195530736E-2</v>
      </c>
      <c r="G16" s="18">
        <f>(leverage!G16*Cdebt!G16)+((1-leverage!G16)*Cequity!G16)</f>
        <v>9.9760335195530736E-2</v>
      </c>
      <c r="H16" s="18">
        <f>(leverage!H16*Cdebt!H16)+((1-leverage!H16)*Cequity!H16)</f>
        <v>9.9460335195530741E-2</v>
      </c>
      <c r="I16" s="18">
        <f>(leverage!I16*Cdebt!I16)+((1-leverage!I16)*Cequity!I16)</f>
        <v>9.9260335195530736E-2</v>
      </c>
      <c r="J16" s="18">
        <f>(leverage!J16*Cdebt!J16)+((1-leverage!J16)*Cequity!J16)</f>
        <v>9.906033519553073E-2</v>
      </c>
      <c r="K16" s="18">
        <f>(leverage!K16*Cdebt!K16)+((1-leverage!K16)*Cequity!K16)</f>
        <v>9.8960335195530741E-2</v>
      </c>
      <c r="L16" s="18">
        <f>(leverage!L16*Cdebt!L16)+((1-leverage!L16)*Cequity!L16)</f>
        <v>9.8860335195530724E-2</v>
      </c>
      <c r="M16" s="18">
        <f>(leverage!M16*Cdebt!M16)+((1-leverage!M16)*Cequity!M16)</f>
        <v>9.8760335195530735E-2</v>
      </c>
    </row>
    <row r="17" spans="1:13" x14ac:dyDescent="0.2">
      <c r="A17" t="str">
        <f>raw!A17</f>
        <v>Ohio Power Co.</v>
      </c>
      <c r="B17" s="1"/>
      <c r="C17" s="18">
        <f>(leverage!C17*Cdebt!C17)+((1-leverage!C17)*Cequity!C17)</f>
        <v>0.10147471264367816</v>
      </c>
      <c r="D17" s="18">
        <f>(leverage!D17*Cdebt!D17)+((1-leverage!D17)*Cequity!D17)</f>
        <v>0.10127471264367816</v>
      </c>
      <c r="E17" s="18">
        <f>(leverage!E17*Cdebt!E17)+((1-leverage!E17)*Cequity!E17)</f>
        <v>0.10067471264367817</v>
      </c>
      <c r="F17" s="18">
        <f>(leverage!F17*Cdebt!F17)+((1-leverage!F17)*Cequity!F17)</f>
        <v>0.10047471264367816</v>
      </c>
      <c r="G17" s="18">
        <f>(leverage!G17*Cdebt!G17)+((1-leverage!G17)*Cequity!G17)</f>
        <v>0.10047471264367816</v>
      </c>
      <c r="H17" s="18">
        <f>(leverage!H17*Cdebt!H17)+((1-leverage!H17)*Cequity!H17)</f>
        <v>0.10017471264367817</v>
      </c>
      <c r="I17" s="18">
        <f>(leverage!I17*Cdebt!I17)+((1-leverage!I17)*Cequity!I17)</f>
        <v>9.997471264367816E-2</v>
      </c>
      <c r="J17" s="18">
        <f>(leverage!J17*Cdebt!J17)+((1-leverage!J17)*Cequity!J17)</f>
        <v>9.9774712643678154E-2</v>
      </c>
      <c r="K17" s="18">
        <f>(leverage!K17*Cdebt!K17)+((1-leverage!K17)*Cequity!K17)</f>
        <v>9.9674712643678165E-2</v>
      </c>
      <c r="L17" s="18">
        <f>(leverage!L17*Cdebt!L17)+((1-leverage!L17)*Cequity!L17)</f>
        <v>9.9574712643678148E-2</v>
      </c>
      <c r="M17" s="18">
        <f>(leverage!M17*Cdebt!M17)+((1-leverage!M17)*Cequity!M17)</f>
        <v>9.9474712643678159E-2</v>
      </c>
    </row>
    <row r="18" spans="1:13" x14ac:dyDescent="0.2">
      <c r="A18" t="str">
        <f>raw!A18</f>
        <v>PPL Electric Utilities Corp.</v>
      </c>
      <c r="B18" s="1"/>
      <c r="C18" s="18">
        <f>(leverage!C18*Cdebt!C18)+((1-leverage!C18)*Cequity!C18)</f>
        <v>9.8720512820512807E-2</v>
      </c>
      <c r="D18" s="18">
        <f>(leverage!D18*Cdebt!D18)+((1-leverage!D18)*Cequity!D18)</f>
        <v>9.8520512820512801E-2</v>
      </c>
      <c r="E18" s="18">
        <f>(leverage!E18*Cdebt!E18)+((1-leverage!E18)*Cequity!E18)</f>
        <v>9.7920512820512826E-2</v>
      </c>
      <c r="F18" s="18">
        <f>(leverage!F18*Cdebt!F18)+((1-leverage!F18)*Cequity!F18)</f>
        <v>9.7720512820512806E-2</v>
      </c>
      <c r="G18" s="18">
        <f>(leverage!G18*Cdebt!G18)+((1-leverage!G18)*Cequity!G18)</f>
        <v>9.7720512820512806E-2</v>
      </c>
      <c r="H18" s="18">
        <f>(leverage!H18*Cdebt!H18)+((1-leverage!H18)*Cequity!H18)</f>
        <v>9.7420512820512811E-2</v>
      </c>
      <c r="I18" s="18">
        <f>(leverage!I18*Cdebt!I18)+((1-leverage!I18)*Cequity!I18)</f>
        <v>9.7220512820512819E-2</v>
      </c>
      <c r="J18" s="18">
        <f>(leverage!J18*Cdebt!J18)+((1-leverage!J18)*Cequity!J18)</f>
        <v>9.7020512820512814E-2</v>
      </c>
      <c r="K18" s="18">
        <f>(leverage!K18*Cdebt!K18)+((1-leverage!K18)*Cequity!K18)</f>
        <v>9.6920512820512811E-2</v>
      </c>
      <c r="L18" s="18">
        <f>(leverage!L18*Cdebt!L18)+((1-leverage!L18)*Cequity!L18)</f>
        <v>9.6820512820512822E-2</v>
      </c>
      <c r="M18" s="18">
        <f>(leverage!M18*Cdebt!M18)+((1-leverage!M18)*Cequity!M18)</f>
        <v>9.6720512820512805E-2</v>
      </c>
    </row>
    <row r="19" spans="1:13" x14ac:dyDescent="0.2">
      <c r="A19" t="str">
        <f>raw!A19</f>
        <v>Pacific Gas &amp; Electric Co.</v>
      </c>
      <c r="B19" s="1"/>
      <c r="C19" s="18">
        <f>(leverage!C19*Cdebt!C19)+((1-leverage!C19)*Cequity!C19)</f>
        <v>9.8488832487309635E-2</v>
      </c>
      <c r="D19" s="18">
        <f>(leverage!D19*Cdebt!D19)+((1-leverage!D19)*Cequity!D19)</f>
        <v>9.828883248730963E-2</v>
      </c>
      <c r="E19" s="18">
        <f>(leverage!E19*Cdebt!E19)+((1-leverage!E19)*Cequity!E19)</f>
        <v>9.768883248730964E-2</v>
      </c>
      <c r="F19" s="18">
        <f>(leverage!F19*Cdebt!F19)+((1-leverage!F19)*Cequity!F19)</f>
        <v>9.7488832487309635E-2</v>
      </c>
      <c r="G19" s="18">
        <f>(leverage!G19*Cdebt!G19)+((1-leverage!G19)*Cequity!G19)</f>
        <v>9.7488832487309635E-2</v>
      </c>
      <c r="H19" s="18">
        <f>(leverage!H19*Cdebt!H19)+((1-leverage!H19)*Cequity!H19)</f>
        <v>9.718883248730964E-2</v>
      </c>
      <c r="I19" s="18">
        <f>(leverage!I19*Cdebt!I19)+((1-leverage!I19)*Cequity!I19)</f>
        <v>9.6988832487309634E-2</v>
      </c>
      <c r="J19" s="18">
        <f>(leverage!J19*Cdebt!J19)+((1-leverage!J19)*Cequity!J19)</f>
        <v>9.6788832487309628E-2</v>
      </c>
      <c r="K19" s="18">
        <f>(leverage!K19*Cdebt!K19)+((1-leverage!K19)*Cequity!K19)</f>
        <v>9.6688832487309639E-2</v>
      </c>
      <c r="L19" s="18">
        <f>(leverage!L19*Cdebt!L19)+((1-leverage!L19)*Cequity!L19)</f>
        <v>9.6588832487309623E-2</v>
      </c>
      <c r="M19" s="18">
        <f>(leverage!M19*Cdebt!M19)+((1-leverage!M19)*Cequity!M19)</f>
        <v>9.6488832487309634E-2</v>
      </c>
    </row>
    <row r="20" spans="1:13" x14ac:dyDescent="0.2">
      <c r="A20" t="str">
        <f>raw!A20</f>
        <v>Public Service Electric &amp; Gas Co.</v>
      </c>
      <c r="B20" s="1"/>
      <c r="C20" s="18">
        <f>(leverage!C20*Cdebt!C20)+((1-leverage!C20)*Cequity!C20)</f>
        <v>9.8261809045226134E-2</v>
      </c>
      <c r="D20" s="18">
        <f>(leverage!D20*Cdebt!D20)+((1-leverage!D20)*Cequity!D20)</f>
        <v>9.8061809045226128E-2</v>
      </c>
      <c r="E20" s="18">
        <f>(leverage!E20*Cdebt!E20)+((1-leverage!E20)*Cequity!E20)</f>
        <v>9.7461809045226125E-2</v>
      </c>
      <c r="F20" s="18">
        <f>(leverage!F20*Cdebt!F20)+((1-leverage!F20)*Cequity!F20)</f>
        <v>9.7261809045226133E-2</v>
      </c>
      <c r="G20" s="18">
        <f>(leverage!G20*Cdebt!G20)+((1-leverage!G20)*Cequity!G20)</f>
        <v>9.7261809045226133E-2</v>
      </c>
      <c r="H20" s="18">
        <f>(leverage!H20*Cdebt!H20)+((1-leverage!H20)*Cequity!H20)</f>
        <v>9.6961809045226124E-2</v>
      </c>
      <c r="I20" s="18">
        <f>(leverage!I20*Cdebt!I20)+((1-leverage!I20)*Cequity!I20)</f>
        <v>9.6761809045226133E-2</v>
      </c>
      <c r="J20" s="18">
        <f>(leverage!J20*Cdebt!J20)+((1-leverage!J20)*Cequity!J20)</f>
        <v>9.6561809045226127E-2</v>
      </c>
      <c r="K20" s="18">
        <f>(leverage!K20*Cdebt!K20)+((1-leverage!K20)*Cequity!K20)</f>
        <v>9.6461809045226138E-2</v>
      </c>
      <c r="L20" s="18">
        <f>(leverage!L20*Cdebt!L20)+((1-leverage!L20)*Cequity!L20)</f>
        <v>9.6361809045226121E-2</v>
      </c>
      <c r="M20" s="18">
        <f>(leverage!M20*Cdebt!M20)+((1-leverage!M20)*Cequity!M20)</f>
        <v>9.6261809045226132E-2</v>
      </c>
    </row>
    <row r="21" spans="1:13" x14ac:dyDescent="0.2">
      <c r="A21" t="str">
        <f>raw!A21</f>
        <v>San Diego Gas &amp; Electric Co.</v>
      </c>
      <c r="B21" s="1"/>
      <c r="C21" s="18">
        <f>(leverage!C21*Cdebt!C21)+((1-leverage!C21)*Cequity!C21)</f>
        <v>0.10090000000000002</v>
      </c>
      <c r="D21" s="18">
        <f>(leverage!D21*Cdebt!D21)+((1-leverage!D21)*Cequity!D21)</f>
        <v>0.10070000000000001</v>
      </c>
      <c r="E21" s="18">
        <f>(leverage!E21*Cdebt!E21)+((1-leverage!E21)*Cequity!E21)</f>
        <v>0.10010000000000002</v>
      </c>
      <c r="F21" s="18">
        <f>(leverage!F21*Cdebt!F21)+((1-leverage!F21)*Cequity!F21)</f>
        <v>9.9900000000000017E-2</v>
      </c>
      <c r="G21" s="18">
        <f>(leverage!G21*Cdebt!G21)+((1-leverage!G21)*Cequity!G21)</f>
        <v>9.9900000000000017E-2</v>
      </c>
      <c r="H21" s="18">
        <f>(leverage!H21*Cdebt!H21)+((1-leverage!H21)*Cequity!H21)</f>
        <v>9.9600000000000022E-2</v>
      </c>
      <c r="I21" s="18">
        <f>(leverage!I21*Cdebt!I21)+((1-leverage!I21)*Cequity!I21)</f>
        <v>9.9400000000000002E-2</v>
      </c>
      <c r="J21" s="18">
        <f>(leverage!J21*Cdebt!J21)+((1-leverage!J21)*Cequity!J21)</f>
        <v>9.920000000000001E-2</v>
      </c>
      <c r="K21" s="18">
        <f>(leverage!K21*Cdebt!K21)+((1-leverage!K21)*Cequity!K21)</f>
        <v>9.9100000000000008E-2</v>
      </c>
      <c r="L21" s="18">
        <f>(leverage!L21*Cdebt!L21)+((1-leverage!L21)*Cequity!L21)</f>
        <v>9.9000000000000005E-2</v>
      </c>
      <c r="M21" s="18">
        <f>(leverage!M21*Cdebt!M21)+((1-leverage!M21)*Cequity!M21)</f>
        <v>9.8900000000000002E-2</v>
      </c>
    </row>
    <row r="22" spans="1:13" x14ac:dyDescent="0.2">
      <c r="A22" t="str">
        <f>raw!A22</f>
        <v>Southern California Edison Co.</v>
      </c>
      <c r="B22" s="1"/>
      <c r="C22" s="18">
        <f>(leverage!C22*Cdebt!C22)+((1-leverage!C22)*Cequity!C22)</f>
        <v>9.7294230769230772E-2</v>
      </c>
      <c r="D22" s="18">
        <f>(leverage!D22*Cdebt!D22)+((1-leverage!D22)*Cequity!D22)</f>
        <v>9.7094230769230766E-2</v>
      </c>
      <c r="E22" s="18">
        <f>(leverage!E22*Cdebt!E22)+((1-leverage!E22)*Cequity!E22)</f>
        <v>9.6494230769230777E-2</v>
      </c>
      <c r="F22" s="18">
        <f>(leverage!F22*Cdebt!F22)+((1-leverage!F22)*Cequity!F22)</f>
        <v>9.6294230769230771E-2</v>
      </c>
      <c r="G22" s="18">
        <f>(leverage!G22*Cdebt!G22)+((1-leverage!G22)*Cequity!G22)</f>
        <v>9.6294230769230771E-2</v>
      </c>
      <c r="H22" s="18">
        <f>(leverage!H22*Cdebt!H22)+((1-leverage!H22)*Cequity!H22)</f>
        <v>9.5994230769230776E-2</v>
      </c>
      <c r="I22" s="18">
        <f>(leverage!I22*Cdebt!I22)+((1-leverage!I22)*Cequity!I22)</f>
        <v>9.579423076923077E-2</v>
      </c>
      <c r="J22" s="18">
        <f>(leverage!J22*Cdebt!J22)+((1-leverage!J22)*Cequity!J22)</f>
        <v>9.5594230769230765E-2</v>
      </c>
      <c r="K22" s="18">
        <f>(leverage!K22*Cdebt!K22)+((1-leverage!K22)*Cequity!K22)</f>
        <v>9.5494230769230776E-2</v>
      </c>
      <c r="L22" s="18">
        <f>(leverage!L22*Cdebt!L22)+((1-leverage!L22)*Cequity!L22)</f>
        <v>9.5394230769230759E-2</v>
      </c>
      <c r="M22" s="18">
        <f>(leverage!M22*Cdebt!M22)+((1-leverage!M22)*Cequity!M22)</f>
        <v>9.529423076923077E-2</v>
      </c>
    </row>
    <row r="23" spans="1:13" x14ac:dyDescent="0.2">
      <c r="A23" t="str">
        <f>raw!A23</f>
        <v>Southwestern Public Service Co.</v>
      </c>
      <c r="B23" s="1"/>
      <c r="C23" s="18">
        <f>(leverage!C23*Cdebt!C23)+((1-leverage!C23)*Cequity!C23)</f>
        <v>0.10048563535911603</v>
      </c>
      <c r="D23" s="18">
        <f>(leverage!D23*Cdebt!D23)+((1-leverage!D23)*Cequity!D23)</f>
        <v>0.100285635359116</v>
      </c>
      <c r="E23" s="18">
        <f>(leverage!E23*Cdebt!E23)+((1-leverage!E23)*Cequity!E23)</f>
        <v>9.9685635359116009E-2</v>
      </c>
      <c r="F23" s="18">
        <f>(leverage!F23*Cdebt!F23)+((1-leverage!F23)*Cequity!F23)</f>
        <v>9.9485635359116004E-2</v>
      </c>
      <c r="G23" s="18">
        <f>(leverage!G23*Cdebt!G23)+((1-leverage!G23)*Cequity!G23)</f>
        <v>9.9485635359116004E-2</v>
      </c>
      <c r="H23" s="18">
        <f>(leverage!H23*Cdebt!H23)+((1-leverage!H23)*Cequity!H23)</f>
        <v>9.9185635359116023E-2</v>
      </c>
      <c r="I23" s="18">
        <f>(leverage!I23*Cdebt!I23)+((1-leverage!I23)*Cequity!I23)</f>
        <v>9.8985635359116031E-2</v>
      </c>
      <c r="J23" s="18">
        <f>(leverage!J23*Cdebt!J23)+((1-leverage!J23)*Cequity!J23)</f>
        <v>9.8785635359116011E-2</v>
      </c>
      <c r="K23" s="18">
        <f>(leverage!K23*Cdebt!K23)+((1-leverage!K23)*Cequity!K23)</f>
        <v>9.8685635359116022E-2</v>
      </c>
      <c r="L23" s="18">
        <f>(leverage!L23*Cdebt!L23)+((1-leverage!L23)*Cequity!L23)</f>
        <v>9.8585635359116006E-2</v>
      </c>
      <c r="M23" s="18">
        <f>(leverage!M23*Cdebt!M23)+((1-leverage!M23)*Cequity!M23)</f>
        <v>9.8485635359116017E-2</v>
      </c>
    </row>
    <row r="24" spans="1:13" x14ac:dyDescent="0.2">
      <c r="A24" t="str">
        <f>raw!A24</f>
        <v>TXU Electric Co.</v>
      </c>
      <c r="B24" s="1"/>
      <c r="C24" s="18">
        <f>(leverage!C24*Cdebt!C24)+((1-leverage!C24)*Cequity!C24)</f>
        <v>9.8838144329896904E-2</v>
      </c>
      <c r="D24" s="18">
        <f>(leverage!D24*Cdebt!D24)+((1-leverage!D24)*Cequity!D24)</f>
        <v>9.8638144329896899E-2</v>
      </c>
      <c r="E24" s="18">
        <f>(leverage!E24*Cdebt!E24)+((1-leverage!E24)*Cequity!E24)</f>
        <v>9.8038144329896909E-2</v>
      </c>
      <c r="F24" s="18">
        <f>(leverage!F24*Cdebt!F24)+((1-leverage!F24)*Cequity!F24)</f>
        <v>9.7838144329896903E-2</v>
      </c>
      <c r="G24" s="18">
        <f>(leverage!G24*Cdebt!G24)+((1-leverage!G24)*Cequity!G24)</f>
        <v>9.7838144329896903E-2</v>
      </c>
      <c r="H24" s="18">
        <f>(leverage!H24*Cdebt!H24)+((1-leverage!H24)*Cequity!H24)</f>
        <v>9.7538144329896909E-2</v>
      </c>
      <c r="I24" s="18">
        <f>(leverage!I24*Cdebt!I24)+((1-leverage!I24)*Cequity!I24)</f>
        <v>9.7338144329896903E-2</v>
      </c>
      <c r="J24" s="18">
        <f>(leverage!J24*Cdebt!J24)+((1-leverage!J24)*Cequity!J24)</f>
        <v>9.7138144329896897E-2</v>
      </c>
      <c r="K24" s="18">
        <f>(leverage!K24*Cdebt!K24)+((1-leverage!K24)*Cequity!K24)</f>
        <v>9.7038144329896908E-2</v>
      </c>
      <c r="L24" s="18">
        <f>(leverage!L24*Cdebt!L24)+((1-leverage!L24)*Cequity!L24)</f>
        <v>9.6938144329896891E-2</v>
      </c>
      <c r="M24" s="18">
        <f>(leverage!M24*Cdebt!M24)+((1-leverage!M24)*Cequity!M24)</f>
        <v>9.6838144329896902E-2</v>
      </c>
    </row>
  </sheetData>
  <pageMargins left="0.75" right="0.75" top="1" bottom="1" header="0.5" footer="0.5"/>
  <pageSetup scale="84" orientation="landscape" verticalDpi="0" r:id="rId1"/>
  <headerFooter alignWithMargins="0">
    <oddFooter>Page &amp;P&amp;R&amp;A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workbookViewId="0">
      <selection activeCell="E25" sqref="E25"/>
    </sheetView>
  </sheetViews>
  <sheetFormatPr defaultRowHeight="12.75" x14ac:dyDescent="0.2"/>
  <cols>
    <col min="1" max="1" width="36.140625" bestFit="1" customWidth="1"/>
    <col min="2" max="2" width="5" bestFit="1" customWidth="1"/>
  </cols>
  <sheetData>
    <row r="1" spans="1:13" x14ac:dyDescent="0.2">
      <c r="A1" t="s">
        <v>518</v>
      </c>
    </row>
    <row r="2" spans="1:13" x14ac:dyDescent="0.2">
      <c r="C2">
        <v>9</v>
      </c>
    </row>
    <row r="3" spans="1:13" x14ac:dyDescent="0.2">
      <c r="A3" s="8" t="s">
        <v>177</v>
      </c>
      <c r="B3" s="8">
        <v>1998</v>
      </c>
      <c r="C3" s="8">
        <v>2000</v>
      </c>
      <c r="D3" s="8">
        <v>2001</v>
      </c>
      <c r="E3" s="8">
        <v>2002</v>
      </c>
      <c r="F3" s="8">
        <v>2003</v>
      </c>
      <c r="G3" s="8">
        <v>2004</v>
      </c>
      <c r="H3" s="8">
        <v>2005</v>
      </c>
      <c r="I3" s="8">
        <v>2006</v>
      </c>
      <c r="J3" s="8">
        <v>2007</v>
      </c>
      <c r="K3" s="8">
        <v>2008</v>
      </c>
      <c r="L3" s="8">
        <v>2009</v>
      </c>
      <c r="M3" s="8">
        <v>2010</v>
      </c>
    </row>
    <row r="4" spans="1:13" x14ac:dyDescent="0.2">
      <c r="A4" t="str">
        <f>raw!A4</f>
        <v>Boston Edison Co.</v>
      </c>
      <c r="B4" s="1"/>
      <c r="C4" s="18">
        <f>VLOOKUP($A4,criteria!$A$4:$I$24,$C$2,FALSE)+exposure!C$4</f>
        <v>7.5899999999999995E-2</v>
      </c>
      <c r="D4" s="18">
        <f>VLOOKUP($A4,criteria!$A$4:$I$24,$C$2,FALSE)+exposure!D$4</f>
        <v>7.569999999999999E-2</v>
      </c>
      <c r="E4" s="18">
        <f>VLOOKUP($A4,criteria!$A$4:$I$24,$C$2,FALSE)+exposure!E$4</f>
        <v>7.51E-2</v>
      </c>
      <c r="F4" s="18">
        <f>VLOOKUP($A4,criteria!$A$4:$I$24,$C$2,FALSE)+exposure!F$4</f>
        <v>7.4899999999999994E-2</v>
      </c>
      <c r="G4" s="18">
        <f>VLOOKUP($A4,criteria!$A$4:$I$24,$C$2,FALSE)+exposure!G$4</f>
        <v>7.4899999999999994E-2</v>
      </c>
      <c r="H4" s="18">
        <f>VLOOKUP($A4,criteria!$A$4:$I$24,$C$2,FALSE)+exposure!H$4</f>
        <v>7.46E-2</v>
      </c>
      <c r="I4" s="18">
        <f>VLOOKUP($A4,criteria!$A$4:$I$24,$C$2,FALSE)+exposure!I$4</f>
        <v>7.4399999999999994E-2</v>
      </c>
      <c r="J4" s="18">
        <f>VLOOKUP($A4,criteria!$A$4:$I$24,$C$2,FALSE)+exposure!J$4</f>
        <v>7.4200000000000002E-2</v>
      </c>
      <c r="K4" s="18">
        <f>VLOOKUP($A4,criteria!$A$4:$I$24,$C$2,FALSE)+exposure!K$4</f>
        <v>7.4099999999999999E-2</v>
      </c>
      <c r="L4" s="18">
        <f>VLOOKUP($A4,criteria!$A$4:$I$24,$C$2,FALSE)+exposure!L$4</f>
        <v>7.3999999999999996E-2</v>
      </c>
      <c r="M4" s="18">
        <f>VLOOKUP($A4,criteria!$A$4:$I$24,$C$2,FALSE)+exposure!M$4</f>
        <v>7.3899999999999993E-2</v>
      </c>
    </row>
    <row r="5" spans="1:13" x14ac:dyDescent="0.2">
      <c r="A5" t="str">
        <f>raw!A5</f>
        <v>Carolina Power &amp; Light Co.</v>
      </c>
      <c r="B5" s="1"/>
      <c r="C5" s="18">
        <f>VLOOKUP($A5,criteria!$A$4:$I$24,$C$2,FALSE)+exposure!C$4</f>
        <v>7.5899999999999995E-2</v>
      </c>
      <c r="D5" s="18">
        <f>VLOOKUP($A5,criteria!$A$4:$I$24,$C$2,FALSE)+exposure!D$4</f>
        <v>7.569999999999999E-2</v>
      </c>
      <c r="E5" s="18">
        <f>VLOOKUP($A5,criteria!$A$4:$I$24,$C$2,FALSE)+exposure!E$4</f>
        <v>7.51E-2</v>
      </c>
      <c r="F5" s="18">
        <f>VLOOKUP($A5,criteria!$A$4:$I$24,$C$2,FALSE)+exposure!F$4</f>
        <v>7.4899999999999994E-2</v>
      </c>
      <c r="G5" s="18">
        <f>VLOOKUP($A5,criteria!$A$4:$I$24,$C$2,FALSE)+exposure!G$4</f>
        <v>7.4899999999999994E-2</v>
      </c>
      <c r="H5" s="18">
        <f>VLOOKUP($A5,criteria!$A$4:$I$24,$C$2,FALSE)+exposure!H$4</f>
        <v>7.46E-2</v>
      </c>
      <c r="I5" s="18">
        <f>VLOOKUP($A5,criteria!$A$4:$I$24,$C$2,FALSE)+exposure!I$4</f>
        <v>7.4399999999999994E-2</v>
      </c>
      <c r="J5" s="18">
        <f>VLOOKUP($A5,criteria!$A$4:$I$24,$C$2,FALSE)+exposure!J$4</f>
        <v>7.4200000000000002E-2</v>
      </c>
      <c r="K5" s="18">
        <f>VLOOKUP($A5,criteria!$A$4:$I$24,$C$2,FALSE)+exposure!K$4</f>
        <v>7.4099999999999999E-2</v>
      </c>
      <c r="L5" s="18">
        <f>VLOOKUP($A5,criteria!$A$4:$I$24,$C$2,FALSE)+exposure!L$4</f>
        <v>7.3999999999999996E-2</v>
      </c>
      <c r="M5" s="18">
        <f>VLOOKUP($A5,criteria!$A$4:$I$24,$C$2,FALSE)+exposure!M$4</f>
        <v>7.3899999999999993E-2</v>
      </c>
    </row>
    <row r="6" spans="1:13" x14ac:dyDescent="0.2">
      <c r="A6" t="str">
        <f>raw!A6</f>
        <v>Central Hudson Gas &amp; Electric Corp.</v>
      </c>
      <c r="B6" s="1"/>
      <c r="C6" s="18">
        <f>VLOOKUP($A6,criteria!$A$4:$I$24,$C$2,FALSE)+exposure!C$4</f>
        <v>7.5899999999999995E-2</v>
      </c>
      <c r="D6" s="18">
        <f>VLOOKUP($A6,criteria!$A$4:$I$24,$C$2,FALSE)+exposure!D$4</f>
        <v>7.569999999999999E-2</v>
      </c>
      <c r="E6" s="18">
        <f>VLOOKUP($A6,criteria!$A$4:$I$24,$C$2,FALSE)+exposure!E$4</f>
        <v>7.51E-2</v>
      </c>
      <c r="F6" s="18">
        <f>VLOOKUP($A6,criteria!$A$4:$I$24,$C$2,FALSE)+exposure!F$4</f>
        <v>7.4899999999999994E-2</v>
      </c>
      <c r="G6" s="18">
        <f>VLOOKUP($A6,criteria!$A$4:$I$24,$C$2,FALSE)+exposure!G$4</f>
        <v>7.4899999999999994E-2</v>
      </c>
      <c r="H6" s="18">
        <f>VLOOKUP($A6,criteria!$A$4:$I$24,$C$2,FALSE)+exposure!H$4</f>
        <v>7.46E-2</v>
      </c>
      <c r="I6" s="18">
        <f>VLOOKUP($A6,criteria!$A$4:$I$24,$C$2,FALSE)+exposure!I$4</f>
        <v>7.4399999999999994E-2</v>
      </c>
      <c r="J6" s="18">
        <f>VLOOKUP($A6,criteria!$A$4:$I$24,$C$2,FALSE)+exposure!J$4</f>
        <v>7.4200000000000002E-2</v>
      </c>
      <c r="K6" s="18">
        <f>VLOOKUP($A6,criteria!$A$4:$I$24,$C$2,FALSE)+exposure!K$4</f>
        <v>7.4099999999999999E-2</v>
      </c>
      <c r="L6" s="18">
        <f>VLOOKUP($A6,criteria!$A$4:$I$24,$C$2,FALSE)+exposure!L$4</f>
        <v>7.3999999999999996E-2</v>
      </c>
      <c r="M6" s="18">
        <f>VLOOKUP($A6,criteria!$A$4:$I$24,$C$2,FALSE)+exposure!M$4</f>
        <v>7.3899999999999993E-2</v>
      </c>
    </row>
    <row r="7" spans="1:13" x14ac:dyDescent="0.2">
      <c r="A7" t="str">
        <f>raw!A7</f>
        <v>Commonwealth Edison Co.</v>
      </c>
      <c r="B7" s="1"/>
      <c r="C7" s="18">
        <f>VLOOKUP($A7,criteria!$A$4:$I$24,$C$2,FALSE)+exposure!C$4</f>
        <v>7.5899999999999995E-2</v>
      </c>
      <c r="D7" s="18">
        <f>VLOOKUP($A7,criteria!$A$4:$I$24,$C$2,FALSE)+exposure!D$4</f>
        <v>7.569999999999999E-2</v>
      </c>
      <c r="E7" s="18">
        <f>VLOOKUP($A7,criteria!$A$4:$I$24,$C$2,FALSE)+exposure!E$4</f>
        <v>7.51E-2</v>
      </c>
      <c r="F7" s="18">
        <f>VLOOKUP($A7,criteria!$A$4:$I$24,$C$2,FALSE)+exposure!F$4</f>
        <v>7.4899999999999994E-2</v>
      </c>
      <c r="G7" s="18">
        <f>VLOOKUP($A7,criteria!$A$4:$I$24,$C$2,FALSE)+exposure!G$4</f>
        <v>7.4899999999999994E-2</v>
      </c>
      <c r="H7" s="18">
        <f>VLOOKUP($A7,criteria!$A$4:$I$24,$C$2,FALSE)+exposure!H$4</f>
        <v>7.46E-2</v>
      </c>
      <c r="I7" s="18">
        <f>VLOOKUP($A7,criteria!$A$4:$I$24,$C$2,FALSE)+exposure!I$4</f>
        <v>7.4399999999999994E-2</v>
      </c>
      <c r="J7" s="18">
        <f>VLOOKUP($A7,criteria!$A$4:$I$24,$C$2,FALSE)+exposure!J$4</f>
        <v>7.4200000000000002E-2</v>
      </c>
      <c r="K7" s="18">
        <f>VLOOKUP($A7,criteria!$A$4:$I$24,$C$2,FALSE)+exposure!K$4</f>
        <v>7.4099999999999999E-2</v>
      </c>
      <c r="L7" s="18">
        <f>VLOOKUP($A7,criteria!$A$4:$I$24,$C$2,FALSE)+exposure!L$4</f>
        <v>7.3999999999999996E-2</v>
      </c>
      <c r="M7" s="18">
        <f>VLOOKUP($A7,criteria!$A$4:$I$24,$C$2,FALSE)+exposure!M$4</f>
        <v>7.3899999999999993E-2</v>
      </c>
    </row>
    <row r="8" spans="1:13" x14ac:dyDescent="0.2">
      <c r="A8" t="str">
        <f>raw!A8</f>
        <v>Consolidated Edison Co. of New York, Inc.</v>
      </c>
      <c r="B8" s="1"/>
      <c r="C8" s="18">
        <f>VLOOKUP($A8,criteria!$A$4:$I$24,$C$2,FALSE)+exposure!C$4</f>
        <v>7.5899999999999995E-2</v>
      </c>
      <c r="D8" s="18">
        <f>VLOOKUP($A8,criteria!$A$4:$I$24,$C$2,FALSE)+exposure!D$4</f>
        <v>7.569999999999999E-2</v>
      </c>
      <c r="E8" s="18">
        <f>VLOOKUP($A8,criteria!$A$4:$I$24,$C$2,FALSE)+exposure!E$4</f>
        <v>7.51E-2</v>
      </c>
      <c r="F8" s="18">
        <f>VLOOKUP($A8,criteria!$A$4:$I$24,$C$2,FALSE)+exposure!F$4</f>
        <v>7.4899999999999994E-2</v>
      </c>
      <c r="G8" s="18">
        <f>VLOOKUP($A8,criteria!$A$4:$I$24,$C$2,FALSE)+exposure!G$4</f>
        <v>7.4899999999999994E-2</v>
      </c>
      <c r="H8" s="18">
        <f>VLOOKUP($A8,criteria!$A$4:$I$24,$C$2,FALSE)+exposure!H$4</f>
        <v>7.46E-2</v>
      </c>
      <c r="I8" s="18">
        <f>VLOOKUP($A8,criteria!$A$4:$I$24,$C$2,FALSE)+exposure!I$4</f>
        <v>7.4399999999999994E-2</v>
      </c>
      <c r="J8" s="18">
        <f>VLOOKUP($A8,criteria!$A$4:$I$24,$C$2,FALSE)+exposure!J$4</f>
        <v>7.4200000000000002E-2</v>
      </c>
      <c r="K8" s="18">
        <f>VLOOKUP($A8,criteria!$A$4:$I$24,$C$2,FALSE)+exposure!K$4</f>
        <v>7.4099999999999999E-2</v>
      </c>
      <c r="L8" s="18">
        <f>VLOOKUP($A8,criteria!$A$4:$I$24,$C$2,FALSE)+exposure!L$4</f>
        <v>7.3999999999999996E-2</v>
      </c>
      <c r="M8" s="18">
        <f>VLOOKUP($A8,criteria!$A$4:$I$24,$C$2,FALSE)+exposure!M$4</f>
        <v>7.3899999999999993E-2</v>
      </c>
    </row>
    <row r="9" spans="1:13" x14ac:dyDescent="0.2">
      <c r="A9" t="str">
        <f>raw!A9</f>
        <v>Consumers Energy Co.</v>
      </c>
      <c r="B9" s="1"/>
      <c r="C9" s="18">
        <f>VLOOKUP($A9,criteria!$A$4:$I$24,$C$2,FALSE)+exposure!C$4</f>
        <v>7.5899999999999995E-2</v>
      </c>
      <c r="D9" s="18">
        <f>VLOOKUP($A9,criteria!$A$4:$I$24,$C$2,FALSE)+exposure!D$4</f>
        <v>7.569999999999999E-2</v>
      </c>
      <c r="E9" s="18">
        <f>VLOOKUP($A9,criteria!$A$4:$I$24,$C$2,FALSE)+exposure!E$4</f>
        <v>7.51E-2</v>
      </c>
      <c r="F9" s="18">
        <f>VLOOKUP($A9,criteria!$A$4:$I$24,$C$2,FALSE)+exposure!F$4</f>
        <v>7.4899999999999994E-2</v>
      </c>
      <c r="G9" s="18">
        <f>VLOOKUP($A9,criteria!$A$4:$I$24,$C$2,FALSE)+exposure!G$4</f>
        <v>7.4899999999999994E-2</v>
      </c>
      <c r="H9" s="18">
        <f>VLOOKUP($A9,criteria!$A$4:$I$24,$C$2,FALSE)+exposure!H$4</f>
        <v>7.46E-2</v>
      </c>
      <c r="I9" s="18">
        <f>VLOOKUP($A9,criteria!$A$4:$I$24,$C$2,FALSE)+exposure!I$4</f>
        <v>7.4399999999999994E-2</v>
      </c>
      <c r="J9" s="18">
        <f>VLOOKUP($A9,criteria!$A$4:$I$24,$C$2,FALSE)+exposure!J$4</f>
        <v>7.4200000000000002E-2</v>
      </c>
      <c r="K9" s="18">
        <f>VLOOKUP($A9,criteria!$A$4:$I$24,$C$2,FALSE)+exposure!K$4</f>
        <v>7.4099999999999999E-2</v>
      </c>
      <c r="L9" s="18">
        <f>VLOOKUP($A9,criteria!$A$4:$I$24,$C$2,FALSE)+exposure!L$4</f>
        <v>7.3999999999999996E-2</v>
      </c>
      <c r="M9" s="18">
        <f>VLOOKUP($A9,criteria!$A$4:$I$24,$C$2,FALSE)+exposure!M$4</f>
        <v>7.3899999999999993E-2</v>
      </c>
    </row>
    <row r="10" spans="1:13" x14ac:dyDescent="0.2">
      <c r="A10" t="str">
        <f>raw!A10</f>
        <v>Duke Energy Corp.</v>
      </c>
      <c r="B10" s="1"/>
      <c r="C10" s="18">
        <f>VLOOKUP($A10,criteria!$A$4:$I$24,$C$2,FALSE)+exposure!C$4</f>
        <v>7.5899999999999995E-2</v>
      </c>
      <c r="D10" s="18">
        <f>VLOOKUP($A10,criteria!$A$4:$I$24,$C$2,FALSE)+exposure!D$4</f>
        <v>7.569999999999999E-2</v>
      </c>
      <c r="E10" s="18">
        <f>VLOOKUP($A10,criteria!$A$4:$I$24,$C$2,FALSE)+exposure!E$4</f>
        <v>7.51E-2</v>
      </c>
      <c r="F10" s="18">
        <f>VLOOKUP($A10,criteria!$A$4:$I$24,$C$2,FALSE)+exposure!F$4</f>
        <v>7.4899999999999994E-2</v>
      </c>
      <c r="G10" s="18">
        <f>VLOOKUP($A10,criteria!$A$4:$I$24,$C$2,FALSE)+exposure!G$4</f>
        <v>7.4899999999999994E-2</v>
      </c>
      <c r="H10" s="18">
        <f>VLOOKUP($A10,criteria!$A$4:$I$24,$C$2,FALSE)+exposure!H$4</f>
        <v>7.46E-2</v>
      </c>
      <c r="I10" s="18">
        <f>VLOOKUP($A10,criteria!$A$4:$I$24,$C$2,FALSE)+exposure!I$4</f>
        <v>7.4399999999999994E-2</v>
      </c>
      <c r="J10" s="18">
        <f>VLOOKUP($A10,criteria!$A$4:$I$24,$C$2,FALSE)+exposure!J$4</f>
        <v>7.4200000000000002E-2</v>
      </c>
      <c r="K10" s="18">
        <f>VLOOKUP($A10,criteria!$A$4:$I$24,$C$2,FALSE)+exposure!K$4</f>
        <v>7.4099999999999999E-2</v>
      </c>
      <c r="L10" s="18">
        <f>VLOOKUP($A10,criteria!$A$4:$I$24,$C$2,FALSE)+exposure!L$4</f>
        <v>7.3999999999999996E-2</v>
      </c>
      <c r="M10" s="18">
        <f>VLOOKUP($A10,criteria!$A$4:$I$24,$C$2,FALSE)+exposure!M$4</f>
        <v>7.3899999999999993E-2</v>
      </c>
    </row>
    <row r="11" spans="1:13" x14ac:dyDescent="0.2">
      <c r="A11" t="str">
        <f>raw!A11</f>
        <v>Entergy Mississippi, Inc.</v>
      </c>
      <c r="B11" s="1"/>
      <c r="C11" s="18">
        <f>VLOOKUP($A11,criteria!$A$4:$I$24,$C$2,FALSE)+exposure!C$4</f>
        <v>7.5899999999999995E-2</v>
      </c>
      <c r="D11" s="18">
        <f>VLOOKUP($A11,criteria!$A$4:$I$24,$C$2,FALSE)+exposure!D$4</f>
        <v>7.569999999999999E-2</v>
      </c>
      <c r="E11" s="18">
        <f>VLOOKUP($A11,criteria!$A$4:$I$24,$C$2,FALSE)+exposure!E$4</f>
        <v>7.51E-2</v>
      </c>
      <c r="F11" s="18">
        <f>VLOOKUP($A11,criteria!$A$4:$I$24,$C$2,FALSE)+exposure!F$4</f>
        <v>7.4899999999999994E-2</v>
      </c>
      <c r="G11" s="18">
        <f>VLOOKUP($A11,criteria!$A$4:$I$24,$C$2,FALSE)+exposure!G$4</f>
        <v>7.4899999999999994E-2</v>
      </c>
      <c r="H11" s="18">
        <f>VLOOKUP($A11,criteria!$A$4:$I$24,$C$2,FALSE)+exposure!H$4</f>
        <v>7.46E-2</v>
      </c>
      <c r="I11" s="18">
        <f>VLOOKUP($A11,criteria!$A$4:$I$24,$C$2,FALSE)+exposure!I$4</f>
        <v>7.4399999999999994E-2</v>
      </c>
      <c r="J11" s="18">
        <f>VLOOKUP($A11,criteria!$A$4:$I$24,$C$2,FALSE)+exposure!J$4</f>
        <v>7.4200000000000002E-2</v>
      </c>
      <c r="K11" s="18">
        <f>VLOOKUP($A11,criteria!$A$4:$I$24,$C$2,FALSE)+exposure!K$4</f>
        <v>7.4099999999999999E-2</v>
      </c>
      <c r="L11" s="18">
        <f>VLOOKUP($A11,criteria!$A$4:$I$24,$C$2,FALSE)+exposure!L$4</f>
        <v>7.3999999999999996E-2</v>
      </c>
      <c r="M11" s="18">
        <f>VLOOKUP($A11,criteria!$A$4:$I$24,$C$2,FALSE)+exposure!M$4</f>
        <v>7.3899999999999993E-2</v>
      </c>
    </row>
    <row r="12" spans="1:13" x14ac:dyDescent="0.2">
      <c r="A12" t="str">
        <f>raw!A12</f>
        <v>Florida Power &amp; Light Co.</v>
      </c>
      <c r="B12" s="1"/>
      <c r="C12" s="18">
        <f>VLOOKUP($A12,criteria!$A$4:$I$24,$C$2,FALSE)+exposure!C$4</f>
        <v>7.5899999999999995E-2</v>
      </c>
      <c r="D12" s="18">
        <f>VLOOKUP($A12,criteria!$A$4:$I$24,$C$2,FALSE)+exposure!D$4</f>
        <v>7.569999999999999E-2</v>
      </c>
      <c r="E12" s="18">
        <f>VLOOKUP($A12,criteria!$A$4:$I$24,$C$2,FALSE)+exposure!E$4</f>
        <v>7.51E-2</v>
      </c>
      <c r="F12" s="18">
        <f>VLOOKUP($A12,criteria!$A$4:$I$24,$C$2,FALSE)+exposure!F$4</f>
        <v>7.4899999999999994E-2</v>
      </c>
      <c r="G12" s="18">
        <f>VLOOKUP($A12,criteria!$A$4:$I$24,$C$2,FALSE)+exposure!G$4</f>
        <v>7.4899999999999994E-2</v>
      </c>
      <c r="H12" s="18">
        <f>VLOOKUP($A12,criteria!$A$4:$I$24,$C$2,FALSE)+exposure!H$4</f>
        <v>7.46E-2</v>
      </c>
      <c r="I12" s="18">
        <f>VLOOKUP($A12,criteria!$A$4:$I$24,$C$2,FALSE)+exposure!I$4</f>
        <v>7.4399999999999994E-2</v>
      </c>
      <c r="J12" s="18">
        <f>VLOOKUP($A12,criteria!$A$4:$I$24,$C$2,FALSE)+exposure!J$4</f>
        <v>7.4200000000000002E-2</v>
      </c>
      <c r="K12" s="18">
        <f>VLOOKUP($A12,criteria!$A$4:$I$24,$C$2,FALSE)+exposure!K$4</f>
        <v>7.4099999999999999E-2</v>
      </c>
      <c r="L12" s="18">
        <f>VLOOKUP($A12,criteria!$A$4:$I$24,$C$2,FALSE)+exposure!L$4</f>
        <v>7.3999999999999996E-2</v>
      </c>
      <c r="M12" s="18">
        <f>VLOOKUP($A12,criteria!$A$4:$I$24,$C$2,FALSE)+exposure!M$4</f>
        <v>7.3899999999999993E-2</v>
      </c>
    </row>
    <row r="13" spans="1:13" x14ac:dyDescent="0.2">
      <c r="A13" t="str">
        <f>raw!A13</f>
        <v>Gulf Power Co.</v>
      </c>
      <c r="B13" s="1"/>
      <c r="C13" s="18">
        <f>VLOOKUP($A13,criteria!$A$4:$I$24,$C$2,FALSE)+exposure!C$4</f>
        <v>7.5899999999999995E-2</v>
      </c>
      <c r="D13" s="18">
        <f>VLOOKUP($A13,criteria!$A$4:$I$24,$C$2,FALSE)+exposure!D$4</f>
        <v>7.569999999999999E-2</v>
      </c>
      <c r="E13" s="18">
        <f>VLOOKUP($A13,criteria!$A$4:$I$24,$C$2,FALSE)+exposure!E$4</f>
        <v>7.51E-2</v>
      </c>
      <c r="F13" s="18">
        <f>VLOOKUP($A13,criteria!$A$4:$I$24,$C$2,FALSE)+exposure!F$4</f>
        <v>7.4899999999999994E-2</v>
      </c>
      <c r="G13" s="18">
        <f>VLOOKUP($A13,criteria!$A$4:$I$24,$C$2,FALSE)+exposure!G$4</f>
        <v>7.4899999999999994E-2</v>
      </c>
      <c r="H13" s="18">
        <f>VLOOKUP($A13,criteria!$A$4:$I$24,$C$2,FALSE)+exposure!H$4</f>
        <v>7.46E-2</v>
      </c>
      <c r="I13" s="18">
        <f>VLOOKUP($A13,criteria!$A$4:$I$24,$C$2,FALSE)+exposure!I$4</f>
        <v>7.4399999999999994E-2</v>
      </c>
      <c r="J13" s="18">
        <f>VLOOKUP($A13,criteria!$A$4:$I$24,$C$2,FALSE)+exposure!J$4</f>
        <v>7.4200000000000002E-2</v>
      </c>
      <c r="K13" s="18">
        <f>VLOOKUP($A13,criteria!$A$4:$I$24,$C$2,FALSE)+exposure!K$4</f>
        <v>7.4099999999999999E-2</v>
      </c>
      <c r="L13" s="18">
        <f>VLOOKUP($A13,criteria!$A$4:$I$24,$C$2,FALSE)+exposure!L$4</f>
        <v>7.3999999999999996E-2</v>
      </c>
      <c r="M13" s="18">
        <f>VLOOKUP($A13,criteria!$A$4:$I$24,$C$2,FALSE)+exposure!M$4</f>
        <v>7.3899999999999993E-2</v>
      </c>
    </row>
    <row r="14" spans="1:13" x14ac:dyDescent="0.2">
      <c r="A14" t="str">
        <f>raw!A14</f>
        <v>Illinois Power Co.</v>
      </c>
      <c r="B14" s="1"/>
      <c r="C14" s="18">
        <f>VLOOKUP($A14,criteria!$A$4:$I$24,$C$2,FALSE)+exposure!C$4</f>
        <v>7.5899999999999995E-2</v>
      </c>
      <c r="D14" s="18">
        <f>VLOOKUP($A14,criteria!$A$4:$I$24,$C$2,FALSE)+exposure!D$4</f>
        <v>7.569999999999999E-2</v>
      </c>
      <c r="E14" s="18">
        <f>VLOOKUP($A14,criteria!$A$4:$I$24,$C$2,FALSE)+exposure!E$4</f>
        <v>7.51E-2</v>
      </c>
      <c r="F14" s="18">
        <f>VLOOKUP($A14,criteria!$A$4:$I$24,$C$2,FALSE)+exposure!F$4</f>
        <v>7.4899999999999994E-2</v>
      </c>
      <c r="G14" s="18">
        <f>VLOOKUP($A14,criteria!$A$4:$I$24,$C$2,FALSE)+exposure!G$4</f>
        <v>7.4899999999999994E-2</v>
      </c>
      <c r="H14" s="18">
        <f>VLOOKUP($A14,criteria!$A$4:$I$24,$C$2,FALSE)+exposure!H$4</f>
        <v>7.46E-2</v>
      </c>
      <c r="I14" s="18">
        <f>VLOOKUP($A14,criteria!$A$4:$I$24,$C$2,FALSE)+exposure!I$4</f>
        <v>7.4399999999999994E-2</v>
      </c>
      <c r="J14" s="18">
        <f>VLOOKUP($A14,criteria!$A$4:$I$24,$C$2,FALSE)+exposure!J$4</f>
        <v>7.4200000000000002E-2</v>
      </c>
      <c r="K14" s="18">
        <f>VLOOKUP($A14,criteria!$A$4:$I$24,$C$2,FALSE)+exposure!K$4</f>
        <v>7.4099999999999999E-2</v>
      </c>
      <c r="L14" s="18">
        <f>VLOOKUP($A14,criteria!$A$4:$I$24,$C$2,FALSE)+exposure!L$4</f>
        <v>7.3999999999999996E-2</v>
      </c>
      <c r="M14" s="18">
        <f>VLOOKUP($A14,criteria!$A$4:$I$24,$C$2,FALSE)+exposure!M$4</f>
        <v>7.3899999999999993E-2</v>
      </c>
    </row>
    <row r="15" spans="1:13" x14ac:dyDescent="0.2">
      <c r="A15" t="str">
        <f>raw!A15</f>
        <v>Jersey Central Power &amp; Light Co.</v>
      </c>
      <c r="B15" s="1"/>
      <c r="C15" s="18">
        <f>VLOOKUP($A15,criteria!$A$4:$I$24,$C$2,FALSE)+exposure!C$4</f>
        <v>7.5899999999999995E-2</v>
      </c>
      <c r="D15" s="18">
        <f>VLOOKUP($A15,criteria!$A$4:$I$24,$C$2,FALSE)+exposure!D$4</f>
        <v>7.569999999999999E-2</v>
      </c>
      <c r="E15" s="18">
        <f>VLOOKUP($A15,criteria!$A$4:$I$24,$C$2,FALSE)+exposure!E$4</f>
        <v>7.51E-2</v>
      </c>
      <c r="F15" s="18">
        <f>VLOOKUP($A15,criteria!$A$4:$I$24,$C$2,FALSE)+exposure!F$4</f>
        <v>7.4899999999999994E-2</v>
      </c>
      <c r="G15" s="18">
        <f>VLOOKUP($A15,criteria!$A$4:$I$24,$C$2,FALSE)+exposure!G$4</f>
        <v>7.4899999999999994E-2</v>
      </c>
      <c r="H15" s="18">
        <f>VLOOKUP($A15,criteria!$A$4:$I$24,$C$2,FALSE)+exposure!H$4</f>
        <v>7.46E-2</v>
      </c>
      <c r="I15" s="18">
        <f>VLOOKUP($A15,criteria!$A$4:$I$24,$C$2,FALSE)+exposure!I$4</f>
        <v>7.4399999999999994E-2</v>
      </c>
      <c r="J15" s="18">
        <f>VLOOKUP($A15,criteria!$A$4:$I$24,$C$2,FALSE)+exposure!J$4</f>
        <v>7.4200000000000002E-2</v>
      </c>
      <c r="K15" s="18">
        <f>VLOOKUP($A15,criteria!$A$4:$I$24,$C$2,FALSE)+exposure!K$4</f>
        <v>7.4099999999999999E-2</v>
      </c>
      <c r="L15" s="18">
        <f>VLOOKUP($A15,criteria!$A$4:$I$24,$C$2,FALSE)+exposure!L$4</f>
        <v>7.3999999999999996E-2</v>
      </c>
      <c r="M15" s="18">
        <f>VLOOKUP($A15,criteria!$A$4:$I$24,$C$2,FALSE)+exposure!M$4</f>
        <v>7.3899999999999993E-2</v>
      </c>
    </row>
    <row r="16" spans="1:13" x14ac:dyDescent="0.2">
      <c r="A16" t="str">
        <f>raw!A16</f>
        <v>Kentucky Utilities Co.</v>
      </c>
      <c r="B16" s="1"/>
      <c r="C16" s="18">
        <f>VLOOKUP($A16,criteria!$A$4:$I$24,$C$2,FALSE)+exposure!C$4</f>
        <v>7.5899999999999995E-2</v>
      </c>
      <c r="D16" s="18">
        <f>VLOOKUP($A16,criteria!$A$4:$I$24,$C$2,FALSE)+exposure!D$4</f>
        <v>7.569999999999999E-2</v>
      </c>
      <c r="E16" s="18">
        <f>VLOOKUP($A16,criteria!$A$4:$I$24,$C$2,FALSE)+exposure!E$4</f>
        <v>7.51E-2</v>
      </c>
      <c r="F16" s="18">
        <f>VLOOKUP($A16,criteria!$A$4:$I$24,$C$2,FALSE)+exposure!F$4</f>
        <v>7.4899999999999994E-2</v>
      </c>
      <c r="G16" s="18">
        <f>VLOOKUP($A16,criteria!$A$4:$I$24,$C$2,FALSE)+exposure!G$4</f>
        <v>7.4899999999999994E-2</v>
      </c>
      <c r="H16" s="18">
        <f>VLOOKUP($A16,criteria!$A$4:$I$24,$C$2,FALSE)+exposure!H$4</f>
        <v>7.46E-2</v>
      </c>
      <c r="I16" s="18">
        <f>VLOOKUP($A16,criteria!$A$4:$I$24,$C$2,FALSE)+exposure!I$4</f>
        <v>7.4399999999999994E-2</v>
      </c>
      <c r="J16" s="18">
        <f>VLOOKUP($A16,criteria!$A$4:$I$24,$C$2,FALSE)+exposure!J$4</f>
        <v>7.4200000000000002E-2</v>
      </c>
      <c r="K16" s="18">
        <f>VLOOKUP($A16,criteria!$A$4:$I$24,$C$2,FALSE)+exposure!K$4</f>
        <v>7.4099999999999999E-2</v>
      </c>
      <c r="L16" s="18">
        <f>VLOOKUP($A16,criteria!$A$4:$I$24,$C$2,FALSE)+exposure!L$4</f>
        <v>7.3999999999999996E-2</v>
      </c>
      <c r="M16" s="18">
        <f>VLOOKUP($A16,criteria!$A$4:$I$24,$C$2,FALSE)+exposure!M$4</f>
        <v>7.3899999999999993E-2</v>
      </c>
    </row>
    <row r="17" spans="1:13" x14ac:dyDescent="0.2">
      <c r="A17" t="str">
        <f>raw!A17</f>
        <v>Ohio Power Co.</v>
      </c>
      <c r="B17" s="1"/>
      <c r="C17" s="18">
        <f>VLOOKUP($A17,criteria!$A$4:$I$24,$C$2,FALSE)+exposure!C$4</f>
        <v>7.5899999999999995E-2</v>
      </c>
      <c r="D17" s="18">
        <f>VLOOKUP($A17,criteria!$A$4:$I$24,$C$2,FALSE)+exposure!D$4</f>
        <v>7.569999999999999E-2</v>
      </c>
      <c r="E17" s="18">
        <f>VLOOKUP($A17,criteria!$A$4:$I$24,$C$2,FALSE)+exposure!E$4</f>
        <v>7.51E-2</v>
      </c>
      <c r="F17" s="18">
        <f>VLOOKUP($A17,criteria!$A$4:$I$24,$C$2,FALSE)+exposure!F$4</f>
        <v>7.4899999999999994E-2</v>
      </c>
      <c r="G17" s="18">
        <f>VLOOKUP($A17,criteria!$A$4:$I$24,$C$2,FALSE)+exposure!G$4</f>
        <v>7.4899999999999994E-2</v>
      </c>
      <c r="H17" s="18">
        <f>VLOOKUP($A17,criteria!$A$4:$I$24,$C$2,FALSE)+exposure!H$4</f>
        <v>7.46E-2</v>
      </c>
      <c r="I17" s="18">
        <f>VLOOKUP($A17,criteria!$A$4:$I$24,$C$2,FALSE)+exposure!I$4</f>
        <v>7.4399999999999994E-2</v>
      </c>
      <c r="J17" s="18">
        <f>VLOOKUP($A17,criteria!$A$4:$I$24,$C$2,FALSE)+exposure!J$4</f>
        <v>7.4200000000000002E-2</v>
      </c>
      <c r="K17" s="18">
        <f>VLOOKUP($A17,criteria!$A$4:$I$24,$C$2,FALSE)+exposure!K$4</f>
        <v>7.4099999999999999E-2</v>
      </c>
      <c r="L17" s="18">
        <f>VLOOKUP($A17,criteria!$A$4:$I$24,$C$2,FALSE)+exposure!L$4</f>
        <v>7.3999999999999996E-2</v>
      </c>
      <c r="M17" s="18">
        <f>VLOOKUP($A17,criteria!$A$4:$I$24,$C$2,FALSE)+exposure!M$4</f>
        <v>7.3899999999999993E-2</v>
      </c>
    </row>
    <row r="18" spans="1:13" x14ac:dyDescent="0.2">
      <c r="A18" t="str">
        <f>raw!A18</f>
        <v>PPL Electric Utilities Corp.</v>
      </c>
      <c r="B18" s="1"/>
      <c r="C18" s="18">
        <f>VLOOKUP($A18,criteria!$A$4:$I$24,$C$2,FALSE)+exposure!C$4</f>
        <v>7.5899999999999995E-2</v>
      </c>
      <c r="D18" s="18">
        <f>VLOOKUP($A18,criteria!$A$4:$I$24,$C$2,FALSE)+exposure!D$4</f>
        <v>7.569999999999999E-2</v>
      </c>
      <c r="E18" s="18">
        <f>VLOOKUP($A18,criteria!$A$4:$I$24,$C$2,FALSE)+exposure!E$4</f>
        <v>7.51E-2</v>
      </c>
      <c r="F18" s="18">
        <f>VLOOKUP($A18,criteria!$A$4:$I$24,$C$2,FALSE)+exposure!F$4</f>
        <v>7.4899999999999994E-2</v>
      </c>
      <c r="G18" s="18">
        <f>VLOOKUP($A18,criteria!$A$4:$I$24,$C$2,FALSE)+exposure!G$4</f>
        <v>7.4899999999999994E-2</v>
      </c>
      <c r="H18" s="18">
        <f>VLOOKUP($A18,criteria!$A$4:$I$24,$C$2,FALSE)+exposure!H$4</f>
        <v>7.46E-2</v>
      </c>
      <c r="I18" s="18">
        <f>VLOOKUP($A18,criteria!$A$4:$I$24,$C$2,FALSE)+exposure!I$4</f>
        <v>7.4399999999999994E-2</v>
      </c>
      <c r="J18" s="18">
        <f>VLOOKUP($A18,criteria!$A$4:$I$24,$C$2,FALSE)+exposure!J$4</f>
        <v>7.4200000000000002E-2</v>
      </c>
      <c r="K18" s="18">
        <f>VLOOKUP($A18,criteria!$A$4:$I$24,$C$2,FALSE)+exposure!K$4</f>
        <v>7.4099999999999999E-2</v>
      </c>
      <c r="L18" s="18">
        <f>VLOOKUP($A18,criteria!$A$4:$I$24,$C$2,FALSE)+exposure!L$4</f>
        <v>7.3999999999999996E-2</v>
      </c>
      <c r="M18" s="18">
        <f>VLOOKUP($A18,criteria!$A$4:$I$24,$C$2,FALSE)+exposure!M$4</f>
        <v>7.3899999999999993E-2</v>
      </c>
    </row>
    <row r="19" spans="1:13" x14ac:dyDescent="0.2">
      <c r="A19" t="str">
        <f>raw!A19</f>
        <v>Pacific Gas &amp; Electric Co.</v>
      </c>
      <c r="B19" s="1"/>
      <c r="C19" s="18">
        <f>VLOOKUP($A19,criteria!$A$4:$I$24,$C$2,FALSE)+exposure!C$4</f>
        <v>7.5899999999999995E-2</v>
      </c>
      <c r="D19" s="18">
        <f>VLOOKUP($A19,criteria!$A$4:$I$24,$C$2,FALSE)+exposure!D$4</f>
        <v>7.569999999999999E-2</v>
      </c>
      <c r="E19" s="18">
        <f>VLOOKUP($A19,criteria!$A$4:$I$24,$C$2,FALSE)+exposure!E$4</f>
        <v>7.51E-2</v>
      </c>
      <c r="F19" s="18">
        <f>VLOOKUP($A19,criteria!$A$4:$I$24,$C$2,FALSE)+exposure!F$4</f>
        <v>7.4899999999999994E-2</v>
      </c>
      <c r="G19" s="18">
        <f>VLOOKUP($A19,criteria!$A$4:$I$24,$C$2,FALSE)+exposure!G$4</f>
        <v>7.4899999999999994E-2</v>
      </c>
      <c r="H19" s="18">
        <f>VLOOKUP($A19,criteria!$A$4:$I$24,$C$2,FALSE)+exposure!H$4</f>
        <v>7.46E-2</v>
      </c>
      <c r="I19" s="18">
        <f>VLOOKUP($A19,criteria!$A$4:$I$24,$C$2,FALSE)+exposure!I$4</f>
        <v>7.4399999999999994E-2</v>
      </c>
      <c r="J19" s="18">
        <f>VLOOKUP($A19,criteria!$A$4:$I$24,$C$2,FALSE)+exposure!J$4</f>
        <v>7.4200000000000002E-2</v>
      </c>
      <c r="K19" s="18">
        <f>VLOOKUP($A19,criteria!$A$4:$I$24,$C$2,FALSE)+exposure!K$4</f>
        <v>7.4099999999999999E-2</v>
      </c>
      <c r="L19" s="18">
        <f>VLOOKUP($A19,criteria!$A$4:$I$24,$C$2,FALSE)+exposure!L$4</f>
        <v>7.3999999999999996E-2</v>
      </c>
      <c r="M19" s="18">
        <f>VLOOKUP($A19,criteria!$A$4:$I$24,$C$2,FALSE)+exposure!M$4</f>
        <v>7.3899999999999993E-2</v>
      </c>
    </row>
    <row r="20" spans="1:13" x14ac:dyDescent="0.2">
      <c r="A20" t="str">
        <f>raw!A20</f>
        <v>Public Service Electric &amp; Gas Co.</v>
      </c>
      <c r="B20" s="1"/>
      <c r="C20" s="18">
        <f>VLOOKUP($A20,criteria!$A$4:$I$24,$C$2,FALSE)+exposure!C$4</f>
        <v>7.5899999999999995E-2</v>
      </c>
      <c r="D20" s="18">
        <f>VLOOKUP($A20,criteria!$A$4:$I$24,$C$2,FALSE)+exposure!D$4</f>
        <v>7.569999999999999E-2</v>
      </c>
      <c r="E20" s="18">
        <f>VLOOKUP($A20,criteria!$A$4:$I$24,$C$2,FALSE)+exposure!E$4</f>
        <v>7.51E-2</v>
      </c>
      <c r="F20" s="18">
        <f>VLOOKUP($A20,criteria!$A$4:$I$24,$C$2,FALSE)+exposure!F$4</f>
        <v>7.4899999999999994E-2</v>
      </c>
      <c r="G20" s="18">
        <f>VLOOKUP($A20,criteria!$A$4:$I$24,$C$2,FALSE)+exposure!G$4</f>
        <v>7.4899999999999994E-2</v>
      </c>
      <c r="H20" s="18">
        <f>VLOOKUP($A20,criteria!$A$4:$I$24,$C$2,FALSE)+exposure!H$4</f>
        <v>7.46E-2</v>
      </c>
      <c r="I20" s="18">
        <f>VLOOKUP($A20,criteria!$A$4:$I$24,$C$2,FALSE)+exposure!I$4</f>
        <v>7.4399999999999994E-2</v>
      </c>
      <c r="J20" s="18">
        <f>VLOOKUP($A20,criteria!$A$4:$I$24,$C$2,FALSE)+exposure!J$4</f>
        <v>7.4200000000000002E-2</v>
      </c>
      <c r="K20" s="18">
        <f>VLOOKUP($A20,criteria!$A$4:$I$24,$C$2,FALSE)+exposure!K$4</f>
        <v>7.4099999999999999E-2</v>
      </c>
      <c r="L20" s="18">
        <f>VLOOKUP($A20,criteria!$A$4:$I$24,$C$2,FALSE)+exposure!L$4</f>
        <v>7.3999999999999996E-2</v>
      </c>
      <c r="M20" s="18">
        <f>VLOOKUP($A20,criteria!$A$4:$I$24,$C$2,FALSE)+exposure!M$4</f>
        <v>7.3899999999999993E-2</v>
      </c>
    </row>
    <row r="21" spans="1:13" x14ac:dyDescent="0.2">
      <c r="A21" t="str">
        <f>raw!A21</f>
        <v>San Diego Gas &amp; Electric Co.</v>
      </c>
      <c r="B21" s="1"/>
      <c r="C21" s="18">
        <f>VLOOKUP($A21,criteria!$A$4:$I$24,$C$2,FALSE)+exposure!C$4</f>
        <v>7.5899999999999995E-2</v>
      </c>
      <c r="D21" s="18">
        <f>VLOOKUP($A21,criteria!$A$4:$I$24,$C$2,FALSE)+exposure!D$4</f>
        <v>7.569999999999999E-2</v>
      </c>
      <c r="E21" s="18">
        <f>VLOOKUP($A21,criteria!$A$4:$I$24,$C$2,FALSE)+exposure!E$4</f>
        <v>7.51E-2</v>
      </c>
      <c r="F21" s="18">
        <f>VLOOKUP($A21,criteria!$A$4:$I$24,$C$2,FALSE)+exposure!F$4</f>
        <v>7.4899999999999994E-2</v>
      </c>
      <c r="G21" s="18">
        <f>VLOOKUP($A21,criteria!$A$4:$I$24,$C$2,FALSE)+exposure!G$4</f>
        <v>7.4899999999999994E-2</v>
      </c>
      <c r="H21" s="18">
        <f>VLOOKUP($A21,criteria!$A$4:$I$24,$C$2,FALSE)+exposure!H$4</f>
        <v>7.46E-2</v>
      </c>
      <c r="I21" s="18">
        <f>VLOOKUP($A21,criteria!$A$4:$I$24,$C$2,FALSE)+exposure!I$4</f>
        <v>7.4399999999999994E-2</v>
      </c>
      <c r="J21" s="18">
        <f>VLOOKUP($A21,criteria!$A$4:$I$24,$C$2,FALSE)+exposure!J$4</f>
        <v>7.4200000000000002E-2</v>
      </c>
      <c r="K21" s="18">
        <f>VLOOKUP($A21,criteria!$A$4:$I$24,$C$2,FALSE)+exposure!K$4</f>
        <v>7.4099999999999999E-2</v>
      </c>
      <c r="L21" s="18">
        <f>VLOOKUP($A21,criteria!$A$4:$I$24,$C$2,FALSE)+exposure!L$4</f>
        <v>7.3999999999999996E-2</v>
      </c>
      <c r="M21" s="18">
        <f>VLOOKUP($A21,criteria!$A$4:$I$24,$C$2,FALSE)+exposure!M$4</f>
        <v>7.3899999999999993E-2</v>
      </c>
    </row>
    <row r="22" spans="1:13" x14ac:dyDescent="0.2">
      <c r="A22" t="str">
        <f>raw!A22</f>
        <v>Southern California Edison Co.</v>
      </c>
      <c r="B22" s="1"/>
      <c r="C22" s="18">
        <f>VLOOKUP($A22,criteria!$A$4:$I$24,$C$2,FALSE)+exposure!C$4</f>
        <v>7.5899999999999995E-2</v>
      </c>
      <c r="D22" s="18">
        <f>VLOOKUP($A22,criteria!$A$4:$I$24,$C$2,FALSE)+exposure!D$4</f>
        <v>7.569999999999999E-2</v>
      </c>
      <c r="E22" s="18">
        <f>VLOOKUP($A22,criteria!$A$4:$I$24,$C$2,FALSE)+exposure!E$4</f>
        <v>7.51E-2</v>
      </c>
      <c r="F22" s="18">
        <f>VLOOKUP($A22,criteria!$A$4:$I$24,$C$2,FALSE)+exposure!F$4</f>
        <v>7.4899999999999994E-2</v>
      </c>
      <c r="G22" s="18">
        <f>VLOOKUP($A22,criteria!$A$4:$I$24,$C$2,FALSE)+exposure!G$4</f>
        <v>7.4899999999999994E-2</v>
      </c>
      <c r="H22" s="18">
        <f>VLOOKUP($A22,criteria!$A$4:$I$24,$C$2,FALSE)+exposure!H$4</f>
        <v>7.46E-2</v>
      </c>
      <c r="I22" s="18">
        <f>VLOOKUP($A22,criteria!$A$4:$I$24,$C$2,FALSE)+exposure!I$4</f>
        <v>7.4399999999999994E-2</v>
      </c>
      <c r="J22" s="18">
        <f>VLOOKUP($A22,criteria!$A$4:$I$24,$C$2,FALSE)+exposure!J$4</f>
        <v>7.4200000000000002E-2</v>
      </c>
      <c r="K22" s="18">
        <f>VLOOKUP($A22,criteria!$A$4:$I$24,$C$2,FALSE)+exposure!K$4</f>
        <v>7.4099999999999999E-2</v>
      </c>
      <c r="L22" s="18">
        <f>VLOOKUP($A22,criteria!$A$4:$I$24,$C$2,FALSE)+exposure!L$4</f>
        <v>7.3999999999999996E-2</v>
      </c>
      <c r="M22" s="18">
        <f>VLOOKUP($A22,criteria!$A$4:$I$24,$C$2,FALSE)+exposure!M$4</f>
        <v>7.3899999999999993E-2</v>
      </c>
    </row>
    <row r="23" spans="1:13" x14ac:dyDescent="0.2">
      <c r="A23" t="str">
        <f>raw!A23</f>
        <v>Southwestern Public Service Co.</v>
      </c>
      <c r="B23" s="1"/>
      <c r="C23" s="18">
        <f>VLOOKUP($A23,criteria!$A$4:$I$24,$C$2,FALSE)+exposure!C$4</f>
        <v>7.5899999999999995E-2</v>
      </c>
      <c r="D23" s="18">
        <f>VLOOKUP($A23,criteria!$A$4:$I$24,$C$2,FALSE)+exposure!D$4</f>
        <v>7.569999999999999E-2</v>
      </c>
      <c r="E23" s="18">
        <f>VLOOKUP($A23,criteria!$A$4:$I$24,$C$2,FALSE)+exposure!E$4</f>
        <v>7.51E-2</v>
      </c>
      <c r="F23" s="18">
        <f>VLOOKUP($A23,criteria!$A$4:$I$24,$C$2,FALSE)+exposure!F$4</f>
        <v>7.4899999999999994E-2</v>
      </c>
      <c r="G23" s="18">
        <f>VLOOKUP($A23,criteria!$A$4:$I$24,$C$2,FALSE)+exposure!G$4</f>
        <v>7.4899999999999994E-2</v>
      </c>
      <c r="H23" s="18">
        <f>VLOOKUP($A23,criteria!$A$4:$I$24,$C$2,FALSE)+exposure!H$4</f>
        <v>7.46E-2</v>
      </c>
      <c r="I23" s="18">
        <f>VLOOKUP($A23,criteria!$A$4:$I$24,$C$2,FALSE)+exposure!I$4</f>
        <v>7.4399999999999994E-2</v>
      </c>
      <c r="J23" s="18">
        <f>VLOOKUP($A23,criteria!$A$4:$I$24,$C$2,FALSE)+exposure!J$4</f>
        <v>7.4200000000000002E-2</v>
      </c>
      <c r="K23" s="18">
        <f>VLOOKUP($A23,criteria!$A$4:$I$24,$C$2,FALSE)+exposure!K$4</f>
        <v>7.4099999999999999E-2</v>
      </c>
      <c r="L23" s="18">
        <f>VLOOKUP($A23,criteria!$A$4:$I$24,$C$2,FALSE)+exposure!L$4</f>
        <v>7.3999999999999996E-2</v>
      </c>
      <c r="M23" s="18">
        <f>VLOOKUP($A23,criteria!$A$4:$I$24,$C$2,FALSE)+exposure!M$4</f>
        <v>7.3899999999999993E-2</v>
      </c>
    </row>
    <row r="24" spans="1:13" x14ac:dyDescent="0.2">
      <c r="A24" t="str">
        <f>raw!A24</f>
        <v>TXU Electric Co.</v>
      </c>
      <c r="B24" s="1"/>
      <c r="C24" s="18">
        <f>VLOOKUP($A24,criteria!$A$4:$I$24,$C$2,FALSE)+exposure!C$4</f>
        <v>7.5899999999999995E-2</v>
      </c>
      <c r="D24" s="18">
        <f>VLOOKUP($A24,criteria!$A$4:$I$24,$C$2,FALSE)+exposure!D$4</f>
        <v>7.569999999999999E-2</v>
      </c>
      <c r="E24" s="18">
        <f>VLOOKUP($A24,criteria!$A$4:$I$24,$C$2,FALSE)+exposure!E$4</f>
        <v>7.51E-2</v>
      </c>
      <c r="F24" s="18">
        <f>VLOOKUP($A24,criteria!$A$4:$I$24,$C$2,FALSE)+exposure!F$4</f>
        <v>7.4899999999999994E-2</v>
      </c>
      <c r="G24" s="18">
        <f>VLOOKUP($A24,criteria!$A$4:$I$24,$C$2,FALSE)+exposure!G$4</f>
        <v>7.4899999999999994E-2</v>
      </c>
      <c r="H24" s="18">
        <f>VLOOKUP($A24,criteria!$A$4:$I$24,$C$2,FALSE)+exposure!H$4</f>
        <v>7.46E-2</v>
      </c>
      <c r="I24" s="18">
        <f>VLOOKUP($A24,criteria!$A$4:$I$24,$C$2,FALSE)+exposure!I$4</f>
        <v>7.4399999999999994E-2</v>
      </c>
      <c r="J24" s="18">
        <f>VLOOKUP($A24,criteria!$A$4:$I$24,$C$2,FALSE)+exposure!J$4</f>
        <v>7.4200000000000002E-2</v>
      </c>
      <c r="K24" s="18">
        <f>VLOOKUP($A24,criteria!$A$4:$I$24,$C$2,FALSE)+exposure!K$4</f>
        <v>7.4099999999999999E-2</v>
      </c>
      <c r="L24" s="18">
        <f>VLOOKUP($A24,criteria!$A$4:$I$24,$C$2,FALSE)+exposure!L$4</f>
        <v>7.3999999999999996E-2</v>
      </c>
      <c r="M24" s="18">
        <f>VLOOKUP($A24,criteria!$A$4:$I$24,$C$2,FALSE)+exposure!M$4</f>
        <v>7.3899999999999993E-2</v>
      </c>
    </row>
  </sheetData>
  <pageMargins left="0.75" right="0.75" top="1" bottom="1" header="0.5" footer="0.5"/>
  <pageSetup scale="84" orientation="landscape" verticalDpi="0" r:id="rId1"/>
  <headerFooter alignWithMargins="0">
    <oddFooter>Page &amp;P&amp;R&amp;A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workbookViewId="0">
      <selection activeCell="E25" sqref="E25"/>
    </sheetView>
  </sheetViews>
  <sheetFormatPr defaultRowHeight="12.75" x14ac:dyDescent="0.2"/>
  <cols>
    <col min="1" max="1" width="36.140625" bestFit="1" customWidth="1"/>
    <col min="2" max="2" width="5" bestFit="1" customWidth="1"/>
  </cols>
  <sheetData>
    <row r="1" spans="1:13" x14ac:dyDescent="0.2">
      <c r="A1" t="s">
        <v>519</v>
      </c>
    </row>
    <row r="2" spans="1:13" x14ac:dyDescent="0.2">
      <c r="C2">
        <v>8</v>
      </c>
    </row>
    <row r="3" spans="1:13" x14ac:dyDescent="0.2">
      <c r="A3" s="8" t="s">
        <v>177</v>
      </c>
      <c r="B3" s="8">
        <v>1998</v>
      </c>
      <c r="C3" s="8">
        <v>2000</v>
      </c>
      <c r="D3" s="8">
        <v>2001</v>
      </c>
      <c r="E3" s="8">
        <v>2002</v>
      </c>
      <c r="F3" s="8">
        <v>2003</v>
      </c>
      <c r="G3" s="8">
        <v>2004</v>
      </c>
      <c r="H3" s="8">
        <v>2005</v>
      </c>
      <c r="I3" s="8">
        <v>2006</v>
      </c>
      <c r="J3" s="8">
        <v>2007</v>
      </c>
      <c r="K3" s="8">
        <v>2008</v>
      </c>
      <c r="L3" s="8">
        <v>2009</v>
      </c>
      <c r="M3" s="8">
        <v>2010</v>
      </c>
    </row>
    <row r="4" spans="1:13" x14ac:dyDescent="0.2">
      <c r="A4" t="str">
        <f>raw!A4</f>
        <v>Boston Edison Co.</v>
      </c>
      <c r="B4" s="1"/>
      <c r="C4" s="15">
        <f>exposure!C$4+(VLOOKUP($A4,criteria!$A$4:$I$24,$C$2,FALSE)*(Assumptions!$C$25))</f>
        <v>0.12040000000000001</v>
      </c>
      <c r="D4" s="15">
        <f>exposure!D$4+(VLOOKUP($A4,criteria!$A$4:$I$24,$C$2,FALSE)*(Assumptions!$C$25))</f>
        <v>0.1202</v>
      </c>
      <c r="E4" s="15">
        <f>exposure!E$4+(VLOOKUP($A4,criteria!$A$4:$I$24,$C$2,FALSE)*(Assumptions!$C$25))</f>
        <v>0.11960000000000001</v>
      </c>
      <c r="F4" s="15">
        <f>exposure!F$4+(VLOOKUP($A4,criteria!$A$4:$I$24,$C$2,FALSE)*(Assumptions!$C$25))</f>
        <v>0.11940000000000001</v>
      </c>
      <c r="G4" s="15">
        <f>exposure!G$4+(VLOOKUP($A4,criteria!$A$4:$I$24,$C$2,FALSE)*(Assumptions!$C$25))</f>
        <v>0.11940000000000001</v>
      </c>
      <c r="H4" s="15">
        <f>exposure!H$4+(VLOOKUP($A4,criteria!$A$4:$I$24,$C$2,FALSE)*(Assumptions!$C$25))</f>
        <v>0.11910000000000001</v>
      </c>
      <c r="I4" s="15">
        <f>exposure!I$4+(VLOOKUP($A4,criteria!$A$4:$I$24,$C$2,FALSE)*(Assumptions!$C$25))</f>
        <v>0.11890000000000001</v>
      </c>
      <c r="J4" s="15">
        <f>exposure!J$4+(VLOOKUP($A4,criteria!$A$4:$I$24,$C$2,FALSE)*(Assumptions!$C$25))</f>
        <v>0.1187</v>
      </c>
      <c r="K4" s="15">
        <f>exposure!K$4+(VLOOKUP($A4,criteria!$A$4:$I$24,$C$2,FALSE)*(Assumptions!$C$25))</f>
        <v>0.11860000000000001</v>
      </c>
      <c r="L4" s="15">
        <f>exposure!L$4+(VLOOKUP($A4,criteria!$A$4:$I$24,$C$2,FALSE)*(Assumptions!$C$25))</f>
        <v>0.11849999999999999</v>
      </c>
      <c r="M4" s="15">
        <f>exposure!M$4+(VLOOKUP($A4,criteria!$A$4:$I$24,$C$2,FALSE)*(Assumptions!$C$25))</f>
        <v>0.11840000000000001</v>
      </c>
    </row>
    <row r="5" spans="1:13" x14ac:dyDescent="0.2">
      <c r="A5" t="str">
        <f>raw!A5</f>
        <v>Carolina Power &amp; Light Co.</v>
      </c>
      <c r="B5" s="1"/>
      <c r="C5" s="15">
        <f>exposure!C$4+(VLOOKUP($A5,criteria!$A$4:$I$24,$C$2,FALSE)*(Assumptions!$C$25))</f>
        <v>0.12040000000000001</v>
      </c>
      <c r="D5" s="15">
        <f>exposure!D$4+(VLOOKUP($A5,criteria!$A$4:$I$24,$C$2,FALSE)*(Assumptions!$C$25))</f>
        <v>0.1202</v>
      </c>
      <c r="E5" s="15">
        <f>exposure!E$4+(VLOOKUP($A5,criteria!$A$4:$I$24,$C$2,FALSE)*(Assumptions!$C$25))</f>
        <v>0.11960000000000001</v>
      </c>
      <c r="F5" s="15">
        <f>exposure!F$4+(VLOOKUP($A5,criteria!$A$4:$I$24,$C$2,FALSE)*(Assumptions!$C$25))</f>
        <v>0.11940000000000001</v>
      </c>
      <c r="G5" s="15">
        <f>exposure!G$4+(VLOOKUP($A5,criteria!$A$4:$I$24,$C$2,FALSE)*(Assumptions!$C$25))</f>
        <v>0.11940000000000001</v>
      </c>
      <c r="H5" s="15">
        <f>exposure!H$4+(VLOOKUP($A5,criteria!$A$4:$I$24,$C$2,FALSE)*(Assumptions!$C$25))</f>
        <v>0.11910000000000001</v>
      </c>
      <c r="I5" s="15">
        <f>exposure!I$4+(VLOOKUP($A5,criteria!$A$4:$I$24,$C$2,FALSE)*(Assumptions!$C$25))</f>
        <v>0.11890000000000001</v>
      </c>
      <c r="J5" s="15">
        <f>exposure!J$4+(VLOOKUP($A5,criteria!$A$4:$I$24,$C$2,FALSE)*(Assumptions!$C$25))</f>
        <v>0.1187</v>
      </c>
      <c r="K5" s="15">
        <f>exposure!K$4+(VLOOKUP($A5,criteria!$A$4:$I$24,$C$2,FALSE)*(Assumptions!$C$25))</f>
        <v>0.11860000000000001</v>
      </c>
      <c r="L5" s="15">
        <f>exposure!L$4+(VLOOKUP($A5,criteria!$A$4:$I$24,$C$2,FALSE)*(Assumptions!$C$25))</f>
        <v>0.11849999999999999</v>
      </c>
      <c r="M5" s="15">
        <f>exposure!M$4+(VLOOKUP($A5,criteria!$A$4:$I$24,$C$2,FALSE)*(Assumptions!$C$25))</f>
        <v>0.11840000000000001</v>
      </c>
    </row>
    <row r="6" spans="1:13" x14ac:dyDescent="0.2">
      <c r="A6" t="str">
        <f>raw!A6</f>
        <v>Central Hudson Gas &amp; Electric Corp.</v>
      </c>
      <c r="B6" s="1"/>
      <c r="C6" s="15">
        <f>exposure!C$4+(VLOOKUP($A6,criteria!$A$4:$I$24,$C$2,FALSE)*(Assumptions!$C$25))</f>
        <v>0.12040000000000001</v>
      </c>
      <c r="D6" s="15">
        <f>exposure!D$4+(VLOOKUP($A6,criteria!$A$4:$I$24,$C$2,FALSE)*(Assumptions!$C$25))</f>
        <v>0.1202</v>
      </c>
      <c r="E6" s="15">
        <f>exposure!E$4+(VLOOKUP($A6,criteria!$A$4:$I$24,$C$2,FALSE)*(Assumptions!$C$25))</f>
        <v>0.11960000000000001</v>
      </c>
      <c r="F6" s="15">
        <f>exposure!F$4+(VLOOKUP($A6,criteria!$A$4:$I$24,$C$2,FALSE)*(Assumptions!$C$25))</f>
        <v>0.11940000000000001</v>
      </c>
      <c r="G6" s="15">
        <f>exposure!G$4+(VLOOKUP($A6,criteria!$A$4:$I$24,$C$2,FALSE)*(Assumptions!$C$25))</f>
        <v>0.11940000000000001</v>
      </c>
      <c r="H6" s="15">
        <f>exposure!H$4+(VLOOKUP($A6,criteria!$A$4:$I$24,$C$2,FALSE)*(Assumptions!$C$25))</f>
        <v>0.11910000000000001</v>
      </c>
      <c r="I6" s="15">
        <f>exposure!I$4+(VLOOKUP($A6,criteria!$A$4:$I$24,$C$2,FALSE)*(Assumptions!$C$25))</f>
        <v>0.11890000000000001</v>
      </c>
      <c r="J6" s="15">
        <f>exposure!J$4+(VLOOKUP($A6,criteria!$A$4:$I$24,$C$2,FALSE)*(Assumptions!$C$25))</f>
        <v>0.1187</v>
      </c>
      <c r="K6" s="15">
        <f>exposure!K$4+(VLOOKUP($A6,criteria!$A$4:$I$24,$C$2,FALSE)*(Assumptions!$C$25))</f>
        <v>0.11860000000000001</v>
      </c>
      <c r="L6" s="15">
        <f>exposure!L$4+(VLOOKUP($A6,criteria!$A$4:$I$24,$C$2,FALSE)*(Assumptions!$C$25))</f>
        <v>0.11849999999999999</v>
      </c>
      <c r="M6" s="15">
        <f>exposure!M$4+(VLOOKUP($A6,criteria!$A$4:$I$24,$C$2,FALSE)*(Assumptions!$C$25))</f>
        <v>0.11840000000000001</v>
      </c>
    </row>
    <row r="7" spans="1:13" x14ac:dyDescent="0.2">
      <c r="A7" t="str">
        <f>raw!A7</f>
        <v>Commonwealth Edison Co.</v>
      </c>
      <c r="B7" s="1"/>
      <c r="C7" s="15">
        <f>exposure!C$4+(VLOOKUP($A7,criteria!$A$4:$I$24,$C$2,FALSE)*(Assumptions!$C$25))</f>
        <v>0.12040000000000001</v>
      </c>
      <c r="D7" s="15">
        <f>exposure!D$4+(VLOOKUP($A7,criteria!$A$4:$I$24,$C$2,FALSE)*(Assumptions!$C$25))</f>
        <v>0.1202</v>
      </c>
      <c r="E7" s="15">
        <f>exposure!E$4+(VLOOKUP($A7,criteria!$A$4:$I$24,$C$2,FALSE)*(Assumptions!$C$25))</f>
        <v>0.11960000000000001</v>
      </c>
      <c r="F7" s="15">
        <f>exposure!F$4+(VLOOKUP($A7,criteria!$A$4:$I$24,$C$2,FALSE)*(Assumptions!$C$25))</f>
        <v>0.11940000000000001</v>
      </c>
      <c r="G7" s="15">
        <f>exposure!G$4+(VLOOKUP($A7,criteria!$A$4:$I$24,$C$2,FALSE)*(Assumptions!$C$25))</f>
        <v>0.11940000000000001</v>
      </c>
      <c r="H7" s="15">
        <f>exposure!H$4+(VLOOKUP($A7,criteria!$A$4:$I$24,$C$2,FALSE)*(Assumptions!$C$25))</f>
        <v>0.11910000000000001</v>
      </c>
      <c r="I7" s="15">
        <f>exposure!I$4+(VLOOKUP($A7,criteria!$A$4:$I$24,$C$2,FALSE)*(Assumptions!$C$25))</f>
        <v>0.11890000000000001</v>
      </c>
      <c r="J7" s="15">
        <f>exposure!J$4+(VLOOKUP($A7,criteria!$A$4:$I$24,$C$2,FALSE)*(Assumptions!$C$25))</f>
        <v>0.1187</v>
      </c>
      <c r="K7" s="15">
        <f>exposure!K$4+(VLOOKUP($A7,criteria!$A$4:$I$24,$C$2,FALSE)*(Assumptions!$C$25))</f>
        <v>0.11860000000000001</v>
      </c>
      <c r="L7" s="15">
        <f>exposure!L$4+(VLOOKUP($A7,criteria!$A$4:$I$24,$C$2,FALSE)*(Assumptions!$C$25))</f>
        <v>0.11849999999999999</v>
      </c>
      <c r="M7" s="15">
        <f>exposure!M$4+(VLOOKUP($A7,criteria!$A$4:$I$24,$C$2,FALSE)*(Assumptions!$C$25))</f>
        <v>0.11840000000000001</v>
      </c>
    </row>
    <row r="8" spans="1:13" x14ac:dyDescent="0.2">
      <c r="A8" t="str">
        <f>raw!A8</f>
        <v>Consolidated Edison Co. of New York, Inc.</v>
      </c>
      <c r="B8" s="1"/>
      <c r="C8" s="15">
        <f>exposure!C$4+(VLOOKUP($A8,criteria!$A$4:$I$24,$C$2,FALSE)*(Assumptions!$C$25))</f>
        <v>0.12040000000000001</v>
      </c>
      <c r="D8" s="15">
        <f>exposure!D$4+(VLOOKUP($A8,criteria!$A$4:$I$24,$C$2,FALSE)*(Assumptions!$C$25))</f>
        <v>0.1202</v>
      </c>
      <c r="E8" s="15">
        <f>exposure!E$4+(VLOOKUP($A8,criteria!$A$4:$I$24,$C$2,FALSE)*(Assumptions!$C$25))</f>
        <v>0.11960000000000001</v>
      </c>
      <c r="F8" s="15">
        <f>exposure!F$4+(VLOOKUP($A8,criteria!$A$4:$I$24,$C$2,FALSE)*(Assumptions!$C$25))</f>
        <v>0.11940000000000001</v>
      </c>
      <c r="G8" s="15">
        <f>exposure!G$4+(VLOOKUP($A8,criteria!$A$4:$I$24,$C$2,FALSE)*(Assumptions!$C$25))</f>
        <v>0.11940000000000001</v>
      </c>
      <c r="H8" s="15">
        <f>exposure!H$4+(VLOOKUP($A8,criteria!$A$4:$I$24,$C$2,FALSE)*(Assumptions!$C$25))</f>
        <v>0.11910000000000001</v>
      </c>
      <c r="I8" s="15">
        <f>exposure!I$4+(VLOOKUP($A8,criteria!$A$4:$I$24,$C$2,FALSE)*(Assumptions!$C$25))</f>
        <v>0.11890000000000001</v>
      </c>
      <c r="J8" s="15">
        <f>exposure!J$4+(VLOOKUP($A8,criteria!$A$4:$I$24,$C$2,FALSE)*(Assumptions!$C$25))</f>
        <v>0.1187</v>
      </c>
      <c r="K8" s="15">
        <f>exposure!K$4+(VLOOKUP($A8,criteria!$A$4:$I$24,$C$2,FALSE)*(Assumptions!$C$25))</f>
        <v>0.11860000000000001</v>
      </c>
      <c r="L8" s="15">
        <f>exposure!L$4+(VLOOKUP($A8,criteria!$A$4:$I$24,$C$2,FALSE)*(Assumptions!$C$25))</f>
        <v>0.11849999999999999</v>
      </c>
      <c r="M8" s="15">
        <f>exposure!M$4+(VLOOKUP($A8,criteria!$A$4:$I$24,$C$2,FALSE)*(Assumptions!$C$25))</f>
        <v>0.11840000000000001</v>
      </c>
    </row>
    <row r="9" spans="1:13" x14ac:dyDescent="0.2">
      <c r="A9" t="str">
        <f>raw!A9</f>
        <v>Consumers Energy Co.</v>
      </c>
      <c r="B9" s="1"/>
      <c r="C9" s="15">
        <f>exposure!C$4+(VLOOKUP($A9,criteria!$A$4:$I$24,$C$2,FALSE)*(Assumptions!$C$25))</f>
        <v>0.12040000000000001</v>
      </c>
      <c r="D9" s="15">
        <f>exposure!D$4+(VLOOKUP($A9,criteria!$A$4:$I$24,$C$2,FALSE)*(Assumptions!$C$25))</f>
        <v>0.1202</v>
      </c>
      <c r="E9" s="15">
        <f>exposure!E$4+(VLOOKUP($A9,criteria!$A$4:$I$24,$C$2,FALSE)*(Assumptions!$C$25))</f>
        <v>0.11960000000000001</v>
      </c>
      <c r="F9" s="15">
        <f>exposure!F$4+(VLOOKUP($A9,criteria!$A$4:$I$24,$C$2,FALSE)*(Assumptions!$C$25))</f>
        <v>0.11940000000000001</v>
      </c>
      <c r="G9" s="15">
        <f>exposure!G$4+(VLOOKUP($A9,criteria!$A$4:$I$24,$C$2,FALSE)*(Assumptions!$C$25))</f>
        <v>0.11940000000000001</v>
      </c>
      <c r="H9" s="15">
        <f>exposure!H$4+(VLOOKUP($A9,criteria!$A$4:$I$24,$C$2,FALSE)*(Assumptions!$C$25))</f>
        <v>0.11910000000000001</v>
      </c>
      <c r="I9" s="15">
        <f>exposure!I$4+(VLOOKUP($A9,criteria!$A$4:$I$24,$C$2,FALSE)*(Assumptions!$C$25))</f>
        <v>0.11890000000000001</v>
      </c>
      <c r="J9" s="15">
        <f>exposure!J$4+(VLOOKUP($A9,criteria!$A$4:$I$24,$C$2,FALSE)*(Assumptions!$C$25))</f>
        <v>0.1187</v>
      </c>
      <c r="K9" s="15">
        <f>exposure!K$4+(VLOOKUP($A9,criteria!$A$4:$I$24,$C$2,FALSE)*(Assumptions!$C$25))</f>
        <v>0.11860000000000001</v>
      </c>
      <c r="L9" s="15">
        <f>exposure!L$4+(VLOOKUP($A9,criteria!$A$4:$I$24,$C$2,FALSE)*(Assumptions!$C$25))</f>
        <v>0.11849999999999999</v>
      </c>
      <c r="M9" s="15">
        <f>exposure!M$4+(VLOOKUP($A9,criteria!$A$4:$I$24,$C$2,FALSE)*(Assumptions!$C$25))</f>
        <v>0.11840000000000001</v>
      </c>
    </row>
    <row r="10" spans="1:13" x14ac:dyDescent="0.2">
      <c r="A10" t="str">
        <f>raw!A10</f>
        <v>Duke Energy Corp.</v>
      </c>
      <c r="B10" s="1"/>
      <c r="C10" s="15">
        <f>exposure!C$4+(VLOOKUP($A10,criteria!$A$4:$I$24,$C$2,FALSE)*(Assumptions!$C$25))</f>
        <v>0.12040000000000001</v>
      </c>
      <c r="D10" s="15">
        <f>exposure!D$4+(VLOOKUP($A10,criteria!$A$4:$I$24,$C$2,FALSE)*(Assumptions!$C$25))</f>
        <v>0.1202</v>
      </c>
      <c r="E10" s="15">
        <f>exposure!E$4+(VLOOKUP($A10,criteria!$A$4:$I$24,$C$2,FALSE)*(Assumptions!$C$25))</f>
        <v>0.11960000000000001</v>
      </c>
      <c r="F10" s="15">
        <f>exposure!F$4+(VLOOKUP($A10,criteria!$A$4:$I$24,$C$2,FALSE)*(Assumptions!$C$25))</f>
        <v>0.11940000000000001</v>
      </c>
      <c r="G10" s="15">
        <f>exposure!G$4+(VLOOKUP($A10,criteria!$A$4:$I$24,$C$2,FALSE)*(Assumptions!$C$25))</f>
        <v>0.11940000000000001</v>
      </c>
      <c r="H10" s="15">
        <f>exposure!H$4+(VLOOKUP($A10,criteria!$A$4:$I$24,$C$2,FALSE)*(Assumptions!$C$25))</f>
        <v>0.11910000000000001</v>
      </c>
      <c r="I10" s="15">
        <f>exposure!I$4+(VLOOKUP($A10,criteria!$A$4:$I$24,$C$2,FALSE)*(Assumptions!$C$25))</f>
        <v>0.11890000000000001</v>
      </c>
      <c r="J10" s="15">
        <f>exposure!J$4+(VLOOKUP($A10,criteria!$A$4:$I$24,$C$2,FALSE)*(Assumptions!$C$25))</f>
        <v>0.1187</v>
      </c>
      <c r="K10" s="15">
        <f>exposure!K$4+(VLOOKUP($A10,criteria!$A$4:$I$24,$C$2,FALSE)*(Assumptions!$C$25))</f>
        <v>0.11860000000000001</v>
      </c>
      <c r="L10" s="15">
        <f>exposure!L$4+(VLOOKUP($A10,criteria!$A$4:$I$24,$C$2,FALSE)*(Assumptions!$C$25))</f>
        <v>0.11849999999999999</v>
      </c>
      <c r="M10" s="15">
        <f>exposure!M$4+(VLOOKUP($A10,criteria!$A$4:$I$24,$C$2,FALSE)*(Assumptions!$C$25))</f>
        <v>0.11840000000000001</v>
      </c>
    </row>
    <row r="11" spans="1:13" x14ac:dyDescent="0.2">
      <c r="A11" t="str">
        <f>raw!A11</f>
        <v>Entergy Mississippi, Inc.</v>
      </c>
      <c r="B11" s="1"/>
      <c r="C11" s="15">
        <f>exposure!C$4+(VLOOKUP($A11,criteria!$A$4:$I$24,$C$2,FALSE)*(Assumptions!$C$25))</f>
        <v>0.12040000000000001</v>
      </c>
      <c r="D11" s="15">
        <f>exposure!D$4+(VLOOKUP($A11,criteria!$A$4:$I$24,$C$2,FALSE)*(Assumptions!$C$25))</f>
        <v>0.1202</v>
      </c>
      <c r="E11" s="15">
        <f>exposure!E$4+(VLOOKUP($A11,criteria!$A$4:$I$24,$C$2,FALSE)*(Assumptions!$C$25))</f>
        <v>0.11960000000000001</v>
      </c>
      <c r="F11" s="15">
        <f>exposure!F$4+(VLOOKUP($A11,criteria!$A$4:$I$24,$C$2,FALSE)*(Assumptions!$C$25))</f>
        <v>0.11940000000000001</v>
      </c>
      <c r="G11" s="15">
        <f>exposure!G$4+(VLOOKUP($A11,criteria!$A$4:$I$24,$C$2,FALSE)*(Assumptions!$C$25))</f>
        <v>0.11940000000000001</v>
      </c>
      <c r="H11" s="15">
        <f>exposure!H$4+(VLOOKUP($A11,criteria!$A$4:$I$24,$C$2,FALSE)*(Assumptions!$C$25))</f>
        <v>0.11910000000000001</v>
      </c>
      <c r="I11" s="15">
        <f>exposure!I$4+(VLOOKUP($A11,criteria!$A$4:$I$24,$C$2,FALSE)*(Assumptions!$C$25))</f>
        <v>0.11890000000000001</v>
      </c>
      <c r="J11" s="15">
        <f>exposure!J$4+(VLOOKUP($A11,criteria!$A$4:$I$24,$C$2,FALSE)*(Assumptions!$C$25))</f>
        <v>0.1187</v>
      </c>
      <c r="K11" s="15">
        <f>exposure!K$4+(VLOOKUP($A11,criteria!$A$4:$I$24,$C$2,FALSE)*(Assumptions!$C$25))</f>
        <v>0.11860000000000001</v>
      </c>
      <c r="L11" s="15">
        <f>exposure!L$4+(VLOOKUP($A11,criteria!$A$4:$I$24,$C$2,FALSE)*(Assumptions!$C$25))</f>
        <v>0.11849999999999999</v>
      </c>
      <c r="M11" s="15">
        <f>exposure!M$4+(VLOOKUP($A11,criteria!$A$4:$I$24,$C$2,FALSE)*(Assumptions!$C$25))</f>
        <v>0.11840000000000001</v>
      </c>
    </row>
    <row r="12" spans="1:13" x14ac:dyDescent="0.2">
      <c r="A12" t="str">
        <f>raw!A12</f>
        <v>Florida Power &amp; Light Co.</v>
      </c>
      <c r="B12" s="1"/>
      <c r="C12" s="15">
        <f>exposure!C$4+(VLOOKUP($A12,criteria!$A$4:$I$24,$C$2,FALSE)*(Assumptions!$C$25))</f>
        <v>0.12040000000000001</v>
      </c>
      <c r="D12" s="15">
        <f>exposure!D$4+(VLOOKUP($A12,criteria!$A$4:$I$24,$C$2,FALSE)*(Assumptions!$C$25))</f>
        <v>0.1202</v>
      </c>
      <c r="E12" s="15">
        <f>exposure!E$4+(VLOOKUP($A12,criteria!$A$4:$I$24,$C$2,FALSE)*(Assumptions!$C$25))</f>
        <v>0.11960000000000001</v>
      </c>
      <c r="F12" s="15">
        <f>exposure!F$4+(VLOOKUP($A12,criteria!$A$4:$I$24,$C$2,FALSE)*(Assumptions!$C$25))</f>
        <v>0.11940000000000001</v>
      </c>
      <c r="G12" s="15">
        <f>exposure!G$4+(VLOOKUP($A12,criteria!$A$4:$I$24,$C$2,FALSE)*(Assumptions!$C$25))</f>
        <v>0.11940000000000001</v>
      </c>
      <c r="H12" s="15">
        <f>exposure!H$4+(VLOOKUP($A12,criteria!$A$4:$I$24,$C$2,FALSE)*(Assumptions!$C$25))</f>
        <v>0.11910000000000001</v>
      </c>
      <c r="I12" s="15">
        <f>exposure!I$4+(VLOOKUP($A12,criteria!$A$4:$I$24,$C$2,FALSE)*(Assumptions!$C$25))</f>
        <v>0.11890000000000001</v>
      </c>
      <c r="J12" s="15">
        <f>exposure!J$4+(VLOOKUP($A12,criteria!$A$4:$I$24,$C$2,FALSE)*(Assumptions!$C$25))</f>
        <v>0.1187</v>
      </c>
      <c r="K12" s="15">
        <f>exposure!K$4+(VLOOKUP($A12,criteria!$A$4:$I$24,$C$2,FALSE)*(Assumptions!$C$25))</f>
        <v>0.11860000000000001</v>
      </c>
      <c r="L12" s="15">
        <f>exposure!L$4+(VLOOKUP($A12,criteria!$A$4:$I$24,$C$2,FALSE)*(Assumptions!$C$25))</f>
        <v>0.11849999999999999</v>
      </c>
      <c r="M12" s="15">
        <f>exposure!M$4+(VLOOKUP($A12,criteria!$A$4:$I$24,$C$2,FALSE)*(Assumptions!$C$25))</f>
        <v>0.11840000000000001</v>
      </c>
    </row>
    <row r="13" spans="1:13" x14ac:dyDescent="0.2">
      <c r="A13" t="str">
        <f>raw!A13</f>
        <v>Gulf Power Co.</v>
      </c>
      <c r="B13" s="1"/>
      <c r="C13" s="15">
        <f>exposure!C$4+(VLOOKUP($A13,criteria!$A$4:$I$24,$C$2,FALSE)*(Assumptions!$C$25))</f>
        <v>0.12040000000000001</v>
      </c>
      <c r="D13" s="15">
        <f>exposure!D$4+(VLOOKUP($A13,criteria!$A$4:$I$24,$C$2,FALSE)*(Assumptions!$C$25))</f>
        <v>0.1202</v>
      </c>
      <c r="E13" s="15">
        <f>exposure!E$4+(VLOOKUP($A13,criteria!$A$4:$I$24,$C$2,FALSE)*(Assumptions!$C$25))</f>
        <v>0.11960000000000001</v>
      </c>
      <c r="F13" s="15">
        <f>exposure!F$4+(VLOOKUP($A13,criteria!$A$4:$I$24,$C$2,FALSE)*(Assumptions!$C$25))</f>
        <v>0.11940000000000001</v>
      </c>
      <c r="G13" s="15">
        <f>exposure!G$4+(VLOOKUP($A13,criteria!$A$4:$I$24,$C$2,FALSE)*(Assumptions!$C$25))</f>
        <v>0.11940000000000001</v>
      </c>
      <c r="H13" s="15">
        <f>exposure!H$4+(VLOOKUP($A13,criteria!$A$4:$I$24,$C$2,FALSE)*(Assumptions!$C$25))</f>
        <v>0.11910000000000001</v>
      </c>
      <c r="I13" s="15">
        <f>exposure!I$4+(VLOOKUP($A13,criteria!$A$4:$I$24,$C$2,FALSE)*(Assumptions!$C$25))</f>
        <v>0.11890000000000001</v>
      </c>
      <c r="J13" s="15">
        <f>exposure!J$4+(VLOOKUP($A13,criteria!$A$4:$I$24,$C$2,FALSE)*(Assumptions!$C$25))</f>
        <v>0.1187</v>
      </c>
      <c r="K13" s="15">
        <f>exposure!K$4+(VLOOKUP($A13,criteria!$A$4:$I$24,$C$2,FALSE)*(Assumptions!$C$25))</f>
        <v>0.11860000000000001</v>
      </c>
      <c r="L13" s="15">
        <f>exposure!L$4+(VLOOKUP($A13,criteria!$A$4:$I$24,$C$2,FALSE)*(Assumptions!$C$25))</f>
        <v>0.11849999999999999</v>
      </c>
      <c r="M13" s="15">
        <f>exposure!M$4+(VLOOKUP($A13,criteria!$A$4:$I$24,$C$2,FALSE)*(Assumptions!$C$25))</f>
        <v>0.11840000000000001</v>
      </c>
    </row>
    <row r="14" spans="1:13" x14ac:dyDescent="0.2">
      <c r="A14" t="str">
        <f>raw!A14</f>
        <v>Illinois Power Co.</v>
      </c>
      <c r="B14" s="1"/>
      <c r="C14" s="15">
        <f>exposure!C$4+(VLOOKUP($A14,criteria!$A$4:$I$24,$C$2,FALSE)*(Assumptions!$C$25))</f>
        <v>0.12040000000000001</v>
      </c>
      <c r="D14" s="15">
        <f>exposure!D$4+(VLOOKUP($A14,criteria!$A$4:$I$24,$C$2,FALSE)*(Assumptions!$C$25))</f>
        <v>0.1202</v>
      </c>
      <c r="E14" s="15">
        <f>exposure!E$4+(VLOOKUP($A14,criteria!$A$4:$I$24,$C$2,FALSE)*(Assumptions!$C$25))</f>
        <v>0.11960000000000001</v>
      </c>
      <c r="F14" s="15">
        <f>exposure!F$4+(VLOOKUP($A14,criteria!$A$4:$I$24,$C$2,FALSE)*(Assumptions!$C$25))</f>
        <v>0.11940000000000001</v>
      </c>
      <c r="G14" s="15">
        <f>exposure!G$4+(VLOOKUP($A14,criteria!$A$4:$I$24,$C$2,FALSE)*(Assumptions!$C$25))</f>
        <v>0.11940000000000001</v>
      </c>
      <c r="H14" s="15">
        <f>exposure!H$4+(VLOOKUP($A14,criteria!$A$4:$I$24,$C$2,FALSE)*(Assumptions!$C$25))</f>
        <v>0.11910000000000001</v>
      </c>
      <c r="I14" s="15">
        <f>exposure!I$4+(VLOOKUP($A14,criteria!$A$4:$I$24,$C$2,FALSE)*(Assumptions!$C$25))</f>
        <v>0.11890000000000001</v>
      </c>
      <c r="J14" s="15">
        <f>exposure!J$4+(VLOOKUP($A14,criteria!$A$4:$I$24,$C$2,FALSE)*(Assumptions!$C$25))</f>
        <v>0.1187</v>
      </c>
      <c r="K14" s="15">
        <f>exposure!K$4+(VLOOKUP($A14,criteria!$A$4:$I$24,$C$2,FALSE)*(Assumptions!$C$25))</f>
        <v>0.11860000000000001</v>
      </c>
      <c r="L14" s="15">
        <f>exposure!L$4+(VLOOKUP($A14,criteria!$A$4:$I$24,$C$2,FALSE)*(Assumptions!$C$25))</f>
        <v>0.11849999999999999</v>
      </c>
      <c r="M14" s="15">
        <f>exposure!M$4+(VLOOKUP($A14,criteria!$A$4:$I$24,$C$2,FALSE)*(Assumptions!$C$25))</f>
        <v>0.11840000000000001</v>
      </c>
    </row>
    <row r="15" spans="1:13" x14ac:dyDescent="0.2">
      <c r="A15" t="str">
        <f>raw!A15</f>
        <v>Jersey Central Power &amp; Light Co.</v>
      </c>
      <c r="B15" s="1"/>
      <c r="C15" s="15">
        <f>exposure!C$4+(VLOOKUP($A15,criteria!$A$4:$I$24,$C$2,FALSE)*(Assumptions!$C$25))</f>
        <v>0.12040000000000001</v>
      </c>
      <c r="D15" s="15">
        <f>exposure!D$4+(VLOOKUP($A15,criteria!$A$4:$I$24,$C$2,FALSE)*(Assumptions!$C$25))</f>
        <v>0.1202</v>
      </c>
      <c r="E15" s="15">
        <f>exposure!E$4+(VLOOKUP($A15,criteria!$A$4:$I$24,$C$2,FALSE)*(Assumptions!$C$25))</f>
        <v>0.11960000000000001</v>
      </c>
      <c r="F15" s="15">
        <f>exposure!F$4+(VLOOKUP($A15,criteria!$A$4:$I$24,$C$2,FALSE)*(Assumptions!$C$25))</f>
        <v>0.11940000000000001</v>
      </c>
      <c r="G15" s="15">
        <f>exposure!G$4+(VLOOKUP($A15,criteria!$A$4:$I$24,$C$2,FALSE)*(Assumptions!$C$25))</f>
        <v>0.11940000000000001</v>
      </c>
      <c r="H15" s="15">
        <f>exposure!H$4+(VLOOKUP($A15,criteria!$A$4:$I$24,$C$2,FALSE)*(Assumptions!$C$25))</f>
        <v>0.11910000000000001</v>
      </c>
      <c r="I15" s="15">
        <f>exposure!I$4+(VLOOKUP($A15,criteria!$A$4:$I$24,$C$2,FALSE)*(Assumptions!$C$25))</f>
        <v>0.11890000000000001</v>
      </c>
      <c r="J15" s="15">
        <f>exposure!J$4+(VLOOKUP($A15,criteria!$A$4:$I$24,$C$2,FALSE)*(Assumptions!$C$25))</f>
        <v>0.1187</v>
      </c>
      <c r="K15" s="15">
        <f>exposure!K$4+(VLOOKUP($A15,criteria!$A$4:$I$24,$C$2,FALSE)*(Assumptions!$C$25))</f>
        <v>0.11860000000000001</v>
      </c>
      <c r="L15" s="15">
        <f>exposure!L$4+(VLOOKUP($A15,criteria!$A$4:$I$24,$C$2,FALSE)*(Assumptions!$C$25))</f>
        <v>0.11849999999999999</v>
      </c>
      <c r="M15" s="15">
        <f>exposure!M$4+(VLOOKUP($A15,criteria!$A$4:$I$24,$C$2,FALSE)*(Assumptions!$C$25))</f>
        <v>0.11840000000000001</v>
      </c>
    </row>
    <row r="16" spans="1:13" x14ac:dyDescent="0.2">
      <c r="A16" t="str">
        <f>raw!A16</f>
        <v>Kentucky Utilities Co.</v>
      </c>
      <c r="B16" s="1"/>
      <c r="C16" s="15">
        <f>exposure!C$4+(VLOOKUP($A16,criteria!$A$4:$I$24,$C$2,FALSE)*(Assumptions!$C$25))</f>
        <v>0.12040000000000001</v>
      </c>
      <c r="D16" s="15">
        <f>exposure!D$4+(VLOOKUP($A16,criteria!$A$4:$I$24,$C$2,FALSE)*(Assumptions!$C$25))</f>
        <v>0.1202</v>
      </c>
      <c r="E16" s="15">
        <f>exposure!E$4+(VLOOKUP($A16,criteria!$A$4:$I$24,$C$2,FALSE)*(Assumptions!$C$25))</f>
        <v>0.11960000000000001</v>
      </c>
      <c r="F16" s="15">
        <f>exposure!F$4+(VLOOKUP($A16,criteria!$A$4:$I$24,$C$2,FALSE)*(Assumptions!$C$25))</f>
        <v>0.11940000000000001</v>
      </c>
      <c r="G16" s="15">
        <f>exposure!G$4+(VLOOKUP($A16,criteria!$A$4:$I$24,$C$2,FALSE)*(Assumptions!$C$25))</f>
        <v>0.11940000000000001</v>
      </c>
      <c r="H16" s="15">
        <f>exposure!H$4+(VLOOKUP($A16,criteria!$A$4:$I$24,$C$2,FALSE)*(Assumptions!$C$25))</f>
        <v>0.11910000000000001</v>
      </c>
      <c r="I16" s="15">
        <f>exposure!I$4+(VLOOKUP($A16,criteria!$A$4:$I$24,$C$2,FALSE)*(Assumptions!$C$25))</f>
        <v>0.11890000000000001</v>
      </c>
      <c r="J16" s="15">
        <f>exposure!J$4+(VLOOKUP($A16,criteria!$A$4:$I$24,$C$2,FALSE)*(Assumptions!$C$25))</f>
        <v>0.1187</v>
      </c>
      <c r="K16" s="15">
        <f>exposure!K$4+(VLOOKUP($A16,criteria!$A$4:$I$24,$C$2,FALSE)*(Assumptions!$C$25))</f>
        <v>0.11860000000000001</v>
      </c>
      <c r="L16" s="15">
        <f>exposure!L$4+(VLOOKUP($A16,criteria!$A$4:$I$24,$C$2,FALSE)*(Assumptions!$C$25))</f>
        <v>0.11849999999999999</v>
      </c>
      <c r="M16" s="15">
        <f>exposure!M$4+(VLOOKUP($A16,criteria!$A$4:$I$24,$C$2,FALSE)*(Assumptions!$C$25))</f>
        <v>0.11840000000000001</v>
      </c>
    </row>
    <row r="17" spans="1:13" x14ac:dyDescent="0.2">
      <c r="A17" t="str">
        <f>raw!A17</f>
        <v>Ohio Power Co.</v>
      </c>
      <c r="B17" s="1"/>
      <c r="C17" s="15">
        <f>exposure!C$4+(VLOOKUP($A17,criteria!$A$4:$I$24,$C$2,FALSE)*(Assumptions!$C$25))</f>
        <v>0.12040000000000001</v>
      </c>
      <c r="D17" s="15">
        <f>exposure!D$4+(VLOOKUP($A17,criteria!$A$4:$I$24,$C$2,FALSE)*(Assumptions!$C$25))</f>
        <v>0.1202</v>
      </c>
      <c r="E17" s="15">
        <f>exposure!E$4+(VLOOKUP($A17,criteria!$A$4:$I$24,$C$2,FALSE)*(Assumptions!$C$25))</f>
        <v>0.11960000000000001</v>
      </c>
      <c r="F17" s="15">
        <f>exposure!F$4+(VLOOKUP($A17,criteria!$A$4:$I$24,$C$2,FALSE)*(Assumptions!$C$25))</f>
        <v>0.11940000000000001</v>
      </c>
      <c r="G17" s="15">
        <f>exposure!G$4+(VLOOKUP($A17,criteria!$A$4:$I$24,$C$2,FALSE)*(Assumptions!$C$25))</f>
        <v>0.11940000000000001</v>
      </c>
      <c r="H17" s="15">
        <f>exposure!H$4+(VLOOKUP($A17,criteria!$A$4:$I$24,$C$2,FALSE)*(Assumptions!$C$25))</f>
        <v>0.11910000000000001</v>
      </c>
      <c r="I17" s="15">
        <f>exposure!I$4+(VLOOKUP($A17,criteria!$A$4:$I$24,$C$2,FALSE)*(Assumptions!$C$25))</f>
        <v>0.11890000000000001</v>
      </c>
      <c r="J17" s="15">
        <f>exposure!J$4+(VLOOKUP($A17,criteria!$A$4:$I$24,$C$2,FALSE)*(Assumptions!$C$25))</f>
        <v>0.1187</v>
      </c>
      <c r="K17" s="15">
        <f>exposure!K$4+(VLOOKUP($A17,criteria!$A$4:$I$24,$C$2,FALSE)*(Assumptions!$C$25))</f>
        <v>0.11860000000000001</v>
      </c>
      <c r="L17" s="15">
        <f>exposure!L$4+(VLOOKUP($A17,criteria!$A$4:$I$24,$C$2,FALSE)*(Assumptions!$C$25))</f>
        <v>0.11849999999999999</v>
      </c>
      <c r="M17" s="15">
        <f>exposure!M$4+(VLOOKUP($A17,criteria!$A$4:$I$24,$C$2,FALSE)*(Assumptions!$C$25))</f>
        <v>0.11840000000000001</v>
      </c>
    </row>
    <row r="18" spans="1:13" x14ac:dyDescent="0.2">
      <c r="A18" t="str">
        <f>raw!A18</f>
        <v>PPL Electric Utilities Corp.</v>
      </c>
      <c r="B18" s="1"/>
      <c r="C18" s="15">
        <f>exposure!C$4+(VLOOKUP($A18,criteria!$A$4:$I$24,$C$2,FALSE)*(Assumptions!$C$25))</f>
        <v>0.12040000000000001</v>
      </c>
      <c r="D18" s="15">
        <f>exposure!D$4+(VLOOKUP($A18,criteria!$A$4:$I$24,$C$2,FALSE)*(Assumptions!$C$25))</f>
        <v>0.1202</v>
      </c>
      <c r="E18" s="15">
        <f>exposure!E$4+(VLOOKUP($A18,criteria!$A$4:$I$24,$C$2,FALSE)*(Assumptions!$C$25))</f>
        <v>0.11960000000000001</v>
      </c>
      <c r="F18" s="15">
        <f>exposure!F$4+(VLOOKUP($A18,criteria!$A$4:$I$24,$C$2,FALSE)*(Assumptions!$C$25))</f>
        <v>0.11940000000000001</v>
      </c>
      <c r="G18" s="15">
        <f>exposure!G$4+(VLOOKUP($A18,criteria!$A$4:$I$24,$C$2,FALSE)*(Assumptions!$C$25))</f>
        <v>0.11940000000000001</v>
      </c>
      <c r="H18" s="15">
        <f>exposure!H$4+(VLOOKUP($A18,criteria!$A$4:$I$24,$C$2,FALSE)*(Assumptions!$C$25))</f>
        <v>0.11910000000000001</v>
      </c>
      <c r="I18" s="15">
        <f>exposure!I$4+(VLOOKUP($A18,criteria!$A$4:$I$24,$C$2,FALSE)*(Assumptions!$C$25))</f>
        <v>0.11890000000000001</v>
      </c>
      <c r="J18" s="15">
        <f>exposure!J$4+(VLOOKUP($A18,criteria!$A$4:$I$24,$C$2,FALSE)*(Assumptions!$C$25))</f>
        <v>0.1187</v>
      </c>
      <c r="K18" s="15">
        <f>exposure!K$4+(VLOOKUP($A18,criteria!$A$4:$I$24,$C$2,FALSE)*(Assumptions!$C$25))</f>
        <v>0.11860000000000001</v>
      </c>
      <c r="L18" s="15">
        <f>exposure!L$4+(VLOOKUP($A18,criteria!$A$4:$I$24,$C$2,FALSE)*(Assumptions!$C$25))</f>
        <v>0.11849999999999999</v>
      </c>
      <c r="M18" s="15">
        <f>exposure!M$4+(VLOOKUP($A18,criteria!$A$4:$I$24,$C$2,FALSE)*(Assumptions!$C$25))</f>
        <v>0.11840000000000001</v>
      </c>
    </row>
    <row r="19" spans="1:13" x14ac:dyDescent="0.2">
      <c r="A19" t="str">
        <f>raw!A19</f>
        <v>Pacific Gas &amp; Electric Co.</v>
      </c>
      <c r="B19" s="1"/>
      <c r="C19" s="15">
        <f>exposure!C$4+(VLOOKUP($A19,criteria!$A$4:$I$24,$C$2,FALSE)*(Assumptions!$C$25))</f>
        <v>0.12040000000000001</v>
      </c>
      <c r="D19" s="15">
        <f>exposure!D$4+(VLOOKUP($A19,criteria!$A$4:$I$24,$C$2,FALSE)*(Assumptions!$C$25))</f>
        <v>0.1202</v>
      </c>
      <c r="E19" s="15">
        <f>exposure!E$4+(VLOOKUP($A19,criteria!$A$4:$I$24,$C$2,FALSE)*(Assumptions!$C$25))</f>
        <v>0.11960000000000001</v>
      </c>
      <c r="F19" s="15">
        <f>exposure!F$4+(VLOOKUP($A19,criteria!$A$4:$I$24,$C$2,FALSE)*(Assumptions!$C$25))</f>
        <v>0.11940000000000001</v>
      </c>
      <c r="G19" s="15">
        <f>exposure!G$4+(VLOOKUP($A19,criteria!$A$4:$I$24,$C$2,FALSE)*(Assumptions!$C$25))</f>
        <v>0.11940000000000001</v>
      </c>
      <c r="H19" s="15">
        <f>exposure!H$4+(VLOOKUP($A19,criteria!$A$4:$I$24,$C$2,FALSE)*(Assumptions!$C$25))</f>
        <v>0.11910000000000001</v>
      </c>
      <c r="I19" s="15">
        <f>exposure!I$4+(VLOOKUP($A19,criteria!$A$4:$I$24,$C$2,FALSE)*(Assumptions!$C$25))</f>
        <v>0.11890000000000001</v>
      </c>
      <c r="J19" s="15">
        <f>exposure!J$4+(VLOOKUP($A19,criteria!$A$4:$I$24,$C$2,FALSE)*(Assumptions!$C$25))</f>
        <v>0.1187</v>
      </c>
      <c r="K19" s="15">
        <f>exposure!K$4+(VLOOKUP($A19,criteria!$A$4:$I$24,$C$2,FALSE)*(Assumptions!$C$25))</f>
        <v>0.11860000000000001</v>
      </c>
      <c r="L19" s="15">
        <f>exposure!L$4+(VLOOKUP($A19,criteria!$A$4:$I$24,$C$2,FALSE)*(Assumptions!$C$25))</f>
        <v>0.11849999999999999</v>
      </c>
      <c r="M19" s="15">
        <f>exposure!M$4+(VLOOKUP($A19,criteria!$A$4:$I$24,$C$2,FALSE)*(Assumptions!$C$25))</f>
        <v>0.11840000000000001</v>
      </c>
    </row>
    <row r="20" spans="1:13" x14ac:dyDescent="0.2">
      <c r="A20" t="str">
        <f>raw!A20</f>
        <v>Public Service Electric &amp; Gas Co.</v>
      </c>
      <c r="B20" s="1"/>
      <c r="C20" s="15">
        <f>exposure!C$4+(VLOOKUP($A20,criteria!$A$4:$I$24,$C$2,FALSE)*(Assumptions!$C$25))</f>
        <v>0.12040000000000001</v>
      </c>
      <c r="D20" s="15">
        <f>exposure!D$4+(VLOOKUP($A20,criteria!$A$4:$I$24,$C$2,FALSE)*(Assumptions!$C$25))</f>
        <v>0.1202</v>
      </c>
      <c r="E20" s="15">
        <f>exposure!E$4+(VLOOKUP($A20,criteria!$A$4:$I$24,$C$2,FALSE)*(Assumptions!$C$25))</f>
        <v>0.11960000000000001</v>
      </c>
      <c r="F20" s="15">
        <f>exposure!F$4+(VLOOKUP($A20,criteria!$A$4:$I$24,$C$2,FALSE)*(Assumptions!$C$25))</f>
        <v>0.11940000000000001</v>
      </c>
      <c r="G20" s="15">
        <f>exposure!G$4+(VLOOKUP($A20,criteria!$A$4:$I$24,$C$2,FALSE)*(Assumptions!$C$25))</f>
        <v>0.11940000000000001</v>
      </c>
      <c r="H20" s="15">
        <f>exposure!H$4+(VLOOKUP($A20,criteria!$A$4:$I$24,$C$2,FALSE)*(Assumptions!$C$25))</f>
        <v>0.11910000000000001</v>
      </c>
      <c r="I20" s="15">
        <f>exposure!I$4+(VLOOKUP($A20,criteria!$A$4:$I$24,$C$2,FALSE)*(Assumptions!$C$25))</f>
        <v>0.11890000000000001</v>
      </c>
      <c r="J20" s="15">
        <f>exposure!J$4+(VLOOKUP($A20,criteria!$A$4:$I$24,$C$2,FALSE)*(Assumptions!$C$25))</f>
        <v>0.1187</v>
      </c>
      <c r="K20" s="15">
        <f>exposure!K$4+(VLOOKUP($A20,criteria!$A$4:$I$24,$C$2,FALSE)*(Assumptions!$C$25))</f>
        <v>0.11860000000000001</v>
      </c>
      <c r="L20" s="15">
        <f>exposure!L$4+(VLOOKUP($A20,criteria!$A$4:$I$24,$C$2,FALSE)*(Assumptions!$C$25))</f>
        <v>0.11849999999999999</v>
      </c>
      <c r="M20" s="15">
        <f>exposure!M$4+(VLOOKUP($A20,criteria!$A$4:$I$24,$C$2,FALSE)*(Assumptions!$C$25))</f>
        <v>0.11840000000000001</v>
      </c>
    </row>
    <row r="21" spans="1:13" x14ac:dyDescent="0.2">
      <c r="A21" t="str">
        <f>raw!A21</f>
        <v>San Diego Gas &amp; Electric Co.</v>
      </c>
      <c r="B21" s="1"/>
      <c r="C21" s="15">
        <f>exposure!C$4+(VLOOKUP($A21,criteria!$A$4:$I$24,$C$2,FALSE)*(Assumptions!$C$25))</f>
        <v>0.12040000000000001</v>
      </c>
      <c r="D21" s="15">
        <f>exposure!D$4+(VLOOKUP($A21,criteria!$A$4:$I$24,$C$2,FALSE)*(Assumptions!$C$25))</f>
        <v>0.1202</v>
      </c>
      <c r="E21" s="15">
        <f>exposure!E$4+(VLOOKUP($A21,criteria!$A$4:$I$24,$C$2,FALSE)*(Assumptions!$C$25))</f>
        <v>0.11960000000000001</v>
      </c>
      <c r="F21" s="15">
        <f>exposure!F$4+(VLOOKUP($A21,criteria!$A$4:$I$24,$C$2,FALSE)*(Assumptions!$C$25))</f>
        <v>0.11940000000000001</v>
      </c>
      <c r="G21" s="15">
        <f>exposure!G$4+(VLOOKUP($A21,criteria!$A$4:$I$24,$C$2,FALSE)*(Assumptions!$C$25))</f>
        <v>0.11940000000000001</v>
      </c>
      <c r="H21" s="15">
        <f>exposure!H$4+(VLOOKUP($A21,criteria!$A$4:$I$24,$C$2,FALSE)*(Assumptions!$C$25))</f>
        <v>0.11910000000000001</v>
      </c>
      <c r="I21" s="15">
        <f>exposure!I$4+(VLOOKUP($A21,criteria!$A$4:$I$24,$C$2,FALSE)*(Assumptions!$C$25))</f>
        <v>0.11890000000000001</v>
      </c>
      <c r="J21" s="15">
        <f>exposure!J$4+(VLOOKUP($A21,criteria!$A$4:$I$24,$C$2,FALSE)*(Assumptions!$C$25))</f>
        <v>0.1187</v>
      </c>
      <c r="K21" s="15">
        <f>exposure!K$4+(VLOOKUP($A21,criteria!$A$4:$I$24,$C$2,FALSE)*(Assumptions!$C$25))</f>
        <v>0.11860000000000001</v>
      </c>
      <c r="L21" s="15">
        <f>exposure!L$4+(VLOOKUP($A21,criteria!$A$4:$I$24,$C$2,FALSE)*(Assumptions!$C$25))</f>
        <v>0.11849999999999999</v>
      </c>
      <c r="M21" s="15">
        <f>exposure!M$4+(VLOOKUP($A21,criteria!$A$4:$I$24,$C$2,FALSE)*(Assumptions!$C$25))</f>
        <v>0.11840000000000001</v>
      </c>
    </row>
    <row r="22" spans="1:13" x14ac:dyDescent="0.2">
      <c r="A22" t="str">
        <f>raw!A22</f>
        <v>Southern California Edison Co.</v>
      </c>
      <c r="B22" s="1"/>
      <c r="C22" s="15">
        <f>exposure!C$4+(VLOOKUP($A22,criteria!$A$4:$I$24,$C$2,FALSE)*(Assumptions!$C$25))</f>
        <v>0.12040000000000001</v>
      </c>
      <c r="D22" s="15">
        <f>exposure!D$4+(VLOOKUP($A22,criteria!$A$4:$I$24,$C$2,FALSE)*(Assumptions!$C$25))</f>
        <v>0.1202</v>
      </c>
      <c r="E22" s="15">
        <f>exposure!E$4+(VLOOKUP($A22,criteria!$A$4:$I$24,$C$2,FALSE)*(Assumptions!$C$25))</f>
        <v>0.11960000000000001</v>
      </c>
      <c r="F22" s="15">
        <f>exposure!F$4+(VLOOKUP($A22,criteria!$A$4:$I$24,$C$2,FALSE)*(Assumptions!$C$25))</f>
        <v>0.11940000000000001</v>
      </c>
      <c r="G22" s="15">
        <f>exposure!G$4+(VLOOKUP($A22,criteria!$A$4:$I$24,$C$2,FALSE)*(Assumptions!$C$25))</f>
        <v>0.11940000000000001</v>
      </c>
      <c r="H22" s="15">
        <f>exposure!H$4+(VLOOKUP($A22,criteria!$A$4:$I$24,$C$2,FALSE)*(Assumptions!$C$25))</f>
        <v>0.11910000000000001</v>
      </c>
      <c r="I22" s="15">
        <f>exposure!I$4+(VLOOKUP($A22,criteria!$A$4:$I$24,$C$2,FALSE)*(Assumptions!$C$25))</f>
        <v>0.11890000000000001</v>
      </c>
      <c r="J22" s="15">
        <f>exposure!J$4+(VLOOKUP($A22,criteria!$A$4:$I$24,$C$2,FALSE)*(Assumptions!$C$25))</f>
        <v>0.1187</v>
      </c>
      <c r="K22" s="15">
        <f>exposure!K$4+(VLOOKUP($A22,criteria!$A$4:$I$24,$C$2,FALSE)*(Assumptions!$C$25))</f>
        <v>0.11860000000000001</v>
      </c>
      <c r="L22" s="15">
        <f>exposure!L$4+(VLOOKUP($A22,criteria!$A$4:$I$24,$C$2,FALSE)*(Assumptions!$C$25))</f>
        <v>0.11849999999999999</v>
      </c>
      <c r="M22" s="15">
        <f>exposure!M$4+(VLOOKUP($A22,criteria!$A$4:$I$24,$C$2,FALSE)*(Assumptions!$C$25))</f>
        <v>0.11840000000000001</v>
      </c>
    </row>
    <row r="23" spans="1:13" x14ac:dyDescent="0.2">
      <c r="A23" t="str">
        <f>raw!A23</f>
        <v>Southwestern Public Service Co.</v>
      </c>
      <c r="B23" s="1"/>
      <c r="C23" s="15">
        <f>exposure!C$4+(VLOOKUP($A23,criteria!$A$4:$I$24,$C$2,FALSE)*(Assumptions!$C$25))</f>
        <v>0.12040000000000001</v>
      </c>
      <c r="D23" s="15">
        <f>exposure!D$4+(VLOOKUP($A23,criteria!$A$4:$I$24,$C$2,FALSE)*(Assumptions!$C$25))</f>
        <v>0.1202</v>
      </c>
      <c r="E23" s="15">
        <f>exposure!E$4+(VLOOKUP($A23,criteria!$A$4:$I$24,$C$2,FALSE)*(Assumptions!$C$25))</f>
        <v>0.11960000000000001</v>
      </c>
      <c r="F23" s="15">
        <f>exposure!F$4+(VLOOKUP($A23,criteria!$A$4:$I$24,$C$2,FALSE)*(Assumptions!$C$25))</f>
        <v>0.11940000000000001</v>
      </c>
      <c r="G23" s="15">
        <f>exposure!G$4+(VLOOKUP($A23,criteria!$A$4:$I$24,$C$2,FALSE)*(Assumptions!$C$25))</f>
        <v>0.11940000000000001</v>
      </c>
      <c r="H23" s="15">
        <f>exposure!H$4+(VLOOKUP($A23,criteria!$A$4:$I$24,$C$2,FALSE)*(Assumptions!$C$25))</f>
        <v>0.11910000000000001</v>
      </c>
      <c r="I23" s="15">
        <f>exposure!I$4+(VLOOKUP($A23,criteria!$A$4:$I$24,$C$2,FALSE)*(Assumptions!$C$25))</f>
        <v>0.11890000000000001</v>
      </c>
      <c r="J23" s="15">
        <f>exposure!J$4+(VLOOKUP($A23,criteria!$A$4:$I$24,$C$2,FALSE)*(Assumptions!$C$25))</f>
        <v>0.1187</v>
      </c>
      <c r="K23" s="15">
        <f>exposure!K$4+(VLOOKUP($A23,criteria!$A$4:$I$24,$C$2,FALSE)*(Assumptions!$C$25))</f>
        <v>0.11860000000000001</v>
      </c>
      <c r="L23" s="15">
        <f>exposure!L$4+(VLOOKUP($A23,criteria!$A$4:$I$24,$C$2,FALSE)*(Assumptions!$C$25))</f>
        <v>0.11849999999999999</v>
      </c>
      <c r="M23" s="15">
        <f>exposure!M$4+(VLOOKUP($A23,criteria!$A$4:$I$24,$C$2,FALSE)*(Assumptions!$C$25))</f>
        <v>0.11840000000000001</v>
      </c>
    </row>
    <row r="24" spans="1:13" x14ac:dyDescent="0.2">
      <c r="A24" t="str">
        <f>raw!A24</f>
        <v>TXU Electric Co.</v>
      </c>
      <c r="B24" s="1"/>
      <c r="C24" s="15">
        <f>exposure!C$4+(VLOOKUP($A24,criteria!$A$4:$I$24,$C$2,FALSE)*(Assumptions!$C$25))</f>
        <v>0.12040000000000001</v>
      </c>
      <c r="D24" s="15">
        <f>exposure!D$4+(VLOOKUP($A24,criteria!$A$4:$I$24,$C$2,FALSE)*(Assumptions!$C$25))</f>
        <v>0.1202</v>
      </c>
      <c r="E24" s="15">
        <f>exposure!E$4+(VLOOKUP($A24,criteria!$A$4:$I$24,$C$2,FALSE)*(Assumptions!$C$25))</f>
        <v>0.11960000000000001</v>
      </c>
      <c r="F24" s="15">
        <f>exposure!F$4+(VLOOKUP($A24,criteria!$A$4:$I$24,$C$2,FALSE)*(Assumptions!$C$25))</f>
        <v>0.11940000000000001</v>
      </c>
      <c r="G24" s="15">
        <f>exposure!G$4+(VLOOKUP($A24,criteria!$A$4:$I$24,$C$2,FALSE)*(Assumptions!$C$25))</f>
        <v>0.11940000000000001</v>
      </c>
      <c r="H24" s="15">
        <f>exposure!H$4+(VLOOKUP($A24,criteria!$A$4:$I$24,$C$2,FALSE)*(Assumptions!$C$25))</f>
        <v>0.11910000000000001</v>
      </c>
      <c r="I24" s="15">
        <f>exposure!I$4+(VLOOKUP($A24,criteria!$A$4:$I$24,$C$2,FALSE)*(Assumptions!$C$25))</f>
        <v>0.11890000000000001</v>
      </c>
      <c r="J24" s="15">
        <f>exposure!J$4+(VLOOKUP($A24,criteria!$A$4:$I$24,$C$2,FALSE)*(Assumptions!$C$25))</f>
        <v>0.1187</v>
      </c>
      <c r="K24" s="15">
        <f>exposure!K$4+(VLOOKUP($A24,criteria!$A$4:$I$24,$C$2,FALSE)*(Assumptions!$C$25))</f>
        <v>0.11860000000000001</v>
      </c>
      <c r="L24" s="15">
        <f>exposure!L$4+(VLOOKUP($A24,criteria!$A$4:$I$24,$C$2,FALSE)*(Assumptions!$C$25))</f>
        <v>0.11849999999999999</v>
      </c>
      <c r="M24" s="15">
        <f>exposure!M$4+(VLOOKUP($A24,criteria!$A$4:$I$24,$C$2,FALSE)*(Assumptions!$C$25))</f>
        <v>0.11840000000000001</v>
      </c>
    </row>
  </sheetData>
  <pageMargins left="0.75" right="0.75" top="1" bottom="1" header="0.5" footer="0.5"/>
  <pageSetup scale="84" orientation="landscape" verticalDpi="0" r:id="rId1"/>
  <headerFooter alignWithMargins="0">
    <oddFooter>Page &amp;P&amp;R&amp;A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3"/>
  <sheetViews>
    <sheetView tabSelected="1" zoomScale="75" workbookViewId="0"/>
  </sheetViews>
  <sheetFormatPr defaultRowHeight="12.75" x14ac:dyDescent="0.2"/>
  <cols>
    <col min="1" max="1" width="16.42578125" customWidth="1"/>
    <col min="2" max="2" width="4.5703125" customWidth="1"/>
    <col min="3" max="3" width="18" customWidth="1"/>
    <col min="4" max="4" width="6.5703125" customWidth="1"/>
    <col min="5" max="5" width="15.42578125" customWidth="1"/>
    <col min="6" max="6" width="3.85546875" customWidth="1"/>
    <col min="7" max="7" width="16.28515625" customWidth="1"/>
    <col min="8" max="8" width="3.85546875" customWidth="1"/>
    <col min="9" max="9" width="10.5703125" customWidth="1"/>
    <col min="10" max="10" width="22" customWidth="1"/>
    <col min="11" max="11" width="17.42578125" customWidth="1"/>
    <col min="12" max="12" width="4.7109375" customWidth="1"/>
    <col min="13" max="13" width="13.85546875" bestFit="1" customWidth="1"/>
  </cols>
  <sheetData>
    <row r="1" spans="1:13" ht="18" x14ac:dyDescent="0.25">
      <c r="A1" s="64" t="s">
        <v>472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</row>
    <row r="2" spans="1:13" ht="18" x14ac:dyDescent="0.25">
      <c r="A2" s="64" t="s">
        <v>473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</row>
    <row r="4" spans="1:13" ht="25.5" x14ac:dyDescent="0.2">
      <c r="A4" s="41" t="s">
        <v>349</v>
      </c>
      <c r="C4" s="41" t="s">
        <v>353</v>
      </c>
      <c r="E4" s="3" t="s">
        <v>359</v>
      </c>
      <c r="J4" s="35" t="s">
        <v>367</v>
      </c>
      <c r="K4" s="41" t="s">
        <v>380</v>
      </c>
      <c r="M4" s="41" t="s">
        <v>376</v>
      </c>
    </row>
    <row r="5" spans="1:13" ht="25.5" x14ac:dyDescent="0.2">
      <c r="A5" s="53" t="s">
        <v>350</v>
      </c>
      <c r="B5" s="54"/>
      <c r="C5" s="53" t="s">
        <v>379</v>
      </c>
      <c r="D5" s="54"/>
      <c r="E5" s="54"/>
      <c r="F5" s="54"/>
      <c r="G5" s="54"/>
      <c r="H5" s="54"/>
      <c r="I5" s="54"/>
      <c r="J5" s="54"/>
      <c r="K5" s="55" t="s">
        <v>372</v>
      </c>
      <c r="L5" s="54"/>
      <c r="M5" s="54"/>
    </row>
    <row r="6" spans="1:13" x14ac:dyDescent="0.2">
      <c r="A6" s="40"/>
      <c r="C6" s="40"/>
    </row>
    <row r="7" spans="1:13" ht="13.5" thickBot="1" x14ac:dyDescent="0.25">
      <c r="E7" s="47"/>
      <c r="F7" s="47"/>
      <c r="G7" s="47"/>
    </row>
    <row r="8" spans="1:13" x14ac:dyDescent="0.2">
      <c r="E8" s="48" t="s">
        <v>364</v>
      </c>
      <c r="F8" s="47"/>
      <c r="G8" s="47"/>
    </row>
    <row r="9" spans="1:13" ht="13.5" thickBot="1" x14ac:dyDescent="0.25">
      <c r="E9" s="45" t="s">
        <v>553</v>
      </c>
      <c r="F9" s="47"/>
      <c r="G9" s="47"/>
    </row>
    <row r="10" spans="1:13" ht="25.5" x14ac:dyDescent="0.2">
      <c r="A10" t="s">
        <v>458</v>
      </c>
      <c r="C10" s="42" t="s">
        <v>357</v>
      </c>
      <c r="E10" s="49" t="s">
        <v>362</v>
      </c>
      <c r="F10" s="47"/>
      <c r="G10" s="47"/>
    </row>
    <row r="11" spans="1:13" ht="26.25" thickBot="1" x14ac:dyDescent="0.25">
      <c r="C11" s="43" t="s">
        <v>354</v>
      </c>
      <c r="E11" s="49" t="s">
        <v>361</v>
      </c>
      <c r="F11" s="47"/>
      <c r="G11" s="47"/>
    </row>
    <row r="12" spans="1:13" ht="26.25" thickBot="1" x14ac:dyDescent="0.25">
      <c r="E12" s="49" t="s">
        <v>363</v>
      </c>
      <c r="F12" s="47"/>
      <c r="G12" s="47"/>
    </row>
    <row r="13" spans="1:13" ht="26.25" thickBot="1" x14ac:dyDescent="0.25">
      <c r="A13" s="84" t="s">
        <v>351</v>
      </c>
      <c r="C13" s="46" t="s">
        <v>475</v>
      </c>
      <c r="E13" s="50" t="s">
        <v>351</v>
      </c>
      <c r="F13" s="47"/>
      <c r="G13" s="47"/>
    </row>
    <row r="14" spans="1:13" x14ac:dyDescent="0.2">
      <c r="F14" s="47"/>
      <c r="G14" s="47"/>
    </row>
    <row r="15" spans="1:13" ht="13.5" thickBot="1" x14ac:dyDescent="0.25">
      <c r="E15" s="47"/>
      <c r="F15" s="47"/>
      <c r="G15" s="47"/>
    </row>
    <row r="16" spans="1:13" ht="26.25" thickBot="1" x14ac:dyDescent="0.25">
      <c r="C16" s="42" t="s">
        <v>355</v>
      </c>
      <c r="G16" s="46" t="s">
        <v>365</v>
      </c>
    </row>
    <row r="17" spans="1:13" x14ac:dyDescent="0.2">
      <c r="A17" t="s">
        <v>459</v>
      </c>
      <c r="C17" s="45" t="s">
        <v>474</v>
      </c>
    </row>
    <row r="18" spans="1:13" ht="13.5" thickBot="1" x14ac:dyDescent="0.25">
      <c r="C18" s="45" t="s">
        <v>476</v>
      </c>
    </row>
    <row r="19" spans="1:13" ht="26.25" thickBot="1" x14ac:dyDescent="0.25">
      <c r="C19" s="45" t="s">
        <v>477</v>
      </c>
      <c r="J19" s="48" t="s">
        <v>369</v>
      </c>
      <c r="K19" s="48" t="s">
        <v>375</v>
      </c>
      <c r="M19" s="67" t="s">
        <v>377</v>
      </c>
    </row>
    <row r="20" spans="1:13" ht="39" thickBot="1" x14ac:dyDescent="0.25">
      <c r="A20" t="s">
        <v>460</v>
      </c>
      <c r="C20" s="49" t="s">
        <v>454</v>
      </c>
      <c r="I20" s="51" t="s">
        <v>368</v>
      </c>
      <c r="J20" s="52" t="s">
        <v>370</v>
      </c>
      <c r="K20" s="49" t="s">
        <v>374</v>
      </c>
      <c r="M20" s="68" t="s">
        <v>378</v>
      </c>
    </row>
    <row r="21" spans="1:13" ht="39" thickBot="1" x14ac:dyDescent="0.25">
      <c r="C21" s="43" t="s">
        <v>356</v>
      </c>
      <c r="J21" s="50" t="s">
        <v>371</v>
      </c>
      <c r="K21" s="50" t="s">
        <v>373</v>
      </c>
      <c r="M21" s="43" t="s">
        <v>468</v>
      </c>
    </row>
    <row r="23" spans="1:13" ht="13.5" thickBot="1" x14ac:dyDescent="0.25"/>
    <row r="24" spans="1:13" ht="26.25" thickBot="1" x14ac:dyDescent="0.25">
      <c r="A24" t="s">
        <v>461</v>
      </c>
      <c r="C24" s="46" t="s">
        <v>357</v>
      </c>
    </row>
    <row r="25" spans="1:13" x14ac:dyDescent="0.2">
      <c r="C25" s="66"/>
    </row>
    <row r="26" spans="1:13" ht="13.5" thickBot="1" x14ac:dyDescent="0.25">
      <c r="C26" s="66"/>
    </row>
    <row r="27" spans="1:13" ht="25.5" x14ac:dyDescent="0.2">
      <c r="A27" s="74" t="s">
        <v>495</v>
      </c>
      <c r="C27" s="42" t="s">
        <v>493</v>
      </c>
    </row>
    <row r="28" spans="1:13" ht="25.5" x14ac:dyDescent="0.2">
      <c r="A28" t="s">
        <v>496</v>
      </c>
      <c r="C28" s="49" t="s">
        <v>497</v>
      </c>
    </row>
    <row r="29" spans="1:13" ht="13.5" thickBot="1" x14ac:dyDescent="0.25">
      <c r="C29" s="43" t="s">
        <v>494</v>
      </c>
    </row>
    <row r="30" spans="1:13" ht="13.5" thickBot="1" x14ac:dyDescent="0.25">
      <c r="C30" s="66"/>
    </row>
    <row r="31" spans="1:13" ht="13.5" thickBot="1" x14ac:dyDescent="0.25">
      <c r="G31" s="44" t="s">
        <v>366</v>
      </c>
    </row>
    <row r="32" spans="1:13" ht="13.5" thickBot="1" x14ac:dyDescent="0.25"/>
    <row r="33" spans="1:3" ht="13.5" thickBot="1" x14ac:dyDescent="0.25">
      <c r="A33" t="s">
        <v>352</v>
      </c>
      <c r="C33" s="44" t="s">
        <v>358</v>
      </c>
    </row>
  </sheetData>
  <pageMargins left="0.56999999999999995" right="0.59" top="0.62" bottom="1" header="0.5" footer="0.5"/>
  <pageSetup scale="81" orientation="landscape" verticalDpi="0" r:id="rId1"/>
  <headerFooter alignWithMargins="0">
    <oddFooter>Page &amp;P&amp;R&amp;A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workbookViewId="0">
      <selection activeCell="E25" sqref="E25"/>
    </sheetView>
  </sheetViews>
  <sheetFormatPr defaultRowHeight="12.75" x14ac:dyDescent="0.2"/>
  <cols>
    <col min="1" max="1" width="36.140625" bestFit="1" customWidth="1"/>
    <col min="2" max="2" width="7.140625" customWidth="1"/>
  </cols>
  <sheetData>
    <row r="1" spans="1:13" x14ac:dyDescent="0.2">
      <c r="A1" t="s">
        <v>520</v>
      </c>
    </row>
    <row r="2" spans="1:13" x14ac:dyDescent="0.2">
      <c r="B2">
        <v>46</v>
      </c>
    </row>
    <row r="3" spans="1:13" x14ac:dyDescent="0.2">
      <c r="A3" s="8" t="s">
        <v>177</v>
      </c>
      <c r="B3" s="8">
        <v>1998</v>
      </c>
      <c r="C3" s="8">
        <v>2000</v>
      </c>
      <c r="D3" s="8">
        <v>2001</v>
      </c>
      <c r="E3" s="8">
        <v>2002</v>
      </c>
      <c r="F3" s="8">
        <v>2003</v>
      </c>
      <c r="G3" s="8">
        <v>2004</v>
      </c>
      <c r="H3" s="8">
        <v>2005</v>
      </c>
      <c r="I3" s="8">
        <v>2006</v>
      </c>
      <c r="J3" s="8">
        <v>2007</v>
      </c>
      <c r="K3" s="8">
        <v>2008</v>
      </c>
      <c r="L3" s="8">
        <v>2009</v>
      </c>
      <c r="M3" s="8">
        <v>2010</v>
      </c>
    </row>
    <row r="4" spans="1:13" x14ac:dyDescent="0.2">
      <c r="A4" t="str">
        <f>raw!A4</f>
        <v>Boston Edison Co.</v>
      </c>
      <c r="B4" s="58">
        <f>(raw!AT4/(raw!AT4+1))</f>
        <v>0.50495049504950495</v>
      </c>
      <c r="C4" s="18">
        <f>B4</f>
        <v>0.50495049504950495</v>
      </c>
      <c r="D4" s="18">
        <f>(1+exposure!D$9)*leverage!C4</f>
        <v>0.50495049504950495</v>
      </c>
      <c r="E4" s="18">
        <f>(1+exposure!E$9)*leverage!D4</f>
        <v>0.50495049504950495</v>
      </c>
      <c r="F4" s="18">
        <f>(1+exposure!F$9)*leverage!E4</f>
        <v>0.50495049504950495</v>
      </c>
      <c r="G4" s="18">
        <f>(1+exposure!G$9)*leverage!F4</f>
        <v>0.50495049504950495</v>
      </c>
      <c r="H4" s="18">
        <f>(1+exposure!H$9)*leverage!G4</f>
        <v>0.50495049504950495</v>
      </c>
      <c r="I4" s="18">
        <f>(1+exposure!I$9)*leverage!H4</f>
        <v>0.50495049504950495</v>
      </c>
      <c r="J4" s="18">
        <f>(1+exposure!J$9)*leverage!I4</f>
        <v>0.50495049504950495</v>
      </c>
      <c r="K4" s="18">
        <f>(1+exposure!K$9)*leverage!J4</f>
        <v>0.50495049504950495</v>
      </c>
      <c r="L4" s="18">
        <f>(1+exposure!L$9)*leverage!K4</f>
        <v>0.50495049504950495</v>
      </c>
      <c r="M4" s="18">
        <f>(1+exposure!M$9)*leverage!L4</f>
        <v>0.50495049504950495</v>
      </c>
    </row>
    <row r="5" spans="1:13" x14ac:dyDescent="0.2">
      <c r="A5" t="str">
        <f>raw!A5</f>
        <v>Carolina Power &amp; Light Co.</v>
      </c>
      <c r="B5" s="58">
        <f>(raw!AT5/(raw!AT5+1))</f>
        <v>0.47089947089947087</v>
      </c>
      <c r="C5" s="18">
        <f t="shared" ref="C5:C24" si="0">B5</f>
        <v>0.47089947089947087</v>
      </c>
      <c r="D5" s="18">
        <f>(1+exposure!D$9)*leverage!C5</f>
        <v>0.47089947089947087</v>
      </c>
      <c r="E5" s="18">
        <f>(1+exposure!E$9)*leverage!D5</f>
        <v>0.47089947089947087</v>
      </c>
      <c r="F5" s="18">
        <f>(1+exposure!F$9)*leverage!E5</f>
        <v>0.47089947089947087</v>
      </c>
      <c r="G5" s="18">
        <f>(1+exposure!G$9)*leverage!F5</f>
        <v>0.47089947089947087</v>
      </c>
      <c r="H5" s="18">
        <f>(1+exposure!H$9)*leverage!G5</f>
        <v>0.47089947089947087</v>
      </c>
      <c r="I5" s="18">
        <f>(1+exposure!I$9)*leverage!H5</f>
        <v>0.47089947089947087</v>
      </c>
      <c r="J5" s="18">
        <f>(1+exposure!J$9)*leverage!I5</f>
        <v>0.47089947089947087</v>
      </c>
      <c r="K5" s="18">
        <f>(1+exposure!K$9)*leverage!J5</f>
        <v>0.47089947089947087</v>
      </c>
      <c r="L5" s="18">
        <f>(1+exposure!L$9)*leverage!K5</f>
        <v>0.47089947089947087</v>
      </c>
      <c r="M5" s="18">
        <f>(1+exposure!M$9)*leverage!L5</f>
        <v>0.47089947089947087</v>
      </c>
    </row>
    <row r="6" spans="1:13" x14ac:dyDescent="0.2">
      <c r="A6" t="str">
        <f>raw!A6</f>
        <v>Central Hudson Gas &amp; Electric Corp.</v>
      </c>
      <c r="B6" s="58">
        <f>(raw!AT6/(raw!AT6+1))</f>
        <v>0.44444444444444448</v>
      </c>
      <c r="C6" s="18">
        <f t="shared" si="0"/>
        <v>0.44444444444444448</v>
      </c>
      <c r="D6" s="18">
        <f>(1+exposure!D$9)*leverage!C6</f>
        <v>0.44444444444444448</v>
      </c>
      <c r="E6" s="18">
        <f>(1+exposure!E$9)*leverage!D6</f>
        <v>0.44444444444444448</v>
      </c>
      <c r="F6" s="18">
        <f>(1+exposure!F$9)*leverage!E6</f>
        <v>0.44444444444444448</v>
      </c>
      <c r="G6" s="18">
        <f>(1+exposure!G$9)*leverage!F6</f>
        <v>0.44444444444444448</v>
      </c>
      <c r="H6" s="18">
        <f>(1+exposure!H$9)*leverage!G6</f>
        <v>0.44444444444444448</v>
      </c>
      <c r="I6" s="18">
        <f>(1+exposure!I$9)*leverage!H6</f>
        <v>0.44444444444444448</v>
      </c>
      <c r="J6" s="18">
        <f>(1+exposure!J$9)*leverage!I6</f>
        <v>0.44444444444444448</v>
      </c>
      <c r="K6" s="18">
        <f>(1+exposure!K$9)*leverage!J6</f>
        <v>0.44444444444444448</v>
      </c>
      <c r="L6" s="18">
        <f>(1+exposure!L$9)*leverage!K6</f>
        <v>0.44444444444444448</v>
      </c>
      <c r="M6" s="18">
        <f>(1+exposure!M$9)*leverage!L6</f>
        <v>0.44444444444444448</v>
      </c>
    </row>
    <row r="7" spans="1:13" x14ac:dyDescent="0.2">
      <c r="A7" t="str">
        <f>raw!A7</f>
        <v>Commonwealth Edison Co.</v>
      </c>
      <c r="B7" s="58">
        <f>(raw!AT7/(raw!AT7+1))</f>
        <v>0.55357142857142849</v>
      </c>
      <c r="C7" s="18">
        <f t="shared" si="0"/>
        <v>0.55357142857142849</v>
      </c>
      <c r="D7" s="18">
        <f>(1+exposure!D$9)*leverage!C7</f>
        <v>0.55357142857142849</v>
      </c>
      <c r="E7" s="18">
        <f>(1+exposure!E$9)*leverage!D7</f>
        <v>0.55357142857142849</v>
      </c>
      <c r="F7" s="18">
        <f>(1+exposure!F$9)*leverage!E7</f>
        <v>0.55357142857142849</v>
      </c>
      <c r="G7" s="18">
        <f>(1+exposure!G$9)*leverage!F7</f>
        <v>0.55357142857142849</v>
      </c>
      <c r="H7" s="18">
        <f>(1+exposure!H$9)*leverage!G7</f>
        <v>0.55357142857142849</v>
      </c>
      <c r="I7" s="18">
        <f>(1+exposure!I$9)*leverage!H7</f>
        <v>0.55357142857142849</v>
      </c>
      <c r="J7" s="18">
        <f>(1+exposure!J$9)*leverage!I7</f>
        <v>0.55357142857142849</v>
      </c>
      <c r="K7" s="18">
        <f>(1+exposure!K$9)*leverage!J7</f>
        <v>0.55357142857142849</v>
      </c>
      <c r="L7" s="18">
        <f>(1+exposure!L$9)*leverage!K7</f>
        <v>0.55357142857142849</v>
      </c>
      <c r="M7" s="18">
        <f>(1+exposure!M$9)*leverage!L7</f>
        <v>0.55357142857142849</v>
      </c>
    </row>
    <row r="8" spans="1:13" x14ac:dyDescent="0.2">
      <c r="A8" t="str">
        <f>raw!A8</f>
        <v>Consolidated Edison Co. of New York, Inc.</v>
      </c>
      <c r="B8" s="58">
        <f>(raw!AT8/(raw!AT8+1))</f>
        <v>0.40828402366863903</v>
      </c>
      <c r="C8" s="18">
        <f t="shared" si="0"/>
        <v>0.40828402366863903</v>
      </c>
      <c r="D8" s="18">
        <f>(1+exposure!D$9)*leverage!C8</f>
        <v>0.40828402366863903</v>
      </c>
      <c r="E8" s="18">
        <f>(1+exposure!E$9)*leverage!D8</f>
        <v>0.40828402366863903</v>
      </c>
      <c r="F8" s="18">
        <f>(1+exposure!F$9)*leverage!E8</f>
        <v>0.40828402366863903</v>
      </c>
      <c r="G8" s="18">
        <f>(1+exposure!G$9)*leverage!F8</f>
        <v>0.40828402366863903</v>
      </c>
      <c r="H8" s="18">
        <f>(1+exposure!H$9)*leverage!G8</f>
        <v>0.40828402366863903</v>
      </c>
      <c r="I8" s="18">
        <f>(1+exposure!I$9)*leverage!H8</f>
        <v>0.40828402366863903</v>
      </c>
      <c r="J8" s="18">
        <f>(1+exposure!J$9)*leverage!I8</f>
        <v>0.40828402366863903</v>
      </c>
      <c r="K8" s="18">
        <f>(1+exposure!K$9)*leverage!J8</f>
        <v>0.40828402366863903</v>
      </c>
      <c r="L8" s="18">
        <f>(1+exposure!L$9)*leverage!K8</f>
        <v>0.40828402366863903</v>
      </c>
      <c r="M8" s="18">
        <f>(1+exposure!M$9)*leverage!L8</f>
        <v>0.40828402366863903</v>
      </c>
    </row>
    <row r="9" spans="1:13" x14ac:dyDescent="0.2">
      <c r="A9" t="str">
        <f>raw!A9</f>
        <v>Consumers Energy Co.</v>
      </c>
      <c r="B9" s="58">
        <f>(raw!AT9/(raw!AT9+1))</f>
        <v>0.54545454545454541</v>
      </c>
      <c r="C9" s="18">
        <f t="shared" si="0"/>
        <v>0.54545454545454541</v>
      </c>
      <c r="D9" s="18">
        <f>(1+exposure!D$9)*leverage!C9</f>
        <v>0.54545454545454541</v>
      </c>
      <c r="E9" s="18">
        <f>(1+exposure!E$9)*leverage!D9</f>
        <v>0.54545454545454541</v>
      </c>
      <c r="F9" s="18">
        <f>(1+exposure!F$9)*leverage!E9</f>
        <v>0.54545454545454541</v>
      </c>
      <c r="G9" s="18">
        <f>(1+exposure!G$9)*leverage!F9</f>
        <v>0.54545454545454541</v>
      </c>
      <c r="H9" s="18">
        <f>(1+exposure!H$9)*leverage!G9</f>
        <v>0.54545454545454541</v>
      </c>
      <c r="I9" s="18">
        <f>(1+exposure!I$9)*leverage!H9</f>
        <v>0.54545454545454541</v>
      </c>
      <c r="J9" s="18">
        <f>(1+exposure!J$9)*leverage!I9</f>
        <v>0.54545454545454541</v>
      </c>
      <c r="K9" s="18">
        <f>(1+exposure!K$9)*leverage!J9</f>
        <v>0.54545454545454541</v>
      </c>
      <c r="L9" s="18">
        <f>(1+exposure!L$9)*leverage!K9</f>
        <v>0.54545454545454541</v>
      </c>
      <c r="M9" s="18">
        <f>(1+exposure!M$9)*leverage!L9</f>
        <v>0.54545454545454541</v>
      </c>
    </row>
    <row r="10" spans="1:13" x14ac:dyDescent="0.2">
      <c r="A10" t="str">
        <f>raw!A10</f>
        <v>Duke Energy Corp.</v>
      </c>
      <c r="B10" s="58">
        <f>(raw!AT10/(raw!AT10+1))</f>
        <v>0.37499999999999994</v>
      </c>
      <c r="C10" s="18">
        <f t="shared" si="0"/>
        <v>0.37499999999999994</v>
      </c>
      <c r="D10" s="18">
        <f>(1+exposure!D$9)*leverage!C10</f>
        <v>0.37499999999999994</v>
      </c>
      <c r="E10" s="18">
        <f>(1+exposure!E$9)*leverage!D10</f>
        <v>0.37499999999999994</v>
      </c>
      <c r="F10" s="18">
        <f>(1+exposure!F$9)*leverage!E10</f>
        <v>0.37499999999999994</v>
      </c>
      <c r="G10" s="18">
        <f>(1+exposure!G$9)*leverage!F10</f>
        <v>0.37499999999999994</v>
      </c>
      <c r="H10" s="18">
        <f>(1+exposure!H$9)*leverage!G10</f>
        <v>0.37499999999999994</v>
      </c>
      <c r="I10" s="18">
        <f>(1+exposure!I$9)*leverage!H10</f>
        <v>0.37499999999999994</v>
      </c>
      <c r="J10" s="18">
        <f>(1+exposure!J$9)*leverage!I10</f>
        <v>0.37499999999999994</v>
      </c>
      <c r="K10" s="18">
        <f>(1+exposure!K$9)*leverage!J10</f>
        <v>0.37499999999999994</v>
      </c>
      <c r="L10" s="18">
        <f>(1+exposure!L$9)*leverage!K10</f>
        <v>0.37499999999999994</v>
      </c>
      <c r="M10" s="18">
        <f>(1+exposure!M$9)*leverage!L10</f>
        <v>0.37499999999999994</v>
      </c>
    </row>
    <row r="11" spans="1:13" x14ac:dyDescent="0.2">
      <c r="A11" t="str">
        <f>raw!A11</f>
        <v>Entergy Mississippi, Inc.</v>
      </c>
      <c r="B11" s="58">
        <f>(raw!AT11/(raw!AT11+1))</f>
        <v>0.5145631067961165</v>
      </c>
      <c r="C11" s="18">
        <f t="shared" si="0"/>
        <v>0.5145631067961165</v>
      </c>
      <c r="D11" s="18">
        <f>(1+exposure!D$9)*leverage!C11</f>
        <v>0.5145631067961165</v>
      </c>
      <c r="E11" s="18">
        <f>(1+exposure!E$9)*leverage!D11</f>
        <v>0.5145631067961165</v>
      </c>
      <c r="F11" s="18">
        <f>(1+exposure!F$9)*leverage!E11</f>
        <v>0.5145631067961165</v>
      </c>
      <c r="G11" s="18">
        <f>(1+exposure!G$9)*leverage!F11</f>
        <v>0.5145631067961165</v>
      </c>
      <c r="H11" s="18">
        <f>(1+exposure!H$9)*leverage!G11</f>
        <v>0.5145631067961165</v>
      </c>
      <c r="I11" s="18">
        <f>(1+exposure!I$9)*leverage!H11</f>
        <v>0.5145631067961165</v>
      </c>
      <c r="J11" s="18">
        <f>(1+exposure!J$9)*leverage!I11</f>
        <v>0.5145631067961165</v>
      </c>
      <c r="K11" s="18">
        <f>(1+exposure!K$9)*leverage!J11</f>
        <v>0.5145631067961165</v>
      </c>
      <c r="L11" s="18">
        <f>(1+exposure!L$9)*leverage!K11</f>
        <v>0.5145631067961165</v>
      </c>
      <c r="M11" s="18">
        <f>(1+exposure!M$9)*leverage!L11</f>
        <v>0.5145631067961165</v>
      </c>
    </row>
    <row r="12" spans="1:13" x14ac:dyDescent="0.2">
      <c r="A12" t="str">
        <f>raw!A12</f>
        <v>Florida Power &amp; Light Co.</v>
      </c>
      <c r="B12" s="58">
        <f>(raw!AT12/(raw!AT12+1))</f>
        <v>0.40476190476190477</v>
      </c>
      <c r="C12" s="18">
        <f t="shared" si="0"/>
        <v>0.40476190476190477</v>
      </c>
      <c r="D12" s="18">
        <f>(1+exposure!D$9)*leverage!C12</f>
        <v>0.40476190476190477</v>
      </c>
      <c r="E12" s="18">
        <f>(1+exposure!E$9)*leverage!D12</f>
        <v>0.40476190476190477</v>
      </c>
      <c r="F12" s="18">
        <f>(1+exposure!F$9)*leverage!E12</f>
        <v>0.40476190476190477</v>
      </c>
      <c r="G12" s="18">
        <f>(1+exposure!G$9)*leverage!F12</f>
        <v>0.40476190476190477</v>
      </c>
      <c r="H12" s="18">
        <f>(1+exposure!H$9)*leverage!G12</f>
        <v>0.40476190476190477</v>
      </c>
      <c r="I12" s="18">
        <f>(1+exposure!I$9)*leverage!H12</f>
        <v>0.40476190476190477</v>
      </c>
      <c r="J12" s="18">
        <f>(1+exposure!J$9)*leverage!I12</f>
        <v>0.40476190476190477</v>
      </c>
      <c r="K12" s="18">
        <f>(1+exposure!K$9)*leverage!J12</f>
        <v>0.40476190476190477</v>
      </c>
      <c r="L12" s="18">
        <f>(1+exposure!L$9)*leverage!K12</f>
        <v>0.40476190476190477</v>
      </c>
      <c r="M12" s="18">
        <f>(1+exposure!M$9)*leverage!L12</f>
        <v>0.40476190476190477</v>
      </c>
    </row>
    <row r="13" spans="1:13" x14ac:dyDescent="0.2">
      <c r="A13" t="str">
        <f>raw!A13</f>
        <v>Gulf Power Co.</v>
      </c>
      <c r="B13" s="58">
        <f>(raw!AT13/(raw!AT13+1))</f>
        <v>0.4623655913978495</v>
      </c>
      <c r="C13" s="18">
        <f t="shared" si="0"/>
        <v>0.4623655913978495</v>
      </c>
      <c r="D13" s="18">
        <f>(1+exposure!D$9)*leverage!C13</f>
        <v>0.4623655913978495</v>
      </c>
      <c r="E13" s="18">
        <f>(1+exposure!E$9)*leverage!D13</f>
        <v>0.4623655913978495</v>
      </c>
      <c r="F13" s="18">
        <f>(1+exposure!F$9)*leverage!E13</f>
        <v>0.4623655913978495</v>
      </c>
      <c r="G13" s="18">
        <f>(1+exposure!G$9)*leverage!F13</f>
        <v>0.4623655913978495</v>
      </c>
      <c r="H13" s="18">
        <f>(1+exposure!H$9)*leverage!G13</f>
        <v>0.4623655913978495</v>
      </c>
      <c r="I13" s="18">
        <f>(1+exposure!I$9)*leverage!H13</f>
        <v>0.4623655913978495</v>
      </c>
      <c r="J13" s="18">
        <f>(1+exposure!J$9)*leverage!I13</f>
        <v>0.4623655913978495</v>
      </c>
      <c r="K13" s="18">
        <f>(1+exposure!K$9)*leverage!J13</f>
        <v>0.4623655913978495</v>
      </c>
      <c r="L13" s="18">
        <f>(1+exposure!L$9)*leverage!K13</f>
        <v>0.4623655913978495</v>
      </c>
      <c r="M13" s="18">
        <f>(1+exposure!M$9)*leverage!L13</f>
        <v>0.4623655913978495</v>
      </c>
    </row>
    <row r="14" spans="1:13" x14ac:dyDescent="0.2">
      <c r="A14" t="str">
        <f>raw!A14</f>
        <v>Illinois Power Co.</v>
      </c>
      <c r="B14" s="58">
        <f>(raw!AT14/(raw!AT14+1))</f>
        <v>0.52380952380952384</v>
      </c>
      <c r="C14" s="18">
        <f t="shared" si="0"/>
        <v>0.52380952380952384</v>
      </c>
      <c r="D14" s="18">
        <f>(1+exposure!D$9)*leverage!C14</f>
        <v>0.52380952380952384</v>
      </c>
      <c r="E14" s="18">
        <f>(1+exposure!E$9)*leverage!D14</f>
        <v>0.52380952380952384</v>
      </c>
      <c r="F14" s="18">
        <f>(1+exposure!F$9)*leverage!E14</f>
        <v>0.52380952380952384</v>
      </c>
      <c r="G14" s="18">
        <f>(1+exposure!G$9)*leverage!F14</f>
        <v>0.52380952380952384</v>
      </c>
      <c r="H14" s="18">
        <f>(1+exposure!H$9)*leverage!G14</f>
        <v>0.52380952380952384</v>
      </c>
      <c r="I14" s="18">
        <f>(1+exposure!I$9)*leverage!H14</f>
        <v>0.52380952380952384</v>
      </c>
      <c r="J14" s="18">
        <f>(1+exposure!J$9)*leverage!I14</f>
        <v>0.52380952380952384</v>
      </c>
      <c r="K14" s="18">
        <f>(1+exposure!K$9)*leverage!J14</f>
        <v>0.52380952380952384</v>
      </c>
      <c r="L14" s="18">
        <f>(1+exposure!L$9)*leverage!K14</f>
        <v>0.52380952380952384</v>
      </c>
      <c r="M14" s="18">
        <f>(1+exposure!M$9)*leverage!L14</f>
        <v>0.52380952380952384</v>
      </c>
    </row>
    <row r="15" spans="1:13" x14ac:dyDescent="0.2">
      <c r="A15" t="str">
        <f>raw!A15</f>
        <v>Jersey Central Power &amp; Light Co.</v>
      </c>
      <c r="B15" s="58">
        <f>(raw!AT15/(raw!AT15+1))</f>
        <v>0.4623655913978495</v>
      </c>
      <c r="C15" s="18">
        <f t="shared" si="0"/>
        <v>0.4623655913978495</v>
      </c>
      <c r="D15" s="18">
        <f>(1+exposure!D$9)*leverage!C15</f>
        <v>0.4623655913978495</v>
      </c>
      <c r="E15" s="18">
        <f>(1+exposure!E$9)*leverage!D15</f>
        <v>0.4623655913978495</v>
      </c>
      <c r="F15" s="18">
        <f>(1+exposure!F$9)*leverage!E15</f>
        <v>0.4623655913978495</v>
      </c>
      <c r="G15" s="18">
        <f>(1+exposure!G$9)*leverage!F15</f>
        <v>0.4623655913978495</v>
      </c>
      <c r="H15" s="18">
        <f>(1+exposure!H$9)*leverage!G15</f>
        <v>0.4623655913978495</v>
      </c>
      <c r="I15" s="18">
        <f>(1+exposure!I$9)*leverage!H15</f>
        <v>0.4623655913978495</v>
      </c>
      <c r="J15" s="18">
        <f>(1+exposure!J$9)*leverage!I15</f>
        <v>0.4623655913978495</v>
      </c>
      <c r="K15" s="18">
        <f>(1+exposure!K$9)*leverage!J15</f>
        <v>0.4623655913978495</v>
      </c>
      <c r="L15" s="18">
        <f>(1+exposure!L$9)*leverage!K15</f>
        <v>0.4623655913978495</v>
      </c>
      <c r="M15" s="18">
        <f>(1+exposure!M$9)*leverage!L15</f>
        <v>0.4623655913978495</v>
      </c>
    </row>
    <row r="16" spans="1:13" x14ac:dyDescent="0.2">
      <c r="A16" t="str">
        <f>raw!A16</f>
        <v>Kentucky Utilities Co.</v>
      </c>
      <c r="B16" s="58">
        <f>(raw!AT16/(raw!AT16+1))</f>
        <v>0.44134078212290506</v>
      </c>
      <c r="C16" s="18">
        <f t="shared" si="0"/>
        <v>0.44134078212290506</v>
      </c>
      <c r="D16" s="18">
        <f>(1+exposure!D$9)*leverage!C16</f>
        <v>0.44134078212290506</v>
      </c>
      <c r="E16" s="18">
        <f>(1+exposure!E$9)*leverage!D16</f>
        <v>0.44134078212290506</v>
      </c>
      <c r="F16" s="18">
        <f>(1+exposure!F$9)*leverage!E16</f>
        <v>0.44134078212290506</v>
      </c>
      <c r="G16" s="18">
        <f>(1+exposure!G$9)*leverage!F16</f>
        <v>0.44134078212290506</v>
      </c>
      <c r="H16" s="18">
        <f>(1+exposure!H$9)*leverage!G16</f>
        <v>0.44134078212290506</v>
      </c>
      <c r="I16" s="18">
        <f>(1+exposure!I$9)*leverage!H16</f>
        <v>0.44134078212290506</v>
      </c>
      <c r="J16" s="18">
        <f>(1+exposure!J$9)*leverage!I16</f>
        <v>0.44134078212290506</v>
      </c>
      <c r="K16" s="18">
        <f>(1+exposure!K$9)*leverage!J16</f>
        <v>0.44134078212290506</v>
      </c>
      <c r="L16" s="18">
        <f>(1+exposure!L$9)*leverage!K16</f>
        <v>0.44134078212290506</v>
      </c>
      <c r="M16" s="18">
        <f>(1+exposure!M$9)*leverage!L16</f>
        <v>0.44134078212290506</v>
      </c>
    </row>
    <row r="17" spans="1:13" x14ac:dyDescent="0.2">
      <c r="A17" t="str">
        <f>raw!A17</f>
        <v>Ohio Power Co.</v>
      </c>
      <c r="B17" s="58">
        <f>(raw!AT17/(raw!AT17+1))</f>
        <v>0.42528735632183906</v>
      </c>
      <c r="C17" s="18">
        <f t="shared" si="0"/>
        <v>0.42528735632183906</v>
      </c>
      <c r="D17" s="18">
        <f>(1+exposure!D$9)*leverage!C17</f>
        <v>0.42528735632183906</v>
      </c>
      <c r="E17" s="18">
        <f>(1+exposure!E$9)*leverage!D17</f>
        <v>0.42528735632183906</v>
      </c>
      <c r="F17" s="18">
        <f>(1+exposure!F$9)*leverage!E17</f>
        <v>0.42528735632183906</v>
      </c>
      <c r="G17" s="18">
        <f>(1+exposure!G$9)*leverage!F17</f>
        <v>0.42528735632183906</v>
      </c>
      <c r="H17" s="18">
        <f>(1+exposure!H$9)*leverage!G17</f>
        <v>0.42528735632183906</v>
      </c>
      <c r="I17" s="18">
        <f>(1+exposure!I$9)*leverage!H17</f>
        <v>0.42528735632183906</v>
      </c>
      <c r="J17" s="18">
        <f>(1+exposure!J$9)*leverage!I17</f>
        <v>0.42528735632183906</v>
      </c>
      <c r="K17" s="18">
        <f>(1+exposure!K$9)*leverage!J17</f>
        <v>0.42528735632183906</v>
      </c>
      <c r="L17" s="18">
        <f>(1+exposure!L$9)*leverage!K17</f>
        <v>0.42528735632183906</v>
      </c>
      <c r="M17" s="18">
        <f>(1+exposure!M$9)*leverage!L17</f>
        <v>0.42528735632183906</v>
      </c>
    </row>
    <row r="18" spans="1:13" x14ac:dyDescent="0.2">
      <c r="A18" t="str">
        <f>raw!A18</f>
        <v>PPL Electric Utilities Corp.</v>
      </c>
      <c r="B18" s="58">
        <f>(raw!AT18/(raw!AT18+1))</f>
        <v>0.48717948717948717</v>
      </c>
      <c r="C18" s="18">
        <f t="shared" si="0"/>
        <v>0.48717948717948717</v>
      </c>
      <c r="D18" s="18">
        <f>(1+exposure!D$9)*leverage!C18</f>
        <v>0.48717948717948717</v>
      </c>
      <c r="E18" s="18">
        <f>(1+exposure!E$9)*leverage!D18</f>
        <v>0.48717948717948717</v>
      </c>
      <c r="F18" s="18">
        <f>(1+exposure!F$9)*leverage!E18</f>
        <v>0.48717948717948717</v>
      </c>
      <c r="G18" s="18">
        <f>(1+exposure!G$9)*leverage!F18</f>
        <v>0.48717948717948717</v>
      </c>
      <c r="H18" s="18">
        <f>(1+exposure!H$9)*leverage!G18</f>
        <v>0.48717948717948717</v>
      </c>
      <c r="I18" s="18">
        <f>(1+exposure!I$9)*leverage!H18</f>
        <v>0.48717948717948717</v>
      </c>
      <c r="J18" s="18">
        <f>(1+exposure!J$9)*leverage!I18</f>
        <v>0.48717948717948717</v>
      </c>
      <c r="K18" s="18">
        <f>(1+exposure!K$9)*leverage!J18</f>
        <v>0.48717948717948717</v>
      </c>
      <c r="L18" s="18">
        <f>(1+exposure!L$9)*leverage!K18</f>
        <v>0.48717948717948717</v>
      </c>
      <c r="M18" s="18">
        <f>(1+exposure!M$9)*leverage!L18</f>
        <v>0.48717948717948717</v>
      </c>
    </row>
    <row r="19" spans="1:13" x14ac:dyDescent="0.2">
      <c r="A19" t="str">
        <f>raw!A19</f>
        <v>Pacific Gas &amp; Electric Co.</v>
      </c>
      <c r="B19" s="58">
        <f>(raw!AT19/(raw!AT19+1))</f>
        <v>0.49238578680203043</v>
      </c>
      <c r="C19" s="18">
        <f t="shared" si="0"/>
        <v>0.49238578680203043</v>
      </c>
      <c r="D19" s="18">
        <f>(1+exposure!D$9)*leverage!C19</f>
        <v>0.49238578680203043</v>
      </c>
      <c r="E19" s="18">
        <f>(1+exposure!E$9)*leverage!D19</f>
        <v>0.49238578680203043</v>
      </c>
      <c r="F19" s="18">
        <f>(1+exposure!F$9)*leverage!E19</f>
        <v>0.49238578680203043</v>
      </c>
      <c r="G19" s="18">
        <f>(1+exposure!G$9)*leverage!F19</f>
        <v>0.49238578680203043</v>
      </c>
      <c r="H19" s="18">
        <f>(1+exposure!H$9)*leverage!G19</f>
        <v>0.49238578680203043</v>
      </c>
      <c r="I19" s="18">
        <f>(1+exposure!I$9)*leverage!H19</f>
        <v>0.49238578680203043</v>
      </c>
      <c r="J19" s="18">
        <f>(1+exposure!J$9)*leverage!I19</f>
        <v>0.49238578680203043</v>
      </c>
      <c r="K19" s="18">
        <f>(1+exposure!K$9)*leverage!J19</f>
        <v>0.49238578680203043</v>
      </c>
      <c r="L19" s="18">
        <f>(1+exposure!L$9)*leverage!K19</f>
        <v>0.49238578680203043</v>
      </c>
      <c r="M19" s="18">
        <f>(1+exposure!M$9)*leverage!L19</f>
        <v>0.49238578680203043</v>
      </c>
    </row>
    <row r="20" spans="1:13" x14ac:dyDescent="0.2">
      <c r="A20" t="str">
        <f>raw!A20</f>
        <v>Public Service Electric &amp; Gas Co.</v>
      </c>
      <c r="B20" s="58">
        <f>(raw!AT20/(raw!AT20+1))</f>
        <v>0.49748743718592964</v>
      </c>
      <c r="C20" s="18">
        <f t="shared" si="0"/>
        <v>0.49748743718592964</v>
      </c>
      <c r="D20" s="18">
        <f>(1+exposure!D$9)*leverage!C20</f>
        <v>0.49748743718592964</v>
      </c>
      <c r="E20" s="18">
        <f>(1+exposure!E$9)*leverage!D20</f>
        <v>0.49748743718592964</v>
      </c>
      <c r="F20" s="18">
        <f>(1+exposure!F$9)*leverage!E20</f>
        <v>0.49748743718592964</v>
      </c>
      <c r="G20" s="18">
        <f>(1+exposure!G$9)*leverage!F20</f>
        <v>0.49748743718592964</v>
      </c>
      <c r="H20" s="18">
        <f>(1+exposure!H$9)*leverage!G20</f>
        <v>0.49748743718592964</v>
      </c>
      <c r="I20" s="18">
        <f>(1+exposure!I$9)*leverage!H20</f>
        <v>0.49748743718592964</v>
      </c>
      <c r="J20" s="18">
        <f>(1+exposure!J$9)*leverage!I20</f>
        <v>0.49748743718592964</v>
      </c>
      <c r="K20" s="18">
        <f>(1+exposure!K$9)*leverage!J20</f>
        <v>0.49748743718592964</v>
      </c>
      <c r="L20" s="18">
        <f>(1+exposure!L$9)*leverage!K20</f>
        <v>0.49748743718592964</v>
      </c>
      <c r="M20" s="18">
        <f>(1+exposure!M$9)*leverage!L20</f>
        <v>0.49748743718592964</v>
      </c>
    </row>
    <row r="21" spans="1:13" x14ac:dyDescent="0.2">
      <c r="A21" t="str">
        <f>raw!A21</f>
        <v>San Diego Gas &amp; Electric Co.</v>
      </c>
      <c r="B21" s="58">
        <f>(raw!AT21/(raw!AT21+1))</f>
        <v>0.43820224719101125</v>
      </c>
      <c r="C21" s="18">
        <f t="shared" si="0"/>
        <v>0.43820224719101125</v>
      </c>
      <c r="D21" s="18">
        <f>(1+exposure!D$9)*leverage!C21</f>
        <v>0.43820224719101125</v>
      </c>
      <c r="E21" s="18">
        <f>(1+exposure!E$9)*leverage!D21</f>
        <v>0.43820224719101125</v>
      </c>
      <c r="F21" s="18">
        <f>(1+exposure!F$9)*leverage!E21</f>
        <v>0.43820224719101125</v>
      </c>
      <c r="G21" s="18">
        <f>(1+exposure!G$9)*leverage!F21</f>
        <v>0.43820224719101125</v>
      </c>
      <c r="H21" s="18">
        <f>(1+exposure!H$9)*leverage!G21</f>
        <v>0.43820224719101125</v>
      </c>
      <c r="I21" s="18">
        <f>(1+exposure!I$9)*leverage!H21</f>
        <v>0.43820224719101125</v>
      </c>
      <c r="J21" s="18">
        <f>(1+exposure!J$9)*leverage!I21</f>
        <v>0.43820224719101125</v>
      </c>
      <c r="K21" s="18">
        <f>(1+exposure!K$9)*leverage!J21</f>
        <v>0.43820224719101125</v>
      </c>
      <c r="L21" s="18">
        <f>(1+exposure!L$9)*leverage!K21</f>
        <v>0.43820224719101125</v>
      </c>
      <c r="M21" s="18">
        <f>(1+exposure!M$9)*leverage!L21</f>
        <v>0.43820224719101125</v>
      </c>
    </row>
    <row r="22" spans="1:13" x14ac:dyDescent="0.2">
      <c r="A22" t="str">
        <f>raw!A22</f>
        <v>Southern California Edison Co.</v>
      </c>
      <c r="B22" s="58">
        <f>(raw!AT22/(raw!AT22+1))</f>
        <v>0.51923076923076927</v>
      </c>
      <c r="C22" s="18">
        <f t="shared" si="0"/>
        <v>0.51923076923076927</v>
      </c>
      <c r="D22" s="18">
        <f>(1+exposure!D$9)*leverage!C22</f>
        <v>0.51923076923076927</v>
      </c>
      <c r="E22" s="18">
        <f>(1+exposure!E$9)*leverage!D22</f>
        <v>0.51923076923076927</v>
      </c>
      <c r="F22" s="18">
        <f>(1+exposure!F$9)*leverage!E22</f>
        <v>0.51923076923076927</v>
      </c>
      <c r="G22" s="18">
        <f>(1+exposure!G$9)*leverage!F22</f>
        <v>0.51923076923076927</v>
      </c>
      <c r="H22" s="18">
        <f>(1+exposure!H$9)*leverage!G22</f>
        <v>0.51923076923076927</v>
      </c>
      <c r="I22" s="18">
        <f>(1+exposure!I$9)*leverage!H22</f>
        <v>0.51923076923076927</v>
      </c>
      <c r="J22" s="18">
        <f>(1+exposure!J$9)*leverage!I22</f>
        <v>0.51923076923076927</v>
      </c>
      <c r="K22" s="18">
        <f>(1+exposure!K$9)*leverage!J22</f>
        <v>0.51923076923076927</v>
      </c>
      <c r="L22" s="18">
        <f>(1+exposure!L$9)*leverage!K22</f>
        <v>0.51923076923076927</v>
      </c>
      <c r="M22" s="18">
        <f>(1+exposure!M$9)*leverage!L22</f>
        <v>0.51923076923076927</v>
      </c>
    </row>
    <row r="23" spans="1:13" x14ac:dyDescent="0.2">
      <c r="A23" t="str">
        <f>raw!A23</f>
        <v>Southwestern Public Service Co.</v>
      </c>
      <c r="B23" s="58">
        <f>(raw!AT23/(raw!AT23+1))</f>
        <v>0.44751381215469616</v>
      </c>
      <c r="C23" s="18">
        <f t="shared" si="0"/>
        <v>0.44751381215469616</v>
      </c>
      <c r="D23" s="18">
        <f>(1+exposure!D$9)*leverage!C23</f>
        <v>0.44751381215469616</v>
      </c>
      <c r="E23" s="18">
        <f>(1+exposure!E$9)*leverage!D23</f>
        <v>0.44751381215469616</v>
      </c>
      <c r="F23" s="18">
        <f>(1+exposure!F$9)*leverage!E23</f>
        <v>0.44751381215469616</v>
      </c>
      <c r="G23" s="18">
        <f>(1+exposure!G$9)*leverage!F23</f>
        <v>0.44751381215469616</v>
      </c>
      <c r="H23" s="18">
        <f>(1+exposure!H$9)*leverage!G23</f>
        <v>0.44751381215469616</v>
      </c>
      <c r="I23" s="18">
        <f>(1+exposure!I$9)*leverage!H23</f>
        <v>0.44751381215469616</v>
      </c>
      <c r="J23" s="18">
        <f>(1+exposure!J$9)*leverage!I23</f>
        <v>0.44751381215469616</v>
      </c>
      <c r="K23" s="18">
        <f>(1+exposure!K$9)*leverage!J23</f>
        <v>0.44751381215469616</v>
      </c>
      <c r="L23" s="18">
        <f>(1+exposure!L$9)*leverage!K23</f>
        <v>0.44751381215469616</v>
      </c>
      <c r="M23" s="18">
        <f>(1+exposure!M$9)*leverage!L23</f>
        <v>0.44751381215469616</v>
      </c>
    </row>
    <row r="24" spans="1:13" x14ac:dyDescent="0.2">
      <c r="A24" t="str">
        <f>raw!A24</f>
        <v>TXU Electric Co.</v>
      </c>
      <c r="B24" s="58">
        <f>(raw!AT24/(raw!AT24+1))</f>
        <v>0.4845360824742268</v>
      </c>
      <c r="C24" s="18">
        <f t="shared" si="0"/>
        <v>0.4845360824742268</v>
      </c>
      <c r="D24" s="18">
        <f>(1+exposure!D$9)*leverage!C24</f>
        <v>0.4845360824742268</v>
      </c>
      <c r="E24" s="18">
        <f>(1+exposure!E$9)*leverage!D24</f>
        <v>0.4845360824742268</v>
      </c>
      <c r="F24" s="18">
        <f>(1+exposure!F$9)*leverage!E24</f>
        <v>0.4845360824742268</v>
      </c>
      <c r="G24" s="18">
        <f>(1+exposure!G$9)*leverage!F24</f>
        <v>0.4845360824742268</v>
      </c>
      <c r="H24" s="18">
        <f>(1+exposure!H$9)*leverage!G24</f>
        <v>0.4845360824742268</v>
      </c>
      <c r="I24" s="18">
        <f>(1+exposure!I$9)*leverage!H24</f>
        <v>0.4845360824742268</v>
      </c>
      <c r="J24" s="18">
        <f>(1+exposure!J$9)*leverage!I24</f>
        <v>0.4845360824742268</v>
      </c>
      <c r="K24" s="18">
        <f>(1+exposure!K$9)*leverage!J24</f>
        <v>0.4845360824742268</v>
      </c>
      <c r="L24" s="18">
        <f>(1+exposure!L$9)*leverage!K24</f>
        <v>0.4845360824742268</v>
      </c>
      <c r="M24" s="18">
        <f>(1+exposure!M$9)*leverage!L24</f>
        <v>0.4845360824742268</v>
      </c>
    </row>
  </sheetData>
  <pageMargins left="0.75" right="0.75" top="1" bottom="1" header="0.5" footer="0.5"/>
  <pageSetup scale="85" orientation="landscape" verticalDpi="0" r:id="rId1"/>
  <headerFooter alignWithMargins="0">
    <oddFooter>Page &amp;P&amp;R&amp;A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workbookViewId="0">
      <selection activeCell="E25" sqref="E25"/>
    </sheetView>
  </sheetViews>
  <sheetFormatPr defaultRowHeight="12.75" x14ac:dyDescent="0.2"/>
  <cols>
    <col min="1" max="1" width="36.140625" bestFit="1" customWidth="1"/>
    <col min="2" max="2" width="16.42578125" bestFit="1" customWidth="1"/>
    <col min="3" max="3" width="14.85546875" bestFit="1" customWidth="1"/>
    <col min="4" max="4" width="16.42578125" bestFit="1" customWidth="1"/>
    <col min="5" max="13" width="14.85546875" bestFit="1" customWidth="1"/>
  </cols>
  <sheetData>
    <row r="1" spans="1:13" x14ac:dyDescent="0.2">
      <c r="A1" t="s">
        <v>521</v>
      </c>
    </row>
    <row r="2" spans="1:13" x14ac:dyDescent="0.2">
      <c r="B2">
        <v>10</v>
      </c>
    </row>
    <row r="3" spans="1:13" x14ac:dyDescent="0.2">
      <c r="A3" s="8" t="s">
        <v>177</v>
      </c>
      <c r="B3" s="8">
        <v>1998</v>
      </c>
      <c r="C3" s="8">
        <v>2000</v>
      </c>
      <c r="D3" s="8">
        <v>2001</v>
      </c>
      <c r="E3" s="8">
        <v>2002</v>
      </c>
      <c r="F3" s="8">
        <v>2003</v>
      </c>
      <c r="G3" s="8">
        <v>2004</v>
      </c>
      <c r="H3" s="8">
        <v>2005</v>
      </c>
      <c r="I3" s="8">
        <v>2006</v>
      </c>
      <c r="J3" s="8">
        <v>2007</v>
      </c>
      <c r="K3" s="8">
        <v>2008</v>
      </c>
      <c r="L3" s="8">
        <v>2009</v>
      </c>
      <c r="M3" s="8">
        <v>2010</v>
      </c>
    </row>
    <row r="4" spans="1:13" x14ac:dyDescent="0.2">
      <c r="A4" t="str">
        <f>raw!A4</f>
        <v>Boston Edison Co.</v>
      </c>
      <c r="B4" s="4">
        <f>VLOOKUP(A4,raw!$A$4:$AU$24,$B$2,FALSE)</f>
        <v>2147594397</v>
      </c>
      <c r="C4" s="16">
        <f>B4</f>
        <v>2147594397</v>
      </c>
      <c r="D4" s="4">
        <f>C4+(TransNplant!D4-TransNplant!C4)</f>
        <v>2143584017.2578576</v>
      </c>
      <c r="E4" s="4">
        <f>D4+(TransNplant!E4-TransNplant!D4)</f>
        <v>2139582127.9999003</v>
      </c>
      <c r="F4" s="4">
        <f>E4+(TransNplant!F4-TransNplant!E4)</f>
        <v>2135588711.2506928</v>
      </c>
      <c r="G4" s="4">
        <f>F4+(TransNplant!G4-TransNplant!F4)</f>
        <v>2131603749.0728562</v>
      </c>
      <c r="H4" s="4">
        <f>G4+(TransNplant!H4-TransNplant!G4)</f>
        <v>2127627223.566987</v>
      </c>
      <c r="I4" s="4">
        <f>H4+(TransNplant!I4-TransNplant!H4)</f>
        <v>2123659116.8715773</v>
      </c>
      <c r="J4" s="4">
        <f>I4+(TransNplant!J4-TransNplant!I4)</f>
        <v>2119699411.1629341</v>
      </c>
      <c r="K4" s="4">
        <f>J4+(TransNplant!K4-TransNplant!J4)</f>
        <v>2115748088.6550996</v>
      </c>
      <c r="L4" s="4">
        <f>K4+(TransNplant!L4-TransNplant!K4)</f>
        <v>2111805131.599771</v>
      </c>
      <c r="M4" s="4">
        <f>L4+(TransNplant!M4-TransNplant!L4)</f>
        <v>2107870522.2862208</v>
      </c>
    </row>
    <row r="5" spans="1:13" x14ac:dyDescent="0.2">
      <c r="A5" t="str">
        <f>raw!A5</f>
        <v>Carolina Power &amp; Light Co.</v>
      </c>
      <c r="B5" s="4">
        <f>VLOOKUP(A5,raw!$A$4:$AU$24,$B$2,FALSE)</f>
        <v>5053237507</v>
      </c>
      <c r="C5" s="16">
        <f t="shared" ref="C5:C24" si="0">B5</f>
        <v>5053237507</v>
      </c>
      <c r="D5" s="4">
        <f>C5+(TransNplant!D5-TransNplant!C5)</f>
        <v>5053335900.1849709</v>
      </c>
      <c r="E5" s="4">
        <f>D5+(TransNplant!E5-TransNplant!D5)</f>
        <v>5053434295.5294533</v>
      </c>
      <c r="F5" s="4">
        <f>E5+(TransNplant!F5-TransNplant!E5)</f>
        <v>5053532693.0334969</v>
      </c>
      <c r="G5" s="4">
        <f>F5+(TransNplant!G5-TransNplant!F5)</f>
        <v>5053631092.6971483</v>
      </c>
      <c r="H5" s="4">
        <f>G5+(TransNplant!H5-TransNplant!G5)</f>
        <v>5053729494.5204535</v>
      </c>
      <c r="I5" s="4">
        <f>H5+(TransNplant!I5-TransNplant!H5)</f>
        <v>5053827898.5034618</v>
      </c>
      <c r="J5" s="4">
        <f>I5+(TransNplant!J5-TransNplant!I5)</f>
        <v>5053926304.6462202</v>
      </c>
      <c r="K5" s="4">
        <f>J5+(TransNplant!K5-TransNplant!J5)</f>
        <v>5054024712.9487762</v>
      </c>
      <c r="L5" s="4">
        <f>K5+(TransNplant!L5-TransNplant!K5)</f>
        <v>5054123123.4111767</v>
      </c>
      <c r="M5" s="4">
        <f>L5+(TransNplant!M5-TransNplant!L5)</f>
        <v>5054221536.0334682</v>
      </c>
    </row>
    <row r="6" spans="1:13" x14ac:dyDescent="0.2">
      <c r="A6" t="str">
        <f>raw!A6</f>
        <v>Central Hudson Gas &amp; Electric Corp.</v>
      </c>
      <c r="B6" s="4">
        <f>VLOOKUP(A6,raw!$A$4:$AU$24,$B$2,FALSE)</f>
        <v>625204761</v>
      </c>
      <c r="C6" s="16">
        <f t="shared" si="0"/>
        <v>625204761</v>
      </c>
      <c r="D6" s="4">
        <f>C6+(TransNplant!D6-TransNplant!C6)</f>
        <v>625295437.6323905</v>
      </c>
      <c r="E6" s="4">
        <f>D6+(TransNplant!E6-TransNplant!D6)</f>
        <v>625386129.7127341</v>
      </c>
      <c r="F6" s="4">
        <f>E6+(TransNplant!F6-TransNplant!E6)</f>
        <v>625476837.2436626</v>
      </c>
      <c r="G6" s="4">
        <f>F6+(TransNplant!G6-TransNplant!F6)</f>
        <v>625567560.22780824</v>
      </c>
      <c r="H6" s="4">
        <f>G6+(TransNplant!H6-TransNplant!G6)</f>
        <v>625658298.66780353</v>
      </c>
      <c r="I6" s="4">
        <f>H6+(TransNplant!I6-TransNplant!H6)</f>
        <v>625749052.5662818</v>
      </c>
      <c r="J6" s="4">
        <f>I6+(TransNplant!J6-TransNplant!I6)</f>
        <v>625839821.92587638</v>
      </c>
      <c r="K6" s="4">
        <f>J6+(TransNplant!K6-TransNplant!J6)</f>
        <v>625930606.74922132</v>
      </c>
      <c r="L6" s="4">
        <f>K6+(TransNplant!L6-TransNplant!K6)</f>
        <v>626021407.03895116</v>
      </c>
      <c r="M6" s="4">
        <f>L6+(TransNplant!M6-TransNplant!L6)</f>
        <v>626112222.79770088</v>
      </c>
    </row>
    <row r="7" spans="1:13" x14ac:dyDescent="0.2">
      <c r="A7" t="str">
        <f>raw!A7</f>
        <v>Commonwealth Edison Co.</v>
      </c>
      <c r="B7" s="4">
        <f>VLOOKUP(A7,raw!$A$4:$AU$24,$B$2,FALSE)</f>
        <v>11410762151</v>
      </c>
      <c r="C7" s="16">
        <f t="shared" si="0"/>
        <v>11410762151</v>
      </c>
      <c r="D7" s="4">
        <f>C7+(TransNplant!D7-TransNplant!C7)</f>
        <v>11442416073.197254</v>
      </c>
      <c r="E7" s="4">
        <f>D7+(TransNplant!E7-TransNplant!D7)</f>
        <v>11474167148.869616</v>
      </c>
      <c r="F7" s="4">
        <f>E7+(TransNplant!F7-TransNplant!E7)</f>
        <v>11506015676.204393</v>
      </c>
      <c r="G7" s="4">
        <f>F7+(TransNplant!G7-TransNplant!F7)</f>
        <v>11537961954.304096</v>
      </c>
      <c r="H7" s="4">
        <f>G7+(TransNplant!H7-TransNplant!G7)</f>
        <v>11570006283.189257</v>
      </c>
      <c r="I7" s="4">
        <f>H7+(TransNplant!I7-TransNplant!H7)</f>
        <v>11602148963.801239</v>
      </c>
      <c r="J7" s="4">
        <f>I7+(TransNplant!J7-TransNplant!I7)</f>
        <v>11634390298.005066</v>
      </c>
      <c r="K7" s="4">
        <f>J7+(TransNplant!K7-TransNplant!J7)</f>
        <v>11666730588.592264</v>
      </c>
      <c r="L7" s="4">
        <f>K7+(TransNplant!L7-TransNplant!K7)</f>
        <v>11699170139.283691</v>
      </c>
      <c r="M7" s="4">
        <f>L7+(TransNplant!M7-TransNplant!L7)</f>
        <v>11731709254.732405</v>
      </c>
    </row>
    <row r="8" spans="1:13" x14ac:dyDescent="0.2">
      <c r="A8" t="str">
        <f>raw!A8</f>
        <v>Consolidated Edison Co. of New York, Inc.</v>
      </c>
      <c r="B8" s="4">
        <f>VLOOKUP(A8,raw!$A$4:$AU$24,$B$2,FALSE)</f>
        <v>10515836698</v>
      </c>
      <c r="C8" s="16">
        <f t="shared" si="0"/>
        <v>10515836698</v>
      </c>
      <c r="D8" s="4">
        <f>C8+(TransNplant!D8-TransNplant!C8)</f>
        <v>10484675553.281359</v>
      </c>
      <c r="E8" s="4">
        <f>D8+(TransNplant!E8-TransNplant!D8)</f>
        <v>10453629041.512432</v>
      </c>
      <c r="F8" s="4">
        <f>E8+(TransNplant!F8-TransNplant!E8)</f>
        <v>10422696740.991346</v>
      </c>
      <c r="G8" s="4">
        <f>F8+(TransNplant!G8-TransNplant!F8)</f>
        <v>10391878231.567547</v>
      </c>
      <c r="H8" s="4">
        <f>G8+(TransNplant!H8-TransNplant!G8)</f>
        <v>10361173094.636091</v>
      </c>
      <c r="I8" s="4">
        <f>H8+(TransNplant!I8-TransNplant!H8)</f>
        <v>10330580913.131968</v>
      </c>
      <c r="J8" s="4">
        <f>I8+(TransNplant!J8-TransNplant!I8)</f>
        <v>10300101271.524426</v>
      </c>
      <c r="K8" s="4">
        <f>J8+(TransNplant!K8-TransNplant!J8)</f>
        <v>10269733755.811337</v>
      </c>
      <c r="L8" s="4">
        <f>K8+(TransNplant!L8-TransNplant!K8)</f>
        <v>10239477953.513565</v>
      </c>
      <c r="M8" s="4">
        <f>L8+(TransNplant!M8-TransNplant!L8)</f>
        <v>10209333453.669369</v>
      </c>
    </row>
    <row r="9" spans="1:13" x14ac:dyDescent="0.2">
      <c r="A9" t="str">
        <f>raw!A9</f>
        <v>Consumers Energy Co.</v>
      </c>
      <c r="B9" s="4">
        <f>VLOOKUP(A9,raw!$A$4:$AU$24,$B$2,FALSE)</f>
        <v>4214416059</v>
      </c>
      <c r="C9" s="16">
        <f t="shared" si="0"/>
        <v>4214416059</v>
      </c>
      <c r="D9" s="4">
        <f>C9+(TransNplant!D9-TransNplant!C9)</f>
        <v>4214946528.4170952</v>
      </c>
      <c r="E9" s="4">
        <f>D9+(TransNplant!E9-TransNplant!D9)</f>
        <v>4215477076.4058366</v>
      </c>
      <c r="F9" s="4">
        <f>E9+(TransNplant!F9-TransNplant!E9)</f>
        <v>4216007702.9778614</v>
      </c>
      <c r="G9" s="4">
        <f>F9+(TransNplant!G9-TransNplant!F9)</f>
        <v>4216538408.1448097</v>
      </c>
      <c r="H9" s="4">
        <f>G9+(TransNplant!H9-TransNplant!G9)</f>
        <v>4217069191.9183226</v>
      </c>
      <c r="I9" s="4">
        <f>H9+(TransNplant!I9-TransNplant!H9)</f>
        <v>4217600054.3100433</v>
      </c>
      <c r="J9" s="4">
        <f>I9+(TransNplant!J9-TransNplant!I9)</f>
        <v>4218130995.3316164</v>
      </c>
      <c r="K9" s="4">
        <f>J9+(TransNplant!K9-TransNplant!J9)</f>
        <v>4218662014.994688</v>
      </c>
      <c r="L9" s="4">
        <f>K9+(TransNplant!L9-TransNplant!K9)</f>
        <v>4219193113.3109069</v>
      </c>
      <c r="M9" s="4">
        <f>L9+(TransNplant!M9-TransNplant!L9)</f>
        <v>4219724290.2919226</v>
      </c>
    </row>
    <row r="10" spans="1:13" x14ac:dyDescent="0.2">
      <c r="A10" t="str">
        <f>raw!A10</f>
        <v>Duke Energy Corp.</v>
      </c>
      <c r="B10" s="4">
        <f>VLOOKUP(A10,raw!$A$4:$AU$24,$B$2,FALSE)</f>
        <v>7336991744</v>
      </c>
      <c r="C10" s="16">
        <f t="shared" si="0"/>
        <v>7336991744</v>
      </c>
      <c r="D10" s="4">
        <f>C10+(TransNplant!D10-TransNplant!C10)</f>
        <v>7312225778.2705507</v>
      </c>
      <c r="E10" s="4">
        <f>D10+(TransNplant!E10-TransNplant!D10)</f>
        <v>7287561968.889575</v>
      </c>
      <c r="F10" s="4">
        <f>E10+(TransNplant!F10-TransNplant!E10)</f>
        <v>7262999894.475584</v>
      </c>
      <c r="G10" s="4">
        <f>F10+(TransNplant!G10-TransNplant!F10)</f>
        <v>7238539135.3852301</v>
      </c>
      <c r="H10" s="4">
        <f>G10+(TransNplant!H10-TransNplant!G10)</f>
        <v>7214179273.7061415</v>
      </c>
      <c r="I10" s="4">
        <f>H10+(TransNplant!I10-TransNplant!H10)</f>
        <v>7189919893.2497787</v>
      </c>
      <c r="J10" s="4">
        <f>I10+(TransNplant!J10-TransNplant!I10)</f>
        <v>7165760579.5443249</v>
      </c>
      <c r="K10" s="4">
        <f>J10+(TransNplant!K10-TransNplant!J10)</f>
        <v>7141700919.8276033</v>
      </c>
      <c r="L10" s="4">
        <f>K10+(TransNplant!L10-TransNplant!K10)</f>
        <v>7117740503.0400314</v>
      </c>
      <c r="M10" s="4">
        <f>L10+(TransNplant!M10-TransNplant!L10)</f>
        <v>7093878919.8175898</v>
      </c>
    </row>
    <row r="11" spans="1:13" x14ac:dyDescent="0.2">
      <c r="A11" t="str">
        <f>raw!A11</f>
        <v>Entergy Mississippi, Inc.</v>
      </c>
      <c r="B11" s="4">
        <f>VLOOKUP(A11,raw!$A$4:$AU$24,$B$2,FALSE)</f>
        <v>1808641748</v>
      </c>
      <c r="C11" s="16">
        <f t="shared" si="0"/>
        <v>1808641748</v>
      </c>
      <c r="D11" s="4">
        <f>C11+(TransNplant!D11-TransNplant!C11)</f>
        <v>1806338136.9856818</v>
      </c>
      <c r="E11" s="4">
        <f>D11+(TransNplant!E11-TransNplant!D11)</f>
        <v>1804038203.8927488</v>
      </c>
      <c r="F11" s="4">
        <f>E11+(TransNplant!F11-TransNplant!E11)</f>
        <v>1801741942.8490703</v>
      </c>
      <c r="G11" s="4">
        <f>F11+(TransNplant!G11-TransNplant!F11)</f>
        <v>1799449347.9918904</v>
      </c>
      <c r="H11" s="4">
        <f>G11+(TransNplant!H11-TransNplant!G11)</f>
        <v>1797160413.467814</v>
      </c>
      <c r="I11" s="4">
        <f>H11+(TransNplant!I11-TransNplant!H11)</f>
        <v>1794875133.4327912</v>
      </c>
      <c r="J11" s="4">
        <f>I11+(TransNplant!J11-TransNplant!I11)</f>
        <v>1792593502.052103</v>
      </c>
      <c r="K11" s="4">
        <f>J11+(TransNplant!K11-TransNplant!J11)</f>
        <v>1790315513.5003457</v>
      </c>
      <c r="L11" s="4">
        <f>K11+(TransNplant!L11-TransNplant!K11)</f>
        <v>1788041161.9614165</v>
      </c>
      <c r="M11" s="4">
        <f>L11+(TransNplant!M11-TransNplant!L11)</f>
        <v>1785770441.6284983</v>
      </c>
    </row>
    <row r="12" spans="1:13" x14ac:dyDescent="0.2">
      <c r="A12" t="str">
        <f>raw!A12</f>
        <v>Florida Power &amp; Light Co.</v>
      </c>
      <c r="B12" s="4">
        <f>VLOOKUP(A12,raw!$A$4:$AU$24,$B$2,FALSE)</f>
        <v>9175499492</v>
      </c>
      <c r="C12" s="16">
        <f t="shared" si="0"/>
        <v>9175499492</v>
      </c>
      <c r="D12" s="4">
        <f>C12+(TransNplant!D12-TransNplant!C12)</f>
        <v>9133388796.7926712</v>
      </c>
      <c r="E12" s="4">
        <f>D12+(TransNplant!E12-TransNplant!D12)</f>
        <v>9091498438.6432037</v>
      </c>
      <c r="F12" s="4">
        <f>E12+(TransNplant!F12-TransNplant!E12)</f>
        <v>9049827264.6753769</v>
      </c>
      <c r="G12" s="4">
        <f>F12+(TransNplant!G12-TransNplant!F12)</f>
        <v>9008374128.0452042</v>
      </c>
      <c r="H12" s="4">
        <f>G12+(TransNplant!H12-TransNplant!G12)</f>
        <v>8967137887.9093609</v>
      </c>
      <c r="I12" s="4">
        <f>H12+(TransNplant!I12-TransNplant!H12)</f>
        <v>8926117409.3937931</v>
      </c>
      <c r="J12" s="4">
        <f>I12+(TransNplant!J12-TransNplant!I12)</f>
        <v>8885311563.5624809</v>
      </c>
      <c r="K12" s="4">
        <f>J12+(TransNplant!K12-TransNplant!J12)</f>
        <v>8844719227.3863697</v>
      </c>
      <c r="L12" s="4">
        <f>K12+(TransNplant!L12-TransNplant!K12)</f>
        <v>8804339283.7124672</v>
      </c>
      <c r="M12" s="4">
        <f>L12+(TransNplant!M12-TransNplant!L12)</f>
        <v>8764170621.2330894</v>
      </c>
    </row>
    <row r="13" spans="1:13" x14ac:dyDescent="0.2">
      <c r="A13" t="str">
        <f>raw!A13</f>
        <v>Gulf Power Co.</v>
      </c>
      <c r="B13" s="4">
        <f>VLOOKUP(A13,raw!$A$4:$AU$24,$B$2,FALSE)</f>
        <v>780218652</v>
      </c>
      <c r="C13" s="16">
        <f t="shared" si="0"/>
        <v>780218652</v>
      </c>
      <c r="D13" s="4">
        <f>C13+(TransNplant!D13-TransNplant!C13)</f>
        <v>779056543.74001503</v>
      </c>
      <c r="E13" s="4">
        <f>D13+(TransNplant!E13-TransNplant!D13)</f>
        <v>777896372.80485988</v>
      </c>
      <c r="F13" s="4">
        <f>E13+(TransNplant!F13-TransNplant!E13)</f>
        <v>776738135.96486342</v>
      </c>
      <c r="G13" s="4">
        <f>F13+(TransNplant!G13-TransNplant!F13)</f>
        <v>775581829.99573874</v>
      </c>
      <c r="H13" s="4">
        <f>G13+(TransNplant!H13-TransNplant!G13)</f>
        <v>774427451.67857385</v>
      </c>
      <c r="I13" s="4">
        <f>H13+(TransNplant!I13-TransNplant!H13)</f>
        <v>773274997.79982305</v>
      </c>
      <c r="J13" s="4">
        <f>I13+(TransNplant!J13-TransNplant!I13)</f>
        <v>772124465.15129805</v>
      </c>
      <c r="K13" s="4">
        <f>J13+(TransNplant!K13-TransNplant!J13)</f>
        <v>770975850.5301584</v>
      </c>
      <c r="L13" s="4">
        <f>K13+(TransNplant!L13-TransNplant!K13)</f>
        <v>769829150.7389034</v>
      </c>
      <c r="M13" s="4">
        <f>L13+(TransNplant!M13-TransNplant!L13)</f>
        <v>768684362.58536291</v>
      </c>
    </row>
    <row r="14" spans="1:13" x14ac:dyDescent="0.2">
      <c r="A14" t="str">
        <f>raw!A14</f>
        <v>Illinois Power Co.</v>
      </c>
      <c r="B14" s="4">
        <f>VLOOKUP(A14,raw!$A$4:$AU$24,$B$2,FALSE)</f>
        <v>1302568484</v>
      </c>
      <c r="C14" s="16">
        <f t="shared" si="0"/>
        <v>1302568484</v>
      </c>
      <c r="D14" s="4">
        <f>C14+(TransNplant!D14-TransNplant!C14)</f>
        <v>1304077088.3093252</v>
      </c>
      <c r="E14" s="4">
        <f>D14+(TransNplant!E14-TransNplant!D14)</f>
        <v>1305587723.5521431</v>
      </c>
      <c r="F14" s="4">
        <f>E14+(TransNplant!F14-TransNplant!E14)</f>
        <v>1307100392.4625642</v>
      </c>
      <c r="G14" s="4">
        <f>F14+(TransNplant!G14-TransNplant!F14)</f>
        <v>1308615097.7783799</v>
      </c>
      <c r="H14" s="4">
        <f>G14+(TransNplant!H14-TransNplant!G14)</f>
        <v>1310131842.2410672</v>
      </c>
      <c r="I14" s="4">
        <f>H14+(TransNplant!I14-TransNplant!H14)</f>
        <v>1311650628.5957935</v>
      </c>
      <c r="J14" s="4">
        <f>I14+(TransNplant!J14-TransNplant!I14)</f>
        <v>1313171459.5914223</v>
      </c>
      <c r="K14" s="4">
        <f>J14+(TransNplant!K14-TransNplant!J14)</f>
        <v>1314694337.9805174</v>
      </c>
      <c r="L14" s="4">
        <f>K14+(TransNplant!L14-TransNplant!K14)</f>
        <v>1316219266.5193481</v>
      </c>
      <c r="M14" s="4">
        <f>L14+(TransNplant!M14-TransNplant!L14)</f>
        <v>1317746247.9678946</v>
      </c>
    </row>
    <row r="15" spans="1:13" x14ac:dyDescent="0.2">
      <c r="A15" t="str">
        <f>raw!A15</f>
        <v>Jersey Central Power &amp; Light Co.</v>
      </c>
      <c r="B15" s="4">
        <f>VLOOKUP(A15,raw!$A$4:$AU$24,$B$2,FALSE)</f>
        <v>3670810341</v>
      </c>
      <c r="C15" s="16">
        <f t="shared" si="0"/>
        <v>3670810341</v>
      </c>
      <c r="D15" s="4">
        <f>C15+(TransNplant!D15-TransNplant!C15)</f>
        <v>3677777515.7820311</v>
      </c>
      <c r="E15" s="4">
        <f>D15+(TransNplant!E15-TransNplant!D15)</f>
        <v>3684760164.8588786</v>
      </c>
      <c r="F15" s="4">
        <f>E15+(TransNplant!F15-TransNplant!E15)</f>
        <v>3691758322.5993943</v>
      </c>
      <c r="G15" s="4">
        <f>F15+(TransNplant!G15-TransNplant!F15)</f>
        <v>3698772023.4487648</v>
      </c>
      <c r="H15" s="4">
        <f>G15+(TransNplant!H15-TransNplant!G15)</f>
        <v>3705801301.9286799</v>
      </c>
      <c r="I15" s="4">
        <f>H15+(TransNplant!I15-TransNplant!H15)</f>
        <v>3712846192.6375041</v>
      </c>
      <c r="J15" s="4">
        <f>I15+(TransNplant!J15-TransNplant!I15)</f>
        <v>3719906730.2504444</v>
      </c>
      <c r="K15" s="4">
        <f>J15+(TransNplant!K15-TransNplant!J15)</f>
        <v>3726982949.5197234</v>
      </c>
      <c r="L15" s="4">
        <f>K15+(TransNplant!L15-TransNplant!K15)</f>
        <v>3734074885.2747493</v>
      </c>
      <c r="M15" s="4">
        <f>L15+(TransNplant!M15-TransNplant!L15)</f>
        <v>3741182572.422287</v>
      </c>
    </row>
    <row r="16" spans="1:13" x14ac:dyDescent="0.2">
      <c r="A16" t="str">
        <f>raw!A16</f>
        <v>Kentucky Utilities Co.</v>
      </c>
      <c r="B16" s="4">
        <f>VLOOKUP(A16,raw!$A$4:$AU$24,$B$2,FALSE)</f>
        <v>1617620333</v>
      </c>
      <c r="C16" s="16">
        <f t="shared" si="0"/>
        <v>1617620333</v>
      </c>
      <c r="D16" s="4">
        <f>C16+(TransNplant!D16-TransNplant!C16)</f>
        <v>1621922066.5925941</v>
      </c>
      <c r="E16" s="4">
        <f>D16+(TransNplant!E16-TransNplant!D16)</f>
        <v>1626235558.4258754</v>
      </c>
      <c r="F16" s="4">
        <f>E16+(TransNplant!F16-TransNplant!E16)</f>
        <v>1630560840.6394966</v>
      </c>
      <c r="G16" s="4">
        <f>F16+(TransNplant!G16-TransNplant!F16)</f>
        <v>1634897945.4609604</v>
      </c>
      <c r="H16" s="4">
        <f>G16+(TransNplant!H16-TransNplant!G16)</f>
        <v>1639246905.2058587</v>
      </c>
      <c r="I16" s="4">
        <f>H16+(TransNplant!I16-TransNplant!H16)</f>
        <v>1643607752.2781143</v>
      </c>
      <c r="J16" s="4">
        <f>I16+(TransNplant!J16-TransNplant!I16)</f>
        <v>1647980519.170222</v>
      </c>
      <c r="K16" s="4">
        <f>J16+(TransNplant!K16-TransNplant!J16)</f>
        <v>1652365238.4634907</v>
      </c>
      <c r="L16" s="4">
        <f>K16+(TransNplant!L16-TransNplant!K16)</f>
        <v>1656761942.8282864</v>
      </c>
      <c r="M16" s="4">
        <f>L16+(TransNplant!M16-TransNplant!L16)</f>
        <v>1661170665.0242746</v>
      </c>
    </row>
    <row r="17" spans="1:13" x14ac:dyDescent="0.2">
      <c r="A17" t="str">
        <f>raw!A17</f>
        <v>Ohio Power Co.</v>
      </c>
      <c r="B17" s="4">
        <f>VLOOKUP(A17,raw!$A$4:$AU$24,$B$2,FALSE)</f>
        <v>4582551998</v>
      </c>
      <c r="C17" s="16">
        <f t="shared" si="0"/>
        <v>4582551998</v>
      </c>
      <c r="D17" s="4">
        <f>C17+(TransNplant!D17-TransNplant!C17)</f>
        <v>4597428973.0254974</v>
      </c>
      <c r="E17" s="4">
        <f>D17+(TransNplant!E17-TransNplant!D17)</f>
        <v>4612362502.3154697</v>
      </c>
      <c r="F17" s="4">
        <f>E17+(TransNplant!F17-TransNplant!E17)</f>
        <v>4627352800.858839</v>
      </c>
      <c r="G17" s="4">
        <f>F17+(TransNplant!G17-TransNplant!F17)</f>
        <v>4642400084.4618015</v>
      </c>
      <c r="H17" s="4">
        <f>G17+(TransNplant!H17-TransNplant!G17)</f>
        <v>4657504569.7509298</v>
      </c>
      <c r="I17" s="4">
        <f>H17+(TransNplant!I17-TransNplant!H17)</f>
        <v>4672666474.1762962</v>
      </c>
      <c r="J17" s="4">
        <f>I17+(TransNplant!J17-TransNplant!I17)</f>
        <v>4687886016.0146008</v>
      </c>
      <c r="K17" s="4">
        <f>J17+(TransNplant!K17-TransNplant!J17)</f>
        <v>4703163414.3723145</v>
      </c>
      <c r="L17" s="4">
        <f>K17+(TransNplant!L17-TransNplant!K17)</f>
        <v>4718498889.1888332</v>
      </c>
      <c r="M17" s="4">
        <f>L17+(TransNplant!M17-TransNplant!L17)</f>
        <v>4733892661.2396431</v>
      </c>
    </row>
    <row r="18" spans="1:13" x14ac:dyDescent="0.2">
      <c r="A18" t="str">
        <f>raw!A18</f>
        <v>PPL Electric Utilities Corp.</v>
      </c>
      <c r="B18" s="4">
        <f>VLOOKUP(A18,raw!$A$4:$AU$24,$B$2,FALSE)</f>
        <v>2169715621</v>
      </c>
      <c r="C18" s="16">
        <f t="shared" si="0"/>
        <v>2169715621</v>
      </c>
      <c r="D18" s="4">
        <f>C18+(TransNplant!D18-TransNplant!C18)</f>
        <v>2174031940.9518714</v>
      </c>
      <c r="E18" s="4">
        <f>D18+(TransNplant!E18-TransNplant!D18)</f>
        <v>2178358413.0497532</v>
      </c>
      <c r="F18" s="4">
        <f>E18+(TransNplant!F18-TransNplant!E18)</f>
        <v>2182695061.1718721</v>
      </c>
      <c r="G18" s="4">
        <f>F18+(TransNplant!G18-TransNplant!F18)</f>
        <v>2187041909.2526188</v>
      </c>
      <c r="H18" s="4">
        <f>G18+(TransNplant!H18-TransNplant!G18)</f>
        <v>2191398981.2826767</v>
      </c>
      <c r="I18" s="4">
        <f>H18+(TransNplant!I18-TransNplant!H18)</f>
        <v>2195766301.3091574</v>
      </c>
      <c r="J18" s="4">
        <f>I18+(TransNplant!J18-TransNplant!I18)</f>
        <v>2200143893.4357319</v>
      </c>
      <c r="K18" s="4">
        <f>J18+(TransNplant!K18-TransNplant!J18)</f>
        <v>2204531781.8227644</v>
      </c>
      <c r="L18" s="4">
        <f>K18+(TransNplant!L18-TransNplant!K18)</f>
        <v>2208929990.6874437</v>
      </c>
      <c r="M18" s="4">
        <f>L18+(TransNplant!M18-TransNplant!L18)</f>
        <v>2213338544.3039203</v>
      </c>
    </row>
    <row r="19" spans="1:13" x14ac:dyDescent="0.2">
      <c r="A19" t="str">
        <f>raw!A19</f>
        <v>Pacific Gas &amp; Electric Co.</v>
      </c>
      <c r="B19" s="4">
        <f>VLOOKUP(A19,raw!$A$4:$AU$24,$B$2,FALSE)</f>
        <v>12009868234</v>
      </c>
      <c r="C19" s="16">
        <f t="shared" si="0"/>
        <v>12009868234</v>
      </c>
      <c r="D19" s="4">
        <f>C19+(TransNplant!D19-TransNplant!C19)</f>
        <v>11963770559.285929</v>
      </c>
      <c r="E19" s="4">
        <f>D19+(TransNplant!E19-TransNplant!D19)</f>
        <v>11917898155.026358</v>
      </c>
      <c r="F19" s="4">
        <f>E19+(TransNplant!F19-TransNplant!E19)</f>
        <v>11872249920.367979</v>
      </c>
      <c r="G19" s="4">
        <f>F19+(TransNplant!G19-TransNplant!F19)</f>
        <v>11826824759.837143</v>
      </c>
      <c r="H19" s="4">
        <f>G19+(TransNplant!H19-TransNplant!G19)</f>
        <v>11781621583.313568</v>
      </c>
      <c r="I19" s="4">
        <f>H19+(TransNplant!I19-TransNplant!H19)</f>
        <v>11736639306.004183</v>
      </c>
      <c r="J19" s="4">
        <f>I19+(TransNplant!J19-TransNplant!I19)</f>
        <v>11691876848.417088</v>
      </c>
      <c r="K19" s="4">
        <f>J19+(TransNplant!K19-TransNplant!J19)</f>
        <v>11647333136.335655</v>
      </c>
      <c r="L19" s="4">
        <f>K19+(TransNplant!L19-TransNplant!K19)</f>
        <v>11603007100.792744</v>
      </c>
      <c r="M19" s="4">
        <f>L19+(TransNplant!M19-TransNplant!L19)</f>
        <v>11558897678.04505</v>
      </c>
    </row>
    <row r="20" spans="1:13" x14ac:dyDescent="0.2">
      <c r="A20" t="str">
        <f>raw!A20</f>
        <v>Public Service Electric &amp; Gas Co.</v>
      </c>
      <c r="B20" s="4">
        <f>VLOOKUP(A20,raw!$A$4:$AU$24,$B$2,FALSE)</f>
        <v>5625597771</v>
      </c>
      <c r="C20" s="16">
        <f t="shared" si="0"/>
        <v>5625597771</v>
      </c>
      <c r="D20" s="4">
        <f>C20+(TransNplant!D20-TransNplant!C20)</f>
        <v>5629227510.7174149</v>
      </c>
      <c r="E20" s="4">
        <f>D20+(TransNplant!E20-TransNplant!D20)</f>
        <v>5632859938.4576559</v>
      </c>
      <c r="F20" s="4">
        <f>E20+(TransNplant!F20-TransNplant!E20)</f>
        <v>5636495056.2113504</v>
      </c>
      <c r="G20" s="4">
        <f>F20+(TransNplant!G20-TransNplant!F20)</f>
        <v>5640132865.9706049</v>
      </c>
      <c r="H20" s="4">
        <f>G20+(TransNplant!H20-TransNplant!G20)</f>
        <v>5643773369.7289963</v>
      </c>
      <c r="I20" s="4">
        <f>H20+(TransNplant!I20-TransNplant!H20)</f>
        <v>5647416569.4815807</v>
      </c>
      <c r="J20" s="4">
        <f>I20+(TransNplant!J20-TransNplant!I20)</f>
        <v>5651062467.2248907</v>
      </c>
      <c r="K20" s="4">
        <f>J20+(TransNplant!K20-TransNplant!J20)</f>
        <v>5654711064.9569378</v>
      </c>
      <c r="L20" s="4">
        <f>K20+(TransNplant!L20-TransNplant!K20)</f>
        <v>5658362364.6772118</v>
      </c>
      <c r="M20" s="4">
        <f>L20+(TransNplant!M20-TransNplant!L20)</f>
        <v>5662016368.3866844</v>
      </c>
    </row>
    <row r="21" spans="1:13" x14ac:dyDescent="0.2">
      <c r="A21" t="str">
        <f>raw!A21</f>
        <v>San Diego Gas &amp; Electric Co.</v>
      </c>
      <c r="B21" s="4">
        <f>VLOOKUP(A21,raw!$A$4:$AU$24,$B$2,FALSE)</f>
        <v>3708048015</v>
      </c>
      <c r="C21" s="16">
        <f t="shared" si="0"/>
        <v>3708048015</v>
      </c>
      <c r="D21" s="4">
        <f>C21+(TransNplant!D21-TransNplant!C21)</f>
        <v>3705410291.7289929</v>
      </c>
      <c r="E21" s="4">
        <f>D21+(TransNplant!E21-TransNplant!D21)</f>
        <v>3702774778.6698613</v>
      </c>
      <c r="F21" s="4">
        <f>E21+(TransNplant!F21-TransNplant!E21)</f>
        <v>3700141473.9706159</v>
      </c>
      <c r="G21" s="4">
        <f>F21+(TransNplant!G21-TransNplant!F21)</f>
        <v>3697510375.780818</v>
      </c>
      <c r="H21" s="4">
        <f>G21+(TransNplant!H21-TransNplant!G21)</f>
        <v>3694881482.2515807</v>
      </c>
      <c r="I21" s="4">
        <f>H21+(TransNplant!I21-TransNplant!H21)</f>
        <v>3692254791.5355659</v>
      </c>
      <c r="J21" s="4">
        <f>I21+(TransNplant!J21-TransNplant!I21)</f>
        <v>3689630301.786983</v>
      </c>
      <c r="K21" s="4">
        <f>J21+(TransNplant!K21-TransNplant!J21)</f>
        <v>3687008011.1615887</v>
      </c>
      <c r="L21" s="4">
        <f>K21+(TransNplant!L21-TransNplant!K21)</f>
        <v>3684387917.8166842</v>
      </c>
      <c r="M21" s="4">
        <f>L21+(TransNplant!M21-TransNplant!L21)</f>
        <v>3681770019.9111161</v>
      </c>
    </row>
    <row r="22" spans="1:13" x14ac:dyDescent="0.2">
      <c r="A22" t="str">
        <f>raw!A22</f>
        <v>Southern California Edison Co.</v>
      </c>
      <c r="B22" s="4">
        <f>VLOOKUP(A22,raw!$A$4:$AU$24,$B$2,FALSE)</f>
        <v>15352301461</v>
      </c>
      <c r="C22" s="16">
        <f t="shared" si="0"/>
        <v>15352301461</v>
      </c>
      <c r="D22" s="4">
        <f>C22+(TransNplant!D22-TransNplant!C22)</f>
        <v>15269853763.684992</v>
      </c>
      <c r="E22" s="4">
        <f>D22+(TransNplant!E22-TransNplant!D22)</f>
        <v>15187925535.284805</v>
      </c>
      <c r="F22" s="4">
        <f>E22+(TransNplant!F22-TransNplant!E22)</f>
        <v>15106513502.840195</v>
      </c>
      <c r="G22" s="4">
        <f>F22+(TransNplant!G22-TransNplant!F22)</f>
        <v>15025614414.013475</v>
      </c>
      <c r="H22" s="4">
        <f>G22+(TransNplant!H22-TransNplant!G22)</f>
        <v>14945225036.958601</v>
      </c>
      <c r="I22" s="4">
        <f>H22+(TransNplant!I22-TransNplant!H22)</f>
        <v>14865342160.192057</v>
      </c>
      <c r="J22" s="4">
        <f>I22+(TransNplant!J22-TransNplant!I22)</f>
        <v>14785962592.464556</v>
      </c>
      <c r="K22" s="4">
        <f>J22+(TransNplant!K22-TransNplant!J22)</f>
        <v>14707083162.633556</v>
      </c>
      <c r="L22" s="4">
        <f>K22+(TransNplant!L22-TransNplant!K22)</f>
        <v>14628700719.536579</v>
      </c>
      <c r="M22" s="4">
        <f>L22+(TransNplant!M22-TransNplant!L22)</f>
        <v>14550812131.865318</v>
      </c>
    </row>
    <row r="23" spans="1:13" x14ac:dyDescent="0.2">
      <c r="A23" t="str">
        <f>raw!A23</f>
        <v>Southwestern Public Service Co.</v>
      </c>
      <c r="B23" s="4">
        <f>VLOOKUP(A23,raw!$A$4:$AU$24,$B$2,FALSE)</f>
        <v>1989640880</v>
      </c>
      <c r="C23" s="16">
        <f t="shared" si="0"/>
        <v>1989640880</v>
      </c>
      <c r="D23" s="4">
        <f>C23+(TransNplant!D23-TransNplant!C23)</f>
        <v>1991314404.7861865</v>
      </c>
      <c r="E23" s="4">
        <f>D23+(TransNplant!E23-TransNplant!D23)</f>
        <v>1992989649.680408</v>
      </c>
      <c r="F23" s="4">
        <f>E23+(TransNplant!F23-TransNplant!E23)</f>
        <v>1994666616.4506526</v>
      </c>
      <c r="G23" s="4">
        <f>F23+(TransNplant!G23-TransNplant!F23)</f>
        <v>1996345306.8667254</v>
      </c>
      <c r="H23" s="4">
        <f>G23+(TransNplant!H23-TransNplant!G23)</f>
        <v>1998025722.7002506</v>
      </c>
      <c r="I23" s="4">
        <f>H23+(TransNplant!I23-TransNplant!H23)</f>
        <v>1999707865.7246733</v>
      </c>
      <c r="J23" s="4">
        <f>I23+(TransNplant!J23-TransNplant!I23)</f>
        <v>2001391737.7152615</v>
      </c>
      <c r="K23" s="4">
        <f>J23+(TransNplant!K23-TransNplant!J23)</f>
        <v>2003077340.4491079</v>
      </c>
      <c r="L23" s="4">
        <f>K23+(TransNplant!L23-TransNplant!K23)</f>
        <v>2004764675.7051318</v>
      </c>
      <c r="M23" s="4">
        <f>L23+(TransNplant!M23-TransNplant!L23)</f>
        <v>2006453745.2640805</v>
      </c>
    </row>
    <row r="24" spans="1:13" x14ac:dyDescent="0.2">
      <c r="A24" t="str">
        <f>raw!A24</f>
        <v>TXU Electric Co.</v>
      </c>
      <c r="B24" s="4">
        <f>VLOOKUP(A24,raw!$A$4:$AU$24,$B$2,FALSE)</f>
        <v>8426682514</v>
      </c>
      <c r="C24" s="16">
        <f t="shared" si="0"/>
        <v>8426682514</v>
      </c>
      <c r="D24" s="4">
        <f>C24+(TransNplant!D24-TransNplant!C24)</f>
        <v>8455366918.9656076</v>
      </c>
      <c r="E24" s="4">
        <f>D24+(TransNplant!E24-TransNplant!D24)</f>
        <v>8484159154.6236305</v>
      </c>
      <c r="F24" s="4">
        <f>E24+(TransNplant!F24-TransNplant!E24)</f>
        <v>8513059626.3322506</v>
      </c>
      <c r="G24" s="4">
        <f>F24+(TransNplant!G24-TransNplant!F24)</f>
        <v>8542068740.9734745</v>
      </c>
      <c r="H24" s="4">
        <f>G24+(TransNplant!H24-TransNplant!G24)</f>
        <v>8571186906.9588661</v>
      </c>
      <c r="I24" s="4">
        <f>H24+(TransNplant!I24-TransNplant!H24)</f>
        <v>8600414534.2352905</v>
      </c>
      <c r="J24" s="4">
        <f>I24+(TransNplant!J24-TransNplant!I24)</f>
        <v>8629752034.2906914</v>
      </c>
      <c r="K24" s="4">
        <f>J24+(TransNplant!K24-TransNplant!J24)</f>
        <v>8659199820.1598835</v>
      </c>
      <c r="L24" s="4">
        <f>K24+(TransNplant!L24-TransNplant!K24)</f>
        <v>8688758306.4303627</v>
      </c>
      <c r="M24" s="4">
        <f>L24+(TransNplant!M24-TransNplant!L24)</f>
        <v>8718427909.2481461</v>
      </c>
    </row>
  </sheetData>
  <pageMargins left="0.75" right="0.75" top="1" bottom="1" header="0.5" footer="0.5"/>
  <pageSetup scale="56" orientation="landscape" verticalDpi="0" r:id="rId1"/>
  <headerFooter alignWithMargins="0">
    <oddFooter>Page &amp;P&amp;R&amp;A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workbookViewId="0">
      <selection activeCell="E25" sqref="E25"/>
    </sheetView>
  </sheetViews>
  <sheetFormatPr defaultRowHeight="12.75" x14ac:dyDescent="0.2"/>
  <cols>
    <col min="1" max="1" width="36.140625" bestFit="1" customWidth="1"/>
    <col min="2" max="13" width="14.85546875" bestFit="1" customWidth="1"/>
  </cols>
  <sheetData>
    <row r="1" spans="1:13" x14ac:dyDescent="0.2">
      <c r="A1" t="s">
        <v>522</v>
      </c>
    </row>
    <row r="2" spans="1:13" x14ac:dyDescent="0.2">
      <c r="B2">
        <v>12</v>
      </c>
    </row>
    <row r="3" spans="1:13" x14ac:dyDescent="0.2">
      <c r="A3" s="8" t="s">
        <v>177</v>
      </c>
      <c r="B3" s="8">
        <v>1998</v>
      </c>
      <c r="C3" s="8">
        <v>2000</v>
      </c>
      <c r="D3" s="8">
        <v>2001</v>
      </c>
      <c r="E3" s="8">
        <v>2002</v>
      </c>
      <c r="F3" s="8">
        <v>2003</v>
      </c>
      <c r="G3" s="8">
        <v>2004</v>
      </c>
      <c r="H3" s="8">
        <v>2005</v>
      </c>
      <c r="I3" s="8">
        <v>2006</v>
      </c>
      <c r="J3" s="8">
        <v>2007</v>
      </c>
      <c r="K3" s="8">
        <v>2008</v>
      </c>
      <c r="L3" s="8">
        <v>2009</v>
      </c>
      <c r="M3" s="8">
        <v>2010</v>
      </c>
    </row>
    <row r="4" spans="1:13" x14ac:dyDescent="0.2">
      <c r="A4" t="str">
        <f>raw!A4</f>
        <v>Boston Edison Co.</v>
      </c>
      <c r="B4" s="4">
        <f>VLOOKUP(A4,raw!$A$4:$AU$24,$B$2,FALSE)</f>
        <v>8270510598</v>
      </c>
      <c r="C4" s="16">
        <f>B4</f>
        <v>8270510598</v>
      </c>
      <c r="D4" s="4">
        <f>C4+(DistNplant!D4-DistNplant!C4)</f>
        <v>8363361390.0273008</v>
      </c>
      <c r="E4" s="4">
        <f>D4+(DistNplant!E4-DistNplant!D4)</f>
        <v>8457382780.6766739</v>
      </c>
      <c r="F4" s="4">
        <f>E4+(DistNplant!F4-DistNplant!E4)</f>
        <v>8552589528.0466156</v>
      </c>
      <c r="G4" s="4">
        <f>F4+(DistNplant!G4-DistNplant!F4)</f>
        <v>8648996576.2955246</v>
      </c>
      <c r="H4" s="4">
        <f>G4+(DistNplant!H4-DistNplant!G4)</f>
        <v>8746619057.9874268</v>
      </c>
      <c r="I4" s="4">
        <f>H4+(DistNplant!I4-DistNplant!H4)</f>
        <v>8845472296.4672565</v>
      </c>
      <c r="J4" s="4">
        <f>I4+(DistNplant!J4-DistNplant!I4)</f>
        <v>8945571808.2660904</v>
      </c>
      <c r="K4" s="4">
        <f>J4+(DistNplant!K4-DistNplant!J4)</f>
        <v>9046933305.536705</v>
      </c>
      <c r="L4" s="4">
        <f>K4+(DistNplant!L4-DistNplant!K4)</f>
        <v>9149572698.5198441</v>
      </c>
      <c r="M4" s="4">
        <f>L4+(DistNplant!M4-DistNplant!L4)</f>
        <v>9253506098.0415726</v>
      </c>
    </row>
    <row r="5" spans="1:13" x14ac:dyDescent="0.2">
      <c r="A5" t="str">
        <f>raw!A5</f>
        <v>Carolina Power &amp; Light Co.</v>
      </c>
      <c r="B5" s="4">
        <f>VLOOKUP(A5,raw!$A$4:$AU$24,$B$2,FALSE)</f>
        <v>11579944582</v>
      </c>
      <c r="C5" s="16">
        <f t="shared" ref="C5:C24" si="0">B5</f>
        <v>11579944582</v>
      </c>
      <c r="D5" s="4">
        <f>C5+(DistNplant!D5-DistNplant!C5)</f>
        <v>11730255872.843843</v>
      </c>
      <c r="E5" s="4">
        <f>D5+(DistNplant!E5-DistNplant!D5)</f>
        <v>11882780793.271797</v>
      </c>
      <c r="F5" s="4">
        <f>E5+(DistNplant!F5-DistNplant!E5)</f>
        <v>12037551943.336115</v>
      </c>
      <c r="G5" s="4">
        <f>F5+(DistNplant!G5-DistNplant!F5)</f>
        <v>12194602403.188978</v>
      </c>
      <c r="H5" s="4">
        <f>G5+(DistNplant!H5-DistNplant!G5)</f>
        <v>12353965740.152916</v>
      </c>
      <c r="I5" s="4">
        <f>H5+(DistNplant!I5-DistNplant!H5)</f>
        <v>12515676015.895342</v>
      </c>
      <c r="J5" s="4">
        <f>I5+(DistNplant!J5-DistNplant!I5)</f>
        <v>12679767793.708761</v>
      </c>
      <c r="K5" s="4">
        <f>J5+(DistNplant!K5-DistNplant!J5)</f>
        <v>12846276145.898184</v>
      </c>
      <c r="L5" s="4">
        <f>K5+(DistNplant!L5-DistNplant!K5)</f>
        <v>13015236661.277338</v>
      </c>
      <c r="M5" s="4">
        <f>L5+(DistNplant!M5-DistNplant!L5)</f>
        <v>13186685452.775274</v>
      </c>
    </row>
    <row r="6" spans="1:13" x14ac:dyDescent="0.2">
      <c r="A6" t="str">
        <f>raw!A6</f>
        <v>Central Hudson Gas &amp; Electric Corp.</v>
      </c>
      <c r="B6" s="4">
        <f>VLOOKUP(A6,raw!$A$4:$AU$24,$B$2,FALSE)</f>
        <v>1825659661</v>
      </c>
      <c r="C6" s="16">
        <f t="shared" si="0"/>
        <v>1825659661</v>
      </c>
      <c r="D6" s="4">
        <f>C6+(DistNplant!D6-DistNplant!C6)</f>
        <v>1848759339.9107089</v>
      </c>
      <c r="E6" s="4">
        <f>D6+(DistNplant!E6-DistNplant!D6)</f>
        <v>1872207319.3207495</v>
      </c>
      <c r="F6" s="4">
        <f>E6+(DistNplant!F6-DistNplant!E6)</f>
        <v>1896008850.9584386</v>
      </c>
      <c r="G6" s="4">
        <f>F6+(DistNplant!G6-DistNplant!F6)</f>
        <v>1920169265.7384567</v>
      </c>
      <c r="H6" s="4">
        <f>G6+(DistNplant!H6-DistNplant!G6)</f>
        <v>1944693974.9558337</v>
      </c>
      <c r="I6" s="4">
        <f>H6+(DistNplant!I6-DistNplant!H6)</f>
        <v>1969588471.4979351</v>
      </c>
      <c r="J6" s="4">
        <f>I6+(DistNplant!J6-DistNplant!I6)</f>
        <v>1994858331.0747237</v>
      </c>
      <c r="K6" s="4">
        <f>J6+(DistNplant!K6-DistNplant!J6)</f>
        <v>2020509213.4675727</v>
      </c>
      <c r="L6" s="4">
        <f>K6+(DistNplant!L6-DistNplant!K6)</f>
        <v>2046546863.7969055</v>
      </c>
      <c r="M6" s="4">
        <f>L6+(DistNplant!M6-DistNplant!L6)</f>
        <v>2072977113.8089521</v>
      </c>
    </row>
    <row r="7" spans="1:13" x14ac:dyDescent="0.2">
      <c r="A7" t="str">
        <f>raw!A7</f>
        <v>Commonwealth Edison Co.</v>
      </c>
      <c r="B7" s="4">
        <f>VLOOKUP(A7,raw!$A$4:$AU$24,$B$2,FALSE)</f>
        <v>19529193194</v>
      </c>
      <c r="C7" s="16">
        <f t="shared" si="0"/>
        <v>19529193194</v>
      </c>
      <c r="D7" s="4">
        <f>C7+(DistNplant!D7-DistNplant!C7)</f>
        <v>19837429898.64362</v>
      </c>
      <c r="E7" s="4">
        <f>D7+(DistNplant!E7-DistNplant!D7)</f>
        <v>20151215619.228546</v>
      </c>
      <c r="F7" s="4">
        <f>E7+(DistNplant!F7-DistNplant!E7)</f>
        <v>20470650251.638214</v>
      </c>
      <c r="G7" s="4">
        <f>F7+(DistNplant!G7-DistNplant!F7)</f>
        <v>20795835490.126728</v>
      </c>
      <c r="H7" s="4">
        <f>G7+(DistNplant!H7-DistNplant!G7)</f>
        <v>21126874859.693947</v>
      </c>
      <c r="I7" s="4">
        <f>H7+(DistNplant!I7-DistNplant!H7)</f>
        <v>21463873749.043385</v>
      </c>
      <c r="J7" s="4">
        <f>I7+(DistNplant!J7-DistNplant!I7)</f>
        <v>21806939444.133446</v>
      </c>
      <c r="K7" s="4">
        <f>J7+(DistNplant!K7-DistNplant!J7)</f>
        <v>22156181162.332672</v>
      </c>
      <c r="L7" s="4">
        <f>K7+(DistNplant!L7-DistNplant!K7)</f>
        <v>22511710087.189838</v>
      </c>
      <c r="M7" s="4">
        <f>L7+(DistNplant!M7-DistNplant!L7)</f>
        <v>22873639403.830032</v>
      </c>
    </row>
    <row r="8" spans="1:13" x14ac:dyDescent="0.2">
      <c r="A8" t="str">
        <f>raw!A8</f>
        <v>Consolidated Edison Co. of New York, Inc.</v>
      </c>
      <c r="B8" s="4">
        <f>VLOOKUP(A8,raw!$A$4:$AU$24,$B$2,FALSE)</f>
        <v>42479545965</v>
      </c>
      <c r="C8" s="16">
        <f t="shared" si="0"/>
        <v>42479545965</v>
      </c>
      <c r="D8" s="4">
        <f>C8+(DistNplant!D8-DistNplant!C8)</f>
        <v>42860149162.778755</v>
      </c>
      <c r="E8" s="4">
        <f>D8+(DistNplant!E8-DistNplant!D8)</f>
        <v>43244923502.864998</v>
      </c>
      <c r="F8" s="4">
        <f>E8+(DistNplant!F8-DistNplant!E8)</f>
        <v>43633914698.033211</v>
      </c>
      <c r="G8" s="4">
        <f>F8+(DistNplant!G8-DistNplant!F8)</f>
        <v>44027168962.037621</v>
      </c>
      <c r="H8" s="4">
        <f>G8+(DistNplant!H8-DistNplant!G8)</f>
        <v>44424733015.102554</v>
      </c>
      <c r="I8" s="4">
        <f>H8+(DistNplant!I8-DistNplant!H8)</f>
        <v>44826654089.473007</v>
      </c>
      <c r="J8" s="4">
        <f>I8+(DistNplant!J8-DistNplant!I8)</f>
        <v>45232979935.026054</v>
      </c>
      <c r="K8" s="4">
        <f>J8+(DistNplant!K8-DistNplant!J8)</f>
        <v>45643758824.94368</v>
      </c>
      <c r="L8" s="4">
        <f>K8+(DistNplant!L8-DistNplant!K8)</f>
        <v>46059039561.447868</v>
      </c>
      <c r="M8" s="4">
        <f>L8+(DistNplant!M8-DistNplant!L8)</f>
        <v>46478871481.598511</v>
      </c>
    </row>
    <row r="9" spans="1:13" x14ac:dyDescent="0.2">
      <c r="A9" t="str">
        <f>raw!A9</f>
        <v>Consumers Energy Co.</v>
      </c>
      <c r="B9" s="4">
        <f>VLOOKUP(A9,raw!$A$4:$AU$24,$B$2,FALSE)</f>
        <v>10777024080</v>
      </c>
      <c r="C9" s="16">
        <f t="shared" si="0"/>
        <v>10777024080</v>
      </c>
      <c r="D9" s="4">
        <f>C9+(DistNplant!D9-DistNplant!C9)</f>
        <v>10909524969.42486</v>
      </c>
      <c r="E9" s="4">
        <f>D9+(DistNplant!E9-DistNplant!D9)</f>
        <v>11043987630.270914</v>
      </c>
      <c r="F9" s="4">
        <f>E9+(DistNplant!F9-DistNplant!E9)</f>
        <v>11180441107.981749</v>
      </c>
      <c r="G9" s="4">
        <f>F9+(DistNplant!G9-DistNplant!F9)</f>
        <v>11318914878.039734</v>
      </c>
      <c r="H9" s="4">
        <f>G9+(DistNplant!H9-DistNplant!G9)</f>
        <v>11459438852.333055</v>
      </c>
      <c r="I9" s="4">
        <f>H9+(DistNplant!I9-DistNplant!H9)</f>
        <v>11602043385.617022</v>
      </c>
      <c r="J9" s="4">
        <f>I9+(DistNplant!J9-DistNplant!I9)</f>
        <v>11746759282.071028</v>
      </c>
      <c r="K9" s="4">
        <f>J9+(DistNplant!K9-DistNplant!J9)</f>
        <v>11893617801.952606</v>
      </c>
      <c r="L9" s="4">
        <f>K9+(DistNplant!L9-DistNplant!K9)</f>
        <v>12042650668.349995</v>
      </c>
      <c r="M9" s="4">
        <f>L9+(DistNplant!M9-DistNplant!L9)</f>
        <v>12193890074.034674</v>
      </c>
    </row>
    <row r="10" spans="1:13" x14ac:dyDescent="0.2">
      <c r="A10" t="str">
        <f>raw!A10</f>
        <v>Duke Energy Corp.</v>
      </c>
      <c r="B10" s="4">
        <f>VLOOKUP(A10,raw!$A$4:$AU$24,$B$2,FALSE)</f>
        <v>23145067899</v>
      </c>
      <c r="C10" s="16">
        <f t="shared" si="0"/>
        <v>23145067899</v>
      </c>
      <c r="D10" s="4">
        <f>C10+(DistNplant!D10-DistNplant!C10)</f>
        <v>23348797603.980289</v>
      </c>
      <c r="E10" s="4">
        <f>D10+(DistNplant!E10-DistNplant!D10)</f>
        <v>23554608886.560081</v>
      </c>
      <c r="F10" s="4">
        <f>E10+(DistNplant!F10-DistNplant!E10)</f>
        <v>23762523014.945221</v>
      </c>
      <c r="G10" s="4">
        <f>F10+(DistNplant!G10-DistNplant!F10)</f>
        <v>23972561474.646248</v>
      </c>
      <c r="H10" s="4">
        <f>G10+(DistNplant!H10-DistNplant!G10)</f>
        <v>24184745970.698673</v>
      </c>
      <c r="I10" s="4">
        <f>H10+(DistNplant!I10-DistNplant!H10)</f>
        <v>24399098429.905941</v>
      </c>
      <c r="J10" s="4">
        <f>I10+(DistNplant!J10-DistNplant!I10)</f>
        <v>24615641003.105309</v>
      </c>
      <c r="K10" s="4">
        <f>J10+(DistNplant!K10-DistNplant!J10)</f>
        <v>24834396067.456879</v>
      </c>
      <c r="L10" s="4">
        <f>K10+(DistNplant!L10-DistNplant!K10)</f>
        <v>25055386228.756027</v>
      </c>
      <c r="M10" s="4">
        <f>L10+(DistNplant!M10-DistNplant!L10)</f>
        <v>25278634323.769432</v>
      </c>
    </row>
    <row r="11" spans="1:13" x14ac:dyDescent="0.2">
      <c r="A11" t="str">
        <f>raw!A11</f>
        <v>Entergy Mississippi, Inc.</v>
      </c>
      <c r="B11" s="4">
        <f>VLOOKUP(A11,raw!$A$4:$AU$24,$B$2,FALSE)</f>
        <v>2425588514</v>
      </c>
      <c r="C11" s="16">
        <f t="shared" si="0"/>
        <v>2425588514</v>
      </c>
      <c r="D11" s="4">
        <f>C11+(DistNplant!D11-DistNplant!C11)</f>
        <v>2449883407.7406616</v>
      </c>
      <c r="E11" s="4">
        <f>D11+(DistNplant!E11-DistNplant!D11)</f>
        <v>2474494254.967165</v>
      </c>
      <c r="F11" s="4">
        <f>E11+(DistNplant!F11-DistNplant!E11)</f>
        <v>2499425164.6336908</v>
      </c>
      <c r="G11" s="4">
        <f>F11+(DistNplant!G11-DistNplant!F11)</f>
        <v>2524680299.1310978</v>
      </c>
      <c r="H11" s="4">
        <f>G11+(DistNplant!H11-DistNplant!G11)</f>
        <v>2550263874.9818616</v>
      </c>
      <c r="I11" s="4">
        <f>H11+(DistNplant!I11-DistNplant!H11)</f>
        <v>2576180163.544055</v>
      </c>
      <c r="J11" s="4">
        <f>I11+(DistNplant!J11-DistNplant!I11)</f>
        <v>2602433491.7244782</v>
      </c>
      <c r="K11" s="4">
        <f>J11+(DistNplant!K11-DistNplant!J11)</f>
        <v>2629028242.7010698</v>
      </c>
      <c r="L11" s="4">
        <f>K11+(DistNplant!L11-DistNplant!K11)</f>
        <v>2655968856.6547065</v>
      </c>
      <c r="M11" s="4">
        <f>L11+(DistNplant!M11-DistNplant!L11)</f>
        <v>2683259831.5105238</v>
      </c>
    </row>
    <row r="12" spans="1:13" x14ac:dyDescent="0.2">
      <c r="A12" t="str">
        <f>raw!A12</f>
        <v>Florida Power &amp; Light Co.</v>
      </c>
      <c r="B12" s="4">
        <f>VLOOKUP(A12,raw!$A$4:$AU$24,$B$2,FALSE)</f>
        <v>27458476707</v>
      </c>
      <c r="C12" s="16">
        <f t="shared" si="0"/>
        <v>27458476707</v>
      </c>
      <c r="D12" s="4">
        <f>C12+(DistNplant!D12-DistNplant!C12)</f>
        <v>27695003352.74279</v>
      </c>
      <c r="E12" s="4">
        <f>D12+(DistNplant!E12-DistNplant!D12)</f>
        <v>27933814224.130207</v>
      </c>
      <c r="F12" s="4">
        <f>E12+(DistNplant!F12-DistNplant!E12)</f>
        <v>28174931380.777477</v>
      </c>
      <c r="G12" s="4">
        <f>F12+(DistNplant!G12-DistNplant!F12)</f>
        <v>28418377095.337723</v>
      </c>
      <c r="H12" s="4">
        <f>G12+(DistNplant!H12-DistNplant!G12)</f>
        <v>28664173855.559345</v>
      </c>
      <c r="I12" s="4">
        <f>H12+(DistNplant!I12-DistNplant!H12)</f>
        <v>28912344366.363281</v>
      </c>
      <c r="J12" s="4">
        <f>I12+(DistNplant!J12-DistNplant!I12)</f>
        <v>29162911551.940323</v>
      </c>
      <c r="K12" s="4">
        <f>J12+(DistNplant!K12-DistNplant!J12)</f>
        <v>29415898557.868683</v>
      </c>
      <c r="L12" s="4">
        <f>K12+(DistNplant!L12-DistNplant!K12)</f>
        <v>29671328753.252018</v>
      </c>
      <c r="M12" s="4">
        <f>L12+(DistNplant!M12-DistNplant!L12)</f>
        <v>29929225732.878094</v>
      </c>
    </row>
    <row r="13" spans="1:13" x14ac:dyDescent="0.2">
      <c r="A13" t="str">
        <f>raw!A13</f>
        <v>Gulf Power Co.</v>
      </c>
      <c r="B13" s="4">
        <f>VLOOKUP(A13,raw!$A$4:$AU$24,$B$2,FALSE)</f>
        <v>2641744857</v>
      </c>
      <c r="C13" s="16">
        <f t="shared" si="0"/>
        <v>2641744857</v>
      </c>
      <c r="D13" s="4">
        <f>C13+(DistNplant!D13-DistNplant!C13)</f>
        <v>2673301317.5569067</v>
      </c>
      <c r="E13" s="4">
        <f>D13+(DistNplant!E13-DistNplant!D13)</f>
        <v>2705276745.7259555</v>
      </c>
      <c r="F13" s="4">
        <f>E13+(DistNplant!F13-DistNplant!E13)</f>
        <v>2737676704.0403628</v>
      </c>
      <c r="G13" s="4">
        <f>F13+(DistNplant!G13-DistNplant!F13)</f>
        <v>2770506828.8857727</v>
      </c>
      <c r="H13" s="4">
        <f>G13+(DistNplant!H13-DistNplant!G13)</f>
        <v>2803772831.4807801</v>
      </c>
      <c r="I13" s="4">
        <f>H13+(DistNplant!I13-DistNplant!H13)</f>
        <v>2837480498.8704696</v>
      </c>
      <c r="J13" s="4">
        <f>I13+(DistNplant!J13-DistNplant!I13)</f>
        <v>2871635694.9331441</v>
      </c>
      <c r="K13" s="4">
        <f>J13+(DistNplant!K13-DistNplant!J13)</f>
        <v>2906244361.4004235</v>
      </c>
      <c r="L13" s="4">
        <f>K13+(DistNplant!L13-DistNplant!K13)</f>
        <v>2941312518.890883</v>
      </c>
      <c r="M13" s="4">
        <f>L13+(DistNplant!M13-DistNplant!L13)</f>
        <v>2976846267.9574161</v>
      </c>
    </row>
    <row r="14" spans="1:13" x14ac:dyDescent="0.2">
      <c r="A14" t="str">
        <f>raw!A14</f>
        <v>Illinois Power Co.</v>
      </c>
      <c r="B14" s="4">
        <f>VLOOKUP(A14,raw!$A$4:$AU$24,$B$2,FALSE)</f>
        <v>4360832682</v>
      </c>
      <c r="C14" s="16">
        <f t="shared" si="0"/>
        <v>4360832682</v>
      </c>
      <c r="D14" s="4">
        <f>C14+(DistNplant!D14-DistNplant!C14)</f>
        <v>4419521590.4841022</v>
      </c>
      <c r="E14" s="4">
        <f>D14+(DistNplant!E14-DistNplant!D14)</f>
        <v>4479148952.5244293</v>
      </c>
      <c r="F14" s="4">
        <f>E14+(DistNplant!F14-DistNplant!E14)</f>
        <v>4539729774.2797251</v>
      </c>
      <c r="G14" s="4">
        <f>F14+(DistNplant!G14-DistNplant!F14)</f>
        <v>4601279301.8617897</v>
      </c>
      <c r="H14" s="4">
        <f>G14+(DistNplant!H14-DistNplant!G14)</f>
        <v>4663813025.1724062</v>
      </c>
      <c r="I14" s="4">
        <f>H14+(DistNplant!I14-DistNplant!H14)</f>
        <v>4727346681.8016109</v>
      </c>
      <c r="J14" s="4">
        <f>I14+(DistNplant!J14-DistNplant!I14)</f>
        <v>4791896260.9883099</v>
      </c>
      <c r="K14" s="4">
        <f>J14+(DistNplant!K14-DistNplant!J14)</f>
        <v>4857478007.6442165</v>
      </c>
      <c r="L14" s="4">
        <f>K14+(DistNplant!L14-DistNplant!K14)</f>
        <v>4924108426.4421406</v>
      </c>
      <c r="M14" s="4">
        <f>L14+(DistNplant!M14-DistNplant!L14)</f>
        <v>4991804285.9696465</v>
      </c>
    </row>
    <row r="15" spans="1:13" x14ac:dyDescent="0.2">
      <c r="A15" t="str">
        <f>raw!A15</f>
        <v>Jersey Central Power &amp; Light Co.</v>
      </c>
      <c r="B15" s="4">
        <f>VLOOKUP(A15,raw!$A$4:$AU$24,$B$2,FALSE)</f>
        <v>9589634295</v>
      </c>
      <c r="C15" s="16">
        <f t="shared" si="0"/>
        <v>9589634295</v>
      </c>
      <c r="D15" s="4">
        <f>C15+(DistNplant!D15-DistNplant!C15)</f>
        <v>9727831120.0038643</v>
      </c>
      <c r="E15" s="4">
        <f>D15+(DistNplant!E15-DistNplant!D15)</f>
        <v>9868390182.2752514</v>
      </c>
      <c r="F15" s="4">
        <f>E15+(DistNplant!F15-DistNplant!E15)</f>
        <v>10011351860.201347</v>
      </c>
      <c r="G15" s="4">
        <f>F15+(DistNplant!G15-DistNplant!F15)</f>
        <v>10156757222.368488</v>
      </c>
      <c r="H15" s="4">
        <f>G15+(DistNplant!H15-DistNplant!G15)</f>
        <v>10304648039.359928</v>
      </c>
      <c r="I15" s="4">
        <f>H15+(DistNplant!I15-DistNplant!H15)</f>
        <v>10455066795.75527</v>
      </c>
      <c r="J15" s="4">
        <f>I15+(DistNplant!J15-DistNplant!I15)</f>
        <v>10608056702.335007</v>
      </c>
      <c r="K15" s="4">
        <f>J15+(DistNplant!K15-DistNplant!J15)</f>
        <v>10763661708.493673</v>
      </c>
      <c r="L15" s="4">
        <f>K15+(DistNplant!L15-DistNplant!K15)</f>
        <v>10921926514.865194</v>
      </c>
      <c r="M15" s="4">
        <f>L15+(DistNplant!M15-DistNplant!L15)</f>
        <v>11082896586.164021</v>
      </c>
    </row>
    <row r="16" spans="1:13" x14ac:dyDescent="0.2">
      <c r="A16" t="str">
        <f>raw!A16</f>
        <v>Kentucky Utilities Co.</v>
      </c>
      <c r="B16" s="4">
        <f>VLOOKUP(A16,raw!$A$4:$AU$24,$B$2,FALSE)</f>
        <v>2795251451</v>
      </c>
      <c r="C16" s="16">
        <f t="shared" si="0"/>
        <v>2795251451</v>
      </c>
      <c r="D16" s="4">
        <f>C16+(DistNplant!D16-DistNplant!C16)</f>
        <v>2842835764.1845365</v>
      </c>
      <c r="E16" s="4">
        <f>D16+(DistNplant!E16-DistNplant!D16)</f>
        <v>2891260900.4415832</v>
      </c>
      <c r="F16" s="4">
        <f>E16+(DistNplant!F16-DistNplant!E16)</f>
        <v>2940541717.2607617</v>
      </c>
      <c r="G16" s="4">
        <f>F16+(DistNplant!G16-DistNplant!F16)</f>
        <v>2990693334.6661134</v>
      </c>
      <c r="H16" s="4">
        <f>G16+(DistNplant!H16-DistNplant!G16)</f>
        <v>3041731139.8551283</v>
      </c>
      <c r="I16" s="4">
        <f>H16+(DistNplant!I16-DistNplant!H16)</f>
        <v>3093670791.9197469</v>
      </c>
      <c r="J16" s="4">
        <f>I16+(DistNplant!J16-DistNplant!I16)</f>
        <v>3146528226.6507821</v>
      </c>
      <c r="K16" s="4">
        <f>J16+(DistNplant!K16-DistNplant!J16)</f>
        <v>3200319661.4272361</v>
      </c>
      <c r="L16" s="4">
        <f>K16+(DistNplant!L16-DistNplant!K16)</f>
        <v>3255061600.1920128</v>
      </c>
      <c r="M16" s="4">
        <f>L16+(DistNplant!M16-DistNplant!L16)</f>
        <v>3310770838.5155511</v>
      </c>
    </row>
    <row r="17" spans="1:13" x14ac:dyDescent="0.2">
      <c r="A17" t="str">
        <f>raw!A17</f>
        <v>Ohio Power Co.</v>
      </c>
      <c r="B17" s="4">
        <f>VLOOKUP(A17,raw!$A$4:$AU$24,$B$2,FALSE)</f>
        <v>5370332356</v>
      </c>
      <c r="C17" s="16">
        <f t="shared" si="0"/>
        <v>5370332356</v>
      </c>
      <c r="D17" s="4">
        <f>C17+(DistNplant!D17-DistNplant!C17)</f>
        <v>5456555947.4085417</v>
      </c>
      <c r="E17" s="4">
        <f>D17+(DistNplant!E17-DistNplant!D17)</f>
        <v>5544399153.6835489</v>
      </c>
      <c r="F17" s="4">
        <f>E17+(DistNplant!F17-DistNplant!E17)</f>
        <v>5633892397.5002174</v>
      </c>
      <c r="G17" s="4">
        <f>F17+(DistNplant!G17-DistNplant!F17)</f>
        <v>5725066672.9900732</v>
      </c>
      <c r="H17" s="4">
        <f>G17+(DistNplant!H17-DistNplant!G17)</f>
        <v>5817953556.4751463</v>
      </c>
      <c r="I17" s="4">
        <f>H17+(DistNplant!I17-DistNplant!H17)</f>
        <v>5912585217.4037762</v>
      </c>
      <c r="J17" s="4">
        <f>I17+(DistNplant!J17-DistNplant!I17)</f>
        <v>6008994429.4918327</v>
      </c>
      <c r="K17" s="4">
        <f>J17+(DistNplant!K17-DistNplant!J17)</f>
        <v>6107214582.0732193</v>
      </c>
      <c r="L17" s="4">
        <f>K17+(DistNplant!L17-DistNplant!K17)</f>
        <v>6207279691.6635714</v>
      </c>
      <c r="M17" s="4">
        <f>L17+(DistNplant!M17-DistNplant!L17)</f>
        <v>6309224413.7411728</v>
      </c>
    </row>
    <row r="18" spans="1:13" x14ac:dyDescent="0.2">
      <c r="A18" t="str">
        <f>raw!A18</f>
        <v>PPL Electric Utilities Corp.</v>
      </c>
      <c r="B18" s="4">
        <f>VLOOKUP(A18,raw!$A$4:$AU$24,$B$2,FALSE)</f>
        <v>12488509038</v>
      </c>
      <c r="C18" s="16">
        <f t="shared" si="0"/>
        <v>12488509038</v>
      </c>
      <c r="D18" s="4">
        <f>C18+(DistNplant!D18-DistNplant!C18)</f>
        <v>12667433053.01137</v>
      </c>
      <c r="E18" s="4">
        <f>D18+(DistNplant!E18-DistNplant!D18)</f>
        <v>12849428214.605181</v>
      </c>
      <c r="F18" s="4">
        <f>E18+(DistNplant!F18-DistNplant!E18)</f>
        <v>13034547237.56838</v>
      </c>
      <c r="G18" s="4">
        <f>F18+(DistNplant!G18-DistNplant!F18)</f>
        <v>13222843741.512442</v>
      </c>
      <c r="H18" s="4">
        <f>G18+(DistNplant!H18-DistNplant!G18)</f>
        <v>13414372266.404261</v>
      </c>
      <c r="I18" s="4">
        <f>H18+(DistNplant!I18-DistNplant!H18)</f>
        <v>13609188288.363613</v>
      </c>
      <c r="J18" s="4">
        <f>I18+(DistNplant!J18-DistNplant!I18)</f>
        <v>13807348235.731791</v>
      </c>
      <c r="K18" s="4">
        <f>J18+(DistNplant!K18-DistNplant!J18)</f>
        <v>14008909505.416025</v>
      </c>
      <c r="L18" s="4">
        <f>K18+(DistNplant!L18-DistNplant!K18)</f>
        <v>14213930479.514471</v>
      </c>
      <c r="M18" s="4">
        <f>L18+(DistNplant!M18-DistNplant!L18)</f>
        <v>14422470542.226545</v>
      </c>
    </row>
    <row r="19" spans="1:13" x14ac:dyDescent="0.2">
      <c r="A19" t="str">
        <f>raw!A19</f>
        <v>Pacific Gas &amp; Electric Co.</v>
      </c>
      <c r="B19" s="4">
        <f>VLOOKUP(A19,raw!$A$4:$AU$24,$B$2,FALSE)</f>
        <v>49037934715</v>
      </c>
      <c r="C19" s="16">
        <f t="shared" si="0"/>
        <v>49037934715</v>
      </c>
      <c r="D19" s="4">
        <f>C19+(DistNplant!D19-DistNplant!C19)</f>
        <v>49422097656.975983</v>
      </c>
      <c r="E19" s="4">
        <f>D19+(DistNplant!E19-DistNplant!D19)</f>
        <v>49810044730.181465</v>
      </c>
      <c r="F19" s="4">
        <f>E19+(DistNplant!F19-DistNplant!E19)</f>
        <v>50201813209.552681</v>
      </c>
      <c r="G19" s="4">
        <f>F19+(DistNplant!G19-DistNplant!F19)</f>
        <v>50597440737.19622</v>
      </c>
      <c r="H19" s="4">
        <f>G19+(DistNplant!H19-DistNplant!G19)</f>
        <v>50996965326.005791</v>
      </c>
      <c r="I19" s="4">
        <f>H19+(DistNplant!I19-DistNplant!H19)</f>
        <v>51400425363.314621</v>
      </c>
      <c r="J19" s="4">
        <f>I19+(DistNplant!J19-DistNplant!I19)</f>
        <v>51807859614.583763</v>
      </c>
      <c r="K19" s="4">
        <f>J19+(DistNplant!K19-DistNplant!J19)</f>
        <v>52219307227.126816</v>
      </c>
      <c r="L19" s="4">
        <f>K19+(DistNplant!L19-DistNplant!K19)</f>
        <v>52634807733.871269</v>
      </c>
      <c r="M19" s="4">
        <f>L19+(DistNplant!M19-DistNplant!L19)</f>
        <v>53054401057.156952</v>
      </c>
    </row>
    <row r="20" spans="1:13" x14ac:dyDescent="0.2">
      <c r="A20" t="str">
        <f>raw!A20</f>
        <v>Public Service Electric &amp; Gas Co.</v>
      </c>
      <c r="B20" s="4">
        <f>VLOOKUP(A20,raw!$A$4:$AU$24,$B$2,FALSE)</f>
        <v>14537769071</v>
      </c>
      <c r="C20" s="16">
        <f t="shared" si="0"/>
        <v>14537769071</v>
      </c>
      <c r="D20" s="4">
        <f>C20+(DistNplant!D20-DistNplant!C20)</f>
        <v>14732176750.622782</v>
      </c>
      <c r="E20" s="4">
        <f>D20+(DistNplant!E20-DistNplant!D20)</f>
        <v>14929605065.816235</v>
      </c>
      <c r="F20" s="4">
        <f>E20+(DistNplant!F20-DistNplant!E20)</f>
        <v>15130100950.113379</v>
      </c>
      <c r="G20" s="4">
        <f>F20+(DistNplant!G20-DistNplant!F20)</f>
        <v>15333712066.28334</v>
      </c>
      <c r="H20" s="4">
        <f>G20+(DistNplant!H20-DistNplant!G20)</f>
        <v>15540486817.661955</v>
      </c>
      <c r="I20" s="4">
        <f>H20+(DistNplant!I20-DistNplant!H20)</f>
        <v>15750474359.658424</v>
      </c>
      <c r="J20" s="4">
        <f>I20+(DistNplant!J20-DistNplant!I20)</f>
        <v>15963724611.440758</v>
      </c>
      <c r="K20" s="4">
        <f>J20+(DistNplant!K20-DistNplant!J20)</f>
        <v>16180288267.802776</v>
      </c>
      <c r="L20" s="4">
        <f>K20+(DistNplant!L20-DistNplant!K20)</f>
        <v>16400216811.215508</v>
      </c>
      <c r="M20" s="4">
        <f>L20+(DistNplant!M20-DistNplant!L20)</f>
        <v>16623562524.065823</v>
      </c>
    </row>
    <row r="21" spans="1:13" x14ac:dyDescent="0.2">
      <c r="A21" t="str">
        <f>raw!A21</f>
        <v>San Diego Gas &amp; Electric Co.</v>
      </c>
      <c r="B21" s="4">
        <f>VLOOKUP(A21,raw!$A$4:$AU$24,$B$2,FALSE)</f>
        <v>11174199323</v>
      </c>
      <c r="C21" s="16">
        <f t="shared" si="0"/>
        <v>11174199323</v>
      </c>
      <c r="D21" s="4">
        <f>C21+(DistNplant!D21-DistNplant!C21)</f>
        <v>11306951992.543165</v>
      </c>
      <c r="E21" s="4">
        <f>D21+(DistNplant!E21-DistNplant!D21)</f>
        <v>11441561537.400503</v>
      </c>
      <c r="F21" s="4">
        <f>E21+(DistNplant!F21-DistNplant!E21)</f>
        <v>11578053930.578386</v>
      </c>
      <c r="G21" s="4">
        <f>F21+(DistNplant!G21-DistNplant!F21)</f>
        <v>11716455508.3801</v>
      </c>
      <c r="H21" s="4">
        <f>G21+(DistNplant!H21-DistNplant!G21)</f>
        <v>11856792975.487444</v>
      </c>
      <c r="I21" s="4">
        <f>H21+(DistNplant!I21-DistNplant!H21)</f>
        <v>11999093410.113422</v>
      </c>
      <c r="J21" s="4">
        <f>I21+(DistNplant!J21-DistNplant!I21)</f>
        <v>12143384269.226999</v>
      </c>
      <c r="K21" s="4">
        <f>J21+(DistNplant!K21-DistNplant!J21)</f>
        <v>12289693393.850946</v>
      </c>
      <c r="L21" s="4">
        <f>K21+(DistNplant!L21-DistNplant!K21)</f>
        <v>12438049014.433786</v>
      </c>
      <c r="M21" s="4">
        <f>L21+(DistNplant!M21-DistNplant!L21)</f>
        <v>12588479756.296877</v>
      </c>
    </row>
    <row r="22" spans="1:13" x14ac:dyDescent="0.2">
      <c r="A22" t="str">
        <f>raw!A22</f>
        <v>Southern California Edison Co.</v>
      </c>
      <c r="B22" s="4">
        <f>VLOOKUP(A22,raw!$A$4:$AU$24,$B$2,FALSE)</f>
        <v>34145026192</v>
      </c>
      <c r="C22" s="16">
        <f t="shared" si="0"/>
        <v>34145026192</v>
      </c>
      <c r="D22" s="4">
        <f>C22+(DistNplant!D22-DistNplant!C22)</f>
        <v>34382944974.537796</v>
      </c>
      <c r="E22" s="4">
        <f>D22+(DistNplant!E22-DistNplant!D22)</f>
        <v>34622821403.061066</v>
      </c>
      <c r="F22" s="4">
        <f>E22+(DistNplant!F22-DistNplant!E22)</f>
        <v>34864671585.494385</v>
      </c>
      <c r="G22" s="4">
        <f>F22+(DistNplant!G22-DistNplant!F22)</f>
        <v>35108511762.301727</v>
      </c>
      <c r="H22" s="4">
        <f>G22+(DistNplant!H22-DistNplant!G22)</f>
        <v>35354358307.577057</v>
      </c>
      <c r="I22" s="4">
        <f>H22+(DistNplant!I22-DistNplant!H22)</f>
        <v>35602227730.143814</v>
      </c>
      <c r="J22" s="4">
        <f>I22+(DistNplant!J22-DistNplant!I22)</f>
        <v>35852136674.663536</v>
      </c>
      <c r="K22" s="4">
        <f>J22+(DistNplant!K22-DistNplant!J22)</f>
        <v>36104101922.753548</v>
      </c>
      <c r="L22" s="4">
        <f>K22+(DistNplant!L22-DistNplant!K22)</f>
        <v>36358140394.113876</v>
      </c>
      <c r="M22" s="4">
        <f>L22+(DistNplant!M22-DistNplant!L22)</f>
        <v>36614269147.663391</v>
      </c>
    </row>
    <row r="23" spans="1:13" x14ac:dyDescent="0.2">
      <c r="A23" t="str">
        <f>raw!A23</f>
        <v>Southwestern Public Service Co.</v>
      </c>
      <c r="B23" s="4">
        <f>VLOOKUP(A23,raw!$A$4:$AU$24,$B$2,FALSE)</f>
        <v>2134887105</v>
      </c>
      <c r="C23" s="16">
        <f t="shared" si="0"/>
        <v>2134887105</v>
      </c>
      <c r="D23" s="4">
        <f>C23+(DistNplant!D23-DistNplant!C23)</f>
        <v>2160159824.0736294</v>
      </c>
      <c r="E23" s="4">
        <f>D23+(DistNplant!E23-DistNplant!D23)</f>
        <v>2185824148.5873499</v>
      </c>
      <c r="F23" s="4">
        <f>E23+(DistNplant!F23-DistNplant!E23)</f>
        <v>2211886146.5396333</v>
      </c>
      <c r="G23" s="4">
        <f>F23+(DistNplant!G23-DistNplant!F23)</f>
        <v>2238351979.9537058</v>
      </c>
      <c r="H23" s="4">
        <f>G23+(DistNplant!H23-DistNplant!G23)</f>
        <v>2265227906.3344784</v>
      </c>
      <c r="I23" s="4">
        <f>H23+(DistNplant!I23-DistNplant!H23)</f>
        <v>2292520280.148056</v>
      </c>
      <c r="J23" s="4">
        <f>I23+(DistNplant!J23-DistNplant!I23)</f>
        <v>2320235554.3241653</v>
      </c>
      <c r="K23" s="4">
        <f>J23+(DistNplant!K23-DistNplant!J23)</f>
        <v>2348380281.7818689</v>
      </c>
      <c r="L23" s="4">
        <f>K23+(DistNplant!L23-DistNplant!K23)</f>
        <v>2376961116.9789181</v>
      </c>
      <c r="M23" s="4">
        <f>L23+(DistNplant!M23-DistNplant!L23)</f>
        <v>2405984817.4851131</v>
      </c>
    </row>
    <row r="24" spans="1:13" x14ac:dyDescent="0.2">
      <c r="A24" t="str">
        <f>raw!A24</f>
        <v>TXU Electric Co.</v>
      </c>
      <c r="B24" s="4">
        <f>VLOOKUP(A24,raw!$A$4:$AU$24,$B$2,FALSE)</f>
        <v>22987129517</v>
      </c>
      <c r="C24" s="16">
        <f t="shared" si="0"/>
        <v>22987129517</v>
      </c>
      <c r="D24" s="4">
        <f>C24+(DistNplant!D24-DistNplant!C24)</f>
        <v>23377830093.099346</v>
      </c>
      <c r="E24" s="4">
        <f>D24+(DistNplant!E24-DistNplant!D24)</f>
        <v>23775845942.567257</v>
      </c>
      <c r="F24" s="4">
        <f>E24+(DistNplant!F24-DistNplant!E24)</f>
        <v>24181314032.75861</v>
      </c>
      <c r="G24" s="4">
        <f>F24+(DistNplant!G24-DistNplant!F24)</f>
        <v>24594373895.53344</v>
      </c>
      <c r="H24" s="4">
        <f>G24+(DistNplant!H24-DistNplant!G24)</f>
        <v>25015167675.273396</v>
      </c>
      <c r="I24" s="4">
        <f>H24+(DistNplant!I24-DistNplant!H24)</f>
        <v>25443840177.79723</v>
      </c>
      <c r="J24" s="4">
        <f>I24+(DistNplant!J24-DistNplant!I24)</f>
        <v>25880538920.192162</v>
      </c>
      <c r="K24" s="4">
        <f>J24+(DistNplant!K24-DistNplant!J24)</f>
        <v>26325414181.578236</v>
      </c>
      <c r="L24" s="4">
        <f>K24+(DistNplant!L24-DistNplant!K24)</f>
        <v>26778619054.823193</v>
      </c>
      <c r="M24" s="4">
        <f>L24+(DistNplant!M24-DistNplant!L24)</f>
        <v>27240309499.225616</v>
      </c>
    </row>
  </sheetData>
  <pageMargins left="0.75" right="0.75" top="1" bottom="1" header="0.5" footer="0.5"/>
  <pageSetup scale="56" orientation="landscape" verticalDpi="0" r:id="rId1"/>
  <headerFooter alignWithMargins="0">
    <oddFooter>Page &amp;P&amp;R&amp;A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workbookViewId="0">
      <selection activeCell="E25" sqref="E25"/>
    </sheetView>
  </sheetViews>
  <sheetFormatPr defaultRowHeight="12.75" x14ac:dyDescent="0.2"/>
  <cols>
    <col min="1" max="1" width="36.140625" bestFit="1" customWidth="1"/>
    <col min="2" max="2" width="12.140625" customWidth="1"/>
    <col min="3" max="3" width="12.28515625" bestFit="1" customWidth="1"/>
    <col min="4" max="4" width="14.85546875" bestFit="1" customWidth="1"/>
    <col min="5" max="7" width="12.28515625" bestFit="1" customWidth="1"/>
    <col min="8" max="13" width="13.85546875" bestFit="1" customWidth="1"/>
  </cols>
  <sheetData>
    <row r="1" spans="1:13" x14ac:dyDescent="0.2">
      <c r="A1" t="s">
        <v>525</v>
      </c>
    </row>
    <row r="2" spans="1:13" x14ac:dyDescent="0.2">
      <c r="B2">
        <v>22</v>
      </c>
    </row>
    <row r="3" spans="1:13" x14ac:dyDescent="0.2">
      <c r="A3" s="8" t="s">
        <v>177</v>
      </c>
      <c r="B3" s="8">
        <v>1998</v>
      </c>
      <c r="C3" s="8">
        <v>2000</v>
      </c>
      <c r="D3" s="8">
        <v>2001</v>
      </c>
      <c r="E3" s="8">
        <v>2002</v>
      </c>
      <c r="F3" s="8">
        <v>2003</v>
      </c>
      <c r="G3" s="8">
        <v>2004</v>
      </c>
      <c r="H3" s="8">
        <v>2005</v>
      </c>
      <c r="I3" s="8">
        <v>2006</v>
      </c>
      <c r="J3" s="8">
        <v>2007</v>
      </c>
      <c r="K3" s="8">
        <v>2008</v>
      </c>
      <c r="L3" s="8">
        <v>2009</v>
      </c>
      <c r="M3" s="8">
        <v>2010</v>
      </c>
    </row>
    <row r="4" spans="1:13" x14ac:dyDescent="0.2">
      <c r="A4" t="str">
        <f>raw!A4</f>
        <v>Boston Edison Co.</v>
      </c>
      <c r="B4" s="4">
        <f>VLOOKUP(A4,raw!$A$4:$AU$24,$B$2,FALSE)</f>
        <v>227759338</v>
      </c>
      <c r="C4" s="16">
        <f>B4</f>
        <v>227759338</v>
      </c>
      <c r="D4" s="4">
        <f>(1-exposure!D$7+((Labor_ratio!D4*exposure!D$5)+(exposure!D$6*(1-Labor_ratio!D4))))*C4</f>
        <v>232692045.98703974</v>
      </c>
      <c r="E4" s="4">
        <f>(1-exposure!E$7+((Labor_ratio!E4*exposure!E$5)+(exposure!E$6*(1-Labor_ratio!E4))))*D4</f>
        <v>237192881.54297179</v>
      </c>
      <c r="F4" s="4">
        <f>(1-exposure!F$7+((Labor_ratio!F4*exposure!F$5)+(exposure!F$6*(1-Labor_ratio!F4))))*E4</f>
        <v>241387616.5657745</v>
      </c>
      <c r="G4" s="4">
        <f>(1-exposure!G$7+((Labor_ratio!G4*exposure!G$5)+(exposure!G$6*(1-Labor_ratio!G4))))*F4</f>
        <v>245345373.5906485</v>
      </c>
      <c r="H4" s="4">
        <f>(1-exposure!H$7+((Labor_ratio!H4*exposure!H$5)+(exposure!H$6*(1-Labor_ratio!H4))))*G4</f>
        <v>249116288.35859659</v>
      </c>
      <c r="I4" s="4">
        <f>(1-exposure!I$7+((Labor_ratio!I4*exposure!I$5)+(exposure!I$6*(1-Labor_ratio!I4))))*H4</f>
        <v>252631204.86206764</v>
      </c>
      <c r="J4" s="4">
        <f>(1-exposure!J$7+((Labor_ratio!J4*exposure!J$5)+(exposure!J$6*(1-Labor_ratio!J4))))*I4</f>
        <v>255903283.3747946</v>
      </c>
      <c r="K4" s="4">
        <f>(1-exposure!K$7+((Labor_ratio!K4*exposure!K$5)+(exposure!K$6*(1-Labor_ratio!K4))))*J4</f>
        <v>259005656.30360174</v>
      </c>
      <c r="L4" s="4">
        <f>(1-exposure!L$7+((Labor_ratio!L4*exposure!L$5)+(exposure!L$6*(1-Labor_ratio!L4))))*K4</f>
        <v>261973914.64016157</v>
      </c>
      <c r="M4" s="4">
        <f>(1-exposure!M$7+((Labor_ratio!M4*exposure!M$5)+(exposure!M$6*(1-Labor_ratio!M4))))*L4</f>
        <v>264733592.66943577</v>
      </c>
    </row>
    <row r="5" spans="1:13" x14ac:dyDescent="0.2">
      <c r="A5" t="str">
        <f>raw!A5</f>
        <v>Carolina Power &amp; Light Co.</v>
      </c>
      <c r="B5" s="4">
        <f>VLOOKUP(A5,raw!$A$4:$AU$24,$B$2,FALSE)</f>
        <v>180710103</v>
      </c>
      <c r="C5" s="16">
        <f t="shared" ref="C5:C24" si="0">B5</f>
        <v>180710103</v>
      </c>
      <c r="D5" s="4">
        <f>(1-exposure!D$7+((Labor_ratio!D5*exposure!D$5)+(exposure!D$6*(1-Labor_ratio!D5))))*C5</f>
        <v>184633831.71229491</v>
      </c>
      <c r="E5" s="4">
        <f>(1-exposure!E$7+((Labor_ratio!E5*exposure!E$5)+(exposure!E$6*(1-Labor_ratio!E5))))*D5</f>
        <v>188194894.82472083</v>
      </c>
      <c r="F5" s="4">
        <f>(1-exposure!F$7+((Labor_ratio!F5*exposure!F$5)+(exposure!F$6*(1-Labor_ratio!F5))))*E5</f>
        <v>191502293.87941924</v>
      </c>
      <c r="G5" s="4">
        <f>(1-exposure!G$7+((Labor_ratio!G5*exposure!G$5)+(exposure!G$6*(1-Labor_ratio!G5))))*F5</f>
        <v>194608255.58196685</v>
      </c>
      <c r="H5" s="4">
        <f>(1-exposure!H$7+((Labor_ratio!H5*exposure!H$5)+(exposure!H$6*(1-Labor_ratio!H5))))*G5</f>
        <v>197556309.60749143</v>
      </c>
      <c r="I5" s="4">
        <f>(1-exposure!I$7+((Labor_ratio!I5*exposure!I$5)+(exposure!I$6*(1-Labor_ratio!I5))))*H5</f>
        <v>200292400.06471181</v>
      </c>
      <c r="J5" s="4">
        <f>(1-exposure!J$7+((Labor_ratio!J5*exposure!J$5)+(exposure!J$6*(1-Labor_ratio!J5))))*I5</f>
        <v>202823462.77953377</v>
      </c>
      <c r="K5" s="4">
        <f>(1-exposure!K$7+((Labor_ratio!K5*exposure!K$5)+(exposure!K$6*(1-Labor_ratio!K5))))*J5</f>
        <v>205212808.52684444</v>
      </c>
      <c r="L5" s="4">
        <f>(1-exposure!L$7+((Labor_ratio!L5*exposure!L$5)+(exposure!L$6*(1-Labor_ratio!L5))))*K5</f>
        <v>207489703.4716008</v>
      </c>
      <c r="M5" s="4">
        <f>(1-exposure!M$7+((Labor_ratio!M5*exposure!M$5)+(exposure!M$6*(1-Labor_ratio!M5))))*L5</f>
        <v>209590540.54105309</v>
      </c>
    </row>
    <row r="6" spans="1:13" x14ac:dyDescent="0.2">
      <c r="A6" t="str">
        <f>raw!A6</f>
        <v>Central Hudson Gas &amp; Electric Corp.</v>
      </c>
      <c r="B6" s="4">
        <f>VLOOKUP(A6,raw!$A$4:$AU$24,$B$2,FALSE)</f>
        <v>73046257</v>
      </c>
      <c r="C6" s="16">
        <f t="shared" si="0"/>
        <v>73046257</v>
      </c>
      <c r="D6" s="4">
        <f>(1-exposure!D$7+((Labor_ratio!D6*exposure!D$5)+(exposure!D$6*(1-Labor_ratio!D6))))*C6</f>
        <v>74624589.670469746</v>
      </c>
      <c r="E6" s="4">
        <f>(1-exposure!E$7+((Labor_ratio!E6*exposure!E$5)+(exposure!E$6*(1-Labor_ratio!E6))))*D6</f>
        <v>76071761.66289413</v>
      </c>
      <c r="F6" s="4">
        <f>(1-exposure!F$7+((Labor_ratio!F6*exposure!F$5)+(exposure!F$6*(1-Labor_ratio!F6))))*E6</f>
        <v>77424727.786259413</v>
      </c>
      <c r="G6" s="4">
        <f>(1-exposure!G$7+((Labor_ratio!G6*exposure!G$5)+(exposure!G$6*(1-Labor_ratio!G6))))*F6</f>
        <v>78706620.176201954</v>
      </c>
      <c r="H6" s="4">
        <f>(1-exposure!H$7+((Labor_ratio!H6*exposure!H$5)+(exposure!H$6*(1-Labor_ratio!H6))))*G6</f>
        <v>79932144.003984079</v>
      </c>
      <c r="I6" s="4">
        <f>(1-exposure!I$7+((Labor_ratio!I6*exposure!I$5)+(exposure!I$6*(1-Labor_ratio!I6))))*H6</f>
        <v>81078824.314648375</v>
      </c>
      <c r="J6" s="4">
        <f>(1-exposure!J$7+((Labor_ratio!J6*exposure!J$5)+(exposure!J$6*(1-Labor_ratio!J6))))*I6</f>
        <v>82152175.630079582</v>
      </c>
      <c r="K6" s="4">
        <f>(1-exposure!K$7+((Labor_ratio!K6*exposure!K$5)+(exposure!K$6*(1-Labor_ratio!K6))))*J6</f>
        <v>83173714.610952541</v>
      </c>
      <c r="L6" s="4">
        <f>(1-exposure!L$7+((Labor_ratio!L6*exposure!L$5)+(exposure!L$6*(1-Labor_ratio!L6))))*K6</f>
        <v>84154481.966185018</v>
      </c>
      <c r="M6" s="4">
        <f>(1-exposure!M$7+((Labor_ratio!M6*exposure!M$5)+(exposure!M$6*(1-Labor_ratio!M6))))*L6</f>
        <v>85072266.662740916</v>
      </c>
    </row>
    <row r="7" spans="1:13" x14ac:dyDescent="0.2">
      <c r="A7" t="str">
        <f>raw!A7</f>
        <v>Commonwealth Edison Co.</v>
      </c>
      <c r="B7" s="4">
        <f>VLOOKUP(A7,raw!$A$4:$AU$24,$B$2,FALSE)</f>
        <v>445164562</v>
      </c>
      <c r="C7" s="16">
        <f t="shared" si="0"/>
        <v>445164562</v>
      </c>
      <c r="D7" s="4">
        <f>(1-exposure!D$7+((Labor_ratio!D7*exposure!D$5)+(exposure!D$6*(1-Labor_ratio!D7))))*C7</f>
        <v>454813395.4013164</v>
      </c>
      <c r="E7" s="4">
        <f>(1-exposure!E$7+((Labor_ratio!E7*exposure!E$5)+(exposure!E$6*(1-Labor_ratio!E7))))*D7</f>
        <v>463602775.0987587</v>
      </c>
      <c r="F7" s="4">
        <f>(1-exposure!F$7+((Labor_ratio!F7*exposure!F$5)+(exposure!F$6*(1-Labor_ratio!F7))))*E7</f>
        <v>471785590.0255596</v>
      </c>
      <c r="G7" s="4">
        <f>(1-exposure!G$7+((Labor_ratio!G7*exposure!G$5)+(exposure!G$6*(1-Labor_ratio!G7))))*F7</f>
        <v>479494934.46156973</v>
      </c>
      <c r="H7" s="4">
        <f>(1-exposure!H$7+((Labor_ratio!H7*exposure!H$5)+(exposure!H$6*(1-Labor_ratio!H7))))*G7</f>
        <v>486831674.34218621</v>
      </c>
      <c r="I7" s="4">
        <f>(1-exposure!I$7+((Labor_ratio!I7*exposure!I$5)+(exposure!I$6*(1-Labor_ratio!I7))))*H7</f>
        <v>493661263.23238224</v>
      </c>
      <c r="J7" s="4">
        <f>(1-exposure!J$7+((Labor_ratio!J7*exposure!J$5)+(exposure!J$6*(1-Labor_ratio!J7))))*I7</f>
        <v>500006730.31647038</v>
      </c>
      <c r="K7" s="4">
        <f>(1-exposure!K$7+((Labor_ratio!K7*exposure!K$5)+(exposure!K$6*(1-Labor_ratio!K7))))*J7</f>
        <v>506015066.61563802</v>
      </c>
      <c r="L7" s="4">
        <f>(1-exposure!L$7+((Labor_ratio!L7*exposure!L$5)+(exposure!L$6*(1-Labor_ratio!L7))))*K7</f>
        <v>511756621.38185489</v>
      </c>
      <c r="M7" s="4">
        <f>(1-exposure!M$7+((Labor_ratio!M7*exposure!M$5)+(exposure!M$6*(1-Labor_ratio!M7))))*L7</f>
        <v>517082371.8630963</v>
      </c>
    </row>
    <row r="8" spans="1:13" x14ac:dyDescent="0.2">
      <c r="A8" t="str">
        <f>raw!A8</f>
        <v>Consolidated Edison Co. of New York, Inc.</v>
      </c>
      <c r="B8" s="4">
        <f>VLOOKUP(A8,raw!$A$4:$AU$24,$B$2,FALSE)</f>
        <v>846703733</v>
      </c>
      <c r="C8" s="16">
        <f t="shared" si="0"/>
        <v>846703733</v>
      </c>
      <c r="D8" s="4">
        <f>(1-exposure!D$7+((Labor_ratio!D8*exposure!D$5)+(exposure!D$6*(1-Labor_ratio!D8))))*C8</f>
        <v>865162547.98583794</v>
      </c>
      <c r="E8" s="4">
        <f>(1-exposure!E$7+((Labor_ratio!E8*exposure!E$5)+(exposure!E$6*(1-Labor_ratio!E8))))*D8</f>
        <v>881772980.61557186</v>
      </c>
      <c r="F8" s="4">
        <f>(1-exposure!F$7+((Labor_ratio!F8*exposure!F$5)+(exposure!F$6*(1-Labor_ratio!F8))))*E8</f>
        <v>897114427.46579242</v>
      </c>
      <c r="G8" s="4">
        <f>(1-exposure!G$7+((Labor_ratio!G8*exposure!G$5)+(exposure!G$6*(1-Labor_ratio!G8))))*F8</f>
        <v>911412147.56331635</v>
      </c>
      <c r="H8" s="4">
        <f>(1-exposure!H$7+((Labor_ratio!H8*exposure!H$5)+(exposure!H$6*(1-Labor_ratio!H8))))*G8</f>
        <v>924898147.00293553</v>
      </c>
      <c r="I8" s="4">
        <f>(1-exposure!I$7+((Labor_ratio!I8*exposure!I$5)+(exposure!I$6*(1-Labor_ratio!I8))))*H8</f>
        <v>937325319.76793849</v>
      </c>
      <c r="J8" s="4">
        <f>(1-exposure!J$7+((Labor_ratio!J8*exposure!J$5)+(exposure!J$6*(1-Labor_ratio!J8))))*I8</f>
        <v>948700198.65052223</v>
      </c>
      <c r="K8" s="4">
        <f>(1-exposure!K$7+((Labor_ratio!K8*exposure!K$5)+(exposure!K$6*(1-Labor_ratio!K8))))*J8</f>
        <v>959358909.42662466</v>
      </c>
      <c r="L8" s="4">
        <f>(1-exposure!L$7+((Labor_ratio!L8*exposure!L$5)+(exposure!L$6*(1-Labor_ratio!L8))))*K8</f>
        <v>969446327.83074486</v>
      </c>
      <c r="M8" s="4">
        <f>(1-exposure!M$7+((Labor_ratio!M8*exposure!M$5)+(exposure!M$6*(1-Labor_ratio!M8))))*L8</f>
        <v>978630971.72458768</v>
      </c>
    </row>
    <row r="9" spans="1:13" x14ac:dyDescent="0.2">
      <c r="A9" t="str">
        <f>raw!A9</f>
        <v>Consumers Energy Co.</v>
      </c>
      <c r="B9" s="4">
        <f>VLOOKUP(A9,raw!$A$4:$AU$24,$B$2,FALSE)</f>
        <v>162794268</v>
      </c>
      <c r="C9" s="16">
        <f t="shared" si="0"/>
        <v>162794268</v>
      </c>
      <c r="D9" s="4">
        <f>(1-exposure!D$7+((Labor_ratio!D9*exposure!D$5)+(exposure!D$6*(1-Labor_ratio!D9))))*C9</f>
        <v>166331152.96773514</v>
      </c>
      <c r="E9" s="4">
        <f>(1-exposure!E$7+((Labor_ratio!E9*exposure!E$5)+(exposure!E$6*(1-Labor_ratio!E9))))*D9</f>
        <v>169537002.54601684</v>
      </c>
      <c r="F9" s="4">
        <f>(1-exposure!F$7+((Labor_ratio!F9*exposure!F$5)+(exposure!F$6*(1-Labor_ratio!F9))))*E9</f>
        <v>172512003.08087721</v>
      </c>
      <c r="G9" s="4">
        <f>(1-exposure!G$7+((Labor_ratio!G9*exposure!G$5)+(exposure!G$6*(1-Labor_ratio!G9))))*F9</f>
        <v>175302638.6183455</v>
      </c>
      <c r="H9" s="4">
        <f>(1-exposure!H$7+((Labor_ratio!H9*exposure!H$5)+(exposure!H$6*(1-Labor_ratio!H9))))*G9</f>
        <v>177948935.31329274</v>
      </c>
      <c r="I9" s="4">
        <f>(1-exposure!I$7+((Labor_ratio!I9*exposure!I$5)+(exposure!I$6*(1-Labor_ratio!I9))))*H9</f>
        <v>180402373.84090316</v>
      </c>
      <c r="J9" s="4">
        <f>(1-exposure!J$7+((Labor_ratio!J9*exposure!J$5)+(exposure!J$6*(1-Labor_ratio!J9))))*I9</f>
        <v>182668446.88733259</v>
      </c>
      <c r="K9" s="4">
        <f>(1-exposure!K$7+((Labor_ratio!K9*exposure!K$5)+(exposure!K$6*(1-Labor_ratio!K9))))*J9</f>
        <v>184805332.32533315</v>
      </c>
      <c r="L9" s="4">
        <f>(1-exposure!L$7+((Labor_ratio!L9*exposure!L$5)+(exposure!L$6*(1-Labor_ratio!L9))))*K9</f>
        <v>186839618.21434844</v>
      </c>
      <c r="M9" s="4">
        <f>(1-exposure!M$7+((Labor_ratio!M9*exposure!M$5)+(exposure!M$6*(1-Labor_ratio!M9))))*L9</f>
        <v>188713029.32679251</v>
      </c>
    </row>
    <row r="10" spans="1:13" x14ac:dyDescent="0.2">
      <c r="A10" t="str">
        <f>raw!A10</f>
        <v>Duke Energy Corp.</v>
      </c>
      <c r="B10" s="4">
        <f>VLOOKUP(A10,raw!$A$4:$AU$24,$B$2,FALSE)</f>
        <v>371510828</v>
      </c>
      <c r="C10" s="16">
        <f t="shared" si="0"/>
        <v>371510828</v>
      </c>
      <c r="D10" s="4">
        <f>(1-exposure!D$7+((Labor_ratio!D10*exposure!D$5)+(exposure!D$6*(1-Labor_ratio!D10))))*C10</f>
        <v>379539329.57303131</v>
      </c>
      <c r="E10" s="4">
        <f>(1-exposure!E$7+((Labor_ratio!E10*exposure!E$5)+(exposure!E$6*(1-Labor_ratio!E10))))*D10</f>
        <v>386898441.29618561</v>
      </c>
      <c r="F10" s="4">
        <f>(1-exposure!F$7+((Labor_ratio!F10*exposure!F$5)+(exposure!F$6*(1-Labor_ratio!F10))))*E10</f>
        <v>393777177.78310585</v>
      </c>
      <c r="G10" s="4">
        <f>(1-exposure!G$7+((Labor_ratio!G10*exposure!G$5)+(exposure!G$6*(1-Labor_ratio!G10))))*F10</f>
        <v>400292885.00180167</v>
      </c>
      <c r="H10" s="4">
        <f>(1-exposure!H$7+((Labor_ratio!H10*exposure!H$5)+(exposure!H$6*(1-Labor_ratio!H10))))*G10</f>
        <v>406520784.68932021</v>
      </c>
      <c r="I10" s="4">
        <f>(1-exposure!I$7+((Labor_ratio!I10*exposure!I$5)+(exposure!I$6*(1-Labor_ratio!I10))))*H10</f>
        <v>412346662.39093035</v>
      </c>
      <c r="J10" s="4">
        <f>(1-exposure!J$7+((Labor_ratio!J10*exposure!J$5)+(exposure!J$6*(1-Labor_ratio!J10))))*I10</f>
        <v>417798157.00543833</v>
      </c>
      <c r="K10" s="4">
        <f>(1-exposure!K$7+((Labor_ratio!K10*exposure!K$5)+(exposure!K$6*(1-Labor_ratio!K10))))*J10</f>
        <v>422985310.65980518</v>
      </c>
      <c r="L10" s="4">
        <f>(1-exposure!L$7+((Labor_ratio!L10*exposure!L$5)+(exposure!L$6*(1-Labor_ratio!L10))))*K10</f>
        <v>427964393.15165716</v>
      </c>
      <c r="M10" s="4">
        <f>(1-exposure!M$7+((Labor_ratio!M10*exposure!M$5)+(exposure!M$6*(1-Labor_ratio!M10))))*L10</f>
        <v>432621912.87080914</v>
      </c>
    </row>
    <row r="11" spans="1:13" x14ac:dyDescent="0.2">
      <c r="A11" t="str">
        <f>raw!A11</f>
        <v>Entergy Mississippi, Inc.</v>
      </c>
      <c r="B11" s="4">
        <f>VLOOKUP(A11,raw!$A$4:$AU$24,$B$2,FALSE)</f>
        <v>59798801</v>
      </c>
      <c r="C11" s="16">
        <f t="shared" si="0"/>
        <v>59798801</v>
      </c>
      <c r="D11" s="4">
        <f>(1-exposure!D$7+((Labor_ratio!D11*exposure!D$5)+(exposure!D$6*(1-Labor_ratio!D11))))*C11</f>
        <v>61097597.537008092</v>
      </c>
      <c r="E11" s="4">
        <f>(1-exposure!E$7+((Labor_ratio!E11*exposure!E$5)+(exposure!E$6*(1-Labor_ratio!E11))))*D11</f>
        <v>62275593.364112698</v>
      </c>
      <c r="F11" s="4">
        <f>(1-exposure!F$7+((Labor_ratio!F11*exposure!F$5)+(exposure!F$6*(1-Labor_ratio!F11))))*E11</f>
        <v>63369222.393499419</v>
      </c>
      <c r="G11" s="4">
        <f>(1-exposure!G$7+((Labor_ratio!G11*exposure!G$5)+(exposure!G$6*(1-Labor_ratio!G11))))*F11</f>
        <v>64395663.65112979</v>
      </c>
      <c r="H11" s="4">
        <f>(1-exposure!H$7+((Labor_ratio!H11*exposure!H$5)+(exposure!H$6*(1-Labor_ratio!H11))))*G11</f>
        <v>65369470.044870965</v>
      </c>
      <c r="I11" s="4">
        <f>(1-exposure!I$7+((Labor_ratio!I11*exposure!I$5)+(exposure!I$6*(1-Labor_ratio!I11))))*H11</f>
        <v>66272786.353190541</v>
      </c>
      <c r="J11" s="4">
        <f>(1-exposure!J$7+((Labor_ratio!J11*exposure!J$5)+(exposure!J$6*(1-Labor_ratio!J11))))*I11</f>
        <v>67107769.492005438</v>
      </c>
      <c r="K11" s="4">
        <f>(1-exposure!K$7+((Labor_ratio!K11*exposure!K$5)+(exposure!K$6*(1-Labor_ratio!K11))))*J11</f>
        <v>67895578.809433863</v>
      </c>
      <c r="L11" s="4">
        <f>(1-exposure!L$7+((Labor_ratio!L11*exposure!L$5)+(exposure!L$6*(1-Labor_ratio!L11))))*K11</f>
        <v>68645939.606978402</v>
      </c>
      <c r="M11" s="4">
        <f>(1-exposure!M$7+((Labor_ratio!M11*exposure!M$5)+(exposure!M$6*(1-Labor_ratio!M11))))*L11</f>
        <v>69337625.413577229</v>
      </c>
    </row>
    <row r="12" spans="1:13" x14ac:dyDescent="0.2">
      <c r="A12" t="str">
        <f>raw!A12</f>
        <v>Florida Power &amp; Light Co.</v>
      </c>
      <c r="B12" s="4">
        <f>VLOOKUP(A12,raw!$A$4:$AU$24,$B$2,FALSE)</f>
        <v>387970828</v>
      </c>
      <c r="C12" s="16">
        <f t="shared" si="0"/>
        <v>387970828</v>
      </c>
      <c r="D12" s="4">
        <f>(1-exposure!D$7+((Labor_ratio!D12*exposure!D$5)+(exposure!D$6*(1-Labor_ratio!D12))))*C12</f>
        <v>396365584.87152183</v>
      </c>
      <c r="E12" s="4">
        <f>(1-exposure!E$7+((Labor_ratio!E12*exposure!E$5)+(exposure!E$6*(1-Labor_ratio!E12))))*D12</f>
        <v>404040174.60395056</v>
      </c>
      <c r="F12" s="4">
        <f>(1-exposure!F$7+((Labor_ratio!F12*exposure!F$5)+(exposure!F$6*(1-Labor_ratio!F12))))*E12</f>
        <v>411201707.38293856</v>
      </c>
      <c r="G12" s="4">
        <f>(1-exposure!G$7+((Labor_ratio!G12*exposure!G$5)+(exposure!G$6*(1-Labor_ratio!G12))))*F12</f>
        <v>417969958.33170152</v>
      </c>
      <c r="H12" s="4">
        <f>(1-exposure!H$7+((Labor_ratio!H12*exposure!H$5)+(exposure!H$6*(1-Labor_ratio!H12))))*G12</f>
        <v>424427430.08716756</v>
      </c>
      <c r="I12" s="4">
        <f>(1-exposure!I$7+((Labor_ratio!I12*exposure!I$5)+(exposure!I$6*(1-Labor_ratio!I12))))*H12</f>
        <v>430455695.39990819</v>
      </c>
      <c r="J12" s="4">
        <f>(1-exposure!J$7+((Labor_ratio!J12*exposure!J$5)+(exposure!J$6*(1-Labor_ratio!J12))))*I12</f>
        <v>436079896.30089307</v>
      </c>
      <c r="K12" s="4">
        <f>(1-exposure!K$7+((Labor_ratio!K12*exposure!K$5)+(exposure!K$6*(1-Labor_ratio!K12))))*J12</f>
        <v>441420519.45383525</v>
      </c>
      <c r="L12" s="4">
        <f>(1-exposure!L$7+((Labor_ratio!L12*exposure!L$5)+(exposure!L$6*(1-Labor_ratio!L12))))*K12</f>
        <v>446537400.86778027</v>
      </c>
      <c r="M12" s="4">
        <f>(1-exposure!M$7+((Labor_ratio!M12*exposure!M$5)+(exposure!M$6*(1-Labor_ratio!M12))))*L12</f>
        <v>451307212.31659997</v>
      </c>
    </row>
    <row r="13" spans="1:13" x14ac:dyDescent="0.2">
      <c r="A13" t="str">
        <f>raw!A13</f>
        <v>Gulf Power Co.</v>
      </c>
      <c r="B13" s="4">
        <f>VLOOKUP(A13,raw!$A$4:$AU$24,$B$2,FALSE)</f>
        <v>54761613</v>
      </c>
      <c r="C13" s="16">
        <f t="shared" si="0"/>
        <v>54761613</v>
      </c>
      <c r="D13" s="4">
        <f>(1-exposure!D$7+((Labor_ratio!D13*exposure!D$5)+(exposure!D$6*(1-Labor_ratio!D13))))*C13</f>
        <v>55948648.970543168</v>
      </c>
      <c r="E13" s="4">
        <f>(1-exposure!E$7+((Labor_ratio!E13*exposure!E$5)+(exposure!E$6*(1-Labor_ratio!E13))))*D13</f>
        <v>57029776.912179567</v>
      </c>
      <c r="F13" s="4">
        <f>(1-exposure!F$7+((Labor_ratio!F13*exposure!F$5)+(exposure!F$6*(1-Labor_ratio!F13))))*E13</f>
        <v>58036189.995073743</v>
      </c>
      <c r="G13" s="4">
        <f>(1-exposure!G$7+((Labor_ratio!G13*exposure!G$5)+(exposure!G$6*(1-Labor_ratio!G13))))*F13</f>
        <v>58984236.784540571</v>
      </c>
      <c r="H13" s="4">
        <f>(1-exposure!H$7+((Labor_ratio!H13*exposure!H$5)+(exposure!H$6*(1-Labor_ratio!H13))))*G13</f>
        <v>59886359.511498697</v>
      </c>
      <c r="I13" s="4">
        <f>(1-exposure!I$7+((Labor_ratio!I13*exposure!I$5)+(exposure!I$6*(1-Labor_ratio!I13))))*H13</f>
        <v>60726014.46701514</v>
      </c>
      <c r="J13" s="4">
        <f>(1-exposure!J$7+((Labor_ratio!J13*exposure!J$5)+(exposure!J$6*(1-Labor_ratio!J13))))*I13</f>
        <v>61506002.488593496</v>
      </c>
      <c r="K13" s="4">
        <f>(1-exposure!K$7+((Labor_ratio!K13*exposure!K$5)+(exposure!K$6*(1-Labor_ratio!K13))))*J13</f>
        <v>62244453.887708336</v>
      </c>
      <c r="L13" s="4">
        <f>(1-exposure!L$7+((Labor_ratio!L13*exposure!L$5)+(exposure!L$6*(1-Labor_ratio!L13))))*K13</f>
        <v>62950032.007002264</v>
      </c>
      <c r="M13" s="4">
        <f>(1-exposure!M$7+((Labor_ratio!M13*exposure!M$5)+(exposure!M$6*(1-Labor_ratio!M13))))*L13</f>
        <v>63604363.507628292</v>
      </c>
    </row>
    <row r="14" spans="1:13" x14ac:dyDescent="0.2">
      <c r="A14" t="str">
        <f>raw!A14</f>
        <v>Illinois Power Co.</v>
      </c>
      <c r="B14" s="4">
        <f>VLOOKUP(A14,raw!$A$4:$AU$24,$B$2,FALSE)</f>
        <v>76658992</v>
      </c>
      <c r="C14" s="16">
        <f t="shared" si="0"/>
        <v>76658992</v>
      </c>
      <c r="D14" s="4">
        <f>(1-exposure!D$7+((Labor_ratio!D14*exposure!D$5)+(exposure!D$6*(1-Labor_ratio!D14))))*C14</f>
        <v>78323236.467786938</v>
      </c>
      <c r="E14" s="4">
        <f>(1-exposure!E$7+((Labor_ratio!E14*exposure!E$5)+(exposure!E$6*(1-Labor_ratio!E14))))*D14</f>
        <v>79834114.430792794</v>
      </c>
      <c r="F14" s="4">
        <f>(1-exposure!F$7+((Labor_ratio!F14*exposure!F$5)+(exposure!F$6*(1-Labor_ratio!F14))))*E14</f>
        <v>81237644.502566725</v>
      </c>
      <c r="G14" s="4">
        <f>(1-exposure!G$7+((Labor_ratio!G14*exposure!G$5)+(exposure!G$6*(1-Labor_ratio!G14))))*F14</f>
        <v>82556044.445180148</v>
      </c>
      <c r="H14" s="4">
        <f>(1-exposure!H$7+((Labor_ratio!H14*exposure!H$5)+(exposure!H$6*(1-Labor_ratio!H14))))*G14</f>
        <v>83807689.919043958</v>
      </c>
      <c r="I14" s="4">
        <f>(1-exposure!I$7+((Labor_ratio!I14*exposure!I$5)+(exposure!I$6*(1-Labor_ratio!I14))))*H14</f>
        <v>84969630.24380964</v>
      </c>
      <c r="J14" s="4">
        <f>(1-exposure!J$7+((Labor_ratio!J14*exposure!J$5)+(exposure!J$6*(1-Labor_ratio!J14))))*I14</f>
        <v>86044891.54017581</v>
      </c>
      <c r="K14" s="4">
        <f>(1-exposure!K$7+((Labor_ratio!K14*exposure!K$5)+(exposure!K$6*(1-Labor_ratio!K14))))*J14</f>
        <v>87060204.000546858</v>
      </c>
      <c r="L14" s="4">
        <f>(1-exposure!L$7+((Labor_ratio!L14*exposure!L$5)+(exposure!L$6*(1-Labor_ratio!L14))))*K14</f>
        <v>88027957.871651232</v>
      </c>
      <c r="M14" s="4">
        <f>(1-exposure!M$7+((Labor_ratio!M14*exposure!M$5)+(exposure!M$6*(1-Labor_ratio!M14))))*L14</f>
        <v>88921278.588286042</v>
      </c>
    </row>
    <row r="15" spans="1:13" x14ac:dyDescent="0.2">
      <c r="A15" t="str">
        <f>raw!A15</f>
        <v>Jersey Central Power &amp; Light Co.</v>
      </c>
      <c r="B15" s="4">
        <f>VLOOKUP(A15,raw!$A$4:$AU$24,$B$2,FALSE)</f>
        <v>262415162</v>
      </c>
      <c r="C15" s="16">
        <f t="shared" si="0"/>
        <v>262415162</v>
      </c>
      <c r="D15" s="4">
        <f>(1-exposure!D$7+((Labor_ratio!D15*exposure!D$5)+(exposure!D$6*(1-Labor_ratio!D15))))*C15</f>
        <v>268118388.90083736</v>
      </c>
      <c r="E15" s="4">
        <f>(1-exposure!E$7+((Labor_ratio!E15*exposure!E$5)+(exposure!E$6*(1-Labor_ratio!E15))))*D15</f>
        <v>273284064.27676648</v>
      </c>
      <c r="F15" s="4">
        <f>(1-exposure!F$7+((Labor_ratio!F15*exposure!F$5)+(exposure!F$6*(1-Labor_ratio!F15))))*E15</f>
        <v>278075497.58596194</v>
      </c>
      <c r="G15" s="4">
        <f>(1-exposure!G$7+((Labor_ratio!G15*exposure!G$5)+(exposure!G$6*(1-Labor_ratio!G15))))*F15</f>
        <v>282567104.00347602</v>
      </c>
      <c r="H15" s="4">
        <f>(1-exposure!H$7+((Labor_ratio!H15*exposure!H$5)+(exposure!H$6*(1-Labor_ratio!H15))))*G15</f>
        <v>286824143.79549396</v>
      </c>
      <c r="I15" s="4">
        <f>(1-exposure!I$7+((Labor_ratio!I15*exposure!I$5)+(exposure!I$6*(1-Labor_ratio!I15))))*H15</f>
        <v>290768568.58596778</v>
      </c>
      <c r="J15" s="4">
        <f>(1-exposure!J$7+((Labor_ratio!J15*exposure!J$5)+(exposure!J$6*(1-Labor_ratio!J15))))*I15</f>
        <v>294408544.44799411</v>
      </c>
      <c r="K15" s="4">
        <f>(1-exposure!K$7+((Labor_ratio!K15*exposure!K$5)+(exposure!K$6*(1-Labor_ratio!K15))))*J15</f>
        <v>297838893.47766787</v>
      </c>
      <c r="L15" s="4">
        <f>(1-exposure!L$7+((Labor_ratio!L15*exposure!L$5)+(exposure!L$6*(1-Labor_ratio!L15))))*K15</f>
        <v>301102678.04044104</v>
      </c>
      <c r="M15" s="4">
        <f>(1-exposure!M$7+((Labor_ratio!M15*exposure!M$5)+(exposure!M$6*(1-Labor_ratio!M15))))*L15</f>
        <v>304105074.99084038</v>
      </c>
    </row>
    <row r="16" spans="1:13" x14ac:dyDescent="0.2">
      <c r="A16" t="str">
        <f>raw!A16</f>
        <v>Kentucky Utilities Co.</v>
      </c>
      <c r="B16" s="4">
        <f>VLOOKUP(A16,raw!$A$4:$AU$24,$B$2,FALSE)</f>
        <v>76678438</v>
      </c>
      <c r="C16" s="16">
        <f t="shared" si="0"/>
        <v>76678438</v>
      </c>
      <c r="D16" s="4">
        <f>(1-exposure!D$7+((Labor_ratio!D16*exposure!D$5)+(exposure!D$6*(1-Labor_ratio!D16))))*C16</f>
        <v>78340157.139547169</v>
      </c>
      <c r="E16" s="4">
        <f>(1-exposure!E$7+((Labor_ratio!E16*exposure!E$5)+(exposure!E$6*(1-Labor_ratio!E16))))*D16</f>
        <v>79854372.878443927</v>
      </c>
      <c r="F16" s="4">
        <f>(1-exposure!F$7+((Labor_ratio!F16*exposure!F$5)+(exposure!F$6*(1-Labor_ratio!F16))))*E16</f>
        <v>81264398.2598923</v>
      </c>
      <c r="G16" s="4">
        <f>(1-exposure!G$7+((Labor_ratio!G16*exposure!G$5)+(exposure!G$6*(1-Labor_ratio!G16))))*F16</f>
        <v>82593228.477371246</v>
      </c>
      <c r="H16" s="4">
        <f>(1-exposure!H$7+((Labor_ratio!H16*exposure!H$5)+(exposure!H$6*(1-Labor_ratio!H16))))*G16</f>
        <v>83858137.136163697</v>
      </c>
      <c r="I16" s="4">
        <f>(1-exposure!I$7+((Labor_ratio!I16*exposure!I$5)+(exposure!I$6*(1-Labor_ratio!I16))))*H16</f>
        <v>85035927.238582402</v>
      </c>
      <c r="J16" s="4">
        <f>(1-exposure!J$7+((Labor_ratio!J16*exposure!J$5)+(exposure!J$6*(1-Labor_ratio!J16))))*I16</f>
        <v>86130659.401360989</v>
      </c>
      <c r="K16" s="4">
        <f>(1-exposure!K$7+((Labor_ratio!K16*exposure!K$5)+(exposure!K$6*(1-Labor_ratio!K16))))*J16</f>
        <v>87167511.086632475</v>
      </c>
      <c r="L16" s="4">
        <f>(1-exposure!L$7+((Labor_ratio!L16*exposure!L$5)+(exposure!L$6*(1-Labor_ratio!L16))))*K16</f>
        <v>88158572.341148138</v>
      </c>
      <c r="M16" s="4">
        <f>(1-exposure!M$7+((Labor_ratio!M16*exposure!M$5)+(exposure!M$6*(1-Labor_ratio!M16))))*L16</f>
        <v>89078295.584217653</v>
      </c>
    </row>
    <row r="17" spans="1:13" x14ac:dyDescent="0.2">
      <c r="A17" t="str">
        <f>raw!A17</f>
        <v>Ohio Power Co.</v>
      </c>
      <c r="B17" s="4">
        <f>VLOOKUP(A17,raw!$A$4:$AU$24,$B$2,FALSE)</f>
        <v>358176814</v>
      </c>
      <c r="C17" s="16">
        <f t="shared" si="0"/>
        <v>358176814</v>
      </c>
      <c r="D17" s="4">
        <f>(1-exposure!D$7+((Labor_ratio!D17*exposure!D$5)+(exposure!D$6*(1-Labor_ratio!D17))))*C17</f>
        <v>365954038.90791112</v>
      </c>
      <c r="E17" s="4">
        <f>(1-exposure!E$7+((Labor_ratio!E17*exposure!E$5)+(exposure!E$6*(1-Labor_ratio!E17))))*D17</f>
        <v>373012059.8501597</v>
      </c>
      <c r="F17" s="4">
        <f>(1-exposure!F$7+((Labor_ratio!F17*exposure!F$5)+(exposure!F$6*(1-Labor_ratio!F17))))*E17</f>
        <v>379567099.38543046</v>
      </c>
      <c r="G17" s="4">
        <f>(1-exposure!G$7+((Labor_ratio!G17*exposure!G$5)+(exposure!G$6*(1-Labor_ratio!G17))))*F17</f>
        <v>385722623.66735214</v>
      </c>
      <c r="H17" s="4">
        <f>(1-exposure!H$7+((Labor_ratio!H17*exposure!H$5)+(exposure!H$6*(1-Labor_ratio!H17))))*G17</f>
        <v>391564982.46066248</v>
      </c>
      <c r="I17" s="4">
        <f>(1-exposure!I$7+((Labor_ratio!I17*exposure!I$5)+(exposure!I$6*(1-Labor_ratio!I17))))*H17</f>
        <v>396987049.82193601</v>
      </c>
      <c r="J17" s="4">
        <f>(1-exposure!J$7+((Labor_ratio!J17*exposure!J$5)+(exposure!J$6*(1-Labor_ratio!J17))))*I17</f>
        <v>402002506.16615683</v>
      </c>
      <c r="K17" s="4">
        <f>(1-exposure!K$7+((Labor_ratio!K17*exposure!K$5)+(exposure!K$6*(1-Labor_ratio!K17))))*J17</f>
        <v>406736937.72051162</v>
      </c>
      <c r="L17" s="4">
        <f>(1-exposure!L$7+((Labor_ratio!L17*exposure!L$5)+(exposure!L$6*(1-Labor_ratio!L17))))*K17</f>
        <v>411248371.24850357</v>
      </c>
      <c r="M17" s="4">
        <f>(1-exposure!M$7+((Labor_ratio!M17*exposure!M$5)+(exposure!M$6*(1-Labor_ratio!M17))))*L17</f>
        <v>415410648.1376363</v>
      </c>
    </row>
    <row r="18" spans="1:13" x14ac:dyDescent="0.2">
      <c r="A18" t="str">
        <f>raw!A18</f>
        <v>PPL Electric Utilities Corp.</v>
      </c>
      <c r="B18" s="4">
        <f>VLOOKUP(A18,raw!$A$4:$AU$24,$B$2,FALSE)</f>
        <v>126122905</v>
      </c>
      <c r="C18" s="16">
        <f t="shared" si="0"/>
        <v>126122905</v>
      </c>
      <c r="D18" s="4">
        <f>(1-exposure!D$7+((Labor_ratio!D18*exposure!D$5)+(exposure!D$6*(1-Labor_ratio!D18))))*C18</f>
        <v>128856997.0668751</v>
      </c>
      <c r="E18" s="4">
        <f>(1-exposure!E$7+((Labor_ratio!E18*exposure!E$5)+(exposure!E$6*(1-Labor_ratio!E18))))*D18</f>
        <v>131346772.23771967</v>
      </c>
      <c r="F18" s="4">
        <f>(1-exposure!F$7+((Labor_ratio!F18*exposure!F$5)+(exposure!F$6*(1-Labor_ratio!F18))))*E18</f>
        <v>133664255.24468866</v>
      </c>
      <c r="G18" s="4">
        <f>(1-exposure!G$7+((Labor_ratio!G18*exposure!G$5)+(exposure!G$6*(1-Labor_ratio!G18))))*F18</f>
        <v>135847046.90644866</v>
      </c>
      <c r="H18" s="4">
        <f>(1-exposure!H$7+((Labor_ratio!H18*exposure!H$5)+(exposure!H$6*(1-Labor_ratio!H18))))*G18</f>
        <v>137923877.71297783</v>
      </c>
      <c r="I18" s="4">
        <f>(1-exposure!I$7+((Labor_ratio!I18*exposure!I$5)+(exposure!I$6*(1-Labor_ratio!I18))))*H18</f>
        <v>139856661.55691278</v>
      </c>
      <c r="J18" s="4">
        <f>(1-exposure!J$7+((Labor_ratio!J18*exposure!J$5)+(exposure!J$6*(1-Labor_ratio!J18))))*I18</f>
        <v>141651779.44280151</v>
      </c>
      <c r="K18" s="4">
        <f>(1-exposure!K$7+((Labor_ratio!K18*exposure!K$5)+(exposure!K$6*(1-Labor_ratio!K18))))*J18</f>
        <v>143351092.7139082</v>
      </c>
      <c r="L18" s="4">
        <f>(1-exposure!L$7+((Labor_ratio!L18*exposure!L$5)+(exposure!L$6*(1-Labor_ratio!L18))))*K18</f>
        <v>144974574.51738822</v>
      </c>
      <c r="M18" s="4">
        <f>(1-exposure!M$7+((Labor_ratio!M18*exposure!M$5)+(exposure!M$6*(1-Labor_ratio!M18))))*L18</f>
        <v>146479818.80689234</v>
      </c>
    </row>
    <row r="19" spans="1:13" x14ac:dyDescent="0.2">
      <c r="A19" t="str">
        <f>raw!A19</f>
        <v>Pacific Gas &amp; Electric Co.</v>
      </c>
      <c r="B19" s="4">
        <f>VLOOKUP(A19,raw!$A$4:$AU$24,$B$2,FALSE)</f>
        <v>633150231</v>
      </c>
      <c r="C19" s="16">
        <f t="shared" si="0"/>
        <v>633150231</v>
      </c>
      <c r="D19" s="4">
        <f>(1-exposure!D$7+((Labor_ratio!D19*exposure!D$5)+(exposure!D$6*(1-Labor_ratio!D19))))*C19</f>
        <v>646880213.23614979</v>
      </c>
      <c r="E19" s="4">
        <f>(1-exposure!E$7+((Labor_ratio!E19*exposure!E$5)+(exposure!E$6*(1-Labor_ratio!E19))))*D19</f>
        <v>659374582.48701179</v>
      </c>
      <c r="F19" s="4">
        <f>(1-exposure!F$7+((Labor_ratio!F19*exposure!F$5)+(exposure!F$6*(1-Labor_ratio!F19))))*E19</f>
        <v>670999107.52523637</v>
      </c>
      <c r="G19" s="4">
        <f>(1-exposure!G$7+((Labor_ratio!G19*exposure!G$5)+(exposure!G$6*(1-Labor_ratio!G19))))*F19</f>
        <v>681941355.78968418</v>
      </c>
      <c r="H19" s="4">
        <f>(1-exposure!H$7+((Labor_ratio!H19*exposure!H$5)+(exposure!H$6*(1-Labor_ratio!H19))))*G19</f>
        <v>692347266.14338231</v>
      </c>
      <c r="I19" s="4">
        <f>(1-exposure!I$7+((Labor_ratio!I19*exposure!I$5)+(exposure!I$6*(1-Labor_ratio!I19))))*H19</f>
        <v>702026013.05429709</v>
      </c>
      <c r="J19" s="4">
        <f>(1-exposure!J$7+((Labor_ratio!J19*exposure!J$5)+(exposure!J$6*(1-Labor_ratio!J19))))*I19</f>
        <v>711008031.80290699</v>
      </c>
      <c r="K19" s="4">
        <f>(1-exposure!K$7+((Labor_ratio!K19*exposure!K$5)+(exposure!K$6*(1-Labor_ratio!K19))))*J19</f>
        <v>719505878.9601016</v>
      </c>
      <c r="L19" s="4">
        <f>(1-exposure!L$7+((Labor_ratio!L19*exposure!L$5)+(exposure!L$6*(1-Labor_ratio!L19))))*K19</f>
        <v>727620289.67088342</v>
      </c>
      <c r="M19" s="4">
        <f>(1-exposure!M$7+((Labor_ratio!M19*exposure!M$5)+(exposure!M$6*(1-Labor_ratio!M19))))*L19</f>
        <v>735136318.83658385</v>
      </c>
    </row>
    <row r="20" spans="1:13" x14ac:dyDescent="0.2">
      <c r="A20" t="str">
        <f>raw!A20</f>
        <v>Public Service Electric &amp; Gas Co.</v>
      </c>
      <c r="B20" s="4">
        <f>VLOOKUP(A20,raw!$A$4:$AU$24,$B$2,FALSE)</f>
        <v>251484711</v>
      </c>
      <c r="C20" s="16">
        <f t="shared" si="0"/>
        <v>251484711</v>
      </c>
      <c r="D20" s="4">
        <f>(1-exposure!D$7+((Labor_ratio!D20*exposure!D$5)+(exposure!D$6*(1-Labor_ratio!D20))))*C20</f>
        <v>256926573.02526897</v>
      </c>
      <c r="E20" s="4">
        <f>(1-exposure!E$7+((Labor_ratio!E20*exposure!E$5)+(exposure!E$6*(1-Labor_ratio!E20))))*D20</f>
        <v>261900944.38001895</v>
      </c>
      <c r="F20" s="4">
        <f>(1-exposure!F$7+((Labor_ratio!F20*exposure!F$5)+(exposure!F$6*(1-Labor_ratio!F20))))*E20</f>
        <v>266542385.48370016</v>
      </c>
      <c r="G20" s="4">
        <f>(1-exposure!G$7+((Labor_ratio!G20*exposure!G$5)+(exposure!G$6*(1-Labor_ratio!G20))))*F20</f>
        <v>270928446.77657819</v>
      </c>
      <c r="H20" s="4">
        <f>(1-exposure!H$7+((Labor_ratio!H20*exposure!H$5)+(exposure!H$6*(1-Labor_ratio!H20))))*G20</f>
        <v>275112733.08849221</v>
      </c>
      <c r="I20" s="4">
        <f>(1-exposure!I$7+((Labor_ratio!I20*exposure!I$5)+(exposure!I$6*(1-Labor_ratio!I20))))*H20</f>
        <v>279018506.42045057</v>
      </c>
      <c r="J20" s="4">
        <f>(1-exposure!J$7+((Labor_ratio!J20*exposure!J$5)+(exposure!J$6*(1-Labor_ratio!J20))))*I20</f>
        <v>282661945.25518608</v>
      </c>
      <c r="K20" s="4">
        <f>(1-exposure!K$7+((Labor_ratio!K20*exposure!K$5)+(exposure!K$6*(1-Labor_ratio!K20))))*J20</f>
        <v>286121327.63553494</v>
      </c>
      <c r="L20" s="4">
        <f>(1-exposure!L$7+((Labor_ratio!L20*exposure!L$5)+(exposure!L$6*(1-Labor_ratio!L20))))*K20</f>
        <v>289435473.93630958</v>
      </c>
      <c r="M20" s="4">
        <f>(1-exposure!M$7+((Labor_ratio!M20*exposure!M$5)+(exposure!M$6*(1-Labor_ratio!M20))))*L20</f>
        <v>292524288.8206718</v>
      </c>
    </row>
    <row r="21" spans="1:13" x14ac:dyDescent="0.2">
      <c r="A21" t="str">
        <f>raw!A21</f>
        <v>San Diego Gas &amp; Electric Co.</v>
      </c>
      <c r="B21" s="4">
        <f>VLOOKUP(A21,raw!$A$4:$AU$24,$B$2,FALSE)</f>
        <v>196185209</v>
      </c>
      <c r="C21" s="16">
        <f t="shared" si="0"/>
        <v>196185209</v>
      </c>
      <c r="D21" s="4">
        <f>(1-exposure!D$7+((Labor_ratio!D21*exposure!D$5)+(exposure!D$6*(1-Labor_ratio!D21))))*C21</f>
        <v>200458056.6079019</v>
      </c>
      <c r="E21" s="4">
        <f>(1-exposure!E$7+((Labor_ratio!E21*exposure!E$5)+(exposure!E$6*(1-Labor_ratio!E21))))*D21</f>
        <v>204310928.14279839</v>
      </c>
      <c r="F21" s="4">
        <f>(1-exposure!F$7+((Labor_ratio!F21*exposure!F$5)+(exposure!F$6*(1-Labor_ratio!F21))))*E21</f>
        <v>207874248.7053239</v>
      </c>
      <c r="G21" s="4">
        <f>(1-exposure!G$7+((Labor_ratio!G21*exposure!G$5)+(exposure!G$6*(1-Labor_ratio!G21))))*F21</f>
        <v>211201292.79297155</v>
      </c>
      <c r="H21" s="4">
        <f>(1-exposure!H$7+((Labor_ratio!H21*exposure!H$5)+(exposure!H$6*(1-Labor_ratio!H21))))*G21</f>
        <v>214344253.28759432</v>
      </c>
      <c r="I21" s="4">
        <f>(1-exposure!I$7+((Labor_ratio!I21*exposure!I$5)+(exposure!I$6*(1-Labor_ratio!I21))))*H21</f>
        <v>217245528.57747918</v>
      </c>
      <c r="J21" s="4">
        <f>(1-exposure!J$7+((Labor_ratio!J21*exposure!J$5)+(exposure!J$6*(1-Labor_ratio!J21))))*I21</f>
        <v>219908073.41027248</v>
      </c>
      <c r="K21" s="4">
        <f>(1-exposure!K$7+((Labor_ratio!K21*exposure!K$5)+(exposure!K$6*(1-Labor_ratio!K21))))*J21</f>
        <v>222407569.1338312</v>
      </c>
      <c r="L21" s="4">
        <f>(1-exposure!L$7+((Labor_ratio!L21*exposure!L$5)+(exposure!L$6*(1-Labor_ratio!L21))))*K21</f>
        <v>224777150.20961672</v>
      </c>
      <c r="M21" s="4">
        <f>(1-exposure!M$7+((Labor_ratio!M21*exposure!M$5)+(exposure!M$6*(1-Labor_ratio!M21))))*L21</f>
        <v>226941866.26077265</v>
      </c>
    </row>
    <row r="22" spans="1:13" x14ac:dyDescent="0.2">
      <c r="A22" t="str">
        <f>raw!A22</f>
        <v>Southern California Edison Co.</v>
      </c>
      <c r="B22" s="4">
        <f>VLOOKUP(A22,raw!$A$4:$AU$24,$B$2,FALSE)</f>
        <v>792569246</v>
      </c>
      <c r="C22" s="16">
        <f t="shared" si="0"/>
        <v>792569246</v>
      </c>
      <c r="D22" s="4">
        <f>(1-exposure!D$7+((Labor_ratio!D22*exposure!D$5)+(exposure!D$6*(1-Labor_ratio!D22))))*C22</f>
        <v>809764043.67257309</v>
      </c>
      <c r="E22" s="4">
        <f>(1-exposure!E$7+((Labor_ratio!E22*exposure!E$5)+(exposure!E$6*(1-Labor_ratio!E22))))*D22</f>
        <v>825396530.48409915</v>
      </c>
      <c r="F22" s="4">
        <f>(1-exposure!F$7+((Labor_ratio!F22*exposure!F$5)+(exposure!F$6*(1-Labor_ratio!F22))))*E22</f>
        <v>839931746.97190702</v>
      </c>
      <c r="G22" s="4">
        <f>(1-exposure!G$7+((Labor_ratio!G22*exposure!G$5)+(exposure!G$6*(1-Labor_ratio!G22))))*F22</f>
        <v>853602449.36071372</v>
      </c>
      <c r="H22" s="4">
        <f>(1-exposure!H$7+((Labor_ratio!H22*exposure!H$5)+(exposure!H$6*(1-Labor_ratio!H22))))*G22</f>
        <v>866594244.69013143</v>
      </c>
      <c r="I22" s="4">
        <f>(1-exposure!I$7+((Labor_ratio!I22*exposure!I$5)+(exposure!I$6*(1-Labor_ratio!I22))))*H22</f>
        <v>878668895.10030437</v>
      </c>
      <c r="J22" s="4">
        <f>(1-exposure!J$7+((Labor_ratio!J22*exposure!J$5)+(exposure!J$6*(1-Labor_ratio!J22))))*I22</f>
        <v>889861769.02134097</v>
      </c>
      <c r="K22" s="4">
        <f>(1-exposure!K$7+((Labor_ratio!K22*exposure!K$5)+(exposure!K$6*(1-Labor_ratio!K22))))*J22</f>
        <v>900443060.45921421</v>
      </c>
      <c r="L22" s="4">
        <f>(1-exposure!L$7+((Labor_ratio!L22*exposure!L$5)+(exposure!L$6*(1-Labor_ratio!L22))))*K22</f>
        <v>910539669.40499425</v>
      </c>
      <c r="M22" s="4">
        <f>(1-exposure!M$7+((Labor_ratio!M22*exposure!M$5)+(exposure!M$6*(1-Labor_ratio!M22))))*L22</f>
        <v>919879007.79746997</v>
      </c>
    </row>
    <row r="23" spans="1:13" x14ac:dyDescent="0.2">
      <c r="A23" t="str">
        <f>raw!A23</f>
        <v>Southwestern Public Service Co.</v>
      </c>
      <c r="B23" s="4">
        <f>VLOOKUP(A23,raw!$A$4:$AU$24,$B$2,FALSE)</f>
        <v>55056427</v>
      </c>
      <c r="C23" s="16">
        <f t="shared" si="0"/>
        <v>55056427</v>
      </c>
      <c r="D23" s="4">
        <f>(1-exposure!D$7+((Labor_ratio!D23*exposure!D$5)+(exposure!D$6*(1-Labor_ratio!D23))))*C23</f>
        <v>56245765.954259604</v>
      </c>
      <c r="E23" s="4">
        <f>(1-exposure!E$7+((Labor_ratio!E23*exposure!E$5)+(exposure!E$6*(1-Labor_ratio!E23))))*D23</f>
        <v>57336811.08761964</v>
      </c>
      <c r="F23" s="4">
        <f>(1-exposure!F$7+((Labor_ratio!F23*exposure!F$5)+(exposure!F$6*(1-Labor_ratio!F23))))*E23</f>
        <v>58357156.111434899</v>
      </c>
      <c r="G23" s="4">
        <f>(1-exposure!G$7+((Labor_ratio!G23*exposure!G$5)+(exposure!G$6*(1-Labor_ratio!G23))))*F23</f>
        <v>59324310.29375682</v>
      </c>
      <c r="H23" s="4">
        <f>(1-exposure!H$7+((Labor_ratio!H23*exposure!H$5)+(exposure!H$6*(1-Labor_ratio!H23))))*G23</f>
        <v>60249251.760655671</v>
      </c>
      <c r="I23" s="4">
        <f>(1-exposure!I$7+((Labor_ratio!I23*exposure!I$5)+(exposure!I$6*(1-Labor_ratio!I23))))*H23</f>
        <v>61115018.13141375</v>
      </c>
      <c r="J23" s="4">
        <f>(1-exposure!J$7+((Labor_ratio!J23*exposure!J$5)+(exposure!J$6*(1-Labor_ratio!J23))))*I23</f>
        <v>61925865.473332591</v>
      </c>
      <c r="K23" s="4">
        <f>(1-exposure!K$7+((Labor_ratio!K23*exposure!K$5)+(exposure!K$6*(1-Labor_ratio!K23))))*J23</f>
        <v>62697862.53095559</v>
      </c>
      <c r="L23" s="4">
        <f>(1-exposure!L$7+((Labor_ratio!L23*exposure!L$5)+(exposure!L$6*(1-Labor_ratio!L23))))*K23</f>
        <v>63439302.314378187</v>
      </c>
      <c r="M23" s="4">
        <f>(1-exposure!M$7+((Labor_ratio!M23*exposure!M$5)+(exposure!M$6*(1-Labor_ratio!M23))))*L23</f>
        <v>64133572.743617311</v>
      </c>
    </row>
    <row r="24" spans="1:13" x14ac:dyDescent="0.2">
      <c r="A24" t="str">
        <f>raw!A24</f>
        <v>TXU Electric Co.</v>
      </c>
      <c r="B24" s="4">
        <f>VLOOKUP(A24,raw!$A$4:$AU$24,$B$2,FALSE)</f>
        <v>614304245</v>
      </c>
      <c r="C24" s="16">
        <f t="shared" si="0"/>
        <v>614304245</v>
      </c>
      <c r="D24" s="4">
        <f>(1-exposure!D$7+((Labor_ratio!D24*exposure!D$5)+(exposure!D$6*(1-Labor_ratio!D24))))*C24</f>
        <v>627660808.86866438</v>
      </c>
      <c r="E24" s="4">
        <f>(1-exposure!E$7+((Labor_ratio!E24*exposure!E$5)+(exposure!E$6*(1-Labor_ratio!E24))))*D24</f>
        <v>639747931.9034766</v>
      </c>
      <c r="F24" s="4">
        <f>(1-exposure!F$7+((Labor_ratio!F24*exposure!F$5)+(exposure!F$6*(1-Labor_ratio!F24))))*E24</f>
        <v>650953004.82880759</v>
      </c>
      <c r="G24" s="4">
        <f>(1-exposure!G$7+((Labor_ratio!G24*exposure!G$5)+(exposure!G$6*(1-Labor_ratio!G24))))*F24</f>
        <v>661448788.57402003</v>
      </c>
      <c r="H24" s="4">
        <f>(1-exposure!H$7+((Labor_ratio!H24*exposure!H$5)+(exposure!H$6*(1-Labor_ratio!H24))))*G24</f>
        <v>671390132.05716121</v>
      </c>
      <c r="I24" s="4">
        <f>(1-exposure!I$7+((Labor_ratio!I24*exposure!I$5)+(exposure!I$6*(1-Labor_ratio!I24))))*H24</f>
        <v>680594782.14576292</v>
      </c>
      <c r="J24" s="4">
        <f>(1-exposure!J$7+((Labor_ratio!J24*exposure!J$5)+(exposure!J$6*(1-Labor_ratio!J24))))*I24</f>
        <v>689079927.85133278</v>
      </c>
      <c r="K24" s="4">
        <f>(1-exposure!K$7+((Labor_ratio!K24*exposure!K$5)+(exposure!K$6*(1-Labor_ratio!K24))))*J24</f>
        <v>697070468.9210645</v>
      </c>
      <c r="L24" s="4">
        <f>(1-exposure!L$7+((Labor_ratio!L24*exposure!L$5)+(exposure!L$6*(1-Labor_ratio!L24))))*K24</f>
        <v>704667785.41365099</v>
      </c>
      <c r="M24" s="4">
        <f>(1-exposure!M$7+((Labor_ratio!M24*exposure!M$5)+(exposure!M$6*(1-Labor_ratio!M24))))*L24</f>
        <v>711647415.29437041</v>
      </c>
    </row>
  </sheetData>
  <pageMargins left="0.75" right="0.75" top="1" bottom="1" header="0.5" footer="0.5"/>
  <pageSetup scale="63" orientation="landscape" verticalDpi="0" r:id="rId1"/>
  <headerFooter alignWithMargins="0">
    <oddFooter>Page &amp;P&amp;R&amp;A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workbookViewId="0">
      <selection activeCell="E25" sqref="E25"/>
    </sheetView>
  </sheetViews>
  <sheetFormatPr defaultRowHeight="12.75" x14ac:dyDescent="0.2"/>
  <cols>
    <col min="1" max="1" width="36.140625" bestFit="1" customWidth="1"/>
    <col min="2" max="13" width="13.85546875" bestFit="1" customWidth="1"/>
  </cols>
  <sheetData>
    <row r="1" spans="1:13" x14ac:dyDescent="0.2">
      <c r="A1" t="s">
        <v>524</v>
      </c>
    </row>
    <row r="2" spans="1:13" x14ac:dyDescent="0.2">
      <c r="B2">
        <v>23</v>
      </c>
    </row>
    <row r="3" spans="1:13" x14ac:dyDescent="0.2">
      <c r="A3" s="8" t="s">
        <v>177</v>
      </c>
      <c r="B3" s="8">
        <v>1998</v>
      </c>
      <c r="C3" s="8">
        <v>2000</v>
      </c>
      <c r="D3" s="8">
        <v>2001</v>
      </c>
      <c r="E3" s="8">
        <v>2002</v>
      </c>
      <c r="F3" s="8">
        <v>2003</v>
      </c>
      <c r="G3" s="8">
        <v>2004</v>
      </c>
      <c r="H3" s="8">
        <v>2005</v>
      </c>
      <c r="I3" s="8">
        <v>2006</v>
      </c>
      <c r="J3" s="8">
        <v>2007</v>
      </c>
      <c r="K3" s="8">
        <v>2008</v>
      </c>
      <c r="L3" s="8">
        <v>2009</v>
      </c>
      <c r="M3" s="8">
        <v>2010</v>
      </c>
    </row>
    <row r="4" spans="1:13" x14ac:dyDescent="0.2">
      <c r="A4" t="str">
        <f>raw!A4</f>
        <v>Boston Edison Co.</v>
      </c>
      <c r="B4" s="4">
        <f>VLOOKUP(A4,raw!$A$4:$AU$24,$B$2,FALSE)</f>
        <v>675869910</v>
      </c>
      <c r="C4" s="16">
        <f>B4</f>
        <v>675869910</v>
      </c>
      <c r="D4" s="4">
        <f>(1-exposure!D$7+((Labor_ratio!D4*exposure!D$5)+(exposure!D$6*(1-Labor_ratio!D4))))*C4</f>
        <v>690507592.61943591</v>
      </c>
      <c r="E4" s="4">
        <f>(1-exposure!E$7+((Labor_ratio!E4*exposure!E$5)+(exposure!E$6*(1-Labor_ratio!E4))))*D4</f>
        <v>703863705.03539574</v>
      </c>
      <c r="F4" s="4">
        <f>(1-exposure!F$7+((Labor_ratio!F4*exposure!F$5)+(exposure!F$6*(1-Labor_ratio!F4))))*E4</f>
        <v>716311472.08297777</v>
      </c>
      <c r="G4" s="4">
        <f>(1-exposure!G$7+((Labor_ratio!G4*exposure!G$5)+(exposure!G$6*(1-Labor_ratio!G4))))*F4</f>
        <v>728056013.08705926</v>
      </c>
      <c r="H4" s="4">
        <f>(1-exposure!H$7+((Labor_ratio!H4*exposure!H$5)+(exposure!H$6*(1-Labor_ratio!H4))))*G4</f>
        <v>739246104.55470634</v>
      </c>
      <c r="I4" s="4">
        <f>(1-exposure!I$7+((Labor_ratio!I4*exposure!I$5)+(exposure!I$6*(1-Labor_ratio!I4))))*H4</f>
        <v>749676527.83271265</v>
      </c>
      <c r="J4" s="4">
        <f>(1-exposure!J$7+((Labor_ratio!J4*exposure!J$5)+(exposure!J$6*(1-Labor_ratio!J4))))*I4</f>
        <v>759386335.69099557</v>
      </c>
      <c r="K4" s="4">
        <f>(1-exposure!K$7+((Labor_ratio!K4*exposure!K$5)+(exposure!K$6*(1-Labor_ratio!K4))))*J4</f>
        <v>768592546.64415228</v>
      </c>
      <c r="L4" s="4">
        <f>(1-exposure!L$7+((Labor_ratio!L4*exposure!L$5)+(exposure!L$6*(1-Labor_ratio!L4))))*K4</f>
        <v>777400776.03401566</v>
      </c>
      <c r="M4" s="4">
        <f>(1-exposure!M$7+((Labor_ratio!M4*exposure!M$5)+(exposure!M$6*(1-Labor_ratio!M4))))*L4</f>
        <v>785590048.78855157</v>
      </c>
    </row>
    <row r="5" spans="1:13" x14ac:dyDescent="0.2">
      <c r="A5" t="str">
        <f>raw!A5</f>
        <v>Carolina Power &amp; Light Co.</v>
      </c>
      <c r="B5" s="4">
        <f>VLOOKUP(A5,raw!$A$4:$AU$24,$B$2,FALSE)</f>
        <v>607234922</v>
      </c>
      <c r="C5" s="16">
        <f t="shared" ref="C5:C24" si="0">B5</f>
        <v>607234922</v>
      </c>
      <c r="D5" s="4">
        <f>(1-exposure!D$7+((Labor_ratio!D5*exposure!D$5)+(exposure!D$6*(1-Labor_ratio!D5))))*C5</f>
        <v>620419713.87939799</v>
      </c>
      <c r="E5" s="4">
        <f>(1-exposure!E$7+((Labor_ratio!E5*exposure!E$5)+(exposure!E$6*(1-Labor_ratio!E5))))*D5</f>
        <v>632385851.05387044</v>
      </c>
      <c r="F5" s="4">
        <f>(1-exposure!F$7+((Labor_ratio!F5*exposure!F$5)+(exposure!F$6*(1-Labor_ratio!F5))))*E5</f>
        <v>643499608.24653089</v>
      </c>
      <c r="G5" s="4">
        <f>(1-exposure!G$7+((Labor_ratio!G5*exposure!G$5)+(exposure!G$6*(1-Labor_ratio!G5))))*F5</f>
        <v>653936481.34256077</v>
      </c>
      <c r="H5" s="4">
        <f>(1-exposure!H$7+((Labor_ratio!H5*exposure!H$5)+(exposure!H$6*(1-Labor_ratio!H5))))*G5</f>
        <v>663842741.84777009</v>
      </c>
      <c r="I5" s="4">
        <f>(1-exposure!I$7+((Labor_ratio!I5*exposure!I$5)+(exposure!I$6*(1-Labor_ratio!I5))))*H5</f>
        <v>673036747.31726599</v>
      </c>
      <c r="J5" s="4">
        <f>(1-exposure!J$7+((Labor_ratio!J5*exposure!J$5)+(exposure!J$6*(1-Labor_ratio!J5))))*I5</f>
        <v>681541804.00583434</v>
      </c>
      <c r="K5" s="4">
        <f>(1-exposure!K$7+((Labor_ratio!K5*exposure!K$5)+(exposure!K$6*(1-Labor_ratio!K5))))*J5</f>
        <v>689570653.27553582</v>
      </c>
      <c r="L5" s="4">
        <f>(1-exposure!L$7+((Labor_ratio!L5*exposure!L$5)+(exposure!L$6*(1-Labor_ratio!L5))))*K5</f>
        <v>697221637.37232041</v>
      </c>
      <c r="M5" s="4">
        <f>(1-exposure!M$7+((Labor_ratio!M5*exposure!M$5)+(exposure!M$6*(1-Labor_ratio!M5))))*L5</f>
        <v>704281019.29300678</v>
      </c>
    </row>
    <row r="6" spans="1:13" x14ac:dyDescent="0.2">
      <c r="A6" t="str">
        <f>raw!A6</f>
        <v>Central Hudson Gas &amp; Electric Corp.</v>
      </c>
      <c r="B6" s="4">
        <f>VLOOKUP(A6,raw!$A$4:$AU$24,$B$2,FALSE)</f>
        <v>176851406</v>
      </c>
      <c r="C6" s="16">
        <f t="shared" si="0"/>
        <v>176851406</v>
      </c>
      <c r="D6" s="4">
        <f>(1-exposure!D$7+((Labor_ratio!D6*exposure!D$5)+(exposure!D$6*(1-Labor_ratio!D6))))*C6</f>
        <v>180672688.06662676</v>
      </c>
      <c r="E6" s="4">
        <f>(1-exposure!E$7+((Labor_ratio!E6*exposure!E$5)+(exposure!E$6*(1-Labor_ratio!E6))))*D6</f>
        <v>184176418.60800239</v>
      </c>
      <c r="F6" s="4">
        <f>(1-exposure!F$7+((Labor_ratio!F6*exposure!F$5)+(exposure!F$6*(1-Labor_ratio!F6))))*E6</f>
        <v>187452068.46351135</v>
      </c>
      <c r="G6" s="4">
        <f>(1-exposure!G$7+((Labor_ratio!G6*exposure!G$5)+(exposure!G$6*(1-Labor_ratio!G6))))*F6</f>
        <v>190555642.56590566</v>
      </c>
      <c r="H6" s="4">
        <f>(1-exposure!H$7+((Labor_ratio!H6*exposure!H$5)+(exposure!H$6*(1-Labor_ratio!H6))))*G6</f>
        <v>193522743.42679945</v>
      </c>
      <c r="I6" s="4">
        <f>(1-exposure!I$7+((Labor_ratio!I6*exposure!I$5)+(exposure!I$6*(1-Labor_ratio!I6))))*H6</f>
        <v>196298957.20560399</v>
      </c>
      <c r="J6" s="4">
        <f>(1-exposure!J$7+((Labor_ratio!J6*exposure!J$5)+(exposure!J$6*(1-Labor_ratio!J6))))*I6</f>
        <v>198897635.044305</v>
      </c>
      <c r="K6" s="4">
        <f>(1-exposure!K$7+((Labor_ratio!K6*exposure!K$5)+(exposure!K$6*(1-Labor_ratio!K6))))*J6</f>
        <v>201370870.66883796</v>
      </c>
      <c r="L6" s="4">
        <f>(1-exposure!L$7+((Labor_ratio!L6*exposure!L$5)+(exposure!L$6*(1-Labor_ratio!L6))))*K6</f>
        <v>203745394.60552323</v>
      </c>
      <c r="M6" s="4">
        <f>(1-exposure!M$7+((Labor_ratio!M6*exposure!M$5)+(exposure!M$6*(1-Labor_ratio!M6))))*L6</f>
        <v>205967431.99193159</v>
      </c>
    </row>
    <row r="7" spans="1:13" x14ac:dyDescent="0.2">
      <c r="A7" t="str">
        <f>raw!A7</f>
        <v>Commonwealth Edison Co.</v>
      </c>
      <c r="B7" s="4">
        <f>VLOOKUP(A7,raw!$A$4:$AU$24,$B$2,FALSE)</f>
        <v>1878732271</v>
      </c>
      <c r="C7" s="16">
        <f t="shared" si="0"/>
        <v>1878732271</v>
      </c>
      <c r="D7" s="4">
        <f>(1-exposure!D$7+((Labor_ratio!D7*exposure!D$5)+(exposure!D$6*(1-Labor_ratio!D7))))*C7</f>
        <v>1919453335.1545987</v>
      </c>
      <c r="E7" s="4">
        <f>(1-exposure!E$7+((Labor_ratio!E7*exposure!E$5)+(exposure!E$6*(1-Labor_ratio!E7))))*D7</f>
        <v>1956547238.5989096</v>
      </c>
      <c r="F7" s="4">
        <f>(1-exposure!F$7+((Labor_ratio!F7*exposure!F$5)+(exposure!F$6*(1-Labor_ratio!F7))))*E7</f>
        <v>1991081250.9235506</v>
      </c>
      <c r="G7" s="4">
        <f>(1-exposure!G$7+((Labor_ratio!G7*exposure!G$5)+(exposure!G$6*(1-Labor_ratio!G7))))*F7</f>
        <v>2023617071.194407</v>
      </c>
      <c r="H7" s="4">
        <f>(1-exposure!H$7+((Labor_ratio!H7*exposure!H$5)+(exposure!H$6*(1-Labor_ratio!H7))))*G7</f>
        <v>2054580384.8861353</v>
      </c>
      <c r="I7" s="4">
        <f>(1-exposure!I$7+((Labor_ratio!I7*exposure!I$5)+(exposure!I$6*(1-Labor_ratio!I7))))*H7</f>
        <v>2083403364.3884308</v>
      </c>
      <c r="J7" s="4">
        <f>(1-exposure!J$7+((Labor_ratio!J7*exposure!J$5)+(exposure!J$6*(1-Labor_ratio!J7))))*I7</f>
        <v>2110183199.9887424</v>
      </c>
      <c r="K7" s="4">
        <f>(1-exposure!K$7+((Labor_ratio!K7*exposure!K$5)+(exposure!K$6*(1-Labor_ratio!K7))))*J7</f>
        <v>2135540239.3037159</v>
      </c>
      <c r="L7" s="4">
        <f>(1-exposure!L$7+((Labor_ratio!L7*exposure!L$5)+(exposure!L$6*(1-Labor_ratio!L7))))*K7</f>
        <v>2159771377.9562254</v>
      </c>
      <c r="M7" s="4">
        <f>(1-exposure!M$7+((Labor_ratio!M7*exposure!M$5)+(exposure!M$6*(1-Labor_ratio!M7))))*L7</f>
        <v>2182247693.796483</v>
      </c>
    </row>
    <row r="8" spans="1:13" x14ac:dyDescent="0.2">
      <c r="A8" t="str">
        <f>raw!A8</f>
        <v>Consolidated Edison Co. of New York, Inc.</v>
      </c>
      <c r="B8" s="4">
        <f>VLOOKUP(A8,raw!$A$4:$AU$24,$B$2,FALSE)</f>
        <v>2514943251</v>
      </c>
      <c r="C8" s="16">
        <f t="shared" si="0"/>
        <v>2514943251</v>
      </c>
      <c r="D8" s="4">
        <f>(1-exposure!D$7+((Labor_ratio!D8*exposure!D$5)+(exposure!D$6*(1-Labor_ratio!D8))))*C8</f>
        <v>2569771014.6684175</v>
      </c>
      <c r="E8" s="4">
        <f>(1-exposure!E$7+((Labor_ratio!E8*exposure!E$5)+(exposure!E$6*(1-Labor_ratio!E8))))*D8</f>
        <v>2619108573.7344756</v>
      </c>
      <c r="F8" s="4">
        <f>(1-exposure!F$7+((Labor_ratio!F8*exposure!F$5)+(exposure!F$6*(1-Labor_ratio!F8))))*E8</f>
        <v>2664676895.5839996</v>
      </c>
      <c r="G8" s="4">
        <f>(1-exposure!G$7+((Labor_ratio!G8*exposure!G$5)+(exposure!G$6*(1-Labor_ratio!G8))))*F8</f>
        <v>2707145061.5581241</v>
      </c>
      <c r="H8" s="4">
        <f>(1-exposure!H$7+((Labor_ratio!H8*exposure!H$5)+(exposure!H$6*(1-Labor_ratio!H8))))*G8</f>
        <v>2747202193.6478677</v>
      </c>
      <c r="I8" s="4">
        <f>(1-exposure!I$7+((Labor_ratio!I8*exposure!I$5)+(exposure!I$6*(1-Labor_ratio!I8))))*H8</f>
        <v>2784114318.9359174</v>
      </c>
      <c r="J8" s="4">
        <f>(1-exposure!J$7+((Labor_ratio!J8*exposure!J$5)+(exposure!J$6*(1-Labor_ratio!J8))))*I8</f>
        <v>2817900841.6140885</v>
      </c>
      <c r="K8" s="4">
        <f>(1-exposure!K$7+((Labor_ratio!K8*exposure!K$5)+(exposure!K$6*(1-Labor_ratio!K8))))*J8</f>
        <v>2849560147.7987227</v>
      </c>
      <c r="L8" s="4">
        <f>(1-exposure!L$7+((Labor_ratio!L8*exposure!L$5)+(exposure!L$6*(1-Labor_ratio!L8))))*K8</f>
        <v>2879522558.3169427</v>
      </c>
      <c r="M8" s="4">
        <f>(1-exposure!M$7+((Labor_ratio!M8*exposure!M$5)+(exposure!M$6*(1-Labor_ratio!M8))))*L8</f>
        <v>2906803479.9349632</v>
      </c>
    </row>
    <row r="9" spans="1:13" x14ac:dyDescent="0.2">
      <c r="A9" t="str">
        <f>raw!A9</f>
        <v>Consumers Energy Co.</v>
      </c>
      <c r="B9" s="4">
        <f>VLOOKUP(A9,raw!$A$4:$AU$24,$B$2,FALSE)</f>
        <v>746312104</v>
      </c>
      <c r="C9" s="16">
        <f t="shared" si="0"/>
        <v>746312104</v>
      </c>
      <c r="D9" s="4">
        <f>(1-exposure!D$7+((Labor_ratio!D9*exposure!D$5)+(exposure!D$6*(1-Labor_ratio!D9))))*C9</f>
        <v>762526557.33613586</v>
      </c>
      <c r="E9" s="4">
        <f>(1-exposure!E$7+((Labor_ratio!E9*exposure!E$5)+(exposure!E$6*(1-Labor_ratio!E9))))*D9</f>
        <v>777223415.97414958</v>
      </c>
      <c r="F9" s="4">
        <f>(1-exposure!F$7+((Labor_ratio!F9*exposure!F$5)+(exposure!F$6*(1-Labor_ratio!F9))))*E9</f>
        <v>790861973.00597811</v>
      </c>
      <c r="G9" s="4">
        <f>(1-exposure!G$7+((Labor_ratio!G9*exposure!G$5)+(exposure!G$6*(1-Labor_ratio!G9))))*F9</f>
        <v>803655329.33880138</v>
      </c>
      <c r="H9" s="4">
        <f>(1-exposure!H$7+((Labor_ratio!H9*exposure!H$5)+(exposure!H$6*(1-Labor_ratio!H9))))*G9</f>
        <v>815786980.40046108</v>
      </c>
      <c r="I9" s="4">
        <f>(1-exposure!I$7+((Labor_ratio!I9*exposure!I$5)+(exposure!I$6*(1-Labor_ratio!I9))))*H9</f>
        <v>827034494.77594018</v>
      </c>
      <c r="J9" s="4">
        <f>(1-exposure!J$7+((Labor_ratio!J9*exposure!J$5)+(exposure!J$6*(1-Labor_ratio!J9))))*I9</f>
        <v>837423053.07025588</v>
      </c>
      <c r="K9" s="4">
        <f>(1-exposure!K$7+((Labor_ratio!K9*exposure!K$5)+(exposure!K$6*(1-Labor_ratio!K9))))*J9</f>
        <v>847219365.23059046</v>
      </c>
      <c r="L9" s="4">
        <f>(1-exposure!L$7+((Labor_ratio!L9*exposure!L$5)+(exposure!L$6*(1-Labor_ratio!L9))))*K9</f>
        <v>856545321.24010122</v>
      </c>
      <c r="M9" s="4">
        <f>(1-exposure!M$7+((Labor_ratio!M9*exposure!M$5)+(exposure!M$6*(1-Labor_ratio!M9))))*L9</f>
        <v>865133764.83926487</v>
      </c>
    </row>
    <row r="10" spans="1:13" x14ac:dyDescent="0.2">
      <c r="A10" t="str">
        <f>raw!A10</f>
        <v>Duke Energy Corp.</v>
      </c>
      <c r="B10" s="4">
        <f>VLOOKUP(A10,raw!$A$4:$AU$24,$B$2,FALSE)</f>
        <v>1064836061</v>
      </c>
      <c r="C10" s="16">
        <f t="shared" si="0"/>
        <v>1064836061</v>
      </c>
      <c r="D10" s="4">
        <f>(1-exposure!D$7+((Labor_ratio!D10*exposure!D$5)+(exposure!D$6*(1-Labor_ratio!D10))))*C10</f>
        <v>1087847605.6076822</v>
      </c>
      <c r="E10" s="4">
        <f>(1-exposure!E$7+((Labor_ratio!E10*exposure!E$5)+(exposure!E$6*(1-Labor_ratio!E10))))*D10</f>
        <v>1108940523.9000733</v>
      </c>
      <c r="F10" s="4">
        <f>(1-exposure!F$7+((Labor_ratio!F10*exposure!F$5)+(exposure!F$6*(1-Labor_ratio!F10))))*E10</f>
        <v>1128656575.528558</v>
      </c>
      <c r="G10" s="4">
        <f>(1-exposure!G$7+((Labor_ratio!G10*exposure!G$5)+(exposure!G$6*(1-Labor_ratio!G10))))*F10</f>
        <v>1147332101.2103703</v>
      </c>
      <c r="H10" s="4">
        <f>(1-exposure!H$7+((Labor_ratio!H10*exposure!H$5)+(exposure!H$6*(1-Labor_ratio!H10))))*G10</f>
        <v>1165182703.8624158</v>
      </c>
      <c r="I10" s="4">
        <f>(1-exposure!I$7+((Labor_ratio!I10*exposure!I$5)+(exposure!I$6*(1-Labor_ratio!I10))))*H10</f>
        <v>1181881018.4096577</v>
      </c>
      <c r="J10" s="4">
        <f>(1-exposure!J$7+((Labor_ratio!J10*exposure!J$5)+(exposure!J$6*(1-Labor_ratio!J10))))*I10</f>
        <v>1197506264.3362055</v>
      </c>
      <c r="K10" s="4">
        <f>(1-exposure!K$7+((Labor_ratio!K10*exposure!K$5)+(exposure!K$6*(1-Labor_ratio!K10))))*J10</f>
        <v>1212373847.8595524</v>
      </c>
      <c r="L10" s="4">
        <f>(1-exposure!L$7+((Labor_ratio!L10*exposure!L$5)+(exposure!L$6*(1-Labor_ratio!L10))))*K10</f>
        <v>1226645051.2496665</v>
      </c>
      <c r="M10" s="4">
        <f>(1-exposure!M$7+((Labor_ratio!M10*exposure!M$5)+(exposure!M$6*(1-Labor_ratio!M10))))*L10</f>
        <v>1239994581.2713637</v>
      </c>
    </row>
    <row r="11" spans="1:13" x14ac:dyDescent="0.2">
      <c r="A11" t="str">
        <f>raw!A11</f>
        <v>Entergy Mississippi, Inc.</v>
      </c>
      <c r="B11" s="4">
        <f>VLOOKUP(A11,raw!$A$4:$AU$24,$B$2,FALSE)</f>
        <v>289073887</v>
      </c>
      <c r="C11" s="16">
        <f t="shared" si="0"/>
        <v>289073887</v>
      </c>
      <c r="D11" s="4">
        <f>(1-exposure!D$7+((Labor_ratio!D11*exposure!D$5)+(exposure!D$6*(1-Labor_ratio!D11))))*C11</f>
        <v>295352410.26629537</v>
      </c>
      <c r="E11" s="4">
        <f>(1-exposure!E$7+((Labor_ratio!E11*exposure!E$5)+(exposure!E$6*(1-Labor_ratio!E11))))*D11</f>
        <v>301046969.80455279</v>
      </c>
      <c r="F11" s="4">
        <f>(1-exposure!F$7+((Labor_ratio!F11*exposure!F$5)+(exposure!F$6*(1-Labor_ratio!F11))))*E11</f>
        <v>306333691.09618634</v>
      </c>
      <c r="G11" s="4">
        <f>(1-exposure!G$7+((Labor_ratio!G11*exposure!G$5)+(exposure!G$6*(1-Labor_ratio!G11))))*F11</f>
        <v>311295619.41512334</v>
      </c>
      <c r="H11" s="4">
        <f>(1-exposure!H$7+((Labor_ratio!H11*exposure!H$5)+(exposure!H$6*(1-Labor_ratio!H11))))*G11</f>
        <v>316003105.09571773</v>
      </c>
      <c r="I11" s="4">
        <f>(1-exposure!I$7+((Labor_ratio!I11*exposure!I$5)+(exposure!I$6*(1-Labor_ratio!I11))))*H11</f>
        <v>320369834.06134415</v>
      </c>
      <c r="J11" s="4">
        <f>(1-exposure!J$7+((Labor_ratio!J11*exposure!J$5)+(exposure!J$6*(1-Labor_ratio!J11))))*I11</f>
        <v>324406233.07738262</v>
      </c>
      <c r="K11" s="4">
        <f>(1-exposure!K$7+((Labor_ratio!K11*exposure!K$5)+(exposure!K$6*(1-Labor_ratio!K11))))*J11</f>
        <v>328214588.72658449</v>
      </c>
      <c r="L11" s="4">
        <f>(1-exposure!L$7+((Labor_ratio!L11*exposure!L$5)+(exposure!L$6*(1-Labor_ratio!L11))))*K11</f>
        <v>331841914.17076224</v>
      </c>
      <c r="M11" s="4">
        <f>(1-exposure!M$7+((Labor_ratio!M11*exposure!M$5)+(exposure!M$6*(1-Labor_ratio!M11))))*L11</f>
        <v>335185598.34757799</v>
      </c>
    </row>
    <row r="12" spans="1:13" x14ac:dyDescent="0.2">
      <c r="A12" t="str">
        <f>raw!A12</f>
        <v>Florida Power &amp; Light Co.</v>
      </c>
      <c r="B12" s="4">
        <f>VLOOKUP(A12,raw!$A$4:$AU$24,$B$2,FALSE)</f>
        <v>1896474331</v>
      </c>
      <c r="C12" s="16">
        <f t="shared" si="0"/>
        <v>1896474331</v>
      </c>
      <c r="D12" s="4">
        <f>(1-exposure!D$7+((Labor_ratio!D12*exposure!D$5)+(exposure!D$6*(1-Labor_ratio!D12))))*C12</f>
        <v>1937509480.4824941</v>
      </c>
      <c r="E12" s="4">
        <f>(1-exposure!E$7+((Labor_ratio!E12*exposure!E$5)+(exposure!E$6*(1-Labor_ratio!E12))))*D12</f>
        <v>1975024317.6251135</v>
      </c>
      <c r="F12" s="4">
        <f>(1-exposure!F$7+((Labor_ratio!F12*exposure!F$5)+(exposure!F$6*(1-Labor_ratio!F12))))*E12</f>
        <v>2010031235.9441524</v>
      </c>
      <c r="G12" s="4">
        <f>(1-exposure!G$7+((Labor_ratio!G12*exposure!G$5)+(exposure!G$6*(1-Labor_ratio!G12))))*F12</f>
        <v>2043115718.755049</v>
      </c>
      <c r="H12" s="4">
        <f>(1-exposure!H$7+((Labor_ratio!H12*exposure!H$5)+(exposure!H$6*(1-Labor_ratio!H12))))*G12</f>
        <v>2074681054.4544611</v>
      </c>
      <c r="I12" s="4">
        <f>(1-exposure!I$7+((Labor_ratio!I12*exposure!I$5)+(exposure!I$6*(1-Labor_ratio!I12))))*H12</f>
        <v>2104148348.3873706</v>
      </c>
      <c r="J12" s="4">
        <f>(1-exposure!J$7+((Labor_ratio!J12*exposure!J$5)+(exposure!J$6*(1-Labor_ratio!J12))))*I12</f>
        <v>2131640499.5269012</v>
      </c>
      <c r="K12" s="4">
        <f>(1-exposure!K$7+((Labor_ratio!K12*exposure!K$5)+(exposure!K$6*(1-Labor_ratio!K12))))*J12</f>
        <v>2157746469.3321853</v>
      </c>
      <c r="L12" s="4">
        <f>(1-exposure!L$7+((Labor_ratio!L12*exposure!L$5)+(exposure!L$6*(1-Labor_ratio!L12))))*K12</f>
        <v>2182758747.462328</v>
      </c>
      <c r="M12" s="4">
        <f>(1-exposure!M$7+((Labor_ratio!M12*exposure!M$5)+(exposure!M$6*(1-Labor_ratio!M12))))*L12</f>
        <v>2206074482.3670058</v>
      </c>
    </row>
    <row r="13" spans="1:13" x14ac:dyDescent="0.2">
      <c r="A13" t="str">
        <f>raw!A13</f>
        <v>Gulf Power Co.</v>
      </c>
      <c r="B13" s="4">
        <f>VLOOKUP(A13,raw!$A$4:$AU$24,$B$2,FALSE)</f>
        <v>181833804</v>
      </c>
      <c r="C13" s="16">
        <f t="shared" si="0"/>
        <v>181833804</v>
      </c>
      <c r="D13" s="4">
        <f>(1-exposure!D$7+((Labor_ratio!D13*exposure!D$5)+(exposure!D$6*(1-Labor_ratio!D13))))*C13</f>
        <v>185775310.7267777</v>
      </c>
      <c r="E13" s="4">
        <f>(1-exposure!E$7+((Labor_ratio!E13*exposure!E$5)+(exposure!E$6*(1-Labor_ratio!E13))))*D13</f>
        <v>189365153.96675742</v>
      </c>
      <c r="F13" s="4">
        <f>(1-exposure!F$7+((Labor_ratio!F13*exposure!F$5)+(exposure!F$6*(1-Labor_ratio!F13))))*E13</f>
        <v>192706909.42706525</v>
      </c>
      <c r="G13" s="4">
        <f>(1-exposure!G$7+((Labor_ratio!G13*exposure!G$5)+(exposure!G$6*(1-Labor_ratio!G13))))*F13</f>
        <v>195854861.88235068</v>
      </c>
      <c r="H13" s="4">
        <f>(1-exposure!H$7+((Labor_ratio!H13*exposure!H$5)+(exposure!H$6*(1-Labor_ratio!H13))))*G13</f>
        <v>198850325.27598101</v>
      </c>
      <c r="I13" s="4">
        <f>(1-exposure!I$7+((Labor_ratio!I13*exposure!I$5)+(exposure!I$6*(1-Labor_ratio!I13))))*H13</f>
        <v>201638366.86652008</v>
      </c>
      <c r="J13" s="4">
        <f>(1-exposure!J$7+((Labor_ratio!J13*exposure!J$5)+(exposure!J$6*(1-Labor_ratio!J13))))*I13</f>
        <v>204228286.72585705</v>
      </c>
      <c r="K13" s="4">
        <f>(1-exposure!K$7+((Labor_ratio!K13*exposure!K$5)+(exposure!K$6*(1-Labor_ratio!K13))))*J13</f>
        <v>206680285.84739813</v>
      </c>
      <c r="L13" s="4">
        <f>(1-exposure!L$7+((Labor_ratio!L13*exposure!L$5)+(exposure!L$6*(1-Labor_ratio!L13))))*K13</f>
        <v>209023130.52310884</v>
      </c>
      <c r="M13" s="4">
        <f>(1-exposure!M$7+((Labor_ratio!M13*exposure!M$5)+(exposure!M$6*(1-Labor_ratio!M13))))*L13</f>
        <v>211195812.79665434</v>
      </c>
    </row>
    <row r="14" spans="1:13" x14ac:dyDescent="0.2">
      <c r="A14" t="str">
        <f>raw!A14</f>
        <v>Illinois Power Co.</v>
      </c>
      <c r="B14" s="4">
        <f>VLOOKUP(A14,raw!$A$4:$AU$24,$B$2,FALSE)</f>
        <v>380388066</v>
      </c>
      <c r="C14" s="16">
        <f t="shared" si="0"/>
        <v>380388066</v>
      </c>
      <c r="D14" s="4">
        <f>(1-exposure!D$7+((Labor_ratio!D14*exposure!D$5)+(exposure!D$6*(1-Labor_ratio!D14))))*C14</f>
        <v>388646180.51385474</v>
      </c>
      <c r="E14" s="4">
        <f>(1-exposure!E$7+((Labor_ratio!E14*exposure!E$5)+(exposure!E$6*(1-Labor_ratio!E14))))*D14</f>
        <v>396143278.1317026</v>
      </c>
      <c r="F14" s="4">
        <f>(1-exposure!F$7+((Labor_ratio!F14*exposure!F$5)+(exposure!F$6*(1-Labor_ratio!F14))))*E14</f>
        <v>403107706.90445411</v>
      </c>
      <c r="G14" s="4">
        <f>(1-exposure!G$7+((Labor_ratio!G14*exposure!G$5)+(exposure!G$6*(1-Labor_ratio!G14))))*F14</f>
        <v>409649713.14926922</v>
      </c>
      <c r="H14" s="4">
        <f>(1-exposure!H$7+((Labor_ratio!H14*exposure!H$5)+(exposure!H$6*(1-Labor_ratio!H14))))*G14</f>
        <v>415860478.36674964</v>
      </c>
      <c r="I14" s="4">
        <f>(1-exposure!I$7+((Labor_ratio!I14*exposure!I$5)+(exposure!I$6*(1-Labor_ratio!I14))))*H14</f>
        <v>421626119.44046777</v>
      </c>
      <c r="J14" s="4">
        <f>(1-exposure!J$7+((Labor_ratio!J14*exposure!J$5)+(exposure!J$6*(1-Labor_ratio!J14))))*I14</f>
        <v>426961652.224011</v>
      </c>
      <c r="K14" s="4">
        <f>(1-exposure!K$7+((Labor_ratio!K14*exposure!K$5)+(exposure!K$6*(1-Labor_ratio!K14))))*J14</f>
        <v>431999714.07572758</v>
      </c>
      <c r="L14" s="4">
        <f>(1-exposure!L$7+((Labor_ratio!L14*exposure!L$5)+(exposure!L$6*(1-Labor_ratio!L14))))*K14</f>
        <v>436801786.39352441</v>
      </c>
      <c r="M14" s="4">
        <f>(1-exposure!M$7+((Labor_ratio!M14*exposure!M$5)+(exposure!M$6*(1-Labor_ratio!M14))))*L14</f>
        <v>441234515.42964911</v>
      </c>
    </row>
    <row r="15" spans="1:13" x14ac:dyDescent="0.2">
      <c r="A15" t="str">
        <f>raw!A15</f>
        <v>Jersey Central Power &amp; Light Co.</v>
      </c>
      <c r="B15" s="4">
        <f>VLOOKUP(A15,raw!$A$4:$AU$24,$B$2,FALSE)</f>
        <v>609336447</v>
      </c>
      <c r="C15" s="16">
        <f t="shared" si="0"/>
        <v>609336447</v>
      </c>
      <c r="D15" s="4">
        <f>(1-exposure!D$7+((Labor_ratio!D15*exposure!D$5)+(exposure!D$6*(1-Labor_ratio!D15))))*C15</f>
        <v>622579523.31352127</v>
      </c>
      <c r="E15" s="4">
        <f>(1-exposure!E$7+((Labor_ratio!E15*exposure!E$5)+(exposure!E$6*(1-Labor_ratio!E15))))*D15</f>
        <v>634574387.69534397</v>
      </c>
      <c r="F15" s="4">
        <f>(1-exposure!F$7+((Labor_ratio!F15*exposure!F$5)+(exposure!F$6*(1-Labor_ratio!F15))))*E15</f>
        <v>645700249.96035528</v>
      </c>
      <c r="G15" s="4">
        <f>(1-exposure!G$7+((Labor_ratio!G15*exposure!G$5)+(exposure!G$6*(1-Labor_ratio!G15))))*F15</f>
        <v>656129904.5386622</v>
      </c>
      <c r="H15" s="4">
        <f>(1-exposure!H$7+((Labor_ratio!H15*exposure!H$5)+(exposure!H$6*(1-Labor_ratio!H15))))*G15</f>
        <v>666014887.86750591</v>
      </c>
      <c r="I15" s="4">
        <f>(1-exposure!I$7+((Labor_ratio!I15*exposure!I$5)+(exposure!I$6*(1-Labor_ratio!I15))))*H15</f>
        <v>675173969.10720205</v>
      </c>
      <c r="J15" s="4">
        <f>(1-exposure!J$7+((Labor_ratio!J15*exposure!J$5)+(exposure!J$6*(1-Labor_ratio!J15))))*I15</f>
        <v>683626110.14215064</v>
      </c>
      <c r="K15" s="4">
        <f>(1-exposure!K$7+((Labor_ratio!K15*exposure!K$5)+(exposure!K$6*(1-Labor_ratio!K15))))*J15</f>
        <v>691591490.92952788</v>
      </c>
      <c r="L15" s="4">
        <f>(1-exposure!L$7+((Labor_ratio!L15*exposure!L$5)+(exposure!L$6*(1-Labor_ratio!L15))))*K15</f>
        <v>699170103.66705585</v>
      </c>
      <c r="M15" s="4">
        <f>(1-exposure!M$7+((Labor_ratio!M15*exposure!M$5)+(exposure!M$6*(1-Labor_ratio!M15))))*L15</f>
        <v>706141765.96086788</v>
      </c>
    </row>
    <row r="16" spans="1:13" x14ac:dyDescent="0.2">
      <c r="A16" t="str">
        <f>raw!A16</f>
        <v>Kentucky Utilities Co.</v>
      </c>
      <c r="B16" s="4">
        <f>VLOOKUP(A16,raw!$A$4:$AU$24,$B$2,FALSE)</f>
        <v>268582848</v>
      </c>
      <c r="C16" s="16">
        <f t="shared" si="0"/>
        <v>268582848</v>
      </c>
      <c r="D16" s="4">
        <f>(1-exposure!D$7+((Labor_ratio!D16*exposure!D$5)+(exposure!D$6*(1-Labor_ratio!D16))))*C16</f>
        <v>274403379.43904269</v>
      </c>
      <c r="E16" s="4">
        <f>(1-exposure!E$7+((Labor_ratio!E16*exposure!E$5)+(exposure!E$6*(1-Labor_ratio!E16))))*D16</f>
        <v>279707248.24815059</v>
      </c>
      <c r="F16" s="4">
        <f>(1-exposure!F$7+((Labor_ratio!F16*exposure!F$5)+(exposure!F$6*(1-Labor_ratio!F16))))*E16</f>
        <v>284646167.74859333</v>
      </c>
      <c r="G16" s="4">
        <f>(1-exposure!G$7+((Labor_ratio!G16*exposure!G$5)+(exposure!G$6*(1-Labor_ratio!G16))))*F16</f>
        <v>289300683.58939534</v>
      </c>
      <c r="H16" s="4">
        <f>(1-exposure!H$7+((Labor_ratio!H16*exposure!H$5)+(exposure!H$6*(1-Labor_ratio!H16))))*G16</f>
        <v>293731300.31685579</v>
      </c>
      <c r="I16" s="4">
        <f>(1-exposure!I$7+((Labor_ratio!I16*exposure!I$5)+(exposure!I$6*(1-Labor_ratio!I16))))*H16</f>
        <v>297856765.41897261</v>
      </c>
      <c r="J16" s="4">
        <f>(1-exposure!J$7+((Labor_ratio!J16*exposure!J$5)+(exposure!J$6*(1-Labor_ratio!J16))))*I16</f>
        <v>301691302.08593333</v>
      </c>
      <c r="K16" s="4">
        <f>(1-exposure!K$7+((Labor_ratio!K16*exposure!K$5)+(exposure!K$6*(1-Labor_ratio!K16))))*J16</f>
        <v>305323099.83569729</v>
      </c>
      <c r="L16" s="4">
        <f>(1-exposure!L$7+((Labor_ratio!L16*exposure!L$5)+(exposure!L$6*(1-Labor_ratio!L16))))*K16</f>
        <v>308794506.67734772</v>
      </c>
      <c r="M16" s="4">
        <f>(1-exposure!M$7+((Labor_ratio!M16*exposure!M$5)+(exposure!M$6*(1-Labor_ratio!M16))))*L16</f>
        <v>312016036.67246068</v>
      </c>
    </row>
    <row r="17" spans="1:13" x14ac:dyDescent="0.2">
      <c r="A17" t="str">
        <f>raw!A17</f>
        <v>Ohio Power Co.</v>
      </c>
      <c r="B17" s="4">
        <f>VLOOKUP(A17,raw!$A$4:$AU$24,$B$2,FALSE)</f>
        <v>467558425</v>
      </c>
      <c r="C17" s="16">
        <f t="shared" si="0"/>
        <v>467558425</v>
      </c>
      <c r="D17" s="4">
        <f>(1-exposure!D$7+((Labor_ratio!D17*exposure!D$5)+(exposure!D$6*(1-Labor_ratio!D17))))*C17</f>
        <v>477710693.06058335</v>
      </c>
      <c r="E17" s="4">
        <f>(1-exposure!E$7+((Labor_ratio!E17*exposure!E$5)+(exposure!E$6*(1-Labor_ratio!E17))))*D17</f>
        <v>486924123.48485076</v>
      </c>
      <c r="F17" s="4">
        <f>(1-exposure!F$7+((Labor_ratio!F17*exposure!F$5)+(exposure!F$6*(1-Labor_ratio!F17))))*E17</f>
        <v>495480969.8275733</v>
      </c>
      <c r="G17" s="4">
        <f>(1-exposure!G$7+((Labor_ratio!G17*exposure!G$5)+(exposure!G$6*(1-Labor_ratio!G17))))*F17</f>
        <v>503516295.19149971</v>
      </c>
      <c r="H17" s="4">
        <f>(1-exposure!H$7+((Labor_ratio!H17*exposure!H$5)+(exposure!H$6*(1-Labor_ratio!H17))))*G17</f>
        <v>511142819.21235687</v>
      </c>
      <c r="I17" s="4">
        <f>(1-exposure!I$7+((Labor_ratio!I17*exposure!I$5)+(exposure!I$6*(1-Labor_ratio!I17))))*H17</f>
        <v>518220701.35489267</v>
      </c>
      <c r="J17" s="4">
        <f>(1-exposure!J$7+((Labor_ratio!J17*exposure!J$5)+(exposure!J$6*(1-Labor_ratio!J17))))*I17</f>
        <v>524767799.81939608</v>
      </c>
      <c r="K17" s="4">
        <f>(1-exposure!K$7+((Labor_ratio!K17*exposure!K$5)+(exposure!K$6*(1-Labor_ratio!K17))))*J17</f>
        <v>530948052.90753824</v>
      </c>
      <c r="L17" s="4">
        <f>(1-exposure!L$7+((Labor_ratio!L17*exposure!L$5)+(exposure!L$6*(1-Labor_ratio!L17))))*K17</f>
        <v>536837207.85110784</v>
      </c>
      <c r="M17" s="4">
        <f>(1-exposure!M$7+((Labor_ratio!M17*exposure!M$5)+(exposure!M$6*(1-Labor_ratio!M17))))*L17</f>
        <v>542270579.16558051</v>
      </c>
    </row>
    <row r="18" spans="1:13" x14ac:dyDescent="0.2">
      <c r="A18" t="str">
        <f>raw!A18</f>
        <v>PPL Electric Utilities Corp.</v>
      </c>
      <c r="B18" s="4">
        <f>VLOOKUP(A18,raw!$A$4:$AU$24,$B$2,FALSE)</f>
        <v>809940972</v>
      </c>
      <c r="C18" s="16">
        <f t="shared" si="0"/>
        <v>809940972</v>
      </c>
      <c r="D18" s="4">
        <f>(1-exposure!D$7+((Labor_ratio!D18*exposure!D$5)+(exposure!D$6*(1-Labor_ratio!D18))))*C18</f>
        <v>827498870.67179406</v>
      </c>
      <c r="E18" s="4">
        <f>(1-exposure!E$7+((Labor_ratio!E18*exposure!E$5)+(exposure!E$6*(1-Labor_ratio!E18))))*D18</f>
        <v>843487805.60740554</v>
      </c>
      <c r="F18" s="4">
        <f>(1-exposure!F$7+((Labor_ratio!F18*exposure!F$5)+(exposure!F$6*(1-Labor_ratio!F18))))*E18</f>
        <v>858370308.03040278</v>
      </c>
      <c r="G18" s="4">
        <f>(1-exposure!G$7+((Labor_ratio!G18*exposure!G$5)+(exposure!G$6*(1-Labor_ratio!G18))))*F18</f>
        <v>872387844.33912802</v>
      </c>
      <c r="H18" s="4">
        <f>(1-exposure!H$7+((Labor_ratio!H18*exposure!H$5)+(exposure!H$6*(1-Labor_ratio!H18))))*G18</f>
        <v>885724917.11048377</v>
      </c>
      <c r="I18" s="4">
        <f>(1-exposure!I$7+((Labor_ratio!I18*exposure!I$5)+(exposure!I$6*(1-Labor_ratio!I18))))*H18</f>
        <v>898136943.50031817</v>
      </c>
      <c r="J18" s="4">
        <f>(1-exposure!J$7+((Labor_ratio!J18*exposure!J$5)+(exposure!J$6*(1-Labor_ratio!J18))))*I18</f>
        <v>909664901.29157972</v>
      </c>
      <c r="K18" s="4">
        <f>(1-exposure!K$7+((Labor_ratio!K18*exposure!K$5)+(exposure!K$6*(1-Labor_ratio!K18))))*J18</f>
        <v>920577617.28502011</v>
      </c>
      <c r="L18" s="4">
        <f>(1-exposure!L$7+((Labor_ratio!L18*exposure!L$5)+(exposure!L$6*(1-Labor_ratio!L18))))*K18</f>
        <v>931003355.81312442</v>
      </c>
      <c r="M18" s="4">
        <f>(1-exposure!M$7+((Labor_ratio!M18*exposure!M$5)+(exposure!M$6*(1-Labor_ratio!M18))))*L18</f>
        <v>940669792.0797044</v>
      </c>
    </row>
    <row r="19" spans="1:13" x14ac:dyDescent="0.2">
      <c r="A19" t="str">
        <f>raw!A19</f>
        <v>Pacific Gas &amp; Electric Co.</v>
      </c>
      <c r="B19" s="4">
        <f>VLOOKUP(A19,raw!$A$4:$AU$24,$B$2,FALSE)</f>
        <v>2702395933</v>
      </c>
      <c r="C19" s="16">
        <f t="shared" si="0"/>
        <v>2702395933</v>
      </c>
      <c r="D19" s="4">
        <f>(1-exposure!D$7+((Labor_ratio!D19*exposure!D$5)+(exposure!D$6*(1-Labor_ratio!D19))))*C19</f>
        <v>2760997898.7554755</v>
      </c>
      <c r="E19" s="4">
        <f>(1-exposure!E$7+((Labor_ratio!E19*exposure!E$5)+(exposure!E$6*(1-Labor_ratio!E19))))*D19</f>
        <v>2814326052.16324</v>
      </c>
      <c r="F19" s="4">
        <f>(1-exposure!F$7+((Labor_ratio!F19*exposure!F$5)+(exposure!F$6*(1-Labor_ratio!F19))))*E19</f>
        <v>2863941558.3231907</v>
      </c>
      <c r="G19" s="4">
        <f>(1-exposure!G$7+((Labor_ratio!G19*exposure!G$5)+(exposure!G$6*(1-Labor_ratio!G19))))*F19</f>
        <v>2910644987.8726306</v>
      </c>
      <c r="H19" s="4">
        <f>(1-exposure!H$7+((Labor_ratio!H19*exposure!H$5)+(exposure!H$6*(1-Labor_ratio!H19))))*G19</f>
        <v>2955059233.4057674</v>
      </c>
      <c r="I19" s="4">
        <f>(1-exposure!I$7+((Labor_ratio!I19*exposure!I$5)+(exposure!I$6*(1-Labor_ratio!I19))))*H19</f>
        <v>2996369818.173749</v>
      </c>
      <c r="J19" s="4">
        <f>(1-exposure!J$7+((Labor_ratio!J19*exposure!J$5)+(exposure!J$6*(1-Labor_ratio!J19))))*I19</f>
        <v>3034706645.2772255</v>
      </c>
      <c r="K19" s="4">
        <f>(1-exposure!K$7+((Labor_ratio!K19*exposure!K$5)+(exposure!K$6*(1-Labor_ratio!K19))))*J19</f>
        <v>3070976943.3399587</v>
      </c>
      <c r="L19" s="4">
        <f>(1-exposure!L$7+((Labor_ratio!L19*exposure!L$5)+(exposure!L$6*(1-Labor_ratio!L19))))*K19</f>
        <v>3105610667.5808463</v>
      </c>
      <c r="M19" s="4">
        <f>(1-exposure!M$7+((Labor_ratio!M19*exposure!M$5)+(exposure!M$6*(1-Labor_ratio!M19))))*L19</f>
        <v>3137690394.7217789</v>
      </c>
    </row>
    <row r="20" spans="1:13" x14ac:dyDescent="0.2">
      <c r="A20" t="str">
        <f>raw!A20</f>
        <v>Public Service Electric &amp; Gas Co.</v>
      </c>
      <c r="B20" s="4">
        <f>VLOOKUP(A20,raw!$A$4:$AU$24,$B$2,FALSE)</f>
        <v>857486889</v>
      </c>
      <c r="C20" s="16">
        <f t="shared" si="0"/>
        <v>857486889</v>
      </c>
      <c r="D20" s="4">
        <f>(1-exposure!D$7+((Labor_ratio!D20*exposure!D$5)+(exposure!D$6*(1-Labor_ratio!D20))))*C20</f>
        <v>876041994.47683012</v>
      </c>
      <c r="E20" s="4">
        <f>(1-exposure!E$7+((Labor_ratio!E20*exposure!E$5)+(exposure!E$6*(1-Labor_ratio!E20))))*D20</f>
        <v>893003097.99980044</v>
      </c>
      <c r="F20" s="4">
        <f>(1-exposure!F$7+((Labor_ratio!F20*exposure!F$5)+(exposure!F$6*(1-Labor_ratio!F20))))*E20</f>
        <v>908829009.94747472</v>
      </c>
      <c r="G20" s="4">
        <f>(1-exposure!G$7+((Labor_ratio!G20*exposure!G$5)+(exposure!G$6*(1-Labor_ratio!G20))))*F20</f>
        <v>923784153.89256048</v>
      </c>
      <c r="H20" s="4">
        <f>(1-exposure!H$7+((Labor_ratio!H20*exposure!H$5)+(exposure!H$6*(1-Labor_ratio!H20))))*G20</f>
        <v>938051306.11036849</v>
      </c>
      <c r="I20" s="4">
        <f>(1-exposure!I$7+((Labor_ratio!I20*exposure!I$5)+(exposure!I$6*(1-Labor_ratio!I20))))*H20</f>
        <v>951368813.20749032</v>
      </c>
      <c r="J20" s="4">
        <f>(1-exposure!J$7+((Labor_ratio!J20*exposure!J$5)+(exposure!J$6*(1-Labor_ratio!J20))))*I20</f>
        <v>963791838.92239809</v>
      </c>
      <c r="K20" s="4">
        <f>(1-exposure!K$7+((Labor_ratio!K20*exposure!K$5)+(exposure!K$6*(1-Labor_ratio!K20))))*J20</f>
        <v>975587287.73275054</v>
      </c>
      <c r="L20" s="4">
        <f>(1-exposure!L$7+((Labor_ratio!L20*exposure!L$5)+(exposure!L$6*(1-Labor_ratio!L20))))*K20</f>
        <v>986887525.38871717</v>
      </c>
      <c r="M20" s="4">
        <f>(1-exposure!M$7+((Labor_ratio!M20*exposure!M$5)+(exposure!M$6*(1-Labor_ratio!M20))))*L20</f>
        <v>997419450.98911154</v>
      </c>
    </row>
    <row r="21" spans="1:13" x14ac:dyDescent="0.2">
      <c r="A21" t="str">
        <f>raw!A21</f>
        <v>San Diego Gas &amp; Electric Co.</v>
      </c>
      <c r="B21" s="4">
        <f>VLOOKUP(A21,raw!$A$4:$AU$24,$B$2,FALSE)</f>
        <v>359238219</v>
      </c>
      <c r="C21" s="16">
        <f t="shared" si="0"/>
        <v>359238219</v>
      </c>
      <c r="D21" s="4">
        <f>(1-exposure!D$7+((Labor_ratio!D21*exposure!D$5)+(exposure!D$6*(1-Labor_ratio!D21))))*C21</f>
        <v>367062306.10903931</v>
      </c>
      <c r="E21" s="4">
        <f>(1-exposure!E$7+((Labor_ratio!E21*exposure!E$5)+(exposure!E$6*(1-Labor_ratio!E21))))*D21</f>
        <v>374117367.57512575</v>
      </c>
      <c r="F21" s="4">
        <f>(1-exposure!F$7+((Labor_ratio!F21*exposure!F$5)+(exposure!F$6*(1-Labor_ratio!F21))))*E21</f>
        <v>380642227.1154173</v>
      </c>
      <c r="G21" s="4">
        <f>(1-exposure!G$7+((Labor_ratio!G21*exposure!G$5)+(exposure!G$6*(1-Labor_ratio!G21))))*F21</f>
        <v>386734436.60803515</v>
      </c>
      <c r="H21" s="4">
        <f>(1-exposure!H$7+((Labor_ratio!H21*exposure!H$5)+(exposure!H$6*(1-Labor_ratio!H21))))*G21</f>
        <v>392489567.36550033</v>
      </c>
      <c r="I21" s="4">
        <f>(1-exposure!I$7+((Labor_ratio!I21*exposure!I$5)+(exposure!I$6*(1-Labor_ratio!I21))))*H21</f>
        <v>397802144.05402607</v>
      </c>
      <c r="J21" s="4">
        <f>(1-exposure!J$7+((Labor_ratio!J21*exposure!J$5)+(exposure!J$6*(1-Labor_ratio!J21))))*I21</f>
        <v>402677577.164482</v>
      </c>
      <c r="K21" s="4">
        <f>(1-exposure!K$7+((Labor_ratio!K21*exposure!K$5)+(exposure!K$6*(1-Labor_ratio!K21))))*J21</f>
        <v>407254448.15647072</v>
      </c>
      <c r="L21" s="4">
        <f>(1-exposure!L$7+((Labor_ratio!L21*exposure!L$5)+(exposure!L$6*(1-Labor_ratio!L21))))*K21</f>
        <v>411593430.13059747</v>
      </c>
      <c r="M21" s="4">
        <f>(1-exposure!M$7+((Labor_ratio!M21*exposure!M$5)+(exposure!M$6*(1-Labor_ratio!M21))))*L21</f>
        <v>415557280.12123549</v>
      </c>
    </row>
    <row r="22" spans="1:13" x14ac:dyDescent="0.2">
      <c r="A22" t="str">
        <f>raw!A22</f>
        <v>Southern California Edison Co.</v>
      </c>
      <c r="B22" s="4">
        <f>VLOOKUP(A22,raw!$A$4:$AU$24,$B$2,FALSE)</f>
        <v>1665249015</v>
      </c>
      <c r="C22" s="16">
        <f t="shared" si="0"/>
        <v>1665249015</v>
      </c>
      <c r="D22" s="4">
        <f>(1-exposure!D$7+((Labor_ratio!D22*exposure!D$5)+(exposure!D$6*(1-Labor_ratio!D22))))*C22</f>
        <v>1701376608.938179</v>
      </c>
      <c r="E22" s="4">
        <f>(1-exposure!E$7+((Labor_ratio!E22*exposure!E$5)+(exposure!E$6*(1-Labor_ratio!E22))))*D22</f>
        <v>1734221667.4567559</v>
      </c>
      <c r="F22" s="4">
        <f>(1-exposure!F$7+((Labor_ratio!F22*exposure!F$5)+(exposure!F$6*(1-Labor_ratio!F22))))*E22</f>
        <v>1764761276.5335555</v>
      </c>
      <c r="G22" s="4">
        <f>(1-exposure!G$7+((Labor_ratio!G22*exposure!G$5)+(exposure!G$6*(1-Labor_ratio!G22))))*F22</f>
        <v>1793484474.9193258</v>
      </c>
      <c r="H22" s="4">
        <f>(1-exposure!H$7+((Labor_ratio!H22*exposure!H$5)+(exposure!H$6*(1-Labor_ratio!H22))))*G22</f>
        <v>1820781237.2963438</v>
      </c>
      <c r="I22" s="4">
        <f>(1-exposure!I$7+((Labor_ratio!I22*exposure!I$5)+(exposure!I$6*(1-Labor_ratio!I22))))*H22</f>
        <v>1846151007.5763402</v>
      </c>
      <c r="J22" s="4">
        <f>(1-exposure!J$7+((Labor_ratio!J22*exposure!J$5)+(exposure!J$6*(1-Labor_ratio!J22))))*I22</f>
        <v>1869668097.5544004</v>
      </c>
      <c r="K22" s="4">
        <f>(1-exposure!K$7+((Labor_ratio!K22*exposure!K$5)+(exposure!K$6*(1-Labor_ratio!K22))))*J22</f>
        <v>1891900205.6424632</v>
      </c>
      <c r="L22" s="4">
        <f>(1-exposure!L$7+((Labor_ratio!L22*exposure!L$5)+(exposure!L$6*(1-Labor_ratio!L22))))*K22</f>
        <v>1913113958.4932778</v>
      </c>
      <c r="M22" s="4">
        <f>(1-exposure!M$7+((Labor_ratio!M22*exposure!M$5)+(exposure!M$6*(1-Labor_ratio!M22))))*L22</f>
        <v>1932736627.6005042</v>
      </c>
    </row>
    <row r="23" spans="1:13" x14ac:dyDescent="0.2">
      <c r="A23" t="str">
        <f>raw!A23</f>
        <v>Southwestern Public Service Co.</v>
      </c>
      <c r="B23" s="4">
        <f>VLOOKUP(A23,raw!$A$4:$AU$24,$B$2,FALSE)</f>
        <v>149738769</v>
      </c>
      <c r="C23" s="16">
        <f t="shared" si="0"/>
        <v>149738769</v>
      </c>
      <c r="D23" s="4">
        <f>(1-exposure!D$7+((Labor_ratio!D23*exposure!D$5)+(exposure!D$6*(1-Labor_ratio!D23))))*C23</f>
        <v>152973453.13478014</v>
      </c>
      <c r="E23" s="4">
        <f>(1-exposure!E$7+((Labor_ratio!E23*exposure!E$5)+(exposure!E$6*(1-Labor_ratio!E23))))*D23</f>
        <v>155940804.34325525</v>
      </c>
      <c r="F23" s="4">
        <f>(1-exposure!F$7+((Labor_ratio!F23*exposure!F$5)+(exposure!F$6*(1-Labor_ratio!F23))))*E23</f>
        <v>158715870.14658776</v>
      </c>
      <c r="G23" s="4">
        <f>(1-exposure!G$7+((Labor_ratio!G23*exposure!G$5)+(exposure!G$6*(1-Labor_ratio!G23))))*F23</f>
        <v>161346271.07496777</v>
      </c>
      <c r="H23" s="4">
        <f>(1-exposure!H$7+((Labor_ratio!H23*exposure!H$5)+(exposure!H$6*(1-Labor_ratio!H23))))*G23</f>
        <v>163861864.6976794</v>
      </c>
      <c r="I23" s="4">
        <f>(1-exposure!I$7+((Labor_ratio!I23*exposure!I$5)+(exposure!I$6*(1-Labor_ratio!I23))))*H23</f>
        <v>166216517.87193847</v>
      </c>
      <c r="J23" s="4">
        <f>(1-exposure!J$7+((Labor_ratio!J23*exposure!J$5)+(exposure!J$6*(1-Labor_ratio!J23))))*I23</f>
        <v>168421805.9634786</v>
      </c>
      <c r="K23" s="4">
        <f>(1-exposure!K$7+((Labor_ratio!K23*exposure!K$5)+(exposure!K$6*(1-Labor_ratio!K23))))*J23</f>
        <v>170521431.66349158</v>
      </c>
      <c r="L23" s="4">
        <f>(1-exposure!L$7+((Labor_ratio!L23*exposure!L$5)+(exposure!L$6*(1-Labor_ratio!L23))))*K23</f>
        <v>172537949.74333948</v>
      </c>
      <c r="M23" s="4">
        <f>(1-exposure!M$7+((Labor_ratio!M23*exposure!M$5)+(exposure!M$6*(1-Labor_ratio!M23))))*L23</f>
        <v>174426179.78462726</v>
      </c>
    </row>
    <row r="24" spans="1:13" x14ac:dyDescent="0.2">
      <c r="A24" t="str">
        <f>raw!A24</f>
        <v>TXU Electric Co.</v>
      </c>
      <c r="B24" s="4">
        <f>VLOOKUP(A24,raw!$A$4:$AU$24,$B$2,FALSE)</f>
        <v>1118778552</v>
      </c>
      <c r="C24" s="16">
        <f t="shared" si="0"/>
        <v>1118778552</v>
      </c>
      <c r="D24" s="4">
        <f>(1-exposure!D$7+((Labor_ratio!D24*exposure!D$5)+(exposure!D$6*(1-Labor_ratio!D24))))*C24</f>
        <v>1143103692.6877058</v>
      </c>
      <c r="E24" s="4">
        <f>(1-exposure!E$7+((Labor_ratio!E24*exposure!E$5)+(exposure!E$6*(1-Labor_ratio!E24))))*D24</f>
        <v>1165116911.8975666</v>
      </c>
      <c r="F24" s="4">
        <f>(1-exposure!F$7+((Labor_ratio!F24*exposure!F$5)+(exposure!F$6*(1-Labor_ratio!F24))))*E24</f>
        <v>1185523730.4479678</v>
      </c>
      <c r="G24" s="4">
        <f>(1-exposure!G$7+((Labor_ratio!G24*exposure!G$5)+(exposure!G$6*(1-Labor_ratio!G24))))*F24</f>
        <v>1204638782.6979711</v>
      </c>
      <c r="H24" s="4">
        <f>(1-exposure!H$7+((Labor_ratio!H24*exposure!H$5)+(exposure!H$6*(1-Labor_ratio!H24))))*G24</f>
        <v>1222744081.4282498</v>
      </c>
      <c r="I24" s="4">
        <f>(1-exposure!I$7+((Labor_ratio!I24*exposure!I$5)+(exposure!I$6*(1-Labor_ratio!I24))))*H24</f>
        <v>1239507704.9610686</v>
      </c>
      <c r="J24" s="4">
        <f>(1-exposure!J$7+((Labor_ratio!J24*exposure!J$5)+(exposure!J$6*(1-Labor_ratio!J24))))*I24</f>
        <v>1254960958.1385498</v>
      </c>
      <c r="K24" s="4">
        <f>(1-exposure!K$7+((Labor_ratio!K24*exposure!K$5)+(exposure!K$6*(1-Labor_ratio!K24))))*J24</f>
        <v>1269513431.185014</v>
      </c>
      <c r="L24" s="4">
        <f>(1-exposure!L$7+((Labor_ratio!L24*exposure!L$5)+(exposure!L$6*(1-Labor_ratio!L24))))*K24</f>
        <v>1283349758.7276661</v>
      </c>
      <c r="M24" s="4">
        <f>(1-exposure!M$7+((Labor_ratio!M24*exposure!M$5)+(exposure!M$6*(1-Labor_ratio!M24))))*L24</f>
        <v>1296061147.7095985</v>
      </c>
    </row>
  </sheetData>
  <pageMargins left="0.75" right="0.75" top="1" bottom="1" header="0.5" footer="0.5"/>
  <pageSetup scale="61" orientation="landscape" verticalDpi="0" r:id="rId1"/>
  <headerFooter alignWithMargins="0">
    <oddFooter>Page &amp;P&amp;R&amp;A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workbookViewId="0">
      <selection activeCell="E25" sqref="E25"/>
    </sheetView>
  </sheetViews>
  <sheetFormatPr defaultRowHeight="12.75" x14ac:dyDescent="0.2"/>
  <cols>
    <col min="1" max="1" width="36.140625" bestFit="1" customWidth="1"/>
    <col min="2" max="3" width="13.85546875" bestFit="1" customWidth="1"/>
    <col min="4" max="4" width="14.85546875" bestFit="1" customWidth="1"/>
    <col min="5" max="13" width="13.85546875" bestFit="1" customWidth="1"/>
  </cols>
  <sheetData>
    <row r="1" spans="1:13" x14ac:dyDescent="0.2">
      <c r="A1" t="s">
        <v>523</v>
      </c>
    </row>
    <row r="2" spans="1:13" x14ac:dyDescent="0.2">
      <c r="B2">
        <v>24</v>
      </c>
      <c r="C2">
        <v>25</v>
      </c>
      <c r="D2">
        <v>26</v>
      </c>
    </row>
    <row r="3" spans="1:13" x14ac:dyDescent="0.2">
      <c r="A3" s="8" t="s">
        <v>177</v>
      </c>
      <c r="B3" s="8">
        <v>1998</v>
      </c>
      <c r="C3" s="8">
        <v>2000</v>
      </c>
      <c r="D3" s="8">
        <v>2001</v>
      </c>
      <c r="E3" s="8">
        <v>2002</v>
      </c>
      <c r="F3" s="8">
        <v>2003</v>
      </c>
      <c r="G3" s="8">
        <v>2004</v>
      </c>
      <c r="H3" s="8">
        <v>2005</v>
      </c>
      <c r="I3" s="8">
        <v>2006</v>
      </c>
      <c r="J3" s="8">
        <v>2007</v>
      </c>
      <c r="K3" s="8">
        <v>2008</v>
      </c>
      <c r="L3" s="8">
        <v>2009</v>
      </c>
      <c r="M3" s="8">
        <v>2010</v>
      </c>
    </row>
    <row r="4" spans="1:13" x14ac:dyDescent="0.2">
      <c r="A4" t="str">
        <f>raw!A4</f>
        <v>Boston Edison Co.</v>
      </c>
      <c r="B4" s="1">
        <f>VLOOKUP($A4,raw!$A$4:$AU$24,$B$2,FALSE)+VLOOKUP($A4,raw!$A$4:$AU$24,$C$2,FALSE)+VLOOKUP($A4,raw!$A$4:$AU$24,$D$2,FALSE)</f>
        <v>671392333</v>
      </c>
      <c r="C4" s="16">
        <f>B4</f>
        <v>671392333</v>
      </c>
      <c r="D4" s="4">
        <f>(1-exposure!D$7+((Labor_ratio!D4*exposure!D$5)+(exposure!D$6*(1-Labor_ratio!D4))))*C4</f>
        <v>685933042.29652214</v>
      </c>
      <c r="E4" s="4">
        <f>(1-exposure!E$7+((Labor_ratio!E4*exposure!E$5)+(exposure!E$6*(1-Labor_ratio!E4))))*D4</f>
        <v>699200671.67620778</v>
      </c>
      <c r="F4" s="4">
        <f>(1-exposure!F$7+((Labor_ratio!F4*exposure!F$5)+(exposure!F$6*(1-Labor_ratio!F4))))*E4</f>
        <v>711565973.3933928</v>
      </c>
      <c r="G4" s="4">
        <f>(1-exposure!G$7+((Labor_ratio!G4*exposure!G$5)+(exposure!G$6*(1-Labor_ratio!G4))))*F4</f>
        <v>723232707.87598646</v>
      </c>
      <c r="H4" s="4">
        <f>(1-exposure!H$7+((Labor_ratio!H4*exposure!H$5)+(exposure!H$6*(1-Labor_ratio!H4))))*G4</f>
        <v>734348666.00015712</v>
      </c>
      <c r="I4" s="4">
        <f>(1-exposure!I$7+((Labor_ratio!I4*exposure!I$5)+(exposure!I$6*(1-Labor_ratio!I4))))*H4</f>
        <v>744709988.66770732</v>
      </c>
      <c r="J4" s="4">
        <f>(1-exposure!J$7+((Labor_ratio!J4*exposure!J$5)+(exposure!J$6*(1-Labor_ratio!J4))))*I4</f>
        <v>754355469.92748749</v>
      </c>
      <c r="K4" s="4">
        <f>(1-exposure!K$7+((Labor_ratio!K4*exposure!K$5)+(exposure!K$6*(1-Labor_ratio!K4))))*J4</f>
        <v>763500690.56607163</v>
      </c>
      <c r="L4" s="4">
        <f>(1-exposure!L$7+((Labor_ratio!L4*exposure!L$5)+(exposure!L$6*(1-Labor_ratio!L4))))*K4</f>
        <v>772250566.23320937</v>
      </c>
      <c r="M4" s="4">
        <f>(1-exposure!M$7+((Labor_ratio!M4*exposure!M$5)+(exposure!M$6*(1-Labor_ratio!M4))))*L4</f>
        <v>780385585.79672444</v>
      </c>
    </row>
    <row r="5" spans="1:13" x14ac:dyDescent="0.2">
      <c r="A5" t="str">
        <f>raw!A5</f>
        <v>Carolina Power &amp; Light Co.</v>
      </c>
      <c r="B5" s="1">
        <f>VLOOKUP($A5,raw!$A$4:$AU$24,$B$2,FALSE)+VLOOKUP($A5,raw!$A$4:$AU$24,$C$2,FALSE)+VLOOKUP($A5,raw!$A$4:$AU$24,$D$2,FALSE)</f>
        <v>608421580</v>
      </c>
      <c r="C5" s="16">
        <f t="shared" ref="C5:C24" si="0">B5</f>
        <v>608421580</v>
      </c>
      <c r="D5" s="4">
        <f>(1-exposure!D$7+((Labor_ratio!D5*exposure!D$5)+(exposure!D$6*(1-Labor_ratio!D5))))*C5</f>
        <v>621632137.58916724</v>
      </c>
      <c r="E5" s="4">
        <f>(1-exposure!E$7+((Labor_ratio!E5*exposure!E$5)+(exposure!E$6*(1-Labor_ratio!E5))))*D5</f>
        <v>633621658.979357</v>
      </c>
      <c r="F5" s="4">
        <f>(1-exposure!F$7+((Labor_ratio!F5*exposure!F$5)+(exposure!F$6*(1-Labor_ratio!F5))))*E5</f>
        <v>644757134.6674546</v>
      </c>
      <c r="G5" s="4">
        <f>(1-exposure!G$7+((Labor_ratio!G5*exposure!G$5)+(exposure!G$6*(1-Labor_ratio!G5))))*F5</f>
        <v>655214403.49256015</v>
      </c>
      <c r="H5" s="4">
        <f>(1-exposure!H$7+((Labor_ratio!H5*exposure!H$5)+(exposure!H$6*(1-Labor_ratio!H5))))*G5</f>
        <v>665140022.80414367</v>
      </c>
      <c r="I5" s="4">
        <f>(1-exposure!I$7+((Labor_ratio!I5*exposure!I$5)+(exposure!I$6*(1-Labor_ratio!I5))))*H5</f>
        <v>674351995.19179118</v>
      </c>
      <c r="J5" s="4">
        <f>(1-exposure!J$7+((Labor_ratio!J5*exposure!J$5)+(exposure!J$6*(1-Labor_ratio!J5))))*I5</f>
        <v>682873672.45535326</v>
      </c>
      <c r="K5" s="4">
        <f>(1-exposure!K$7+((Labor_ratio!K5*exposure!K$5)+(exposure!K$6*(1-Labor_ratio!K5))))*J5</f>
        <v>690918211.69589055</v>
      </c>
      <c r="L5" s="4">
        <f>(1-exposure!L$7+((Labor_ratio!L5*exposure!L$5)+(exposure!L$6*(1-Labor_ratio!L5))))*K5</f>
        <v>698584147.33969164</v>
      </c>
      <c r="M5" s="4">
        <f>(1-exposure!M$7+((Labor_ratio!M5*exposure!M$5)+(exposure!M$6*(1-Labor_ratio!M5))))*L5</f>
        <v>705657324.69889402</v>
      </c>
    </row>
    <row r="6" spans="1:13" x14ac:dyDescent="0.2">
      <c r="A6" t="str">
        <f>raw!A6</f>
        <v>Central Hudson Gas &amp; Electric Corp.</v>
      </c>
      <c r="B6" s="1">
        <f>VLOOKUP($A6,raw!$A$4:$AU$24,$B$2,FALSE)+VLOOKUP($A6,raw!$A$4:$AU$24,$C$2,FALSE)+VLOOKUP($A6,raw!$A$4:$AU$24,$D$2,FALSE)</f>
        <v>144699863</v>
      </c>
      <c r="C6" s="16">
        <f t="shared" si="0"/>
        <v>144699863</v>
      </c>
      <c r="D6" s="4">
        <f>(1-exposure!D$7+((Labor_ratio!D6*exposure!D$5)+(exposure!D$6*(1-Labor_ratio!D6))))*C6</f>
        <v>147826436.90761852</v>
      </c>
      <c r="E6" s="4">
        <f>(1-exposure!E$7+((Labor_ratio!E6*exposure!E$5)+(exposure!E$6*(1-Labor_ratio!E6))))*D6</f>
        <v>150693190.08076531</v>
      </c>
      <c r="F6" s="4">
        <f>(1-exposure!F$7+((Labor_ratio!F6*exposure!F$5)+(exposure!F$6*(1-Labor_ratio!F6))))*E6</f>
        <v>153373327.58178192</v>
      </c>
      <c r="G6" s="4">
        <f>(1-exposure!G$7+((Labor_ratio!G6*exposure!G$5)+(exposure!G$6*(1-Labor_ratio!G6))))*F6</f>
        <v>155912672.66014001</v>
      </c>
      <c r="H6" s="4">
        <f>(1-exposure!H$7+((Labor_ratio!H6*exposure!H$5)+(exposure!H$6*(1-Labor_ratio!H6))))*G6</f>
        <v>158340355.29942033</v>
      </c>
      <c r="I6" s="4">
        <f>(1-exposure!I$7+((Labor_ratio!I6*exposure!I$5)+(exposure!I$6*(1-Labor_ratio!I6))))*H6</f>
        <v>160611854.08214265</v>
      </c>
      <c r="J6" s="4">
        <f>(1-exposure!J$7+((Labor_ratio!J6*exposure!J$5)+(exposure!J$6*(1-Labor_ratio!J6))))*I6</f>
        <v>162738092.91589651</v>
      </c>
      <c r="K6" s="4">
        <f>(1-exposure!K$7+((Labor_ratio!K6*exposure!K$5)+(exposure!K$6*(1-Labor_ratio!K6))))*J6</f>
        <v>164761694.89979386</v>
      </c>
      <c r="L6" s="4">
        <f>(1-exposure!L$7+((Labor_ratio!L6*exposure!L$5)+(exposure!L$6*(1-Labor_ratio!L6))))*K6</f>
        <v>166704530.95691052</v>
      </c>
      <c r="M6" s="4">
        <f>(1-exposure!M$7+((Labor_ratio!M6*exposure!M$5)+(exposure!M$6*(1-Labor_ratio!M6))))*L6</f>
        <v>168522602.48185033</v>
      </c>
    </row>
    <row r="7" spans="1:13" x14ac:dyDescent="0.2">
      <c r="A7" t="str">
        <f>raw!A7</f>
        <v>Commonwealth Edison Co.</v>
      </c>
      <c r="B7" s="1">
        <f>VLOOKUP($A7,raw!$A$4:$AU$24,$B$2,FALSE)+VLOOKUP($A7,raw!$A$4:$AU$24,$C$2,FALSE)+VLOOKUP($A7,raw!$A$4:$AU$24,$D$2,FALSE)</f>
        <v>1568468599</v>
      </c>
      <c r="C7" s="16">
        <f t="shared" si="0"/>
        <v>1568468599</v>
      </c>
      <c r="D7" s="4">
        <f>(1-exposure!D$7+((Labor_ratio!D7*exposure!D$5)+(exposure!D$6*(1-Labor_ratio!D7))))*C7</f>
        <v>1602464773.6706765</v>
      </c>
      <c r="E7" s="4">
        <f>(1-exposure!E$7+((Labor_ratio!E7*exposure!E$5)+(exposure!E$6*(1-Labor_ratio!E7))))*D7</f>
        <v>1633432795.9188766</v>
      </c>
      <c r="F7" s="4">
        <f>(1-exposure!F$7+((Labor_ratio!F7*exposure!F$5)+(exposure!F$6*(1-Labor_ratio!F7))))*E7</f>
        <v>1662263680.8537734</v>
      </c>
      <c r="G7" s="4">
        <f>(1-exposure!G$7+((Labor_ratio!G7*exposure!G$5)+(exposure!G$6*(1-Labor_ratio!G7))))*F7</f>
        <v>1689426365.6201255</v>
      </c>
      <c r="H7" s="4">
        <f>(1-exposure!H$7+((Labor_ratio!H7*exposure!H$5)+(exposure!H$6*(1-Labor_ratio!H7))))*G7</f>
        <v>1715276235.7671969</v>
      </c>
      <c r="I7" s="4">
        <f>(1-exposure!I$7+((Labor_ratio!I7*exposure!I$5)+(exposure!I$6*(1-Labor_ratio!I7))))*H7</f>
        <v>1739339237.7056839</v>
      </c>
      <c r="J7" s="4">
        <f>(1-exposure!J$7+((Labor_ratio!J7*exposure!J$5)+(exposure!J$6*(1-Labor_ratio!J7))))*I7</f>
        <v>1761696511.2107129</v>
      </c>
      <c r="K7" s="4">
        <f>(1-exposure!K$7+((Labor_ratio!K7*exposure!K$5)+(exposure!K$6*(1-Labor_ratio!K7))))*J7</f>
        <v>1782865956.4494298</v>
      </c>
      <c r="L7" s="4">
        <f>(1-exposure!L$7+((Labor_ratio!L7*exposure!L$5)+(exposure!L$6*(1-Labor_ratio!L7))))*K7</f>
        <v>1803095438.148941</v>
      </c>
      <c r="M7" s="4">
        <f>(1-exposure!M$7+((Labor_ratio!M7*exposure!M$5)+(exposure!M$6*(1-Labor_ratio!M7))))*L7</f>
        <v>1821859897.6522028</v>
      </c>
    </row>
    <row r="8" spans="1:13" x14ac:dyDescent="0.2">
      <c r="A8" t="str">
        <f>raw!A8</f>
        <v>Consolidated Edison Co. of New York, Inc.</v>
      </c>
      <c r="B8" s="1">
        <f>VLOOKUP($A8,raw!$A$4:$AU$24,$B$2,FALSE)+VLOOKUP($A8,raw!$A$4:$AU$24,$C$2,FALSE)+VLOOKUP($A8,raw!$A$4:$AU$24,$D$2,FALSE)</f>
        <v>1958005732</v>
      </c>
      <c r="C8" s="16">
        <f t="shared" si="0"/>
        <v>1958005732</v>
      </c>
      <c r="D8" s="4">
        <f>(1-exposure!D$7+((Labor_ratio!D8*exposure!D$5)+(exposure!D$6*(1-Labor_ratio!D8))))*C8</f>
        <v>2000691814.6751523</v>
      </c>
      <c r="E8" s="4">
        <f>(1-exposure!E$7+((Labor_ratio!E8*exposure!E$5)+(exposure!E$6*(1-Labor_ratio!E8))))*D8</f>
        <v>2039103505.8398809</v>
      </c>
      <c r="F8" s="4">
        <f>(1-exposure!F$7+((Labor_ratio!F8*exposure!F$5)+(exposure!F$6*(1-Labor_ratio!F8))))*E8</f>
        <v>2074580662.3695607</v>
      </c>
      <c r="G8" s="4">
        <f>(1-exposure!G$7+((Labor_ratio!G8*exposure!G$5)+(exposure!G$6*(1-Labor_ratio!G8))))*F8</f>
        <v>2107644196.6547976</v>
      </c>
      <c r="H8" s="4">
        <f>(1-exposure!H$7+((Labor_ratio!H8*exposure!H$5)+(exposure!H$6*(1-Labor_ratio!H8))))*G8</f>
        <v>2138830623.7075801</v>
      </c>
      <c r="I8" s="4">
        <f>(1-exposure!I$7+((Labor_ratio!I8*exposure!I$5)+(exposure!I$6*(1-Labor_ratio!I8))))*H8</f>
        <v>2167568509.8867474</v>
      </c>
      <c r="J8" s="4">
        <f>(1-exposure!J$7+((Labor_ratio!J8*exposure!J$5)+(exposure!J$6*(1-Labor_ratio!J8))))*I8</f>
        <v>2193872962.3000979</v>
      </c>
      <c r="K8" s="4">
        <f>(1-exposure!K$7+((Labor_ratio!K8*exposure!K$5)+(exposure!K$6*(1-Labor_ratio!K8))))*J8</f>
        <v>2218521273.1341529</v>
      </c>
      <c r="L8" s="4">
        <f>(1-exposure!L$7+((Labor_ratio!L8*exposure!L$5)+(exposure!L$6*(1-Labor_ratio!L8))))*K8</f>
        <v>2241848468.0980492</v>
      </c>
      <c r="M8" s="4">
        <f>(1-exposure!M$7+((Labor_ratio!M8*exposure!M$5)+(exposure!M$6*(1-Labor_ratio!M8))))*L8</f>
        <v>2263087993.4356833</v>
      </c>
    </row>
    <row r="9" spans="1:13" x14ac:dyDescent="0.2">
      <c r="A9" t="str">
        <f>raw!A9</f>
        <v>Consumers Energy Co.</v>
      </c>
      <c r="B9" s="1">
        <f>VLOOKUP($A9,raw!$A$4:$AU$24,$B$2,FALSE)+VLOOKUP($A9,raw!$A$4:$AU$24,$C$2,FALSE)+VLOOKUP($A9,raw!$A$4:$AU$24,$D$2,FALSE)</f>
        <v>600507733</v>
      </c>
      <c r="C9" s="16">
        <f t="shared" si="0"/>
        <v>600507733</v>
      </c>
      <c r="D9" s="4">
        <f>(1-exposure!D$7+((Labor_ratio!D9*exposure!D$5)+(exposure!D$6*(1-Labor_ratio!D9))))*C9</f>
        <v>613554425.61362696</v>
      </c>
      <c r="E9" s="4">
        <f>(1-exposure!E$7+((Labor_ratio!E9*exposure!E$5)+(exposure!E$6*(1-Labor_ratio!E9))))*D9</f>
        <v>625380010.66796649</v>
      </c>
      <c r="F9" s="4">
        <f>(1-exposure!F$7+((Labor_ratio!F9*exposure!F$5)+(exposure!F$6*(1-Labor_ratio!F9))))*E9</f>
        <v>636354050.77890444</v>
      </c>
      <c r="G9" s="4">
        <f>(1-exposure!G$7+((Labor_ratio!G9*exposure!G$5)+(exposure!G$6*(1-Labor_ratio!G9))))*F9</f>
        <v>646648014.07885504</v>
      </c>
      <c r="H9" s="4">
        <f>(1-exposure!H$7+((Labor_ratio!H9*exposure!H$5)+(exposure!H$6*(1-Labor_ratio!H9))))*G9</f>
        <v>656409547.13927066</v>
      </c>
      <c r="I9" s="4">
        <f>(1-exposure!I$7+((Labor_ratio!I9*exposure!I$5)+(exposure!I$6*(1-Labor_ratio!I9))))*H9</f>
        <v>665459674.1884011</v>
      </c>
      <c r="J9" s="4">
        <f>(1-exposure!J$7+((Labor_ratio!J9*exposure!J$5)+(exposure!J$6*(1-Labor_ratio!J9))))*I9</f>
        <v>673818656.38502085</v>
      </c>
      <c r="K9" s="4">
        <f>(1-exposure!K$7+((Labor_ratio!K9*exposure!K$5)+(exposure!K$6*(1-Labor_ratio!K9))))*J9</f>
        <v>681701097.49194252</v>
      </c>
      <c r="L9" s="4">
        <f>(1-exposure!L$7+((Labor_ratio!L9*exposure!L$5)+(exposure!L$6*(1-Labor_ratio!L9))))*K9</f>
        <v>689205074.27499759</v>
      </c>
      <c r="M9" s="4">
        <f>(1-exposure!M$7+((Labor_ratio!M9*exposure!M$5)+(exposure!M$6*(1-Labor_ratio!M9))))*L9</f>
        <v>696115623.8535049</v>
      </c>
    </row>
    <row r="10" spans="1:13" x14ac:dyDescent="0.2">
      <c r="A10" t="str">
        <f>raw!A10</f>
        <v>Duke Energy Corp.</v>
      </c>
      <c r="B10" s="1">
        <f>VLOOKUP($A10,raw!$A$4:$AU$24,$B$2,FALSE)+VLOOKUP($A10,raw!$A$4:$AU$24,$C$2,FALSE)+VLOOKUP($A10,raw!$A$4:$AU$24,$D$2,FALSE)</f>
        <v>1021379030</v>
      </c>
      <c r="C10" s="16">
        <f t="shared" si="0"/>
        <v>1021379030</v>
      </c>
      <c r="D10" s="4">
        <f>(1-exposure!D$7+((Labor_ratio!D10*exposure!D$5)+(exposure!D$6*(1-Labor_ratio!D10))))*C10</f>
        <v>1043451450.3199165</v>
      </c>
      <c r="E10" s="4">
        <f>(1-exposure!E$7+((Labor_ratio!E10*exposure!E$5)+(exposure!E$6*(1-Labor_ratio!E10))))*D10</f>
        <v>1063683545.3948331</v>
      </c>
      <c r="F10" s="4">
        <f>(1-exposure!F$7+((Labor_ratio!F10*exposure!F$5)+(exposure!F$6*(1-Labor_ratio!F10))))*E10</f>
        <v>1082594965.1196876</v>
      </c>
      <c r="G10" s="4">
        <f>(1-exposure!G$7+((Labor_ratio!G10*exposure!G$5)+(exposure!G$6*(1-Labor_ratio!G10))))*F10</f>
        <v>1100508323.808645</v>
      </c>
      <c r="H10" s="4">
        <f>(1-exposure!H$7+((Labor_ratio!H10*exposure!H$5)+(exposure!H$6*(1-Labor_ratio!H10))))*G10</f>
        <v>1117630425.4066501</v>
      </c>
      <c r="I10" s="4">
        <f>(1-exposure!I$7+((Labor_ratio!I10*exposure!I$5)+(exposure!I$6*(1-Labor_ratio!I10))))*H10</f>
        <v>1133647264.9367464</v>
      </c>
      <c r="J10" s="4">
        <f>(1-exposure!J$7+((Labor_ratio!J10*exposure!J$5)+(exposure!J$6*(1-Labor_ratio!J10))))*I10</f>
        <v>1148634828.8561926</v>
      </c>
      <c r="K10" s="4">
        <f>(1-exposure!K$7+((Labor_ratio!K10*exposure!K$5)+(exposure!K$6*(1-Labor_ratio!K10))))*J10</f>
        <v>1162895651.3374102</v>
      </c>
      <c r="L10" s="4">
        <f>(1-exposure!L$7+((Labor_ratio!L10*exposure!L$5)+(exposure!L$6*(1-Labor_ratio!L10))))*K10</f>
        <v>1176584432.558661</v>
      </c>
      <c r="M10" s="4">
        <f>(1-exposure!M$7+((Labor_ratio!M10*exposure!M$5)+(exposure!M$6*(1-Labor_ratio!M10))))*L10</f>
        <v>1189389154.8289721</v>
      </c>
    </row>
    <row r="11" spans="1:13" x14ac:dyDescent="0.2">
      <c r="A11" t="str">
        <f>raw!A11</f>
        <v>Entergy Mississippi, Inc.</v>
      </c>
      <c r="B11" s="1">
        <f>VLOOKUP($A11,raw!$A$4:$AU$24,$B$2,FALSE)+VLOOKUP($A11,raw!$A$4:$AU$24,$C$2,FALSE)+VLOOKUP($A11,raw!$A$4:$AU$24,$D$2,FALSE)</f>
        <v>232716265</v>
      </c>
      <c r="C11" s="16">
        <f t="shared" si="0"/>
        <v>232716265</v>
      </c>
      <c r="D11" s="4">
        <f>(1-exposure!D$7+((Labor_ratio!D11*exposure!D$5)+(exposure!D$6*(1-Labor_ratio!D11))))*C11</f>
        <v>237770732.21394059</v>
      </c>
      <c r="E11" s="4">
        <f>(1-exposure!E$7+((Labor_ratio!E11*exposure!E$5)+(exposure!E$6*(1-Labor_ratio!E11))))*D11</f>
        <v>242355084.81775567</v>
      </c>
      <c r="F11" s="4">
        <f>(1-exposure!F$7+((Labor_ratio!F11*exposure!F$5)+(exposure!F$6*(1-Labor_ratio!F11))))*E11</f>
        <v>246611111.00487694</v>
      </c>
      <c r="G11" s="4">
        <f>(1-exposure!G$7+((Labor_ratio!G11*exposure!G$5)+(exposure!G$6*(1-Labor_ratio!G11))))*F11</f>
        <v>250605665.60669318</v>
      </c>
      <c r="H11" s="4">
        <f>(1-exposure!H$7+((Labor_ratio!H11*exposure!H$5)+(exposure!H$6*(1-Labor_ratio!H11))))*G11</f>
        <v>254395383.51064524</v>
      </c>
      <c r="I11" s="4">
        <f>(1-exposure!I$7+((Labor_ratio!I11*exposure!I$5)+(exposure!I$6*(1-Labor_ratio!I11))))*H11</f>
        <v>257910778.36589861</v>
      </c>
      <c r="J11" s="4">
        <f>(1-exposure!J$7+((Labor_ratio!J11*exposure!J$5)+(exposure!J$6*(1-Labor_ratio!J11))))*I11</f>
        <v>261160244.14369872</v>
      </c>
      <c r="K11" s="4">
        <f>(1-exposure!K$7+((Labor_ratio!K11*exposure!K$5)+(exposure!K$6*(1-Labor_ratio!K11))))*J11</f>
        <v>264226125.71353391</v>
      </c>
      <c r="L11" s="4">
        <f>(1-exposure!L$7+((Labor_ratio!L11*exposure!L$5)+(exposure!L$6*(1-Labor_ratio!L11))))*K11</f>
        <v>267146270.58745849</v>
      </c>
      <c r="M11" s="4">
        <f>(1-exposure!M$7+((Labor_ratio!M11*exposure!M$5)+(exposure!M$6*(1-Labor_ratio!M11))))*L11</f>
        <v>269838072.67668754</v>
      </c>
    </row>
    <row r="12" spans="1:13" x14ac:dyDescent="0.2">
      <c r="A12" t="str">
        <f>raw!A12</f>
        <v>Florida Power &amp; Light Co.</v>
      </c>
      <c r="B12" s="1">
        <f>VLOOKUP($A12,raw!$A$4:$AU$24,$B$2,FALSE)+VLOOKUP($A12,raw!$A$4:$AU$24,$C$2,FALSE)+VLOOKUP($A12,raw!$A$4:$AU$24,$D$2,FALSE)</f>
        <v>1761465244</v>
      </c>
      <c r="C12" s="16">
        <f t="shared" si="0"/>
        <v>1761465244</v>
      </c>
      <c r="D12" s="4">
        <f>(1-exposure!D$7+((Labor_ratio!D12*exposure!D$5)+(exposure!D$6*(1-Labor_ratio!D12))))*C12</f>
        <v>1799579121.1109252</v>
      </c>
      <c r="E12" s="4">
        <f>(1-exposure!E$7+((Labor_ratio!E12*exposure!E$5)+(exposure!E$6*(1-Labor_ratio!E12))))*D12</f>
        <v>1834423295.2085521</v>
      </c>
      <c r="F12" s="4">
        <f>(1-exposure!F$7+((Labor_ratio!F12*exposure!F$5)+(exposure!F$6*(1-Labor_ratio!F12))))*E12</f>
        <v>1866938088.0062058</v>
      </c>
      <c r="G12" s="4">
        <f>(1-exposure!G$7+((Labor_ratio!G12*exposure!G$5)+(exposure!G$6*(1-Labor_ratio!G12))))*F12</f>
        <v>1897667302.5463154</v>
      </c>
      <c r="H12" s="4">
        <f>(1-exposure!H$7+((Labor_ratio!H12*exposure!H$5)+(exposure!H$6*(1-Labor_ratio!H12))))*G12</f>
        <v>1926985517.3203528</v>
      </c>
      <c r="I12" s="4">
        <f>(1-exposure!I$7+((Labor_ratio!I12*exposure!I$5)+(exposure!I$6*(1-Labor_ratio!I12))))*H12</f>
        <v>1954355048.9027722</v>
      </c>
      <c r="J12" s="4">
        <f>(1-exposure!J$7+((Labor_ratio!J12*exposure!J$5)+(exposure!J$6*(1-Labor_ratio!J12))))*I12</f>
        <v>1979890047.1484606</v>
      </c>
      <c r="K12" s="4">
        <f>(1-exposure!K$7+((Labor_ratio!K12*exposure!K$5)+(exposure!K$6*(1-Labor_ratio!K12))))*J12</f>
        <v>2004137545.6361802</v>
      </c>
      <c r="L12" s="4">
        <f>(1-exposure!L$7+((Labor_ratio!L12*exposure!L$5)+(exposure!L$6*(1-Labor_ratio!L12))))*K12</f>
        <v>2027369211.8281903</v>
      </c>
      <c r="M12" s="4">
        <f>(1-exposure!M$7+((Labor_ratio!M12*exposure!M$5)+(exposure!M$6*(1-Labor_ratio!M12))))*L12</f>
        <v>2049025110.8833873</v>
      </c>
    </row>
    <row r="13" spans="1:13" x14ac:dyDescent="0.2">
      <c r="A13" t="str">
        <f>raw!A13</f>
        <v>Gulf Power Co.</v>
      </c>
      <c r="B13" s="1">
        <f>VLOOKUP($A13,raw!$A$4:$AU$24,$B$2,FALSE)+VLOOKUP($A13,raw!$A$4:$AU$24,$C$2,FALSE)+VLOOKUP($A13,raw!$A$4:$AU$24,$D$2,FALSE)</f>
        <v>149128788</v>
      </c>
      <c r="C13" s="16">
        <f t="shared" si="0"/>
        <v>149128788</v>
      </c>
      <c r="D13" s="4">
        <f>(1-exposure!D$7+((Labor_ratio!D13*exposure!D$5)+(exposure!D$6*(1-Labor_ratio!D13))))*C13</f>
        <v>152361366.9161745</v>
      </c>
      <c r="E13" s="4">
        <f>(1-exposure!E$7+((Labor_ratio!E13*exposure!E$5)+(exposure!E$6*(1-Labor_ratio!E13))))*D13</f>
        <v>155305533.2906962</v>
      </c>
      <c r="F13" s="4">
        <f>(1-exposure!F$7+((Labor_ratio!F13*exposure!F$5)+(exposure!F$6*(1-Labor_ratio!F13))))*E13</f>
        <v>158046233.48298877</v>
      </c>
      <c r="G13" s="4">
        <f>(1-exposure!G$7+((Labor_ratio!G13*exposure!G$5)+(exposure!G$6*(1-Labor_ratio!G13))))*F13</f>
        <v>160627988.49229574</v>
      </c>
      <c r="H13" s="4">
        <f>(1-exposure!H$7+((Labor_ratio!H13*exposure!H$5)+(exposure!H$6*(1-Labor_ratio!H13))))*G13</f>
        <v>163084681.44797111</v>
      </c>
      <c r="I13" s="4">
        <f>(1-exposure!I$7+((Labor_ratio!I13*exposure!I$5)+(exposure!I$6*(1-Labor_ratio!I13))))*H13</f>
        <v>165371259.92867365</v>
      </c>
      <c r="J13" s="4">
        <f>(1-exposure!J$7+((Labor_ratio!J13*exposure!J$5)+(exposure!J$6*(1-Labor_ratio!J13))))*I13</f>
        <v>167495351.27551726</v>
      </c>
      <c r="K13" s="4">
        <f>(1-exposure!K$7+((Labor_ratio!K13*exposure!K$5)+(exposure!K$6*(1-Labor_ratio!K13))))*J13</f>
        <v>169506328.60277203</v>
      </c>
      <c r="L13" s="4">
        <f>(1-exposure!L$7+((Labor_ratio!L13*exposure!L$5)+(exposure!L$6*(1-Labor_ratio!L13))))*K13</f>
        <v>171427784.23574659</v>
      </c>
      <c r="M13" s="4">
        <f>(1-exposure!M$7+((Labor_ratio!M13*exposure!M$5)+(exposure!M$6*(1-Labor_ratio!M13))))*L13</f>
        <v>173209683.23931649</v>
      </c>
    </row>
    <row r="14" spans="1:13" x14ac:dyDescent="0.2">
      <c r="A14" t="str">
        <f>raw!A14</f>
        <v>Illinois Power Co.</v>
      </c>
      <c r="B14" s="1">
        <f>VLOOKUP($A14,raw!$A$4:$AU$24,$B$2,FALSE)+VLOOKUP($A14,raw!$A$4:$AU$24,$C$2,FALSE)+VLOOKUP($A14,raw!$A$4:$AU$24,$D$2,FALSE)</f>
        <v>229405555</v>
      </c>
      <c r="C14" s="16">
        <f t="shared" si="0"/>
        <v>229405555</v>
      </c>
      <c r="D14" s="4">
        <f>(1-exposure!D$7+((Labor_ratio!D14*exposure!D$5)+(exposure!D$6*(1-Labor_ratio!D14))))*C14</f>
        <v>234385883.0192928</v>
      </c>
      <c r="E14" s="4">
        <f>(1-exposure!E$7+((Labor_ratio!E14*exposure!E$5)+(exposure!E$6*(1-Labor_ratio!E14))))*D14</f>
        <v>238907254.72791934</v>
      </c>
      <c r="F14" s="4">
        <f>(1-exposure!F$7+((Labor_ratio!F14*exposure!F$5)+(exposure!F$6*(1-Labor_ratio!F14))))*E14</f>
        <v>243107382.94085604</v>
      </c>
      <c r="G14" s="4">
        <f>(1-exposure!G$7+((Labor_ratio!G14*exposure!G$5)+(exposure!G$6*(1-Labor_ratio!G14))))*F14</f>
        <v>247052755.33170614</v>
      </c>
      <c r="H14" s="4">
        <f>(1-exposure!H$7+((Labor_ratio!H14*exposure!H$5)+(exposure!H$6*(1-Labor_ratio!H14))))*G14</f>
        <v>250798361.90836143</v>
      </c>
      <c r="I14" s="4">
        <f>(1-exposure!I$7+((Labor_ratio!I14*exposure!I$5)+(exposure!I$6*(1-Labor_ratio!I14))))*H14</f>
        <v>254275521.70560676</v>
      </c>
      <c r="J14" s="4">
        <f>(1-exposure!J$7+((Labor_ratio!J14*exposure!J$5)+(exposure!J$6*(1-Labor_ratio!J14))))*I14</f>
        <v>257493290.52864191</v>
      </c>
      <c r="K14" s="4">
        <f>(1-exposure!K$7+((Labor_ratio!K14*exposure!K$5)+(exposure!K$6*(1-Labor_ratio!K14))))*J14</f>
        <v>260531659.70612648</v>
      </c>
      <c r="L14" s="4">
        <f>(1-exposure!L$7+((Labor_ratio!L14*exposure!L$5)+(exposure!L$6*(1-Labor_ratio!L14))))*K14</f>
        <v>263427707.62055898</v>
      </c>
      <c r="M14" s="4">
        <f>(1-exposure!M$7+((Labor_ratio!M14*exposure!M$5)+(exposure!M$6*(1-Labor_ratio!M14))))*L14</f>
        <v>266101010.90104833</v>
      </c>
    </row>
    <row r="15" spans="1:13" x14ac:dyDescent="0.2">
      <c r="A15" t="str">
        <f>raw!A15</f>
        <v>Jersey Central Power &amp; Light Co.</v>
      </c>
      <c r="B15" s="1">
        <f>VLOOKUP($A15,raw!$A$4:$AU$24,$B$2,FALSE)+VLOOKUP($A15,raw!$A$4:$AU$24,$C$2,FALSE)+VLOOKUP($A15,raw!$A$4:$AU$24,$D$2,FALSE)</f>
        <v>520403856</v>
      </c>
      <c r="C15" s="16">
        <f t="shared" si="0"/>
        <v>520403856</v>
      </c>
      <c r="D15" s="4">
        <f>(1-exposure!D$7+((Labor_ratio!D15*exposure!D$5)+(exposure!D$6*(1-Labor_ratio!D15))))*C15</f>
        <v>531714106.70433503</v>
      </c>
      <c r="E15" s="4">
        <f>(1-exposure!E$7+((Labor_ratio!E15*exposure!E$5)+(exposure!E$6*(1-Labor_ratio!E15))))*D15</f>
        <v>541958321.87844813</v>
      </c>
      <c r="F15" s="4">
        <f>(1-exposure!F$7+((Labor_ratio!F15*exposure!F$5)+(exposure!F$6*(1-Labor_ratio!F15))))*E15</f>
        <v>551460365.70422435</v>
      </c>
      <c r="G15" s="4">
        <f>(1-exposure!G$7+((Labor_ratio!G15*exposure!G$5)+(exposure!G$6*(1-Labor_ratio!G15))))*F15</f>
        <v>560367813.28268659</v>
      </c>
      <c r="H15" s="4">
        <f>(1-exposure!H$7+((Labor_ratio!H15*exposure!H$5)+(exposure!H$6*(1-Labor_ratio!H15))))*G15</f>
        <v>568810084.32383764</v>
      </c>
      <c r="I15" s="4">
        <f>(1-exposure!I$7+((Labor_ratio!I15*exposure!I$5)+(exposure!I$6*(1-Labor_ratio!I15))))*H15</f>
        <v>576632398.61017668</v>
      </c>
      <c r="J15" s="4">
        <f>(1-exposure!J$7+((Labor_ratio!J15*exposure!J$5)+(exposure!J$6*(1-Labor_ratio!J15))))*I15</f>
        <v>583850950.5410496</v>
      </c>
      <c r="K15" s="4">
        <f>(1-exposure!K$7+((Labor_ratio!K15*exposure!K$5)+(exposure!K$6*(1-Labor_ratio!K15))))*J15</f>
        <v>590653784.8318063</v>
      </c>
      <c r="L15" s="4">
        <f>(1-exposure!L$7+((Labor_ratio!L15*exposure!L$5)+(exposure!L$6*(1-Labor_ratio!L15))))*K15</f>
        <v>597126299.82932174</v>
      </c>
      <c r="M15" s="4">
        <f>(1-exposure!M$7+((Labor_ratio!M15*exposure!M$5)+(exposure!M$6*(1-Labor_ratio!M15))))*L15</f>
        <v>603080448.73719037</v>
      </c>
    </row>
    <row r="16" spans="1:13" x14ac:dyDescent="0.2">
      <c r="A16" t="str">
        <f>raw!A16</f>
        <v>Kentucky Utilities Co.</v>
      </c>
      <c r="B16" s="1">
        <f>VLOOKUP($A16,raw!$A$4:$AU$24,$B$2,FALSE)+VLOOKUP($A16,raw!$A$4:$AU$24,$C$2,FALSE)+VLOOKUP($A16,raw!$A$4:$AU$24,$D$2,FALSE)</f>
        <v>230873738</v>
      </c>
      <c r="C16" s="16">
        <f t="shared" si="0"/>
        <v>230873738</v>
      </c>
      <c r="D16" s="4">
        <f>(1-exposure!D$7+((Labor_ratio!D16*exposure!D$5)+(exposure!D$6*(1-Labor_ratio!D16))))*C16</f>
        <v>235877065.13159072</v>
      </c>
      <c r="E16" s="4">
        <f>(1-exposure!E$7+((Labor_ratio!E16*exposure!E$5)+(exposure!E$6*(1-Labor_ratio!E16))))*D16</f>
        <v>240436269.21680599</v>
      </c>
      <c r="F16" s="4">
        <f>(1-exposure!F$7+((Labor_ratio!F16*exposure!F$5)+(exposure!F$6*(1-Labor_ratio!F16))))*E16</f>
        <v>244681762.9824701</v>
      </c>
      <c r="G16" s="4">
        <f>(1-exposure!G$7+((Labor_ratio!G16*exposure!G$5)+(exposure!G$6*(1-Labor_ratio!G16))))*F16</f>
        <v>248682783.44505069</v>
      </c>
      <c r="H16" s="4">
        <f>(1-exposure!H$7+((Labor_ratio!H16*exposure!H$5)+(exposure!H$6*(1-Labor_ratio!H16))))*G16</f>
        <v>252491340.29494351</v>
      </c>
      <c r="I16" s="4">
        <f>(1-exposure!I$7+((Labor_ratio!I16*exposure!I$5)+(exposure!I$6*(1-Labor_ratio!I16))))*H16</f>
        <v>256037588.89647099</v>
      </c>
      <c r="J16" s="4">
        <f>(1-exposure!J$7+((Labor_ratio!J16*exposure!J$5)+(exposure!J$6*(1-Labor_ratio!J16))))*I16</f>
        <v>259333755.49978024</v>
      </c>
      <c r="K16" s="4">
        <f>(1-exposure!K$7+((Labor_ratio!K16*exposure!K$5)+(exposure!K$6*(1-Labor_ratio!K16))))*J16</f>
        <v>262455647.78885147</v>
      </c>
      <c r="L16" s="4">
        <f>(1-exposure!L$7+((Labor_ratio!L16*exposure!L$5)+(exposure!L$6*(1-Labor_ratio!L16))))*K16</f>
        <v>265439668.09997204</v>
      </c>
      <c r="M16" s="4">
        <f>(1-exposure!M$7+((Labor_ratio!M16*exposure!M$5)+(exposure!M$6*(1-Labor_ratio!M16))))*L16</f>
        <v>268208894.34650752</v>
      </c>
    </row>
    <row r="17" spans="1:13" x14ac:dyDescent="0.2">
      <c r="A17" t="str">
        <f>raw!A17</f>
        <v>Ohio Power Co.</v>
      </c>
      <c r="B17" s="1">
        <f>VLOOKUP($A17,raw!$A$4:$AU$24,$B$2,FALSE)+VLOOKUP($A17,raw!$A$4:$AU$24,$C$2,FALSE)+VLOOKUP($A17,raw!$A$4:$AU$24,$D$2,FALSE)</f>
        <v>351029115</v>
      </c>
      <c r="C17" s="16">
        <f t="shared" si="0"/>
        <v>351029115</v>
      </c>
      <c r="D17" s="4">
        <f>(1-exposure!D$7+((Labor_ratio!D17*exposure!D$5)+(exposure!D$6*(1-Labor_ratio!D17))))*C17</f>
        <v>358651139.29043889</v>
      </c>
      <c r="E17" s="4">
        <f>(1-exposure!E$7+((Labor_ratio!E17*exposure!E$5)+(exposure!E$6*(1-Labor_ratio!E17))))*D17</f>
        <v>365568311.89393687</v>
      </c>
      <c r="F17" s="4">
        <f>(1-exposure!F$7+((Labor_ratio!F17*exposure!F$5)+(exposure!F$6*(1-Labor_ratio!F17))))*E17</f>
        <v>371992540.4785825</v>
      </c>
      <c r="G17" s="4">
        <f>(1-exposure!G$7+((Labor_ratio!G17*exposure!G$5)+(exposure!G$6*(1-Labor_ratio!G17))))*F17</f>
        <v>378025226.44983011</v>
      </c>
      <c r="H17" s="4">
        <f>(1-exposure!H$7+((Labor_ratio!H17*exposure!H$5)+(exposure!H$6*(1-Labor_ratio!H17))))*G17</f>
        <v>383750996.39519626</v>
      </c>
      <c r="I17" s="4">
        <f>(1-exposure!I$7+((Labor_ratio!I17*exposure!I$5)+(exposure!I$6*(1-Labor_ratio!I17))))*H17</f>
        <v>389064862.15340316</v>
      </c>
      <c r="J17" s="4">
        <f>(1-exposure!J$7+((Labor_ratio!J17*exposure!J$5)+(exposure!J$6*(1-Labor_ratio!J17))))*I17</f>
        <v>393980231.13603354</v>
      </c>
      <c r="K17" s="4">
        <f>(1-exposure!K$7+((Labor_ratio!K17*exposure!K$5)+(exposure!K$6*(1-Labor_ratio!K17))))*J17</f>
        <v>398620183.39869797</v>
      </c>
      <c r="L17" s="4">
        <f>(1-exposure!L$7+((Labor_ratio!L17*exposure!L$5)+(exposure!L$6*(1-Labor_ratio!L17))))*K17</f>
        <v>403041587.73536271</v>
      </c>
      <c r="M17" s="4">
        <f>(1-exposure!M$7+((Labor_ratio!M17*exposure!M$5)+(exposure!M$6*(1-Labor_ratio!M17))))*L17</f>
        <v>407120803.12750483</v>
      </c>
    </row>
    <row r="18" spans="1:13" x14ac:dyDescent="0.2">
      <c r="A18" t="str">
        <f>raw!A18</f>
        <v>PPL Electric Utilities Corp.</v>
      </c>
      <c r="B18" s="1">
        <f>VLOOKUP($A18,raw!$A$4:$AU$24,$B$2,FALSE)+VLOOKUP($A18,raw!$A$4:$AU$24,$C$2,FALSE)+VLOOKUP($A18,raw!$A$4:$AU$24,$D$2,FALSE)</f>
        <v>727069960</v>
      </c>
      <c r="C18" s="16">
        <f t="shared" si="0"/>
        <v>727069960</v>
      </c>
      <c r="D18" s="4">
        <f>(1-exposure!D$7+((Labor_ratio!D18*exposure!D$5)+(exposure!D$6*(1-Labor_ratio!D18))))*C18</f>
        <v>742831381.04956436</v>
      </c>
      <c r="E18" s="4">
        <f>(1-exposure!E$7+((Labor_ratio!E18*exposure!E$5)+(exposure!E$6*(1-Labor_ratio!E18))))*D18</f>
        <v>757184370.57097566</v>
      </c>
      <c r="F18" s="4">
        <f>(1-exposure!F$7+((Labor_ratio!F18*exposure!F$5)+(exposure!F$6*(1-Labor_ratio!F18))))*E18</f>
        <v>770544134.81980598</v>
      </c>
      <c r="G18" s="4">
        <f>(1-exposure!G$7+((Labor_ratio!G18*exposure!G$5)+(exposure!G$6*(1-Labor_ratio!G18))))*F18</f>
        <v>783127433.99297512</v>
      </c>
      <c r="H18" s="4">
        <f>(1-exposure!H$7+((Labor_ratio!H18*exposure!H$5)+(exposure!H$6*(1-Labor_ratio!H18))))*G18</f>
        <v>795099892.85308409</v>
      </c>
      <c r="I18" s="4">
        <f>(1-exposure!I$7+((Labor_ratio!I18*exposure!I$5)+(exposure!I$6*(1-Labor_ratio!I18))))*H18</f>
        <v>806241953.623873</v>
      </c>
      <c r="J18" s="4">
        <f>(1-exposure!J$7+((Labor_ratio!J18*exposure!J$5)+(exposure!J$6*(1-Labor_ratio!J18))))*I18</f>
        <v>816590401.35022688</v>
      </c>
      <c r="K18" s="4">
        <f>(1-exposure!K$7+((Labor_ratio!K18*exposure!K$5)+(exposure!K$6*(1-Labor_ratio!K18))))*J18</f>
        <v>826386557.18766987</v>
      </c>
      <c r="L18" s="4">
        <f>(1-exposure!L$7+((Labor_ratio!L18*exposure!L$5)+(exposure!L$6*(1-Labor_ratio!L18))))*K18</f>
        <v>835745561.80239046</v>
      </c>
      <c r="M18" s="4">
        <f>(1-exposure!M$7+((Labor_ratio!M18*exposure!M$5)+(exposure!M$6*(1-Labor_ratio!M18))))*L18</f>
        <v>844422953.94904292</v>
      </c>
    </row>
    <row r="19" spans="1:13" x14ac:dyDescent="0.2">
      <c r="A19" t="str">
        <f>raw!A19</f>
        <v>Pacific Gas &amp; Electric Co.</v>
      </c>
      <c r="B19" s="1">
        <f>VLOOKUP($A19,raw!$A$4:$AU$24,$B$2,FALSE)+VLOOKUP($A19,raw!$A$4:$AU$24,$C$2,FALSE)+VLOOKUP($A19,raw!$A$4:$AU$24,$D$2,FALSE)</f>
        <v>2576024263</v>
      </c>
      <c r="C19" s="16">
        <f t="shared" si="0"/>
        <v>2576024263</v>
      </c>
      <c r="D19" s="4">
        <f>(1-exposure!D$7+((Labor_ratio!D19*exposure!D$5)+(exposure!D$6*(1-Labor_ratio!D19))))*C19</f>
        <v>2631885835.2448988</v>
      </c>
      <c r="E19" s="4">
        <f>(1-exposure!E$7+((Labor_ratio!E19*exposure!E$5)+(exposure!E$6*(1-Labor_ratio!E19))))*D19</f>
        <v>2682720213.5097022</v>
      </c>
      <c r="F19" s="4">
        <f>(1-exposure!F$7+((Labor_ratio!F19*exposure!F$5)+(exposure!F$6*(1-Labor_ratio!F19))))*E19</f>
        <v>2730015558.402844</v>
      </c>
      <c r="G19" s="4">
        <f>(1-exposure!G$7+((Labor_ratio!G19*exposure!G$5)+(exposure!G$6*(1-Labor_ratio!G19))))*F19</f>
        <v>2774535003.6164513</v>
      </c>
      <c r="H19" s="4">
        <f>(1-exposure!H$7+((Labor_ratio!H19*exposure!H$5)+(exposure!H$6*(1-Labor_ratio!H19))))*G19</f>
        <v>2816872313.5269156</v>
      </c>
      <c r="I19" s="4">
        <f>(1-exposure!I$7+((Labor_ratio!I19*exposure!I$5)+(exposure!I$6*(1-Labor_ratio!I19))))*H19</f>
        <v>2856251098.6196322</v>
      </c>
      <c r="J19" s="4">
        <f>(1-exposure!J$7+((Labor_ratio!J19*exposure!J$5)+(exposure!J$6*(1-Labor_ratio!J19))))*I19</f>
        <v>2892795187.3591971</v>
      </c>
      <c r="K19" s="4">
        <f>(1-exposure!K$7+((Labor_ratio!K19*exposure!K$5)+(exposure!K$6*(1-Labor_ratio!K19))))*J19</f>
        <v>2927369383.7953649</v>
      </c>
      <c r="L19" s="4">
        <f>(1-exposure!L$7+((Labor_ratio!L19*exposure!L$5)+(exposure!L$6*(1-Labor_ratio!L19))))*K19</f>
        <v>2960383537.2260709</v>
      </c>
      <c r="M19" s="4">
        <f>(1-exposure!M$7+((Labor_ratio!M19*exposure!M$5)+(exposure!M$6*(1-Labor_ratio!M19))))*L19</f>
        <v>2990963125.6780572</v>
      </c>
    </row>
    <row r="20" spans="1:13" x14ac:dyDescent="0.2">
      <c r="A20" t="str">
        <f>raw!A20</f>
        <v>Public Service Electric &amp; Gas Co.</v>
      </c>
      <c r="B20" s="1">
        <f>VLOOKUP($A20,raw!$A$4:$AU$24,$B$2,FALSE)+VLOOKUP($A20,raw!$A$4:$AU$24,$C$2,FALSE)+VLOOKUP($A20,raw!$A$4:$AU$24,$D$2,FALSE)</f>
        <v>999426697</v>
      </c>
      <c r="C20" s="16">
        <f t="shared" si="0"/>
        <v>999426697</v>
      </c>
      <c r="D20" s="4">
        <f>(1-exposure!D$7+((Labor_ratio!D20*exposure!D$5)+(exposure!D$6*(1-Labor_ratio!D20))))*C20</f>
        <v>1021053229.1570356</v>
      </c>
      <c r="E20" s="4">
        <f>(1-exposure!E$7+((Labor_ratio!E20*exposure!E$5)+(exposure!E$6*(1-Labor_ratio!E20))))*D20</f>
        <v>1040821904.2107217</v>
      </c>
      <c r="F20" s="4">
        <f>(1-exposure!F$7+((Labor_ratio!F20*exposure!F$5)+(exposure!F$6*(1-Labor_ratio!F20))))*E20</f>
        <v>1059267479.4233323</v>
      </c>
      <c r="G20" s="4">
        <f>(1-exposure!G$7+((Labor_ratio!G20*exposure!G$5)+(exposure!G$6*(1-Labor_ratio!G20))))*F20</f>
        <v>1076698148.4025714</v>
      </c>
      <c r="H20" s="4">
        <f>(1-exposure!H$7+((Labor_ratio!H20*exposure!H$5)+(exposure!H$6*(1-Labor_ratio!H20))))*G20</f>
        <v>1093326942.3812978</v>
      </c>
      <c r="I20" s="4">
        <f>(1-exposure!I$7+((Labor_ratio!I20*exposure!I$5)+(exposure!I$6*(1-Labor_ratio!I20))))*H20</f>
        <v>1108848896.4788961</v>
      </c>
      <c r="J20" s="4">
        <f>(1-exposure!J$7+((Labor_ratio!J20*exposure!J$5)+(exposure!J$6*(1-Labor_ratio!J20))))*I20</f>
        <v>1123328305.6876779</v>
      </c>
      <c r="K20" s="4">
        <f>(1-exposure!K$7+((Labor_ratio!K20*exposure!K$5)+(exposure!K$6*(1-Labor_ratio!K20))))*J20</f>
        <v>1137076255.1845045</v>
      </c>
      <c r="L20" s="4">
        <f>(1-exposure!L$7+((Labor_ratio!L20*exposure!L$5)+(exposure!L$6*(1-Labor_ratio!L20))))*K20</f>
        <v>1150247021.2226751</v>
      </c>
      <c r="M20" s="4">
        <f>(1-exposure!M$7+((Labor_ratio!M20*exposure!M$5)+(exposure!M$6*(1-Labor_ratio!M20))))*L20</f>
        <v>1162522296.5077901</v>
      </c>
    </row>
    <row r="21" spans="1:13" x14ac:dyDescent="0.2">
      <c r="A21" t="str">
        <f>raw!A21</f>
        <v>San Diego Gas &amp; Electric Co.</v>
      </c>
      <c r="B21" s="1">
        <f>VLOOKUP($A21,raw!$A$4:$AU$24,$B$2,FALSE)+VLOOKUP($A21,raw!$A$4:$AU$24,$C$2,FALSE)+VLOOKUP($A21,raw!$A$4:$AU$24,$D$2,FALSE)</f>
        <v>612438278</v>
      </c>
      <c r="C21" s="16">
        <f t="shared" si="0"/>
        <v>612438278</v>
      </c>
      <c r="D21" s="4">
        <f>(1-exposure!D$7+((Labor_ratio!D21*exposure!D$5)+(exposure!D$6*(1-Labor_ratio!D21))))*C21</f>
        <v>625776976.89824295</v>
      </c>
      <c r="E21" s="4">
        <f>(1-exposure!E$7+((Labor_ratio!E21*exposure!E$5)+(exposure!E$6*(1-Labor_ratio!E21))))*D21</f>
        <v>637804621.69478428</v>
      </c>
      <c r="F21" s="4">
        <f>(1-exposure!F$7+((Labor_ratio!F21*exposure!F$5)+(exposure!F$6*(1-Labor_ratio!F21))))*E21</f>
        <v>648928365.02079165</v>
      </c>
      <c r="G21" s="4">
        <f>(1-exposure!G$7+((Labor_ratio!G21*exposure!G$5)+(exposure!G$6*(1-Labor_ratio!G21))))*F21</f>
        <v>659314515.75180316</v>
      </c>
      <c r="H21" s="4">
        <f>(1-exposure!H$7+((Labor_ratio!H21*exposure!H$5)+(exposure!H$6*(1-Labor_ratio!H21))))*G21</f>
        <v>669126006.24571085</v>
      </c>
      <c r="I21" s="4">
        <f>(1-exposure!I$7+((Labor_ratio!I21*exposure!I$5)+(exposure!I$6*(1-Labor_ratio!I21))))*H21</f>
        <v>678183019.522084</v>
      </c>
      <c r="J21" s="4">
        <f>(1-exposure!J$7+((Labor_ratio!J21*exposure!J$5)+(exposure!J$6*(1-Labor_ratio!J21))))*I21</f>
        <v>686494779.52073765</v>
      </c>
      <c r="K21" s="4">
        <f>(1-exposure!K$7+((Labor_ratio!K21*exposure!K$5)+(exposure!K$6*(1-Labor_ratio!K21))))*J21</f>
        <v>694297543.37132263</v>
      </c>
      <c r="L21" s="4">
        <f>(1-exposure!L$7+((Labor_ratio!L21*exposure!L$5)+(exposure!L$6*(1-Labor_ratio!L21))))*K21</f>
        <v>701694748.08941877</v>
      </c>
      <c r="M21" s="4">
        <f>(1-exposure!M$7+((Labor_ratio!M21*exposure!M$5)+(exposure!M$6*(1-Labor_ratio!M21))))*L21</f>
        <v>708452418.44329798</v>
      </c>
    </row>
    <row r="22" spans="1:13" x14ac:dyDescent="0.2">
      <c r="A22" t="str">
        <f>raw!A22</f>
        <v>Southern California Edison Co.</v>
      </c>
      <c r="B22" s="1">
        <f>VLOOKUP($A22,raw!$A$4:$AU$24,$B$2,FALSE)+VLOOKUP($A22,raw!$A$4:$AU$24,$C$2,FALSE)+VLOOKUP($A22,raw!$A$4:$AU$24,$D$2,FALSE)</f>
        <v>2521808328</v>
      </c>
      <c r="C22" s="16">
        <f t="shared" si="0"/>
        <v>2521808328</v>
      </c>
      <c r="D22" s="4">
        <f>(1-exposure!D$7+((Labor_ratio!D22*exposure!D$5)+(exposure!D$6*(1-Labor_ratio!D22))))*C22</f>
        <v>2576518984.7505774</v>
      </c>
      <c r="E22" s="4">
        <f>(1-exposure!E$7+((Labor_ratio!E22*exposure!E$5)+(exposure!E$6*(1-Labor_ratio!E22))))*D22</f>
        <v>2626258658.1325755</v>
      </c>
      <c r="F22" s="4">
        <f>(1-exposure!F$7+((Labor_ratio!F22*exposure!F$5)+(exposure!F$6*(1-Labor_ratio!F22))))*E22</f>
        <v>2672507020.8759322</v>
      </c>
      <c r="G22" s="4">
        <f>(1-exposure!G$7+((Labor_ratio!G22*exposure!G$5)+(exposure!G$6*(1-Labor_ratio!G22))))*F22</f>
        <v>2716004660.1140084</v>
      </c>
      <c r="H22" s="4">
        <f>(1-exposure!H$7+((Labor_ratio!H22*exposure!H$5)+(exposure!H$6*(1-Labor_ratio!H22))))*G22</f>
        <v>2757342143.0188107</v>
      </c>
      <c r="I22" s="4">
        <f>(1-exposure!I$7+((Labor_ratio!I22*exposure!I$5)+(exposure!I$6*(1-Labor_ratio!I22))))*H22</f>
        <v>2795761440.910749</v>
      </c>
      <c r="J22" s="4">
        <f>(1-exposure!J$7+((Labor_ratio!J22*exposure!J$5)+(exposure!J$6*(1-Labor_ratio!J22))))*I22</f>
        <v>2831375089.5739775</v>
      </c>
      <c r="K22" s="4">
        <f>(1-exposure!K$7+((Labor_ratio!K22*exposure!K$5)+(exposure!K$6*(1-Labor_ratio!K22))))*J22</f>
        <v>2865042796.2175226</v>
      </c>
      <c r="L22" s="4">
        <f>(1-exposure!L$7+((Labor_ratio!L22*exposure!L$5)+(exposure!L$6*(1-Labor_ratio!L22))))*K22</f>
        <v>2897168333.0744338</v>
      </c>
      <c r="M22" s="4">
        <f>(1-exposure!M$7+((Labor_ratio!M22*exposure!M$5)+(exposure!M$6*(1-Labor_ratio!M22))))*L22</f>
        <v>2926884375.4959884</v>
      </c>
    </row>
    <row r="23" spans="1:13" x14ac:dyDescent="0.2">
      <c r="A23" t="str">
        <f>raw!A23</f>
        <v>Southwestern Public Service Co.</v>
      </c>
      <c r="B23" s="1">
        <f>VLOOKUP($A23,raw!$A$4:$AU$24,$B$2,FALSE)+VLOOKUP($A23,raw!$A$4:$AU$24,$C$2,FALSE)+VLOOKUP($A23,raw!$A$4:$AU$24,$D$2,FALSE)</f>
        <v>191246858</v>
      </c>
      <c r="C23" s="16">
        <f t="shared" si="0"/>
        <v>191246858</v>
      </c>
      <c r="D23" s="4">
        <f>(1-exposure!D$7+((Labor_ratio!D23*exposure!D$5)+(exposure!D$6*(1-Labor_ratio!D23))))*C23</f>
        <v>195378207.42627415</v>
      </c>
      <c r="E23" s="4">
        <f>(1-exposure!E$7+((Labor_ratio!E23*exposure!E$5)+(exposure!E$6*(1-Labor_ratio!E23))))*D23</f>
        <v>199168118.34242019</v>
      </c>
      <c r="F23" s="4">
        <f>(1-exposure!F$7+((Labor_ratio!F23*exposure!F$5)+(exposure!F$6*(1-Labor_ratio!F23))))*E23</f>
        <v>202712441.69418082</v>
      </c>
      <c r="G23" s="4">
        <f>(1-exposure!G$7+((Labor_ratio!G23*exposure!G$5)+(exposure!G$6*(1-Labor_ratio!G23))))*F23</f>
        <v>206071998.58243707</v>
      </c>
      <c r="H23" s="4">
        <f>(1-exposure!H$7+((Labor_ratio!H23*exposure!H$5)+(exposure!H$6*(1-Labor_ratio!H23))))*G23</f>
        <v>209284923.19482276</v>
      </c>
      <c r="I23" s="4">
        <f>(1-exposure!I$7+((Labor_ratio!I23*exposure!I$5)+(exposure!I$6*(1-Labor_ratio!I23))))*H23</f>
        <v>212292294.1266405</v>
      </c>
      <c r="J23" s="4">
        <f>(1-exposure!J$7+((Labor_ratio!J23*exposure!J$5)+(exposure!J$6*(1-Labor_ratio!J23))))*I23</f>
        <v>215108895.47382981</v>
      </c>
      <c r="K23" s="4">
        <f>(1-exposure!K$7+((Labor_ratio!K23*exposure!K$5)+(exposure!K$6*(1-Labor_ratio!K23))))*J23</f>
        <v>217790544.46016237</v>
      </c>
      <c r="L23" s="4">
        <f>(1-exposure!L$7+((Labor_ratio!L23*exposure!L$5)+(exposure!L$6*(1-Labor_ratio!L23))))*K23</f>
        <v>220366048.11527193</v>
      </c>
      <c r="M23" s="4">
        <f>(1-exposure!M$7+((Labor_ratio!M23*exposure!M$5)+(exposure!M$6*(1-Labor_ratio!M23))))*L23</f>
        <v>222777701.8572464</v>
      </c>
    </row>
    <row r="24" spans="1:13" x14ac:dyDescent="0.2">
      <c r="A24" t="str">
        <f>raw!A24</f>
        <v>TXU Electric Co.</v>
      </c>
      <c r="B24" s="1">
        <f>VLOOKUP($A24,raw!$A$4:$AU$24,$B$2,FALSE)+VLOOKUP($A24,raw!$A$4:$AU$24,$C$2,FALSE)+VLOOKUP($A24,raw!$A$4:$AU$24,$D$2,FALSE)</f>
        <v>1525958604</v>
      </c>
      <c r="C24" s="16">
        <f t="shared" si="0"/>
        <v>1525958604</v>
      </c>
      <c r="D24" s="4">
        <f>(1-exposure!D$7+((Labor_ratio!D24*exposure!D$5)+(exposure!D$6*(1-Labor_ratio!D24))))*C24</f>
        <v>1559136892.643055</v>
      </c>
      <c r="E24" s="4">
        <f>(1-exposure!E$7+((Labor_ratio!E24*exposure!E$5)+(exposure!E$6*(1-Labor_ratio!E24))))*D24</f>
        <v>1589161834.7506557</v>
      </c>
      <c r="F24" s="4">
        <f>(1-exposure!F$7+((Labor_ratio!F24*exposure!F$5)+(exposure!F$6*(1-Labor_ratio!F24))))*E24</f>
        <v>1616995725.8201473</v>
      </c>
      <c r="G24" s="4">
        <f>(1-exposure!G$7+((Labor_ratio!G24*exposure!G$5)+(exposure!G$6*(1-Labor_ratio!G24))))*F24</f>
        <v>1643067711.5537479</v>
      </c>
      <c r="H24" s="4">
        <f>(1-exposure!H$7+((Labor_ratio!H24*exposure!H$5)+(exposure!H$6*(1-Labor_ratio!H24))))*G24</f>
        <v>1667762443.4343956</v>
      </c>
      <c r="I24" s="4">
        <f>(1-exposure!I$7+((Labor_ratio!I24*exposure!I$5)+(exposure!I$6*(1-Labor_ratio!I24))))*H24</f>
        <v>1690627196.7123272</v>
      </c>
      <c r="J24" s="4">
        <f>(1-exposure!J$7+((Labor_ratio!J24*exposure!J$5)+(exposure!J$6*(1-Labor_ratio!J24))))*I24</f>
        <v>1711704669.6436887</v>
      </c>
      <c r="K24" s="4">
        <f>(1-exposure!K$7+((Labor_ratio!K24*exposure!K$5)+(exposure!K$6*(1-Labor_ratio!K24))))*J24</f>
        <v>1731553523.0338724</v>
      </c>
      <c r="L24" s="4">
        <f>(1-exposure!L$7+((Labor_ratio!L24*exposure!L$5)+(exposure!L$6*(1-Labor_ratio!L24))))*K24</f>
        <v>1750425589.3813438</v>
      </c>
      <c r="M24" s="4">
        <f>(1-exposure!M$7+((Labor_ratio!M24*exposure!M$5)+(exposure!M$6*(1-Labor_ratio!M24))))*L24</f>
        <v>1767763295.1776295</v>
      </c>
    </row>
  </sheetData>
  <pageMargins left="0.75" right="0.75" top="1" bottom="1" header="0.5" footer="0.5"/>
  <pageSetup scale="59" orientation="landscape" verticalDpi="0" r:id="rId1"/>
  <headerFooter alignWithMargins="0">
    <oddFooter>Page &amp;P&amp;R&amp;A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workbookViewId="0">
      <selection activeCell="E25" sqref="E25"/>
    </sheetView>
  </sheetViews>
  <sheetFormatPr defaultRowHeight="12.75" x14ac:dyDescent="0.2"/>
  <cols>
    <col min="1" max="1" width="36.140625" bestFit="1" customWidth="1"/>
    <col min="2" max="2" width="19.42578125" customWidth="1"/>
    <col min="3" max="3" width="13.85546875" bestFit="1" customWidth="1"/>
    <col min="4" max="4" width="15.42578125" bestFit="1" customWidth="1"/>
    <col min="5" max="13" width="13.85546875" bestFit="1" customWidth="1"/>
  </cols>
  <sheetData>
    <row r="1" spans="1:13" x14ac:dyDescent="0.2">
      <c r="A1" t="s">
        <v>526</v>
      </c>
    </row>
    <row r="2" spans="1:13" x14ac:dyDescent="0.2">
      <c r="B2">
        <v>3</v>
      </c>
      <c r="C2">
        <v>28</v>
      </c>
    </row>
    <row r="3" spans="1:13" x14ac:dyDescent="0.2">
      <c r="A3" s="8" t="s">
        <v>177</v>
      </c>
      <c r="B3" s="8">
        <v>1998</v>
      </c>
      <c r="C3" s="8">
        <v>2000</v>
      </c>
      <c r="D3" s="8">
        <v>2001</v>
      </c>
      <c r="E3" s="8">
        <v>2002</v>
      </c>
      <c r="F3" s="8">
        <v>2003</v>
      </c>
      <c r="G3" s="8">
        <v>2004</v>
      </c>
      <c r="H3" s="8">
        <v>2005</v>
      </c>
      <c r="I3" s="8">
        <v>2006</v>
      </c>
      <c r="J3" s="8">
        <v>2007</v>
      </c>
      <c r="K3" s="8">
        <v>2008</v>
      </c>
      <c r="L3" s="8">
        <v>2009</v>
      </c>
      <c r="M3" s="8">
        <v>2010</v>
      </c>
    </row>
    <row r="4" spans="1:13" x14ac:dyDescent="0.2">
      <c r="A4" t="str">
        <f>raw!A4</f>
        <v>Boston Edison Co.</v>
      </c>
      <c r="B4" s="4">
        <f>VLOOKUP(A4,raw!$A$4:$AU$24,$C$2,FALSE)*VLOOKUP($A4,rawcalc!$A$4:$C$24,'A&amp;GO&amp;M'!$B$2,FALSE)</f>
        <v>1807406810.1596537</v>
      </c>
      <c r="C4" s="16">
        <f>B4</f>
        <v>1807406810.1596537</v>
      </c>
      <c r="D4" s="4">
        <f>(1-exposure!D$7+((Labor_ratio!D4*exposure!D$5)+(exposure!D$6*(1-Labor_ratio!D4))))*C4</f>
        <v>1846550803.4931104</v>
      </c>
      <c r="E4" s="4">
        <f>(1-exposure!E$7+((Labor_ratio!E4*exposure!E$5)+(exposure!E$6*(1-Labor_ratio!E4))))*D4</f>
        <v>1882267630.3272326</v>
      </c>
      <c r="F4" s="4">
        <f>(1-exposure!F$7+((Labor_ratio!F4*exposure!F$5)+(exposure!F$6*(1-Labor_ratio!F4))))*E4</f>
        <v>1915555366.0293305</v>
      </c>
      <c r="G4" s="4">
        <f>(1-exposure!G$7+((Labor_ratio!G4*exposure!G$5)+(exposure!G$6*(1-Labor_ratio!G4))))*F4</f>
        <v>1946962539.3313291</v>
      </c>
      <c r="H4" s="4">
        <f>(1-exposure!H$7+((Labor_ratio!H4*exposure!H$5)+(exposure!H$6*(1-Labor_ratio!H4))))*G4</f>
        <v>1976887007.3771617</v>
      </c>
      <c r="I4" s="4">
        <f>(1-exposure!I$7+((Labor_ratio!I4*exposure!I$5)+(exposure!I$6*(1-Labor_ratio!I4))))*H4</f>
        <v>2004779975.8117476</v>
      </c>
      <c r="J4" s="4">
        <f>(1-exposure!J$7+((Labor_ratio!J4*exposure!J$5)+(exposure!J$6*(1-Labor_ratio!J4))))*I4</f>
        <v>2030745879.2922003</v>
      </c>
      <c r="K4" s="4">
        <f>(1-exposure!K$7+((Labor_ratio!K4*exposure!K$5)+(exposure!K$6*(1-Labor_ratio!K4))))*J4</f>
        <v>2055365067.2843122</v>
      </c>
      <c r="L4" s="4">
        <f>(1-exposure!L$7+((Labor_ratio!L4*exposure!L$5)+(exposure!L$6*(1-Labor_ratio!L4))))*K4</f>
        <v>2078919975.6315229</v>
      </c>
      <c r="M4" s="4">
        <f>(1-exposure!M$7+((Labor_ratio!M4*exposure!M$5)+(exposure!M$6*(1-Labor_ratio!M4))))*L4</f>
        <v>2100819674.2685034</v>
      </c>
    </row>
    <row r="5" spans="1:13" x14ac:dyDescent="0.2">
      <c r="A5" t="str">
        <f>raw!A5</f>
        <v>Carolina Power &amp; Light Co.</v>
      </c>
      <c r="B5" s="4">
        <f>VLOOKUP(A5,raw!$A$4:$AU$24,$C$2,FALSE)*VLOOKUP($A5,rawcalc!$A$4:$C$24,'A&amp;GO&amp;M'!$B$2,FALSE)</f>
        <v>1577207801.4598396</v>
      </c>
      <c r="C5" s="16">
        <f t="shared" ref="C5:C24" si="0">B5</f>
        <v>1577207801.4598396</v>
      </c>
      <c r="D5" s="4">
        <f>(1-exposure!D$7+((Labor_ratio!D5*exposure!D$5)+(exposure!D$6*(1-Labor_ratio!D5))))*C5</f>
        <v>1611453454.7637033</v>
      </c>
      <c r="E5" s="4">
        <f>(1-exposure!E$7+((Labor_ratio!E5*exposure!E$5)+(exposure!E$6*(1-Labor_ratio!E5))))*D5</f>
        <v>1642533822.873554</v>
      </c>
      <c r="F5" s="4">
        <f>(1-exposure!F$7+((Labor_ratio!F5*exposure!F$5)+(exposure!F$6*(1-Labor_ratio!F5))))*E5</f>
        <v>1671400253.1672227</v>
      </c>
      <c r="G5" s="4">
        <f>(1-exposure!G$7+((Labor_ratio!G5*exposure!G$5)+(exposure!G$6*(1-Labor_ratio!G5))))*F5</f>
        <v>1698508571.6672325</v>
      </c>
      <c r="H5" s="4">
        <f>(1-exposure!H$7+((Labor_ratio!H5*exposure!H$5)+(exposure!H$6*(1-Labor_ratio!H5))))*G5</f>
        <v>1724238698.1570752</v>
      </c>
      <c r="I5" s="4">
        <f>(1-exposure!I$7+((Labor_ratio!I5*exposure!I$5)+(exposure!I$6*(1-Labor_ratio!I5))))*H5</f>
        <v>1748118841.784838</v>
      </c>
      <c r="J5" s="4">
        <f>(1-exposure!J$7+((Labor_ratio!J5*exposure!J$5)+(exposure!J$6*(1-Labor_ratio!J5))))*I5</f>
        <v>1770209537.2884607</v>
      </c>
      <c r="K5" s="4">
        <f>(1-exposure!K$7+((Labor_ratio!K5*exposure!K$5)+(exposure!K$6*(1-Labor_ratio!K5))))*J5</f>
        <v>1791063350.6087003</v>
      </c>
      <c r="L5" s="4">
        <f>(1-exposure!L$7+((Labor_ratio!L5*exposure!L$5)+(exposure!L$6*(1-Labor_ratio!L5))))*K5</f>
        <v>1810935711.9784141</v>
      </c>
      <c r="M5" s="4">
        <f>(1-exposure!M$7+((Labor_ratio!M5*exposure!M$5)+(exposure!M$6*(1-Labor_ratio!M5))))*L5</f>
        <v>1829271469.4182522</v>
      </c>
    </row>
    <row r="6" spans="1:13" x14ac:dyDescent="0.2">
      <c r="A6" t="str">
        <f>raw!A6</f>
        <v>Central Hudson Gas &amp; Electric Corp.</v>
      </c>
      <c r="B6" s="4">
        <f>VLOOKUP(A6,raw!$A$4:$AU$24,$C$2,FALSE)*VLOOKUP($A6,rawcalc!$A$4:$C$24,'A&amp;GO&amp;M'!$B$2,FALSE)</f>
        <v>467390263.79596233</v>
      </c>
      <c r="C6" s="16">
        <f t="shared" si="0"/>
        <v>467390263.79596233</v>
      </c>
      <c r="D6" s="4">
        <f>(1-exposure!D$7+((Labor_ratio!D6*exposure!D$5)+(exposure!D$6*(1-Labor_ratio!D6))))*C6</f>
        <v>477489307.24467236</v>
      </c>
      <c r="E6" s="4">
        <f>(1-exposure!E$7+((Labor_ratio!E6*exposure!E$5)+(exposure!E$6*(1-Labor_ratio!E6))))*D6</f>
        <v>486749112.29255271</v>
      </c>
      <c r="F6" s="4">
        <f>(1-exposure!F$7+((Labor_ratio!F6*exposure!F$5)+(exposure!F$6*(1-Labor_ratio!F6))))*E6</f>
        <v>495406136.20148069</v>
      </c>
      <c r="G6" s="4">
        <f>(1-exposure!G$7+((Labor_ratio!G6*exposure!G$5)+(exposure!G$6*(1-Labor_ratio!G6))))*F6</f>
        <v>503608391.14102238</v>
      </c>
      <c r="H6" s="4">
        <f>(1-exposure!H$7+((Labor_ratio!H6*exposure!H$5)+(exposure!H$6*(1-Labor_ratio!H6))))*G6</f>
        <v>511449968.91215062</v>
      </c>
      <c r="I6" s="4">
        <f>(1-exposure!I$7+((Labor_ratio!I6*exposure!I$5)+(exposure!I$6*(1-Labor_ratio!I6))))*H6</f>
        <v>518787062.34995705</v>
      </c>
      <c r="J6" s="4">
        <f>(1-exposure!J$7+((Labor_ratio!J6*exposure!J$5)+(exposure!J$6*(1-Labor_ratio!J6))))*I6</f>
        <v>525654956.40871948</v>
      </c>
      <c r="K6" s="4">
        <f>(1-exposure!K$7+((Labor_ratio!K6*exposure!K$5)+(exposure!K$6*(1-Labor_ratio!K6))))*J6</f>
        <v>532191326.55767959</v>
      </c>
      <c r="L6" s="4">
        <f>(1-exposure!L$7+((Labor_ratio!L6*exposure!L$5)+(exposure!L$6*(1-Labor_ratio!L6))))*K6</f>
        <v>538466817.34544945</v>
      </c>
      <c r="M6" s="4">
        <f>(1-exposure!M$7+((Labor_ratio!M6*exposure!M$5)+(exposure!M$6*(1-Labor_ratio!M6))))*L6</f>
        <v>544339310.3252219</v>
      </c>
    </row>
    <row r="7" spans="1:13" x14ac:dyDescent="0.2">
      <c r="A7" t="str">
        <f>raw!A7</f>
        <v>Commonwealth Edison Co.</v>
      </c>
      <c r="B7" s="4">
        <f>VLOOKUP(A7,raw!$A$4:$AU$24,$C$2,FALSE)*VLOOKUP($A7,rawcalc!$A$4:$C$24,'A&amp;GO&amp;M'!$B$2,FALSE)</f>
        <v>4546910768.9498463</v>
      </c>
      <c r="C7" s="16">
        <f t="shared" si="0"/>
        <v>4546910768.9498463</v>
      </c>
      <c r="D7" s="4">
        <f>(1-exposure!D$7+((Labor_ratio!D7*exposure!D$5)+(exposure!D$6*(1-Labor_ratio!D7))))*C7</f>
        <v>4645463951.8517876</v>
      </c>
      <c r="E7" s="4">
        <f>(1-exposure!E$7+((Labor_ratio!E7*exposure!E$5)+(exposure!E$6*(1-Labor_ratio!E7))))*D7</f>
        <v>4735238674.752326</v>
      </c>
      <c r="F7" s="4">
        <f>(1-exposure!F$7+((Labor_ratio!F7*exposure!F$5)+(exposure!F$6*(1-Labor_ratio!F7))))*E7</f>
        <v>4818817945.1772585</v>
      </c>
      <c r="G7" s="4">
        <f>(1-exposure!G$7+((Labor_ratio!G7*exposure!G$5)+(exposure!G$6*(1-Labor_ratio!G7))))*F7</f>
        <v>4897561188.0808525</v>
      </c>
      <c r="H7" s="4">
        <f>(1-exposure!H$7+((Labor_ratio!H7*exposure!H$5)+(exposure!H$6*(1-Labor_ratio!H7))))*G7</f>
        <v>4972498648.1120014</v>
      </c>
      <c r="I7" s="4">
        <f>(1-exposure!I$7+((Labor_ratio!I7*exposure!I$5)+(exposure!I$6*(1-Labor_ratio!I7))))*H7</f>
        <v>5042256068.0036879</v>
      </c>
      <c r="J7" s="4">
        <f>(1-exposure!J$7+((Labor_ratio!J7*exposure!J$5)+(exposure!J$6*(1-Labor_ratio!J7))))*I7</f>
        <v>5107068667.8409977</v>
      </c>
      <c r="K7" s="4">
        <f>(1-exposure!K$7+((Labor_ratio!K7*exposure!K$5)+(exposure!K$6*(1-Labor_ratio!K7))))*J7</f>
        <v>5168437813.8921108</v>
      </c>
      <c r="L7" s="4">
        <f>(1-exposure!L$7+((Labor_ratio!L7*exposure!L$5)+(exposure!L$6*(1-Labor_ratio!L7))))*K7</f>
        <v>5227082053.4060078</v>
      </c>
      <c r="M7" s="4">
        <f>(1-exposure!M$7+((Labor_ratio!M7*exposure!M$5)+(exposure!M$6*(1-Labor_ratio!M7))))*L7</f>
        <v>5281479268.0160427</v>
      </c>
    </row>
    <row r="8" spans="1:13" x14ac:dyDescent="0.2">
      <c r="A8" t="str">
        <f>raw!A8</f>
        <v>Consolidated Edison Co. of New York, Inc.</v>
      </c>
      <c r="B8" s="4">
        <f>VLOOKUP(A8,raw!$A$4:$AU$24,$C$2,FALSE)*VLOOKUP($A8,rawcalc!$A$4:$C$24,'A&amp;GO&amp;M'!$B$2,FALSE)</f>
        <v>6133457453.837182</v>
      </c>
      <c r="C8" s="16">
        <f t="shared" si="0"/>
        <v>6133457453.837182</v>
      </c>
      <c r="D8" s="4">
        <f>(1-exposure!D$7+((Labor_ratio!D8*exposure!D$5)+(exposure!D$6*(1-Labor_ratio!D8))))*C8</f>
        <v>6267171705.8846436</v>
      </c>
      <c r="E8" s="4">
        <f>(1-exposure!E$7+((Labor_ratio!E8*exposure!E$5)+(exposure!E$6*(1-Labor_ratio!E8))))*D8</f>
        <v>6387496416.7056618</v>
      </c>
      <c r="F8" s="4">
        <f>(1-exposure!F$7+((Labor_ratio!F8*exposure!F$5)+(exposure!F$6*(1-Labor_ratio!F8))))*E8</f>
        <v>6498628691.0405531</v>
      </c>
      <c r="G8" s="4">
        <f>(1-exposure!G$7+((Labor_ratio!G8*exposure!G$5)+(exposure!G$6*(1-Labor_ratio!G8))))*F8</f>
        <v>6602200288.1496401</v>
      </c>
      <c r="H8" s="4">
        <f>(1-exposure!H$7+((Labor_ratio!H8*exposure!H$5)+(exposure!H$6*(1-Labor_ratio!H8))))*G8</f>
        <v>6699891842.5405741</v>
      </c>
      <c r="I8" s="4">
        <f>(1-exposure!I$7+((Labor_ratio!I8*exposure!I$5)+(exposure!I$6*(1-Labor_ratio!I8))))*H8</f>
        <v>6789913337.0195999</v>
      </c>
      <c r="J8" s="4">
        <f>(1-exposure!J$7+((Labor_ratio!J8*exposure!J$5)+(exposure!J$6*(1-Labor_ratio!J8))))*I8</f>
        <v>6872312094.6366034</v>
      </c>
      <c r="K8" s="4">
        <f>(1-exposure!K$7+((Labor_ratio!K8*exposure!K$5)+(exposure!K$6*(1-Labor_ratio!K8))))*J8</f>
        <v>6949522984.951622</v>
      </c>
      <c r="L8" s="4">
        <f>(1-exposure!L$7+((Labor_ratio!L8*exposure!L$5)+(exposure!L$6*(1-Labor_ratio!L8))))*K8</f>
        <v>7022595476.7682199</v>
      </c>
      <c r="M8" s="4">
        <f>(1-exposure!M$7+((Labor_ratio!M8*exposure!M$5)+(exposure!M$6*(1-Labor_ratio!M8))))*L8</f>
        <v>7089128338.6843138</v>
      </c>
    </row>
    <row r="9" spans="1:13" x14ac:dyDescent="0.2">
      <c r="A9" t="str">
        <f>raw!A9</f>
        <v>Consumers Energy Co.</v>
      </c>
      <c r="B9" s="4">
        <f>VLOOKUP(A9,raw!$A$4:$AU$24,$C$2,FALSE)*VLOOKUP($A9,rawcalc!$A$4:$C$24,'A&amp;GO&amp;M'!$B$2,FALSE)</f>
        <v>1650911116.6824112</v>
      </c>
      <c r="C9" s="16">
        <f t="shared" si="0"/>
        <v>1650911116.6824112</v>
      </c>
      <c r="D9" s="4">
        <f>(1-exposure!D$7+((Labor_ratio!D9*exposure!D$5)+(exposure!D$6*(1-Labor_ratio!D9))))*C9</f>
        <v>1686778980.9714713</v>
      </c>
      <c r="E9" s="4">
        <f>(1-exposure!E$7+((Labor_ratio!E9*exposure!E$5)+(exposure!E$6*(1-Labor_ratio!E9))))*D9</f>
        <v>1719289786.0029905</v>
      </c>
      <c r="F9" s="4">
        <f>(1-exposure!F$7+((Labor_ratio!F9*exposure!F$5)+(exposure!F$6*(1-Labor_ratio!F9))))*E9</f>
        <v>1749459530.4017129</v>
      </c>
      <c r="G9" s="4">
        <f>(1-exposure!G$7+((Labor_ratio!G9*exposure!G$5)+(exposure!G$6*(1-Labor_ratio!G9))))*F9</f>
        <v>1777759613.0029957</v>
      </c>
      <c r="H9" s="4">
        <f>(1-exposure!H$7+((Labor_ratio!H9*exposure!H$5)+(exposure!H$6*(1-Labor_ratio!H9))))*G9</f>
        <v>1804595942.5949461</v>
      </c>
      <c r="I9" s="4">
        <f>(1-exposure!I$7+((Labor_ratio!I9*exposure!I$5)+(exposure!I$6*(1-Labor_ratio!I9))))*H9</f>
        <v>1829476480.3994403</v>
      </c>
      <c r="J9" s="4">
        <f>(1-exposure!J$7+((Labor_ratio!J9*exposure!J$5)+(exposure!J$6*(1-Labor_ratio!J9))))*I9</f>
        <v>1852456928.2341561</v>
      </c>
      <c r="K9" s="4">
        <f>(1-exposure!K$7+((Labor_ratio!K9*exposure!K$5)+(exposure!K$6*(1-Labor_ratio!K9))))*J9</f>
        <v>1874127273.0688519</v>
      </c>
      <c r="L9" s="4">
        <f>(1-exposure!L$7+((Labor_ratio!L9*exposure!L$5)+(exposure!L$6*(1-Labor_ratio!L9))))*K9</f>
        <v>1894757146.7735298</v>
      </c>
      <c r="M9" s="4">
        <f>(1-exposure!M$7+((Labor_ratio!M9*exposure!M$5)+(exposure!M$6*(1-Labor_ratio!M9))))*L9</f>
        <v>1913755575.0944231</v>
      </c>
    </row>
    <row r="10" spans="1:13" x14ac:dyDescent="0.2">
      <c r="A10" t="str">
        <f>raw!A10</f>
        <v>Duke Energy Corp.</v>
      </c>
      <c r="B10" s="4">
        <f>VLOOKUP(A10,raw!$A$4:$AU$24,$C$2,FALSE)*VLOOKUP($A10,rawcalc!$A$4:$C$24,'A&amp;GO&amp;M'!$B$2,FALSE)</f>
        <v>2882390830.8704934</v>
      </c>
      <c r="C10" s="16">
        <f t="shared" si="0"/>
        <v>2882390830.8704934</v>
      </c>
      <c r="D10" s="4">
        <f>(1-exposure!D$7+((Labor_ratio!D10*exposure!D$5)+(exposure!D$6*(1-Labor_ratio!D10))))*C10</f>
        <v>2944680480.5270433</v>
      </c>
      <c r="E10" s="4">
        <f>(1-exposure!E$7+((Labor_ratio!E10*exposure!E$5)+(exposure!E$6*(1-Labor_ratio!E10))))*D10</f>
        <v>3001776625.6605887</v>
      </c>
      <c r="F10" s="4">
        <f>(1-exposure!F$7+((Labor_ratio!F10*exposure!F$5)+(exposure!F$6*(1-Labor_ratio!F10))))*E10</f>
        <v>3055145748.3981724</v>
      </c>
      <c r="G10" s="4">
        <f>(1-exposure!G$7+((Labor_ratio!G10*exposure!G$5)+(exposure!G$6*(1-Labor_ratio!G10))))*F10</f>
        <v>3105698285.0359621</v>
      </c>
      <c r="H10" s="4">
        <f>(1-exposure!H$7+((Labor_ratio!H10*exposure!H$5)+(exposure!H$6*(1-Labor_ratio!H10))))*G10</f>
        <v>3154017848.2947879</v>
      </c>
      <c r="I10" s="4">
        <f>(1-exposure!I$7+((Labor_ratio!I10*exposure!I$5)+(exposure!I$6*(1-Labor_ratio!I10))))*H10</f>
        <v>3199218297.9271574</v>
      </c>
      <c r="J10" s="4">
        <f>(1-exposure!J$7+((Labor_ratio!J10*exposure!J$5)+(exposure!J$6*(1-Labor_ratio!J10))))*I10</f>
        <v>3241514072.120306</v>
      </c>
      <c r="K10" s="4">
        <f>(1-exposure!K$7+((Labor_ratio!K10*exposure!K$5)+(exposure!K$6*(1-Labor_ratio!K10))))*J10</f>
        <v>3281758939.8463774</v>
      </c>
      <c r="L10" s="4">
        <f>(1-exposure!L$7+((Labor_ratio!L10*exposure!L$5)+(exposure!L$6*(1-Labor_ratio!L10))))*K10</f>
        <v>3320389473.9762249</v>
      </c>
      <c r="M10" s="4">
        <f>(1-exposure!M$7+((Labor_ratio!M10*exposure!M$5)+(exposure!M$6*(1-Labor_ratio!M10))))*L10</f>
        <v>3356525142.4986029</v>
      </c>
    </row>
    <row r="11" spans="1:13" x14ac:dyDescent="0.2">
      <c r="A11" t="str">
        <f>raw!A11</f>
        <v>Entergy Mississippi, Inc.</v>
      </c>
      <c r="B11" s="4">
        <f>VLOOKUP(A11,raw!$A$4:$AU$24,$C$2,FALSE)*VLOOKUP($A11,rawcalc!$A$4:$C$24,'A&amp;GO&amp;M'!$B$2,FALSE)</f>
        <v>631118280.79340219</v>
      </c>
      <c r="C11" s="16">
        <f t="shared" si="0"/>
        <v>631118280.79340219</v>
      </c>
      <c r="D11" s="4">
        <f>(1-exposure!D$7+((Labor_ratio!D11*exposure!D$5)+(exposure!D$6*(1-Labor_ratio!D11))))*C11</f>
        <v>644825817.12907171</v>
      </c>
      <c r="E11" s="4">
        <f>(1-exposure!E$7+((Labor_ratio!E11*exposure!E$5)+(exposure!E$6*(1-Labor_ratio!E11))))*D11</f>
        <v>657258419.26743329</v>
      </c>
      <c r="F11" s="4">
        <f>(1-exposure!F$7+((Labor_ratio!F11*exposure!F$5)+(exposure!F$6*(1-Labor_ratio!F11))))*E11</f>
        <v>668800611.77480996</v>
      </c>
      <c r="G11" s="4">
        <f>(1-exposure!G$7+((Labor_ratio!G11*exposure!G$5)+(exposure!G$6*(1-Labor_ratio!G11))))*F11</f>
        <v>679633702.58964241</v>
      </c>
      <c r="H11" s="4">
        <f>(1-exposure!H$7+((Labor_ratio!H11*exposure!H$5)+(exposure!H$6*(1-Labor_ratio!H11))))*G11</f>
        <v>689911283.52380788</v>
      </c>
      <c r="I11" s="4">
        <f>(1-exposure!I$7+((Labor_ratio!I11*exposure!I$5)+(exposure!I$6*(1-Labor_ratio!I11))))*H11</f>
        <v>699444910.05119085</v>
      </c>
      <c r="J11" s="4">
        <f>(1-exposure!J$7+((Labor_ratio!J11*exposure!J$5)+(exposure!J$6*(1-Labor_ratio!J11))))*I11</f>
        <v>708257346.32496059</v>
      </c>
      <c r="K11" s="4">
        <f>(1-exposure!K$7+((Labor_ratio!K11*exposure!K$5)+(exposure!K$6*(1-Labor_ratio!K11))))*J11</f>
        <v>716571908.719087</v>
      </c>
      <c r="L11" s="4">
        <f>(1-exposure!L$7+((Labor_ratio!L11*exposure!L$5)+(exposure!L$6*(1-Labor_ratio!L11))))*K11</f>
        <v>724491238.34780443</v>
      </c>
      <c r="M11" s="4">
        <f>(1-exposure!M$7+((Labor_ratio!M11*exposure!M$5)+(exposure!M$6*(1-Labor_ratio!M11))))*L11</f>
        <v>731791310.41964841</v>
      </c>
    </row>
    <row r="12" spans="1:13" x14ac:dyDescent="0.2">
      <c r="A12" t="str">
        <f>raw!A12</f>
        <v>Florida Power &amp; Light Co.</v>
      </c>
      <c r="B12" s="4">
        <f>VLOOKUP(A12,raw!$A$4:$AU$24,$C$2,FALSE)*VLOOKUP($A12,rawcalc!$A$4:$C$24,'A&amp;GO&amp;M'!$B$2,FALSE)</f>
        <v>4464878526.1404762</v>
      </c>
      <c r="C12" s="16">
        <f t="shared" si="0"/>
        <v>4464878526.1404762</v>
      </c>
      <c r="D12" s="4">
        <f>(1-exposure!D$7+((Labor_ratio!D12*exposure!D$5)+(exposure!D$6*(1-Labor_ratio!D12))))*C12</f>
        <v>4561487773.4930325</v>
      </c>
      <c r="E12" s="4">
        <f>(1-exposure!E$7+((Labor_ratio!E12*exposure!E$5)+(exposure!E$6*(1-Labor_ratio!E12))))*D12</f>
        <v>4649809132.7815695</v>
      </c>
      <c r="F12" s="4">
        <f>(1-exposure!F$7+((Labor_ratio!F12*exposure!F$5)+(exposure!F$6*(1-Labor_ratio!F12))))*E12</f>
        <v>4732226086.8705883</v>
      </c>
      <c r="G12" s="4">
        <f>(1-exposure!G$7+((Labor_ratio!G12*exposure!G$5)+(exposure!G$6*(1-Labor_ratio!G12))))*F12</f>
        <v>4810117041.9108</v>
      </c>
      <c r="H12" s="4">
        <f>(1-exposure!H$7+((Labor_ratio!H12*exposure!H$5)+(exposure!H$6*(1-Labor_ratio!H12))))*G12</f>
        <v>4884431461.6901627</v>
      </c>
      <c r="I12" s="4">
        <f>(1-exposure!I$7+((Labor_ratio!I12*exposure!I$5)+(exposure!I$6*(1-Labor_ratio!I12))))*H12</f>
        <v>4953806451.7724924</v>
      </c>
      <c r="J12" s="4">
        <f>(1-exposure!J$7+((Labor_ratio!J12*exposure!J$5)+(exposure!J$6*(1-Labor_ratio!J12))))*I12</f>
        <v>5018531353.7940102</v>
      </c>
      <c r="K12" s="4">
        <f>(1-exposure!K$7+((Labor_ratio!K12*exposure!K$5)+(exposure!K$6*(1-Labor_ratio!K12))))*J12</f>
        <v>5079992762.5156479</v>
      </c>
      <c r="L12" s="4">
        <f>(1-exposure!L$7+((Labor_ratio!L12*exposure!L$5)+(exposure!L$6*(1-Labor_ratio!L12))))*K12</f>
        <v>5138879287.731225</v>
      </c>
      <c r="M12" s="4">
        <f>(1-exposure!M$7+((Labor_ratio!M12*exposure!M$5)+(exposure!M$6*(1-Labor_ratio!M12))))*L12</f>
        <v>5193771633.1721401</v>
      </c>
    </row>
    <row r="13" spans="1:13" x14ac:dyDescent="0.2">
      <c r="A13" t="str">
        <f>raw!A13</f>
        <v>Gulf Power Co.</v>
      </c>
      <c r="B13" s="4">
        <f>VLOOKUP(A13,raw!$A$4:$AU$24,$C$2,FALSE)*VLOOKUP($A13,rawcalc!$A$4:$C$24,'A&amp;GO&amp;M'!$B$2,FALSE)</f>
        <v>435640790.78208315</v>
      </c>
      <c r="C13" s="16">
        <f t="shared" si="0"/>
        <v>435640790.78208315</v>
      </c>
      <c r="D13" s="4">
        <f>(1-exposure!D$7+((Labor_ratio!D13*exposure!D$5)+(exposure!D$6*(1-Labor_ratio!D13))))*C13</f>
        <v>445083925.49935681</v>
      </c>
      <c r="E13" s="4">
        <f>(1-exposure!E$7+((Labor_ratio!E13*exposure!E$5)+(exposure!E$6*(1-Labor_ratio!E13))))*D13</f>
        <v>453684538.33066779</v>
      </c>
      <c r="F13" s="4">
        <f>(1-exposure!F$7+((Labor_ratio!F13*exposure!F$5)+(exposure!F$6*(1-Labor_ratio!F13))))*E13</f>
        <v>461690777.87086272</v>
      </c>
      <c r="G13" s="4">
        <f>(1-exposure!G$7+((Labor_ratio!G13*exposure!G$5)+(exposure!G$6*(1-Labor_ratio!G13))))*F13</f>
        <v>469232700.58708632</v>
      </c>
      <c r="H13" s="4">
        <f>(1-exposure!H$7+((Labor_ratio!H13*exposure!H$5)+(exposure!H$6*(1-Labor_ratio!H13))))*G13</f>
        <v>476409287.18899173</v>
      </c>
      <c r="I13" s="4">
        <f>(1-exposure!I$7+((Labor_ratio!I13*exposure!I$5)+(exposure!I$6*(1-Labor_ratio!I13))))*H13</f>
        <v>483088928.79862213</v>
      </c>
      <c r="J13" s="4">
        <f>(1-exposure!J$7+((Labor_ratio!J13*exposure!J$5)+(exposure!J$6*(1-Labor_ratio!J13))))*I13</f>
        <v>489293906.70022166</v>
      </c>
      <c r="K13" s="4">
        <f>(1-exposure!K$7+((Labor_ratio!K13*exposure!K$5)+(exposure!K$6*(1-Labor_ratio!K13))))*J13</f>
        <v>495168451.54725754</v>
      </c>
      <c r="L13" s="4">
        <f>(1-exposure!L$7+((Labor_ratio!L13*exposure!L$5)+(exposure!L$6*(1-Labor_ratio!L13))))*K13</f>
        <v>500781482.15407586</v>
      </c>
      <c r="M13" s="4">
        <f>(1-exposure!M$7+((Labor_ratio!M13*exposure!M$5)+(exposure!M$6*(1-Labor_ratio!M13))))*L13</f>
        <v>505986834.5304997</v>
      </c>
    </row>
    <row r="14" spans="1:13" x14ac:dyDescent="0.2">
      <c r="A14" t="str">
        <f>raw!A14</f>
        <v>Illinois Power Co.</v>
      </c>
      <c r="B14" s="4">
        <f>VLOOKUP(A14,raw!$A$4:$AU$24,$C$2,FALSE)*VLOOKUP($A14,rawcalc!$A$4:$C$24,'A&amp;GO&amp;M'!$B$2,FALSE)</f>
        <v>785642894.25330234</v>
      </c>
      <c r="C14" s="16">
        <f t="shared" si="0"/>
        <v>785642894.25330234</v>
      </c>
      <c r="D14" s="4">
        <f>(1-exposure!D$7+((Labor_ratio!D14*exposure!D$5)+(exposure!D$6*(1-Labor_ratio!D14))))*C14</f>
        <v>802698973.47251749</v>
      </c>
      <c r="E14" s="4">
        <f>(1-exposure!E$7+((Labor_ratio!E14*exposure!E$5)+(exposure!E$6*(1-Labor_ratio!E14))))*D14</f>
        <v>818183269.6359663</v>
      </c>
      <c r="F14" s="4">
        <f>(1-exposure!F$7+((Labor_ratio!F14*exposure!F$5)+(exposure!F$6*(1-Labor_ratio!F14))))*E14</f>
        <v>832567406.43442583</v>
      </c>
      <c r="G14" s="4">
        <f>(1-exposure!G$7+((Labor_ratio!G14*exposure!G$5)+(exposure!G$6*(1-Labor_ratio!G14))))*F14</f>
        <v>846079083.53420031</v>
      </c>
      <c r="H14" s="4">
        <f>(1-exposure!H$7+((Labor_ratio!H14*exposure!H$5)+(exposure!H$6*(1-Labor_ratio!H14))))*G14</f>
        <v>858906624.66160536</v>
      </c>
      <c r="I14" s="4">
        <f>(1-exposure!I$7+((Labor_ratio!I14*exposure!I$5)+(exposure!I$6*(1-Labor_ratio!I14))))*H14</f>
        <v>870814818.80663836</v>
      </c>
      <c r="J14" s="4">
        <f>(1-exposure!J$7+((Labor_ratio!J14*exposure!J$5)+(exposure!J$6*(1-Labor_ratio!J14))))*I14</f>
        <v>881834679.29418135</v>
      </c>
      <c r="K14" s="4">
        <f>(1-exposure!K$7+((Labor_ratio!K14*exposure!K$5)+(exposure!K$6*(1-Labor_ratio!K14))))*J14</f>
        <v>892240151.62203765</v>
      </c>
      <c r="L14" s="4">
        <f>(1-exposure!L$7+((Labor_ratio!L14*exposure!L$5)+(exposure!L$6*(1-Labor_ratio!L14))))*K14</f>
        <v>902158217.75339615</v>
      </c>
      <c r="M14" s="4">
        <f>(1-exposure!M$7+((Labor_ratio!M14*exposure!M$5)+(exposure!M$6*(1-Labor_ratio!M14))))*L14</f>
        <v>911313452.5797739</v>
      </c>
    </row>
    <row r="15" spans="1:13" x14ac:dyDescent="0.2">
      <c r="A15" t="str">
        <f>raw!A15</f>
        <v>Jersey Central Power &amp; Light Co.</v>
      </c>
      <c r="B15" s="4">
        <f>VLOOKUP(A15,raw!$A$4:$AU$24,$C$2,FALSE)*VLOOKUP($A15,rawcalc!$A$4:$C$24,'A&amp;GO&amp;M'!$B$2,FALSE)</f>
        <v>1558014612.9014101</v>
      </c>
      <c r="C15" s="16">
        <f t="shared" si="0"/>
        <v>1558014612.9014101</v>
      </c>
      <c r="D15" s="4">
        <f>(1-exposure!D$7+((Labor_ratio!D15*exposure!D$5)+(exposure!D$6*(1-Labor_ratio!D15))))*C15</f>
        <v>1591875883.662118</v>
      </c>
      <c r="E15" s="4">
        <f>(1-exposure!E$7+((Labor_ratio!E15*exposure!E$5)+(exposure!E$6*(1-Labor_ratio!E15))))*D15</f>
        <v>1622545596.7223814</v>
      </c>
      <c r="F15" s="4">
        <f>(1-exposure!F$7+((Labor_ratio!F15*exposure!F$5)+(exposure!F$6*(1-Labor_ratio!F15))))*E15</f>
        <v>1650993355.0591085</v>
      </c>
      <c r="G15" s="4">
        <f>(1-exposure!G$7+((Labor_ratio!G15*exposure!G$5)+(exposure!G$6*(1-Labor_ratio!G15))))*F15</f>
        <v>1677660977.3891351</v>
      </c>
      <c r="H15" s="4">
        <f>(1-exposure!H$7+((Labor_ratio!H15*exposure!H$5)+(exposure!H$6*(1-Labor_ratio!H15))))*G15</f>
        <v>1702935927.7887874</v>
      </c>
      <c r="I15" s="4">
        <f>(1-exposure!I$7+((Labor_ratio!I15*exposure!I$5)+(exposure!I$6*(1-Labor_ratio!I15))))*H15</f>
        <v>1726354816.4544079</v>
      </c>
      <c r="J15" s="4">
        <f>(1-exposure!J$7+((Labor_ratio!J15*exposure!J$5)+(exposure!J$6*(1-Labor_ratio!J15))))*I15</f>
        <v>1747966127.0982854</v>
      </c>
      <c r="K15" s="4">
        <f>(1-exposure!K$7+((Labor_ratio!K15*exposure!K$5)+(exposure!K$6*(1-Labor_ratio!K15))))*J15</f>
        <v>1768332838.6665134</v>
      </c>
      <c r="L15" s="4">
        <f>(1-exposure!L$7+((Labor_ratio!L15*exposure!L$5)+(exposure!L$6*(1-Labor_ratio!L15))))*K15</f>
        <v>1787710621.5789301</v>
      </c>
      <c r="M15" s="4">
        <f>(1-exposure!M$7+((Labor_ratio!M15*exposure!M$5)+(exposure!M$6*(1-Labor_ratio!M15))))*L15</f>
        <v>1805536490.659059</v>
      </c>
    </row>
    <row r="16" spans="1:13" x14ac:dyDescent="0.2">
      <c r="A16" t="str">
        <f>raw!A16</f>
        <v>Kentucky Utilities Co.</v>
      </c>
      <c r="B16" s="4">
        <f>VLOOKUP(A16,raw!$A$4:$AU$24,$C$2,FALSE)*VLOOKUP($A16,rawcalc!$A$4:$C$24,'A&amp;GO&amp;M'!$B$2,FALSE)</f>
        <v>660344173.2303158</v>
      </c>
      <c r="C16" s="16">
        <f t="shared" si="0"/>
        <v>660344173.2303158</v>
      </c>
      <c r="D16" s="4">
        <f>(1-exposure!D$7+((Labor_ratio!D16*exposure!D$5)+(exposure!D$6*(1-Labor_ratio!D16))))*C16</f>
        <v>674654670.15704334</v>
      </c>
      <c r="E16" s="4">
        <f>(1-exposure!E$7+((Labor_ratio!E16*exposure!E$5)+(exposure!E$6*(1-Labor_ratio!E16))))*D16</f>
        <v>687694888.06281376</v>
      </c>
      <c r="F16" s="4">
        <f>(1-exposure!F$7+((Labor_ratio!F16*exposure!F$5)+(exposure!F$6*(1-Labor_ratio!F16))))*E16</f>
        <v>699837832.92491806</v>
      </c>
      <c r="G16" s="4">
        <f>(1-exposure!G$7+((Labor_ratio!G16*exposure!G$5)+(exposure!G$6*(1-Labor_ratio!G16))))*F16</f>
        <v>711281536.19029486</v>
      </c>
      <c r="H16" s="4">
        <f>(1-exposure!H$7+((Labor_ratio!H16*exposure!H$5)+(exposure!H$6*(1-Labor_ratio!H16))))*G16</f>
        <v>722174755.77442586</v>
      </c>
      <c r="I16" s="4">
        <f>(1-exposure!I$7+((Labor_ratio!I16*exposure!I$5)+(exposure!I$6*(1-Labor_ratio!I16))))*H16</f>
        <v>732317722.32025635</v>
      </c>
      <c r="J16" s="4">
        <f>(1-exposure!J$7+((Labor_ratio!J16*exposure!J$5)+(exposure!J$6*(1-Labor_ratio!J16))))*I16</f>
        <v>741745405.30120945</v>
      </c>
      <c r="K16" s="4">
        <f>(1-exposure!K$7+((Labor_ratio!K16*exposure!K$5)+(exposure!K$6*(1-Labor_ratio!K16))))*J16</f>
        <v>750674629.5620513</v>
      </c>
      <c r="L16" s="4">
        <f>(1-exposure!L$7+((Labor_ratio!L16*exposure!L$5)+(exposure!L$6*(1-Labor_ratio!L16))))*K16</f>
        <v>759209512.92435646</v>
      </c>
      <c r="M16" s="4">
        <f>(1-exposure!M$7+((Labor_ratio!M16*exposure!M$5)+(exposure!M$6*(1-Labor_ratio!M16))))*L16</f>
        <v>767130043.13319361</v>
      </c>
    </row>
    <row r="17" spans="1:13" x14ac:dyDescent="0.2">
      <c r="A17" t="str">
        <f>raw!A17</f>
        <v>Ohio Power Co.</v>
      </c>
      <c r="B17" s="4">
        <f>VLOOKUP(A17,raw!$A$4:$AU$24,$C$2,FALSE)*VLOOKUP($A17,rawcalc!$A$4:$C$24,'A&amp;GO&amp;M'!$B$2,FALSE)</f>
        <v>1262092532.960546</v>
      </c>
      <c r="C17" s="16">
        <f t="shared" si="0"/>
        <v>1262092532.960546</v>
      </c>
      <c r="D17" s="4">
        <f>(1-exposure!D$7+((Labor_ratio!D17*exposure!D$5)+(exposure!D$6*(1-Labor_ratio!D17))))*C17</f>
        <v>1289496812.354883</v>
      </c>
      <c r="E17" s="4">
        <f>(1-exposure!E$7+((Labor_ratio!E17*exposure!E$5)+(exposure!E$6*(1-Labor_ratio!E17))))*D17</f>
        <v>1314366863.0686934</v>
      </c>
      <c r="F17" s="4">
        <f>(1-exposure!F$7+((Labor_ratio!F17*exposure!F$5)+(exposure!F$6*(1-Labor_ratio!F17))))*E17</f>
        <v>1337464579.4125726</v>
      </c>
      <c r="G17" s="4">
        <f>(1-exposure!G$7+((Labor_ratio!G17*exposure!G$5)+(exposure!G$6*(1-Labor_ratio!G17))))*F17</f>
        <v>1359154540.7082546</v>
      </c>
      <c r="H17" s="4">
        <f>(1-exposure!H$7+((Labor_ratio!H17*exposure!H$5)+(exposure!H$6*(1-Labor_ratio!H17))))*G17</f>
        <v>1379741013.9798422</v>
      </c>
      <c r="I17" s="4">
        <f>(1-exposure!I$7+((Labor_ratio!I17*exposure!I$5)+(exposure!I$6*(1-Labor_ratio!I17))))*H17</f>
        <v>1398846524.0586505</v>
      </c>
      <c r="J17" s="4">
        <f>(1-exposure!J$7+((Labor_ratio!J17*exposure!J$5)+(exposure!J$6*(1-Labor_ratio!J17))))*I17</f>
        <v>1416519276.0459712</v>
      </c>
      <c r="K17" s="4">
        <f>(1-exposure!K$7+((Labor_ratio!K17*exposure!K$5)+(exposure!K$6*(1-Labor_ratio!K17))))*J17</f>
        <v>1433201792.8337941</v>
      </c>
      <c r="L17" s="4">
        <f>(1-exposure!L$7+((Labor_ratio!L17*exposure!L$5)+(exposure!L$6*(1-Labor_ratio!L17))))*K17</f>
        <v>1449098540.8813283</v>
      </c>
      <c r="M17" s="4">
        <f>(1-exposure!M$7+((Labor_ratio!M17*exposure!M$5)+(exposure!M$6*(1-Labor_ratio!M17))))*L17</f>
        <v>1463764980.4066091</v>
      </c>
    </row>
    <row r="18" spans="1:13" x14ac:dyDescent="0.2">
      <c r="A18" t="str">
        <f>raw!A18</f>
        <v>PPL Electric Utilities Corp.</v>
      </c>
      <c r="B18" s="4">
        <f>VLOOKUP(A18,raw!$A$4:$AU$24,$C$2,FALSE)*VLOOKUP($A18,rawcalc!$A$4:$C$24,'A&amp;GO&amp;M'!$B$2,FALSE)</f>
        <v>1875798358.7228639</v>
      </c>
      <c r="C18" s="16">
        <f t="shared" si="0"/>
        <v>1875798358.7228639</v>
      </c>
      <c r="D18" s="4">
        <f>(1-exposure!D$7+((Labor_ratio!D18*exposure!D$5)+(exposure!D$6*(1-Labor_ratio!D18))))*C18</f>
        <v>1916461911.5615931</v>
      </c>
      <c r="E18" s="4">
        <f>(1-exposure!E$7+((Labor_ratio!E18*exposure!E$5)+(exposure!E$6*(1-Labor_ratio!E18))))*D18</f>
        <v>1953491792.6847656</v>
      </c>
      <c r="F18" s="4">
        <f>(1-exposure!F$7+((Labor_ratio!F18*exposure!F$5)+(exposure!F$6*(1-Labor_ratio!F18))))*E18</f>
        <v>1987959210.1680574</v>
      </c>
      <c r="G18" s="4">
        <f>(1-exposure!G$7+((Labor_ratio!G18*exposure!G$5)+(exposure!G$6*(1-Labor_ratio!G18))))*F18</f>
        <v>2020423392.7569644</v>
      </c>
      <c r="H18" s="4">
        <f>(1-exposure!H$7+((Labor_ratio!H18*exposure!H$5)+(exposure!H$6*(1-Labor_ratio!H18))))*G18</f>
        <v>2051311642.7400465</v>
      </c>
      <c r="I18" s="4">
        <f>(1-exposure!I$7+((Labor_ratio!I18*exposure!I$5)+(exposure!I$6*(1-Labor_ratio!I18))))*H18</f>
        <v>2080057513.7792466</v>
      </c>
      <c r="J18" s="4">
        <f>(1-exposure!J$7+((Labor_ratio!J18*exposure!J$5)+(exposure!J$6*(1-Labor_ratio!J18))))*I18</f>
        <v>2106755909.1584532</v>
      </c>
      <c r="K18" s="4">
        <f>(1-exposure!K$7+((Labor_ratio!K18*exposure!K$5)+(exposure!K$6*(1-Labor_ratio!K18))))*J18</f>
        <v>2132029423.4729066</v>
      </c>
      <c r="L18" s="4">
        <f>(1-exposure!L$7+((Labor_ratio!L18*exposure!L$5)+(exposure!L$6*(1-Labor_ratio!L18))))*K18</f>
        <v>2156175112.9682784</v>
      </c>
      <c r="M18" s="4">
        <f>(1-exposure!M$7+((Labor_ratio!M18*exposure!M$5)+(exposure!M$6*(1-Labor_ratio!M18))))*L18</f>
        <v>2178562281.7995768</v>
      </c>
    </row>
    <row r="19" spans="1:13" x14ac:dyDescent="0.2">
      <c r="A19" t="str">
        <f>raw!A19</f>
        <v>Pacific Gas &amp; Electric Co.</v>
      </c>
      <c r="B19" s="4">
        <f>VLOOKUP(A19,raw!$A$4:$AU$24,$C$2,FALSE)*VLOOKUP($A19,rawcalc!$A$4:$C$24,'A&amp;GO&amp;M'!$B$2,FALSE)</f>
        <v>6994456703.0872135</v>
      </c>
      <c r="C19" s="16">
        <f t="shared" si="0"/>
        <v>6994456703.0872135</v>
      </c>
      <c r="D19" s="4">
        <f>(1-exposure!D$7+((Labor_ratio!D19*exposure!D$5)+(exposure!D$6*(1-Labor_ratio!D19))))*C19</f>
        <v>7146132816.5638371</v>
      </c>
      <c r="E19" s="4">
        <f>(1-exposure!E$7+((Labor_ratio!E19*exposure!E$5)+(exposure!E$6*(1-Labor_ratio!E19))))*D19</f>
        <v>7284159023.4239559</v>
      </c>
      <c r="F19" s="4">
        <f>(1-exposure!F$7+((Labor_ratio!F19*exposure!F$5)+(exposure!F$6*(1-Labor_ratio!F19))))*E19</f>
        <v>7412575997.9315662</v>
      </c>
      <c r="G19" s="4">
        <f>(1-exposure!G$7+((Labor_ratio!G19*exposure!G$5)+(exposure!G$6*(1-Labor_ratio!G19))))*F19</f>
        <v>7533455811.2410107</v>
      </c>
      <c r="H19" s="4">
        <f>(1-exposure!H$7+((Labor_ratio!H19*exposure!H$5)+(exposure!H$6*(1-Labor_ratio!H19))))*G19</f>
        <v>7648410660.5983162</v>
      </c>
      <c r="I19" s="4">
        <f>(1-exposure!I$7+((Labor_ratio!I19*exposure!I$5)+(exposure!I$6*(1-Labor_ratio!I19))))*H19</f>
        <v>7755332482.4566307</v>
      </c>
      <c r="J19" s="4">
        <f>(1-exposure!J$7+((Labor_ratio!J19*exposure!J$5)+(exposure!J$6*(1-Labor_ratio!J19))))*I19</f>
        <v>7854557497.5754671</v>
      </c>
      <c r="K19" s="4">
        <f>(1-exposure!K$7+((Labor_ratio!K19*exposure!K$5)+(exposure!K$6*(1-Labor_ratio!K19))))*J19</f>
        <v>7948433833.8702106</v>
      </c>
      <c r="L19" s="4">
        <f>(1-exposure!L$7+((Labor_ratio!L19*exposure!L$5)+(exposure!L$6*(1-Labor_ratio!L19))))*K19</f>
        <v>8038074319.8224783</v>
      </c>
      <c r="M19" s="4">
        <f>(1-exposure!M$7+((Labor_ratio!M19*exposure!M$5)+(exposure!M$6*(1-Labor_ratio!M19))))*L19</f>
        <v>8121104441.2765961</v>
      </c>
    </row>
    <row r="20" spans="1:13" x14ac:dyDescent="0.2">
      <c r="A20" t="str">
        <f>raw!A20</f>
        <v>Public Service Electric &amp; Gas Co.</v>
      </c>
      <c r="B20" s="4">
        <f>VLOOKUP(A20,raw!$A$4:$AU$24,$C$2,FALSE)*VLOOKUP($A20,rawcalc!$A$4:$C$24,'A&amp;GO&amp;M'!$B$2,FALSE)</f>
        <v>2409413774.8824406</v>
      </c>
      <c r="C20" s="16">
        <f t="shared" si="0"/>
        <v>2409413774.8824406</v>
      </c>
      <c r="D20" s="4">
        <f>(1-exposure!D$7+((Labor_ratio!D20*exposure!D$5)+(exposure!D$6*(1-Labor_ratio!D20))))*C20</f>
        <v>2461550929.7518382</v>
      </c>
      <c r="E20" s="4">
        <f>(1-exposure!E$7+((Labor_ratio!E20*exposure!E$5)+(exposure!E$6*(1-Labor_ratio!E20))))*D20</f>
        <v>2509209170.3496742</v>
      </c>
      <c r="F20" s="4">
        <f>(1-exposure!F$7+((Labor_ratio!F20*exposure!F$5)+(exposure!F$6*(1-Labor_ratio!F20))))*E20</f>
        <v>2553677687.2867336</v>
      </c>
      <c r="G20" s="4">
        <f>(1-exposure!G$7+((Labor_ratio!G20*exposure!G$5)+(exposure!G$6*(1-Labor_ratio!G20))))*F20</f>
        <v>2595699472.4462256</v>
      </c>
      <c r="H20" s="4">
        <f>(1-exposure!H$7+((Labor_ratio!H20*exposure!H$5)+(exposure!H$6*(1-Labor_ratio!H20))))*G20</f>
        <v>2635788100.649066</v>
      </c>
      <c r="I20" s="4">
        <f>(1-exposure!I$7+((Labor_ratio!I20*exposure!I$5)+(exposure!I$6*(1-Labor_ratio!I20))))*H20</f>
        <v>2673208363.8140459</v>
      </c>
      <c r="J20" s="4">
        <f>(1-exposure!J$7+((Labor_ratio!J20*exposure!J$5)+(exposure!J$6*(1-Labor_ratio!J20))))*I20</f>
        <v>2708115264.0444674</v>
      </c>
      <c r="K20" s="4">
        <f>(1-exposure!K$7+((Labor_ratio!K20*exposure!K$5)+(exposure!K$6*(1-Labor_ratio!K20))))*J20</f>
        <v>2741258764.2065835</v>
      </c>
      <c r="L20" s="4">
        <f>(1-exposure!L$7+((Labor_ratio!L20*exposure!L$5)+(exposure!L$6*(1-Labor_ratio!L20))))*K20</f>
        <v>2773010792.8579874</v>
      </c>
      <c r="M20" s="4">
        <f>(1-exposure!M$7+((Labor_ratio!M20*exposure!M$5)+(exposure!M$6*(1-Labor_ratio!M20))))*L20</f>
        <v>2802603976.0811391</v>
      </c>
    </row>
    <row r="21" spans="1:13" x14ac:dyDescent="0.2">
      <c r="A21" t="str">
        <f>raw!A21</f>
        <v>San Diego Gas &amp; Electric Co.</v>
      </c>
      <c r="B21" s="4">
        <f>VLOOKUP(A21,raw!$A$4:$AU$24,$C$2,FALSE)*VLOOKUP($A21,rawcalc!$A$4:$C$24,'A&amp;GO&amp;M'!$B$2,FALSE)</f>
        <v>1356417592.9093397</v>
      </c>
      <c r="C21" s="16">
        <f t="shared" si="0"/>
        <v>1356417592.9093397</v>
      </c>
      <c r="D21" s="4">
        <f>(1-exposure!D$7+((Labor_ratio!D21*exposure!D$5)+(exposure!D$6*(1-Labor_ratio!D21))))*C21</f>
        <v>1385959910.0734167</v>
      </c>
      <c r="E21" s="4">
        <f>(1-exposure!E$7+((Labor_ratio!E21*exposure!E$5)+(exposure!E$6*(1-Labor_ratio!E21))))*D21</f>
        <v>1412598527.5298083</v>
      </c>
      <c r="F21" s="4">
        <f>(1-exposure!F$7+((Labor_ratio!F21*exposure!F$5)+(exposure!F$6*(1-Labor_ratio!F21))))*E21</f>
        <v>1437235199.80914</v>
      </c>
      <c r="G21" s="4">
        <f>(1-exposure!G$7+((Labor_ratio!G21*exposure!G$5)+(exposure!G$6*(1-Labor_ratio!G21))))*F21</f>
        <v>1460238264.9019334</v>
      </c>
      <c r="H21" s="4">
        <f>(1-exposure!H$7+((Labor_ratio!H21*exposure!H$5)+(exposure!H$6*(1-Labor_ratio!H21))))*G21</f>
        <v>1481968582.5464473</v>
      </c>
      <c r="I21" s="4">
        <f>(1-exposure!I$7+((Labor_ratio!I21*exposure!I$5)+(exposure!I$6*(1-Labor_ratio!I21))))*H21</f>
        <v>1502027897.2375615</v>
      </c>
      <c r="J21" s="4">
        <f>(1-exposure!J$7+((Labor_ratio!J21*exposure!J$5)+(exposure!J$6*(1-Labor_ratio!J21))))*I21</f>
        <v>1520436637.9959469</v>
      </c>
      <c r="K21" s="4">
        <f>(1-exposure!K$7+((Labor_ratio!K21*exposure!K$5)+(exposure!K$6*(1-Labor_ratio!K21))))*J21</f>
        <v>1537718062.9826629</v>
      </c>
      <c r="L21" s="4">
        <f>(1-exposure!L$7+((Labor_ratio!L21*exposure!L$5)+(exposure!L$6*(1-Labor_ratio!L21))))*K21</f>
        <v>1554101262.6917729</v>
      </c>
      <c r="M21" s="4">
        <f>(1-exposure!M$7+((Labor_ratio!M21*exposure!M$5)+(exposure!M$6*(1-Labor_ratio!M21))))*L21</f>
        <v>1569068032.8698504</v>
      </c>
    </row>
    <row r="22" spans="1:13" x14ac:dyDescent="0.2">
      <c r="A22" t="str">
        <f>raw!A22</f>
        <v>Southern California Edison Co.</v>
      </c>
      <c r="B22" s="4">
        <f>VLOOKUP(A22,raw!$A$4:$AU$24,$C$2,FALSE)*VLOOKUP($A22,rawcalc!$A$4:$C$24,'A&amp;GO&amp;M'!$B$2,FALSE)</f>
        <v>5628851801.5054865</v>
      </c>
      <c r="C22" s="16">
        <f t="shared" si="0"/>
        <v>5628851801.5054865</v>
      </c>
      <c r="D22" s="4">
        <f>(1-exposure!D$7+((Labor_ratio!D22*exposure!D$5)+(exposure!D$6*(1-Labor_ratio!D22))))*C22</f>
        <v>5750969797.3074398</v>
      </c>
      <c r="E22" s="4">
        <f>(1-exposure!E$7+((Labor_ratio!E22*exposure!E$5)+(exposure!E$6*(1-Labor_ratio!E22))))*D22</f>
        <v>5861992212.0619345</v>
      </c>
      <c r="F22" s="4">
        <f>(1-exposure!F$7+((Labor_ratio!F22*exposure!F$5)+(exposure!F$6*(1-Labor_ratio!F22))))*E22</f>
        <v>5965221778.3434782</v>
      </c>
      <c r="G22" s="4">
        <f>(1-exposure!G$7+((Labor_ratio!G22*exposure!G$5)+(exposure!G$6*(1-Labor_ratio!G22))))*F22</f>
        <v>6062311538.2066555</v>
      </c>
      <c r="H22" s="4">
        <f>(1-exposure!H$7+((Labor_ratio!H22*exposure!H$5)+(exposure!H$6*(1-Labor_ratio!H22))))*G22</f>
        <v>6154579678.7052374</v>
      </c>
      <c r="I22" s="4">
        <f>(1-exposure!I$7+((Labor_ratio!I22*exposure!I$5)+(exposure!I$6*(1-Labor_ratio!I22))))*H22</f>
        <v>6240334227.0388613</v>
      </c>
      <c r="J22" s="4">
        <f>(1-exposure!J$7+((Labor_ratio!J22*exposure!J$5)+(exposure!J$6*(1-Labor_ratio!J22))))*I22</f>
        <v>6319826370.9145155</v>
      </c>
      <c r="K22" s="4">
        <f>(1-exposure!K$7+((Labor_ratio!K22*exposure!K$5)+(exposure!K$6*(1-Labor_ratio!K22))))*J22</f>
        <v>6394975036.6909409</v>
      </c>
      <c r="L22" s="4">
        <f>(1-exposure!L$7+((Labor_ratio!L22*exposure!L$5)+(exposure!L$6*(1-Labor_ratio!L22))))*K22</f>
        <v>6466681472.1101503</v>
      </c>
      <c r="M22" s="4">
        <f>(1-exposure!M$7+((Labor_ratio!M22*exposure!M$5)+(exposure!M$6*(1-Labor_ratio!M22))))*L22</f>
        <v>6533009748.1575356</v>
      </c>
    </row>
    <row r="23" spans="1:13" x14ac:dyDescent="0.2">
      <c r="A23" t="str">
        <f>raw!A23</f>
        <v>Southwestern Public Service Co.</v>
      </c>
      <c r="B23" s="4">
        <f>VLOOKUP(A23,raw!$A$4:$AU$24,$C$2,FALSE)*VLOOKUP($A23,rawcalc!$A$4:$C$24,'A&amp;GO&amp;M'!$B$2,FALSE)</f>
        <v>438259665.93288815</v>
      </c>
      <c r="C23" s="16">
        <f t="shared" si="0"/>
        <v>438259665.93288815</v>
      </c>
      <c r="D23" s="4">
        <f>(1-exposure!D$7+((Labor_ratio!D23*exposure!D$5)+(exposure!D$6*(1-Labor_ratio!D23))))*C23</f>
        <v>447727030.98319888</v>
      </c>
      <c r="E23" s="4">
        <f>(1-exposure!E$7+((Labor_ratio!E23*exposure!E$5)+(exposure!E$6*(1-Labor_ratio!E23))))*D23</f>
        <v>456411958.46067703</v>
      </c>
      <c r="F23" s="4">
        <f>(1-exposure!F$7+((Labor_ratio!F23*exposure!F$5)+(exposure!F$6*(1-Labor_ratio!F23))))*E23</f>
        <v>464534099.57371294</v>
      </c>
      <c r="G23" s="4">
        <f>(1-exposure!G$7+((Labor_ratio!G23*exposure!G$5)+(exposure!G$6*(1-Labor_ratio!G23))))*F23</f>
        <v>472232831.43747884</v>
      </c>
      <c r="H23" s="4">
        <f>(1-exposure!H$7+((Labor_ratio!H23*exposure!H$5)+(exposure!H$6*(1-Labor_ratio!H23))))*G23</f>
        <v>479595542.03056848</v>
      </c>
      <c r="I23" s="4">
        <f>(1-exposure!I$7+((Labor_ratio!I23*exposure!I$5)+(exposure!I$6*(1-Labor_ratio!I23))))*H23</f>
        <v>486487207.56535453</v>
      </c>
      <c r="J23" s="4">
        <f>(1-exposure!J$7+((Labor_ratio!J23*exposure!J$5)+(exposure!J$6*(1-Labor_ratio!J23))))*I23</f>
        <v>492941707.1497885</v>
      </c>
      <c r="K23" s="4">
        <f>(1-exposure!K$7+((Labor_ratio!K23*exposure!K$5)+(exposure!K$6*(1-Labor_ratio!K23))))*J23</f>
        <v>499086951.05700803</v>
      </c>
      <c r="L23" s="4">
        <f>(1-exposure!L$7+((Labor_ratio!L23*exposure!L$5)+(exposure!L$6*(1-Labor_ratio!L23))))*K23</f>
        <v>504988953.23001754</v>
      </c>
      <c r="M23" s="4">
        <f>(1-exposure!M$7+((Labor_ratio!M23*exposure!M$5)+(exposure!M$6*(1-Labor_ratio!M23))))*L23</f>
        <v>510515478.34188908</v>
      </c>
    </row>
    <row r="24" spans="1:13" x14ac:dyDescent="0.2">
      <c r="A24" t="str">
        <f>raw!A24</f>
        <v>TXU Electric Co.</v>
      </c>
      <c r="B24" s="4">
        <f>VLOOKUP(A24,raw!$A$4:$AU$24,$C$2,FALSE)*VLOOKUP($A24,rawcalc!$A$4:$C$24,'A&amp;GO&amp;M'!$B$2,FALSE)</f>
        <v>3612534230.4634361</v>
      </c>
      <c r="C24" s="16">
        <f t="shared" si="0"/>
        <v>3612534230.4634361</v>
      </c>
      <c r="D24" s="4">
        <f>(1-exposure!D$7+((Labor_ratio!D24*exposure!D$5)+(exposure!D$6*(1-Labor_ratio!D24))))*C24</f>
        <v>3691080072.4784479</v>
      </c>
      <c r="E24" s="4">
        <f>(1-exposure!E$7+((Labor_ratio!E24*exposure!E$5)+(exposure!E$6*(1-Labor_ratio!E24))))*D24</f>
        <v>3762160723.5833125</v>
      </c>
      <c r="F24" s="4">
        <f>(1-exposure!F$7+((Labor_ratio!F24*exposure!F$5)+(exposure!F$6*(1-Labor_ratio!F24))))*E24</f>
        <v>3828054309.4197531</v>
      </c>
      <c r="G24" s="4">
        <f>(1-exposure!G$7+((Labor_ratio!G24*exposure!G$5)+(exposure!G$6*(1-Labor_ratio!G24))))*F24</f>
        <v>3889776783.8511672</v>
      </c>
      <c r="H24" s="4">
        <f>(1-exposure!H$7+((Labor_ratio!H24*exposure!H$5)+(exposure!H$6*(1-Labor_ratio!H24))))*G24</f>
        <v>3948238765.7143106</v>
      </c>
      <c r="I24" s="4">
        <f>(1-exposure!I$7+((Labor_ratio!I24*exposure!I$5)+(exposure!I$6*(1-Labor_ratio!I24))))*H24</f>
        <v>4002368480.4202733</v>
      </c>
      <c r="J24" s="4">
        <f>(1-exposure!J$7+((Labor_ratio!J24*exposure!J$5)+(exposure!J$6*(1-Labor_ratio!J24))))*I24</f>
        <v>4052267011.25631</v>
      </c>
      <c r="K24" s="4">
        <f>(1-exposure!K$7+((Labor_ratio!K24*exposure!K$5)+(exposure!K$6*(1-Labor_ratio!K24))))*J24</f>
        <v>4099256924.4292684</v>
      </c>
      <c r="L24" s="4">
        <f>(1-exposure!L$7+((Labor_ratio!L24*exposure!L$5)+(exposure!L$6*(1-Labor_ratio!L24))))*K24</f>
        <v>4143934404.867537</v>
      </c>
      <c r="M24" s="4">
        <f>(1-exposure!M$7+((Labor_ratio!M24*exposure!M$5)+(exposure!M$6*(1-Labor_ratio!M24))))*L24</f>
        <v>4184979460.4166231</v>
      </c>
    </row>
  </sheetData>
  <pageMargins left="0.75" right="0.75" top="1" bottom="1" header="0.5" footer="0.5"/>
  <pageSetup scale="59" orientation="landscape" verticalDpi="0" r:id="rId1"/>
  <headerFooter alignWithMargins="0">
    <oddFooter>Page &amp;P&amp;R&amp;A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workbookViewId="0">
      <selection activeCell="E25" sqref="E25"/>
    </sheetView>
  </sheetViews>
  <sheetFormatPr defaultRowHeight="12.75" x14ac:dyDescent="0.2"/>
  <cols>
    <col min="1" max="1" width="36.140625" bestFit="1" customWidth="1"/>
    <col min="2" max="2" width="14.85546875" bestFit="1" customWidth="1"/>
    <col min="3" max="13" width="12.28515625" bestFit="1" customWidth="1"/>
  </cols>
  <sheetData>
    <row r="1" spans="1:13" x14ac:dyDescent="0.2">
      <c r="A1" t="s">
        <v>527</v>
      </c>
    </row>
    <row r="2" spans="1:13" x14ac:dyDescent="0.2">
      <c r="B2">
        <v>29</v>
      </c>
    </row>
    <row r="3" spans="1:13" x14ac:dyDescent="0.2">
      <c r="A3" s="8" t="s">
        <v>177</v>
      </c>
      <c r="B3" s="8">
        <v>1998</v>
      </c>
      <c r="C3" s="8">
        <v>2000</v>
      </c>
      <c r="D3" s="8">
        <v>2001</v>
      </c>
      <c r="E3" s="8">
        <v>2002</v>
      </c>
      <c r="F3" s="8">
        <v>2003</v>
      </c>
      <c r="G3" s="8">
        <v>2004</v>
      </c>
      <c r="H3" s="8">
        <v>2005</v>
      </c>
      <c r="I3" s="8">
        <v>2006</v>
      </c>
      <c r="J3" s="8">
        <v>2007</v>
      </c>
      <c r="K3" s="8">
        <v>2008</v>
      </c>
      <c r="L3" s="8">
        <v>2009</v>
      </c>
      <c r="M3" s="8">
        <v>2010</v>
      </c>
    </row>
    <row r="4" spans="1:13" x14ac:dyDescent="0.2">
      <c r="A4" t="str">
        <f>raw!A4</f>
        <v>Boston Edison Co.</v>
      </c>
      <c r="B4" s="1">
        <f>VLOOKUP($A4,raw!$A$4:$AU$24,$B$2,FALSE)</f>
        <v>2261278</v>
      </c>
      <c r="C4" s="16">
        <f>B4</f>
        <v>2261278</v>
      </c>
      <c r="D4" s="4">
        <f>(1-exposure!D$7+exposure!D$5)*C4</f>
        <v>2308764.838</v>
      </c>
      <c r="E4" s="4">
        <f>(1-exposure!E$7+exposure!E$5)*D4</f>
        <v>2354940.1347599998</v>
      </c>
      <c r="F4" s="4">
        <f>(1-exposure!F$7+exposure!F$5)*E4</f>
        <v>2399683.9973204397</v>
      </c>
      <c r="G4" s="4">
        <f>(1-exposure!G$7+exposure!G$5)*F4</f>
        <v>2444078.1512708678</v>
      </c>
      <c r="H4" s="4">
        <f>(1-exposure!H$7+exposure!H$5)*G4</f>
        <v>2488071.5579937436</v>
      </c>
      <c r="I4" s="4">
        <f>(1-exposure!I$7+exposure!I$5)*H4</f>
        <v>2530866.3887912356</v>
      </c>
      <c r="J4" s="4">
        <f>(1-exposure!J$7+exposure!J$5)*I4</f>
        <v>2573131.8574840492</v>
      </c>
      <c r="K4" s="4">
        <f>(1-exposure!K$7+exposure!K$5)*J4</f>
        <v>2614816.5935752909</v>
      </c>
      <c r="L4" s="4">
        <f>(1-exposure!L$7+exposure!L$5)*K4</f>
        <v>2656130.6957537807</v>
      </c>
      <c r="M4" s="4">
        <f>(1-exposure!M$7+exposure!M$5)*L4</f>
        <v>2697035.1084683891</v>
      </c>
    </row>
    <row r="5" spans="1:13" x14ac:dyDescent="0.2">
      <c r="A5" t="str">
        <f>raw!A5</f>
        <v>Carolina Power &amp; Light Co.</v>
      </c>
      <c r="B5" s="1">
        <f>VLOOKUP($A5,raw!$A$4:$AU$24,$B$2,FALSE)</f>
        <v>6570490</v>
      </c>
      <c r="C5" s="16">
        <f t="shared" ref="C5:C24" si="0">B5</f>
        <v>6570490</v>
      </c>
      <c r="D5" s="4">
        <f>(1-exposure!D$7+exposure!D$5)*C5</f>
        <v>6708470.2899999991</v>
      </c>
      <c r="E5" s="4">
        <f>(1-exposure!E$7+exposure!E$5)*D5</f>
        <v>6842639.6957999989</v>
      </c>
      <c r="F5" s="4">
        <f>(1-exposure!F$7+exposure!F$5)*E5</f>
        <v>6972649.8500201982</v>
      </c>
      <c r="G5" s="4">
        <f>(1-exposure!G$7+exposure!G$5)*F5</f>
        <v>7101643.8722455716</v>
      </c>
      <c r="H5" s="4">
        <f>(1-exposure!H$7+exposure!H$5)*G5</f>
        <v>7229473.461945992</v>
      </c>
      <c r="I5" s="4">
        <f>(1-exposure!I$7+exposure!I$5)*H5</f>
        <v>7353820.405491462</v>
      </c>
      <c r="J5" s="4">
        <f>(1-exposure!J$7+exposure!J$5)*I5</f>
        <v>7476629.2062631687</v>
      </c>
      <c r="K5" s="4">
        <f>(1-exposure!K$7+exposure!K$5)*J5</f>
        <v>7597750.5994046321</v>
      </c>
      <c r="L5" s="4">
        <f>(1-exposure!L$7+exposure!L$5)*K5</f>
        <v>7717795.0588752255</v>
      </c>
      <c r="M5" s="4">
        <f>(1-exposure!M$7+exposure!M$5)*L5</f>
        <v>7836649.1027819049</v>
      </c>
    </row>
    <row r="6" spans="1:13" x14ac:dyDescent="0.2">
      <c r="A6" t="str">
        <f>raw!A6</f>
        <v>Central Hudson Gas &amp; Electric Corp.</v>
      </c>
      <c r="B6" s="1">
        <f>VLOOKUP($A6,raw!$A$4:$AU$24,$B$2,FALSE)</f>
        <v>2095835</v>
      </c>
      <c r="C6" s="16">
        <f t="shared" si="0"/>
        <v>2095835</v>
      </c>
      <c r="D6" s="4">
        <f>(1-exposure!D$7+exposure!D$5)*C6</f>
        <v>2139847.5349999997</v>
      </c>
      <c r="E6" s="4">
        <f>(1-exposure!E$7+exposure!E$5)*D6</f>
        <v>2182644.4856999996</v>
      </c>
      <c r="F6" s="4">
        <f>(1-exposure!F$7+exposure!F$5)*E6</f>
        <v>2224114.7309282995</v>
      </c>
      <c r="G6" s="4">
        <f>(1-exposure!G$7+exposure!G$5)*F6</f>
        <v>2265260.8534504729</v>
      </c>
      <c r="H6" s="4">
        <f>(1-exposure!H$7+exposure!H$5)*G6</f>
        <v>2306035.5488125817</v>
      </c>
      <c r="I6" s="4">
        <f>(1-exposure!I$7+exposure!I$5)*H6</f>
        <v>2345699.3602521578</v>
      </c>
      <c r="J6" s="4">
        <f>(1-exposure!J$7+exposure!J$5)*I6</f>
        <v>2384872.5395683688</v>
      </c>
      <c r="K6" s="4">
        <f>(1-exposure!K$7+exposure!K$5)*J6</f>
        <v>2423507.4747093762</v>
      </c>
      <c r="L6" s="4">
        <f>(1-exposure!L$7+exposure!L$5)*K6</f>
        <v>2461798.8928097845</v>
      </c>
      <c r="M6" s="4">
        <f>(1-exposure!M$7+exposure!M$5)*L6</f>
        <v>2499710.5957590556</v>
      </c>
    </row>
    <row r="7" spans="1:13" x14ac:dyDescent="0.2">
      <c r="A7" t="str">
        <f>raw!A7</f>
        <v>Commonwealth Edison Co.</v>
      </c>
      <c r="B7" s="1">
        <f>VLOOKUP($A7,raw!$A$4:$AU$24,$B$2,FALSE)</f>
        <v>23508436</v>
      </c>
      <c r="C7" s="16">
        <f t="shared" si="0"/>
        <v>23508436</v>
      </c>
      <c r="D7" s="4">
        <f>(1-exposure!D$7+exposure!D$5)*C7</f>
        <v>24002113.155999999</v>
      </c>
      <c r="E7" s="4">
        <f>(1-exposure!E$7+exposure!E$5)*D7</f>
        <v>24482155.419119999</v>
      </c>
      <c r="F7" s="4">
        <f>(1-exposure!F$7+exposure!F$5)*E7</f>
        <v>24947316.372083277</v>
      </c>
      <c r="G7" s="4">
        <f>(1-exposure!G$7+exposure!G$5)*F7</f>
        <v>25408841.724966817</v>
      </c>
      <c r="H7" s="4">
        <f>(1-exposure!H$7+exposure!H$5)*G7</f>
        <v>25866200.876016218</v>
      </c>
      <c r="I7" s="4">
        <f>(1-exposure!I$7+exposure!I$5)*H7</f>
        <v>26311099.531083696</v>
      </c>
      <c r="J7" s="4">
        <f>(1-exposure!J$7+exposure!J$5)*I7</f>
        <v>26750494.89325279</v>
      </c>
      <c r="K7" s="4">
        <f>(1-exposure!K$7+exposure!K$5)*J7</f>
        <v>27183852.910523485</v>
      </c>
      <c r="L7" s="4">
        <f>(1-exposure!L$7+exposure!L$5)*K7</f>
        <v>27613357.786509756</v>
      </c>
      <c r="M7" s="4">
        <f>(1-exposure!M$7+exposure!M$5)*L7</f>
        <v>28038603.496422008</v>
      </c>
    </row>
    <row r="8" spans="1:13" x14ac:dyDescent="0.2">
      <c r="A8" t="str">
        <f>raw!A8</f>
        <v>Consolidated Edison Co. of New York, Inc.</v>
      </c>
      <c r="B8" s="1">
        <f>VLOOKUP($A8,raw!$A$4:$AU$24,$B$2,FALSE)</f>
        <v>2128621</v>
      </c>
      <c r="C8" s="16">
        <f t="shared" si="0"/>
        <v>2128621</v>
      </c>
      <c r="D8" s="4">
        <f>(1-exposure!D$7+exposure!D$5)*C8</f>
        <v>2173322.0409999997</v>
      </c>
      <c r="E8" s="4">
        <f>(1-exposure!E$7+exposure!E$5)*D8</f>
        <v>2216788.4818199999</v>
      </c>
      <c r="F8" s="4">
        <f>(1-exposure!F$7+exposure!F$5)*E8</f>
        <v>2258907.4629745795</v>
      </c>
      <c r="G8" s="4">
        <f>(1-exposure!G$7+exposure!G$5)*F8</f>
        <v>2300697.2510396093</v>
      </c>
      <c r="H8" s="4">
        <f>(1-exposure!H$7+exposure!H$5)*G8</f>
        <v>2342109.8015583223</v>
      </c>
      <c r="I8" s="4">
        <f>(1-exposure!I$7+exposure!I$5)*H8</f>
        <v>2382394.0901451251</v>
      </c>
      <c r="J8" s="4">
        <f>(1-exposure!J$7+exposure!J$5)*I8</f>
        <v>2422180.0714505487</v>
      </c>
      <c r="K8" s="4">
        <f>(1-exposure!K$7+exposure!K$5)*J8</f>
        <v>2461419.3886080477</v>
      </c>
      <c r="L8" s="4">
        <f>(1-exposure!L$7+exposure!L$5)*K8</f>
        <v>2500309.814948055</v>
      </c>
      <c r="M8" s="4">
        <f>(1-exposure!M$7+exposure!M$5)*L8</f>
        <v>2538814.5860982551</v>
      </c>
    </row>
    <row r="9" spans="1:13" x14ac:dyDescent="0.2">
      <c r="A9" t="str">
        <f>raw!A9</f>
        <v>Consumers Energy Co.</v>
      </c>
      <c r="B9" s="1">
        <f>VLOOKUP($A9,raw!$A$4:$AU$24,$B$2,FALSE)</f>
        <v>4167857</v>
      </c>
      <c r="C9" s="16">
        <f t="shared" si="0"/>
        <v>4167857</v>
      </c>
      <c r="D9" s="4">
        <f>(1-exposure!D$7+exposure!D$5)*C9</f>
        <v>4255381.9969999995</v>
      </c>
      <c r="E9" s="4">
        <f>(1-exposure!E$7+exposure!E$5)*D9</f>
        <v>4340489.6369399996</v>
      </c>
      <c r="F9" s="4">
        <f>(1-exposure!F$7+exposure!F$5)*E9</f>
        <v>4422958.9400418596</v>
      </c>
      <c r="G9" s="4">
        <f>(1-exposure!G$7+exposure!G$5)*F9</f>
        <v>4504783.6804326335</v>
      </c>
      <c r="H9" s="4">
        <f>(1-exposure!H$7+exposure!H$5)*G9</f>
        <v>4585869.7866804209</v>
      </c>
      <c r="I9" s="4">
        <f>(1-exposure!I$7+exposure!I$5)*H9</f>
        <v>4664746.7470113235</v>
      </c>
      <c r="J9" s="4">
        <f>(1-exposure!J$7+exposure!J$5)*I9</f>
        <v>4742648.0176864127</v>
      </c>
      <c r="K9" s="4">
        <f>(1-exposure!K$7+exposure!K$5)*J9</f>
        <v>4819478.9155729329</v>
      </c>
      <c r="L9" s="4">
        <f>(1-exposure!L$7+exposure!L$5)*K9</f>
        <v>4895626.6824389854</v>
      </c>
      <c r="M9" s="4">
        <f>(1-exposure!M$7+exposure!M$5)*L9</f>
        <v>4971019.3333485462</v>
      </c>
    </row>
    <row r="10" spans="1:13" x14ac:dyDescent="0.2">
      <c r="A10" t="str">
        <f>raw!A10</f>
        <v>Duke Energy Corp.</v>
      </c>
      <c r="B10" s="1">
        <f>VLOOKUP($A10,raw!$A$4:$AU$24,$B$2,FALSE)</f>
        <v>22426600</v>
      </c>
      <c r="C10" s="16">
        <f t="shared" si="0"/>
        <v>22426600</v>
      </c>
      <c r="D10" s="4">
        <f>(1-exposure!D$7+exposure!D$5)*C10</f>
        <v>22897558.599999998</v>
      </c>
      <c r="E10" s="4">
        <f>(1-exposure!E$7+exposure!E$5)*D10</f>
        <v>23355509.772</v>
      </c>
      <c r="F10" s="4">
        <f>(1-exposure!F$7+exposure!F$5)*E10</f>
        <v>23799264.457667999</v>
      </c>
      <c r="G10" s="4">
        <f>(1-exposure!G$7+exposure!G$5)*F10</f>
        <v>24239550.850134857</v>
      </c>
      <c r="H10" s="4">
        <f>(1-exposure!H$7+exposure!H$5)*G10</f>
        <v>24675862.765437286</v>
      </c>
      <c r="I10" s="4">
        <f>(1-exposure!I$7+exposure!I$5)*H10</f>
        <v>25100287.605002806</v>
      </c>
      <c r="J10" s="4">
        <f>(1-exposure!J$7+exposure!J$5)*I10</f>
        <v>25519462.408006351</v>
      </c>
      <c r="K10" s="4">
        <f>(1-exposure!K$7+exposure!K$5)*J10</f>
        <v>25932877.699016053</v>
      </c>
      <c r="L10" s="4">
        <f>(1-exposure!L$7+exposure!L$5)*K10</f>
        <v>26342617.166660506</v>
      </c>
      <c r="M10" s="4">
        <f>(1-exposure!M$7+exposure!M$5)*L10</f>
        <v>26748293.47102708</v>
      </c>
    </row>
    <row r="11" spans="1:13" x14ac:dyDescent="0.2">
      <c r="A11" t="str">
        <f>raw!A11</f>
        <v>Entergy Mississippi, Inc.</v>
      </c>
      <c r="B11" s="1">
        <f>VLOOKUP($A11,raw!$A$4:$AU$24,$B$2,FALSE)</f>
        <v>1669386</v>
      </c>
      <c r="C11" s="16">
        <f t="shared" si="0"/>
        <v>1669386</v>
      </c>
      <c r="D11" s="4">
        <f>(1-exposure!D$7+exposure!D$5)*C11</f>
        <v>1704443.1059999999</v>
      </c>
      <c r="E11" s="4">
        <f>(1-exposure!E$7+exposure!E$5)*D11</f>
        <v>1738531.9681199999</v>
      </c>
      <c r="F11" s="4">
        <f>(1-exposure!F$7+exposure!F$5)*E11</f>
        <v>1771564.0755142798</v>
      </c>
      <c r="G11" s="4">
        <f>(1-exposure!G$7+exposure!G$5)*F11</f>
        <v>1804338.0109112938</v>
      </c>
      <c r="H11" s="4">
        <f>(1-exposure!H$7+exposure!H$5)*G11</f>
        <v>1836816.0951076972</v>
      </c>
      <c r="I11" s="4">
        <f>(1-exposure!I$7+exposure!I$5)*H11</f>
        <v>1868409.3319435494</v>
      </c>
      <c r="J11" s="4">
        <f>(1-exposure!J$7+exposure!J$5)*I11</f>
        <v>1899611.7677870067</v>
      </c>
      <c r="K11" s="4">
        <f>(1-exposure!K$7+exposure!K$5)*J11</f>
        <v>1930385.4784251561</v>
      </c>
      <c r="L11" s="4">
        <f>(1-exposure!L$7+exposure!L$5)*K11</f>
        <v>1960885.5689842736</v>
      </c>
      <c r="M11" s="4">
        <f>(1-exposure!M$7+exposure!M$5)*L11</f>
        <v>1991083.2067466315</v>
      </c>
    </row>
    <row r="12" spans="1:13" x14ac:dyDescent="0.2">
      <c r="A12" t="str">
        <f>raw!A12</f>
        <v>Florida Power &amp; Light Co.</v>
      </c>
      <c r="B12" s="1">
        <f>VLOOKUP($A12,raw!$A$4:$AU$24,$B$2,FALSE)</f>
        <v>16578760</v>
      </c>
      <c r="C12" s="16">
        <f t="shared" si="0"/>
        <v>16578760</v>
      </c>
      <c r="D12" s="4">
        <f>(1-exposure!D$7+exposure!D$5)*C12</f>
        <v>16926913.959999997</v>
      </c>
      <c r="E12" s="4">
        <f>(1-exposure!E$7+exposure!E$5)*D12</f>
        <v>17265452.239199996</v>
      </c>
      <c r="F12" s="4">
        <f>(1-exposure!F$7+exposure!F$5)*E12</f>
        <v>17593495.831744794</v>
      </c>
      <c r="G12" s="4">
        <f>(1-exposure!G$7+exposure!G$5)*F12</f>
        <v>17918975.504632071</v>
      </c>
      <c r="H12" s="4">
        <f>(1-exposure!H$7+exposure!H$5)*G12</f>
        <v>18241517.063715447</v>
      </c>
      <c r="I12" s="4">
        <f>(1-exposure!I$7+exposure!I$5)*H12</f>
        <v>18555271.157211348</v>
      </c>
      <c r="J12" s="4">
        <f>(1-exposure!J$7+exposure!J$5)*I12</f>
        <v>18865144.185536776</v>
      </c>
      <c r="K12" s="4">
        <f>(1-exposure!K$7+exposure!K$5)*J12</f>
        <v>19170759.521342471</v>
      </c>
      <c r="L12" s="4">
        <f>(1-exposure!L$7+exposure!L$5)*K12</f>
        <v>19473657.521779682</v>
      </c>
      <c r="M12" s="4">
        <f>(1-exposure!M$7+exposure!M$5)*L12</f>
        <v>19773551.847615093</v>
      </c>
    </row>
    <row r="13" spans="1:13" x14ac:dyDescent="0.2">
      <c r="A13" t="str">
        <f>raw!A13</f>
        <v>Gulf Power Co.</v>
      </c>
      <c r="B13" s="1">
        <f>VLOOKUP($A13,raw!$A$4:$AU$24,$B$2,FALSE)</f>
        <v>1487340</v>
      </c>
      <c r="C13" s="16">
        <f t="shared" si="0"/>
        <v>1487340</v>
      </c>
      <c r="D13" s="4">
        <f>(1-exposure!D$7+exposure!D$5)*C13</f>
        <v>1518574.14</v>
      </c>
      <c r="E13" s="4">
        <f>(1-exposure!E$7+exposure!E$5)*D13</f>
        <v>1548945.6228</v>
      </c>
      <c r="F13" s="4">
        <f>(1-exposure!F$7+exposure!F$5)*E13</f>
        <v>1578375.5896331999</v>
      </c>
      <c r="G13" s="4">
        <f>(1-exposure!G$7+exposure!G$5)*F13</f>
        <v>1607575.538041414</v>
      </c>
      <c r="H13" s="4">
        <f>(1-exposure!H$7+exposure!H$5)*G13</f>
        <v>1636511.8977261595</v>
      </c>
      <c r="I13" s="4">
        <f>(1-exposure!I$7+exposure!I$5)*H13</f>
        <v>1664659.9023670494</v>
      </c>
      <c r="J13" s="4">
        <f>(1-exposure!J$7+exposure!J$5)*I13</f>
        <v>1692459.7227365789</v>
      </c>
      <c r="K13" s="4">
        <f>(1-exposure!K$7+exposure!K$5)*J13</f>
        <v>1719877.5702449114</v>
      </c>
      <c r="L13" s="4">
        <f>(1-exposure!L$7+exposure!L$5)*K13</f>
        <v>1747051.6358547809</v>
      </c>
      <c r="M13" s="4">
        <f>(1-exposure!M$7+exposure!M$5)*L13</f>
        <v>1773956.2310469446</v>
      </c>
    </row>
    <row r="14" spans="1:13" x14ac:dyDescent="0.2">
      <c r="A14" t="str">
        <f>raw!A14</f>
        <v>Illinois Power Co.</v>
      </c>
      <c r="B14" s="1">
        <f>VLOOKUP($A14,raw!$A$4:$AU$24,$B$2,FALSE)</f>
        <v>2572163</v>
      </c>
      <c r="C14" s="16">
        <f t="shared" si="0"/>
        <v>2572163</v>
      </c>
      <c r="D14" s="4">
        <f>(1-exposure!D$7+exposure!D$5)*C14</f>
        <v>2626178.423</v>
      </c>
      <c r="E14" s="4">
        <f>(1-exposure!E$7+exposure!E$5)*D14</f>
        <v>2678701.9914600002</v>
      </c>
      <c r="F14" s="4">
        <f>(1-exposure!F$7+exposure!F$5)*E14</f>
        <v>2729597.32929774</v>
      </c>
      <c r="G14" s="4">
        <f>(1-exposure!G$7+exposure!G$5)*F14</f>
        <v>2780094.8798897481</v>
      </c>
      <c r="H14" s="4">
        <f>(1-exposure!H$7+exposure!H$5)*G14</f>
        <v>2830136.5877277637</v>
      </c>
      <c r="I14" s="4">
        <f>(1-exposure!I$7+exposure!I$5)*H14</f>
        <v>2878814.937036681</v>
      </c>
      <c r="J14" s="4">
        <f>(1-exposure!J$7+exposure!J$5)*I14</f>
        <v>2926891.1464851932</v>
      </c>
      <c r="K14" s="4">
        <f>(1-exposure!K$7+exposure!K$5)*J14</f>
        <v>2974306.7830582531</v>
      </c>
      <c r="L14" s="4">
        <f>(1-exposure!L$7+exposure!L$5)*K14</f>
        <v>3021300.8302305737</v>
      </c>
      <c r="M14" s="4">
        <f>(1-exposure!M$7+exposure!M$5)*L14</f>
        <v>3067828.8630161248</v>
      </c>
    </row>
    <row r="15" spans="1:13" x14ac:dyDescent="0.2">
      <c r="A15" t="str">
        <f>raw!A15</f>
        <v>Jersey Central Power &amp; Light Co.</v>
      </c>
      <c r="B15" s="1">
        <f>VLOOKUP($A15,raw!$A$4:$AU$24,$B$2,FALSE)</f>
        <v>7704913</v>
      </c>
      <c r="C15" s="16">
        <f t="shared" si="0"/>
        <v>7704913</v>
      </c>
      <c r="D15" s="4">
        <f>(1-exposure!D$7+exposure!D$5)*C15</f>
        <v>7866716.1729999995</v>
      </c>
      <c r="E15" s="4">
        <f>(1-exposure!E$7+exposure!E$5)*D15</f>
        <v>8024050.4964600001</v>
      </c>
      <c r="F15" s="4">
        <f>(1-exposure!F$7+exposure!F$5)*E15</f>
        <v>8176507.4558927389</v>
      </c>
      <c r="G15" s="4">
        <f>(1-exposure!G$7+exposure!G$5)*F15</f>
        <v>8327772.843826754</v>
      </c>
      <c r="H15" s="4">
        <f>(1-exposure!H$7+exposure!H$5)*G15</f>
        <v>8477672.7550156359</v>
      </c>
      <c r="I15" s="4">
        <f>(1-exposure!I$7+exposure!I$5)*H15</f>
        <v>8623488.7264019046</v>
      </c>
      <c r="J15" s="4">
        <f>(1-exposure!J$7+exposure!J$5)*I15</f>
        <v>8767500.9881328158</v>
      </c>
      <c r="K15" s="4">
        <f>(1-exposure!K$7+exposure!K$5)*J15</f>
        <v>8909534.504140567</v>
      </c>
      <c r="L15" s="4">
        <f>(1-exposure!L$7+exposure!L$5)*K15</f>
        <v>9050305.1493059881</v>
      </c>
      <c r="M15" s="4">
        <f>(1-exposure!M$7+exposure!M$5)*L15</f>
        <v>9189679.8486053012</v>
      </c>
    </row>
    <row r="16" spans="1:13" x14ac:dyDescent="0.2">
      <c r="A16" t="str">
        <f>raw!A16</f>
        <v>Kentucky Utilities Co.</v>
      </c>
      <c r="B16" s="1">
        <f>VLOOKUP($A16,raw!$A$4:$AU$24,$B$2,FALSE)</f>
        <v>2455529</v>
      </c>
      <c r="C16" s="16">
        <f t="shared" si="0"/>
        <v>2455529</v>
      </c>
      <c r="D16" s="4">
        <f>(1-exposure!D$7+exposure!D$5)*C16</f>
        <v>2507095.1089999997</v>
      </c>
      <c r="E16" s="4">
        <f>(1-exposure!E$7+exposure!E$5)*D16</f>
        <v>2557237.0111799999</v>
      </c>
      <c r="F16" s="4">
        <f>(1-exposure!F$7+exposure!F$5)*E16</f>
        <v>2605824.5143924197</v>
      </c>
      <c r="G16" s="4">
        <f>(1-exposure!G$7+exposure!G$5)*F16</f>
        <v>2654032.2679086793</v>
      </c>
      <c r="H16" s="4">
        <f>(1-exposure!H$7+exposure!H$5)*G16</f>
        <v>2701804.8487310354</v>
      </c>
      <c r="I16" s="4">
        <f>(1-exposure!I$7+exposure!I$5)*H16</f>
        <v>2748275.8921292089</v>
      </c>
      <c r="J16" s="4">
        <f>(1-exposure!J$7+exposure!J$5)*I16</f>
        <v>2794172.0995277665</v>
      </c>
      <c r="K16" s="4">
        <f>(1-exposure!K$7+exposure!K$5)*J16</f>
        <v>2839437.6875401163</v>
      </c>
      <c r="L16" s="4">
        <f>(1-exposure!L$7+exposure!L$5)*K16</f>
        <v>2884300.8030032502</v>
      </c>
      <c r="M16" s="4">
        <f>(1-exposure!M$7+exposure!M$5)*L16</f>
        <v>2928719.0353695005</v>
      </c>
    </row>
    <row r="17" spans="1:13" x14ac:dyDescent="0.2">
      <c r="A17" t="str">
        <f>raw!A17</f>
        <v>Ohio Power Co.</v>
      </c>
      <c r="B17" s="1">
        <f>VLOOKUP($A17,raw!$A$4:$AU$24,$B$2,FALSE)</f>
        <v>9214327</v>
      </c>
      <c r="C17" s="16">
        <f t="shared" si="0"/>
        <v>9214327</v>
      </c>
      <c r="D17" s="4">
        <f>(1-exposure!D$7+exposure!D$5)*C17</f>
        <v>9407827.8669999987</v>
      </c>
      <c r="E17" s="4">
        <f>(1-exposure!E$7+exposure!E$5)*D17</f>
        <v>9595984.4243399985</v>
      </c>
      <c r="F17" s="4">
        <f>(1-exposure!F$7+exposure!F$5)*E17</f>
        <v>9778308.1284024585</v>
      </c>
      <c r="G17" s="4">
        <f>(1-exposure!G$7+exposure!G$5)*F17</f>
        <v>9959206.8287779037</v>
      </c>
      <c r="H17" s="4">
        <f>(1-exposure!H$7+exposure!H$5)*G17</f>
        <v>10138472.551695906</v>
      </c>
      <c r="I17" s="4">
        <f>(1-exposure!I$7+exposure!I$5)*H17</f>
        <v>10312854.279585075</v>
      </c>
      <c r="J17" s="4">
        <f>(1-exposure!J$7+exposure!J$5)*I17</f>
        <v>10485078.946054144</v>
      </c>
      <c r="K17" s="4">
        <f>(1-exposure!K$7+exposure!K$5)*J17</f>
        <v>10654937.22498022</v>
      </c>
      <c r="L17" s="4">
        <f>(1-exposure!L$7+exposure!L$5)*K17</f>
        <v>10823285.233134909</v>
      </c>
      <c r="M17" s="4">
        <f>(1-exposure!M$7+exposure!M$5)*L17</f>
        <v>10989963.825725187</v>
      </c>
    </row>
    <row r="18" spans="1:13" x14ac:dyDescent="0.2">
      <c r="A18" t="str">
        <f>raw!A18</f>
        <v>PPL Electric Utilities Corp.</v>
      </c>
      <c r="B18" s="1">
        <f>VLOOKUP($A18,raw!$A$4:$AU$24,$B$2,FALSE)</f>
        <v>5153938</v>
      </c>
      <c r="C18" s="16">
        <f t="shared" si="0"/>
        <v>5153938</v>
      </c>
      <c r="D18" s="4">
        <f>(1-exposure!D$7+exposure!D$5)*C18</f>
        <v>5262170.6979999999</v>
      </c>
      <c r="E18" s="4">
        <f>(1-exposure!E$7+exposure!E$5)*D18</f>
        <v>5367414.1119600004</v>
      </c>
      <c r="F18" s="4">
        <f>(1-exposure!F$7+exposure!F$5)*E18</f>
        <v>5469394.9800872402</v>
      </c>
      <c r="G18" s="4">
        <f>(1-exposure!G$7+exposure!G$5)*F18</f>
        <v>5570578.7872188538</v>
      </c>
      <c r="H18" s="4">
        <f>(1-exposure!H$7+exposure!H$5)*G18</f>
        <v>5670849.2053887937</v>
      </c>
      <c r="I18" s="4">
        <f>(1-exposure!I$7+exposure!I$5)*H18</f>
        <v>5768387.8117214805</v>
      </c>
      <c r="J18" s="4">
        <f>(1-exposure!J$7+exposure!J$5)*I18</f>
        <v>5864719.8881772291</v>
      </c>
      <c r="K18" s="4">
        <f>(1-exposure!K$7+exposure!K$5)*J18</f>
        <v>5959728.3503657002</v>
      </c>
      <c r="L18" s="4">
        <f>(1-exposure!L$7+exposure!L$5)*K18</f>
        <v>6053892.0583014786</v>
      </c>
      <c r="M18" s="4">
        <f>(1-exposure!M$7+exposure!M$5)*L18</f>
        <v>6147121.9959993223</v>
      </c>
    </row>
    <row r="19" spans="1:13" x14ac:dyDescent="0.2">
      <c r="A19" t="str">
        <f>raw!A19</f>
        <v>Pacific Gas &amp; Electric Co.</v>
      </c>
      <c r="B19" s="1">
        <f>VLOOKUP($A19,raw!$A$4:$AU$24,$B$2,FALSE)</f>
        <v>38675582</v>
      </c>
      <c r="C19" s="16">
        <f t="shared" si="0"/>
        <v>38675582</v>
      </c>
      <c r="D19" s="4">
        <f>(1-exposure!D$7+exposure!D$5)*C19</f>
        <v>39487769.221999995</v>
      </c>
      <c r="E19" s="4">
        <f>(1-exposure!E$7+exposure!E$5)*D19</f>
        <v>40277524.606439993</v>
      </c>
      <c r="F19" s="4">
        <f>(1-exposure!F$7+exposure!F$5)*E19</f>
        <v>41042797.573962346</v>
      </c>
      <c r="G19" s="4">
        <f>(1-exposure!G$7+exposure!G$5)*F19</f>
        <v>41802089.329080649</v>
      </c>
      <c r="H19" s="4">
        <f>(1-exposure!H$7+exposure!H$5)*G19</f>
        <v>42554526.937004104</v>
      </c>
      <c r="I19" s="4">
        <f>(1-exposure!I$7+exposure!I$5)*H19</f>
        <v>43286464.800320573</v>
      </c>
      <c r="J19" s="4">
        <f>(1-exposure!J$7+exposure!J$5)*I19</f>
        <v>44009348.762485921</v>
      </c>
      <c r="K19" s="4">
        <f>(1-exposure!K$7+exposure!K$5)*J19</f>
        <v>44722300.212438196</v>
      </c>
      <c r="L19" s="4">
        <f>(1-exposure!L$7+exposure!L$5)*K19</f>
        <v>45428912.555794723</v>
      </c>
      <c r="M19" s="4">
        <f>(1-exposure!M$7+exposure!M$5)*L19</f>
        <v>46128517.809153967</v>
      </c>
    </row>
    <row r="20" spans="1:13" x14ac:dyDescent="0.2">
      <c r="A20" t="str">
        <f>raw!A20</f>
        <v>Public Service Electric &amp; Gas Co.</v>
      </c>
      <c r="B20" s="1">
        <f>VLOOKUP($A20,raw!$A$4:$AU$24,$B$2,FALSE)</f>
        <v>14885144</v>
      </c>
      <c r="C20" s="16">
        <f t="shared" si="0"/>
        <v>14885144</v>
      </c>
      <c r="D20" s="4">
        <f>(1-exposure!D$7+exposure!D$5)*C20</f>
        <v>15197732.023999998</v>
      </c>
      <c r="E20" s="4">
        <f>(1-exposure!E$7+exposure!E$5)*D20</f>
        <v>15501686.664479999</v>
      </c>
      <c r="F20" s="4">
        <f>(1-exposure!F$7+exposure!F$5)*E20</f>
        <v>15796218.711105118</v>
      </c>
      <c r="G20" s="4">
        <f>(1-exposure!G$7+exposure!G$5)*F20</f>
        <v>16088448.757260561</v>
      </c>
      <c r="H20" s="4">
        <f>(1-exposure!H$7+exposure!H$5)*G20</f>
        <v>16378040.834891252</v>
      </c>
      <c r="I20" s="4">
        <f>(1-exposure!I$7+exposure!I$5)*H20</f>
        <v>16659743.137251379</v>
      </c>
      <c r="J20" s="4">
        <f>(1-exposure!J$7+exposure!J$5)*I20</f>
        <v>16937960.847643476</v>
      </c>
      <c r="K20" s="4">
        <f>(1-exposure!K$7+exposure!K$5)*J20</f>
        <v>17212355.813375302</v>
      </c>
      <c r="L20" s="4">
        <f>(1-exposure!L$7+exposure!L$5)*K20</f>
        <v>17484311.035226632</v>
      </c>
      <c r="M20" s="4">
        <f>(1-exposure!M$7+exposure!M$5)*L20</f>
        <v>17753569.425169125</v>
      </c>
    </row>
    <row r="21" spans="1:13" x14ac:dyDescent="0.2">
      <c r="A21" t="str">
        <f>raw!A21</f>
        <v>San Diego Gas &amp; Electric Co.</v>
      </c>
      <c r="B21" s="1">
        <f>VLOOKUP($A21,raw!$A$4:$AU$24,$B$2,FALSE)</f>
        <v>4640653</v>
      </c>
      <c r="C21" s="16">
        <f t="shared" si="0"/>
        <v>4640653</v>
      </c>
      <c r="D21" s="4">
        <f>(1-exposure!D$7+exposure!D$5)*C21</f>
        <v>4738106.7129999995</v>
      </c>
      <c r="E21" s="4">
        <f>(1-exposure!E$7+exposure!E$5)*D21</f>
        <v>4832868.8472599993</v>
      </c>
      <c r="F21" s="4">
        <f>(1-exposure!F$7+exposure!F$5)*E21</f>
        <v>4924693.3553579384</v>
      </c>
      <c r="G21" s="4">
        <f>(1-exposure!G$7+exposure!G$5)*F21</f>
        <v>5015800.1824320601</v>
      </c>
      <c r="H21" s="4">
        <f>(1-exposure!H$7+exposure!H$5)*G21</f>
        <v>5106084.5857158368</v>
      </c>
      <c r="I21" s="4">
        <f>(1-exposure!I$7+exposure!I$5)*H21</f>
        <v>5193909.2405901486</v>
      </c>
      <c r="J21" s="4">
        <f>(1-exposure!J$7+exposure!J$5)*I21</f>
        <v>5280647.5249080034</v>
      </c>
      <c r="K21" s="4">
        <f>(1-exposure!K$7+exposure!K$5)*J21</f>
        <v>5366194.014811513</v>
      </c>
      <c r="L21" s="4">
        <f>(1-exposure!L$7+exposure!L$5)*K21</f>
        <v>5450979.8802455347</v>
      </c>
      <c r="M21" s="4">
        <f>(1-exposure!M$7+exposure!M$5)*L21</f>
        <v>5534924.9704013159</v>
      </c>
    </row>
    <row r="22" spans="1:13" x14ac:dyDescent="0.2">
      <c r="A22" t="str">
        <f>raw!A22</f>
        <v>Southern California Edison Co.</v>
      </c>
      <c r="B22" s="1">
        <f>VLOOKUP($A22,raw!$A$4:$AU$24,$B$2,FALSE)</f>
        <v>38994777</v>
      </c>
      <c r="C22" s="16">
        <f t="shared" si="0"/>
        <v>38994777</v>
      </c>
      <c r="D22" s="4">
        <f>(1-exposure!D$7+exposure!D$5)*C22</f>
        <v>39813667.316999994</v>
      </c>
      <c r="E22" s="4">
        <f>(1-exposure!E$7+exposure!E$5)*D22</f>
        <v>40609940.663339995</v>
      </c>
      <c r="F22" s="4">
        <f>(1-exposure!F$7+exposure!F$5)*E22</f>
        <v>41381529.535943449</v>
      </c>
      <c r="G22" s="4">
        <f>(1-exposure!G$7+exposure!G$5)*F22</f>
        <v>42147087.832358398</v>
      </c>
      <c r="H22" s="4">
        <f>(1-exposure!H$7+exposure!H$5)*G22</f>
        <v>42905735.413340852</v>
      </c>
      <c r="I22" s="4">
        <f>(1-exposure!I$7+exposure!I$5)*H22</f>
        <v>43643714.062450312</v>
      </c>
      <c r="J22" s="4">
        <f>(1-exposure!J$7+exposure!J$5)*I22</f>
        <v>44372564.08729323</v>
      </c>
      <c r="K22" s="4">
        <f>(1-exposure!K$7+exposure!K$5)*J22</f>
        <v>45091399.625507377</v>
      </c>
      <c r="L22" s="4">
        <f>(1-exposure!L$7+exposure!L$5)*K22</f>
        <v>45803843.739590399</v>
      </c>
      <c r="M22" s="4">
        <f>(1-exposure!M$7+exposure!M$5)*L22</f>
        <v>46509222.933180094</v>
      </c>
    </row>
    <row r="23" spans="1:13" x14ac:dyDescent="0.2">
      <c r="A23" t="str">
        <f>raw!A23</f>
        <v>Southwestern Public Service Co.</v>
      </c>
      <c r="B23" s="1">
        <f>VLOOKUP($A23,raw!$A$4:$AU$24,$B$2,FALSE)</f>
        <v>3959220</v>
      </c>
      <c r="C23" s="16">
        <f t="shared" si="0"/>
        <v>3959220</v>
      </c>
      <c r="D23" s="4">
        <f>(1-exposure!D$7+exposure!D$5)*C23</f>
        <v>4042363.6199999996</v>
      </c>
      <c r="E23" s="4">
        <f>(1-exposure!E$7+exposure!E$5)*D23</f>
        <v>4123210.8923999998</v>
      </c>
      <c r="F23" s="4">
        <f>(1-exposure!F$7+exposure!F$5)*E23</f>
        <v>4201551.8993555997</v>
      </c>
      <c r="G23" s="4">
        <f>(1-exposure!G$7+exposure!G$5)*F23</f>
        <v>4279280.6094936784</v>
      </c>
      <c r="H23" s="4">
        <f>(1-exposure!H$7+exposure!H$5)*G23</f>
        <v>4356307.6604645643</v>
      </c>
      <c r="I23" s="4">
        <f>(1-exposure!I$7+exposure!I$5)*H23</f>
        <v>4431236.1522245547</v>
      </c>
      <c r="J23" s="4">
        <f>(1-exposure!J$7+exposure!J$5)*I23</f>
        <v>4505237.7959667044</v>
      </c>
      <c r="K23" s="4">
        <f>(1-exposure!K$7+exposure!K$5)*J23</f>
        <v>4578222.6482613645</v>
      </c>
      <c r="L23" s="4">
        <f>(1-exposure!L$7+exposure!L$5)*K23</f>
        <v>4650558.5661038943</v>
      </c>
      <c r="M23" s="4">
        <f>(1-exposure!M$7+exposure!M$5)*L23</f>
        <v>4722177.168021895</v>
      </c>
    </row>
    <row r="24" spans="1:13" x14ac:dyDescent="0.2">
      <c r="A24" t="str">
        <f>raw!A24</f>
        <v>TXU Electric Co.</v>
      </c>
      <c r="B24" s="1">
        <f>VLOOKUP($A24,raw!$A$4:$AU$24,$B$2,FALSE)</f>
        <v>17259652</v>
      </c>
      <c r="C24" s="16">
        <f t="shared" si="0"/>
        <v>17259652</v>
      </c>
      <c r="D24" s="4">
        <f>(1-exposure!D$7+exposure!D$5)*C24</f>
        <v>17622104.691999998</v>
      </c>
      <c r="E24" s="4">
        <f>(1-exposure!E$7+exposure!E$5)*D24</f>
        <v>17974546.785839997</v>
      </c>
      <c r="F24" s="4">
        <f>(1-exposure!F$7+exposure!F$5)*E24</f>
        <v>18316063.174770955</v>
      </c>
      <c r="G24" s="4">
        <f>(1-exposure!G$7+exposure!G$5)*F24</f>
        <v>18654910.343504217</v>
      </c>
      <c r="H24" s="4">
        <f>(1-exposure!H$7+exposure!H$5)*G24</f>
        <v>18990698.729687292</v>
      </c>
      <c r="I24" s="4">
        <f>(1-exposure!I$7+exposure!I$5)*H24</f>
        <v>19317338.747837912</v>
      </c>
      <c r="J24" s="4">
        <f>(1-exposure!J$7+exposure!J$5)*I24</f>
        <v>19639938.304926805</v>
      </c>
      <c r="K24" s="4">
        <f>(1-exposure!K$7+exposure!K$5)*J24</f>
        <v>19958105.305466618</v>
      </c>
      <c r="L24" s="4">
        <f>(1-exposure!L$7+exposure!L$5)*K24</f>
        <v>20273443.369292993</v>
      </c>
      <c r="M24" s="4">
        <f>(1-exposure!M$7+exposure!M$5)*L24</f>
        <v>20585654.397180106</v>
      </c>
    </row>
  </sheetData>
  <pageMargins left="0.75" right="0.75" top="1" bottom="1" header="0.5" footer="0.5"/>
  <pageSetup scale="65" orientation="landscape" verticalDpi="0" r:id="rId1"/>
  <headerFooter alignWithMargins="0">
    <oddFooter>Page &amp;P&amp;R&amp;A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workbookViewId="0">
      <selection activeCell="E25" sqref="E25"/>
    </sheetView>
  </sheetViews>
  <sheetFormatPr defaultRowHeight="12.75" x14ac:dyDescent="0.2"/>
  <cols>
    <col min="1" max="1" width="36.140625" bestFit="1" customWidth="1"/>
    <col min="2" max="2" width="14.85546875" bestFit="1" customWidth="1"/>
    <col min="3" max="13" width="12.28515625" bestFit="1" customWidth="1"/>
  </cols>
  <sheetData>
    <row r="1" spans="1:13" x14ac:dyDescent="0.2">
      <c r="A1" t="s">
        <v>528</v>
      </c>
    </row>
    <row r="2" spans="1:13" x14ac:dyDescent="0.2">
      <c r="B2">
        <v>30</v>
      </c>
    </row>
    <row r="3" spans="1:13" x14ac:dyDescent="0.2">
      <c r="A3" s="8" t="s">
        <v>177</v>
      </c>
      <c r="B3" s="8">
        <v>1998</v>
      </c>
      <c r="C3" s="8">
        <v>2000</v>
      </c>
      <c r="D3" s="8">
        <v>2001</v>
      </c>
      <c r="E3" s="8">
        <v>2002</v>
      </c>
      <c r="F3" s="8">
        <v>2003</v>
      </c>
      <c r="G3" s="8">
        <v>2004</v>
      </c>
      <c r="H3" s="8">
        <v>2005</v>
      </c>
      <c r="I3" s="8">
        <v>2006</v>
      </c>
      <c r="J3" s="8">
        <v>2007</v>
      </c>
      <c r="K3" s="8">
        <v>2008</v>
      </c>
      <c r="L3" s="8">
        <v>2009</v>
      </c>
      <c r="M3" s="8">
        <v>2010</v>
      </c>
    </row>
    <row r="4" spans="1:13" x14ac:dyDescent="0.2">
      <c r="A4" t="str">
        <f>raw!A4</f>
        <v>Boston Edison Co.</v>
      </c>
      <c r="B4" s="1">
        <f>VLOOKUP($A4,raw!$A$4:$AU$24,$B$2,FALSE)</f>
        <v>49190652</v>
      </c>
      <c r="C4" s="16">
        <f t="shared" ref="C4:C24" si="0">B4</f>
        <v>49190652</v>
      </c>
      <c r="D4" s="1">
        <f>(1-exposure!D$7+exposure!D$5)*C4</f>
        <v>50223655.691999994</v>
      </c>
      <c r="E4" s="1">
        <f>(1-exposure!E$7+exposure!E$5)*D4</f>
        <v>51228128.805839993</v>
      </c>
      <c r="F4" s="1">
        <f>(1-exposure!F$7+exposure!F$5)*E4</f>
        <v>52201463.253150947</v>
      </c>
      <c r="G4" s="1">
        <f>(1-exposure!G$7+exposure!G$5)*F4</f>
        <v>53167190.323334239</v>
      </c>
      <c r="H4" s="1">
        <f>(1-exposure!H$7+exposure!H$5)*G4</f>
        <v>54124199.749154255</v>
      </c>
      <c r="I4" s="1">
        <f>(1-exposure!I$7+exposure!I$5)*H4</f>
        <v>55055135.9848397</v>
      </c>
      <c r="J4" s="1">
        <f>(1-exposure!J$7+exposure!J$5)*I4</f>
        <v>55974556.755786523</v>
      </c>
      <c r="K4" s="1">
        <f>(1-exposure!K$7+exposure!K$5)*J4</f>
        <v>56881344.575230263</v>
      </c>
      <c r="L4" s="1">
        <f>(1-exposure!L$7+exposure!L$5)*K4</f>
        <v>57780069.819518901</v>
      </c>
      <c r="M4" s="1">
        <f>(1-exposure!M$7+exposure!M$5)*L4</f>
        <v>58669882.894739494</v>
      </c>
    </row>
    <row r="5" spans="1:13" x14ac:dyDescent="0.2">
      <c r="A5" t="str">
        <f>raw!A5</f>
        <v>Carolina Power &amp; Light Co.</v>
      </c>
      <c r="B5" s="1">
        <f>VLOOKUP($A5,raw!$A$4:$AU$24,$B$2,FALSE)</f>
        <v>26790861</v>
      </c>
      <c r="C5" s="16">
        <f t="shared" si="0"/>
        <v>26790861</v>
      </c>
      <c r="D5" s="1">
        <f>(1-exposure!D$7+exposure!D$5)*C5</f>
        <v>27353469.080999997</v>
      </c>
      <c r="E5" s="1">
        <f>(1-exposure!E$7+exposure!E$5)*D5</f>
        <v>27900538.462619998</v>
      </c>
      <c r="F5" s="1">
        <f>(1-exposure!F$7+exposure!F$5)*E5</f>
        <v>28430648.693409774</v>
      </c>
      <c r="G5" s="1">
        <f>(1-exposure!G$7+exposure!G$5)*F5</f>
        <v>28956615.694237854</v>
      </c>
      <c r="H5" s="1">
        <f>(1-exposure!H$7+exposure!H$5)*G5</f>
        <v>29477834.776734136</v>
      </c>
      <c r="I5" s="1">
        <f>(1-exposure!I$7+exposure!I$5)*H5</f>
        <v>29984853.53489396</v>
      </c>
      <c r="J5" s="1">
        <f>(1-exposure!J$7+exposure!J$5)*I5</f>
        <v>30485600.588926688</v>
      </c>
      <c r="K5" s="1">
        <f>(1-exposure!K$7+exposure!K$5)*J5</f>
        <v>30979467.3184673</v>
      </c>
      <c r="L5" s="1">
        <f>(1-exposure!L$7+exposure!L$5)*K5</f>
        <v>31468942.902099084</v>
      </c>
      <c r="M5" s="1">
        <f>(1-exposure!M$7+exposure!M$5)*L5</f>
        <v>31953564.622791413</v>
      </c>
    </row>
    <row r="6" spans="1:13" x14ac:dyDescent="0.2">
      <c r="A6" t="str">
        <f>raw!A6</f>
        <v>Central Hudson Gas &amp; Electric Corp.</v>
      </c>
      <c r="B6" s="1">
        <f>VLOOKUP($A6,raw!$A$4:$AU$24,$B$2,FALSE)</f>
        <v>12364482</v>
      </c>
      <c r="C6" s="16">
        <f t="shared" si="0"/>
        <v>12364482</v>
      </c>
      <c r="D6" s="1">
        <f>(1-exposure!D$7+exposure!D$5)*C6</f>
        <v>12624136.122</v>
      </c>
      <c r="E6" s="1">
        <f>(1-exposure!E$7+exposure!E$5)*D6</f>
        <v>12876618.84444</v>
      </c>
      <c r="F6" s="1">
        <f>(1-exposure!F$7+exposure!F$5)*E6</f>
        <v>13121274.602484358</v>
      </c>
      <c r="G6" s="1">
        <f>(1-exposure!G$7+exposure!G$5)*F6</f>
        <v>13364018.182630319</v>
      </c>
      <c r="H6" s="1">
        <f>(1-exposure!H$7+exposure!H$5)*G6</f>
        <v>13604570.509917665</v>
      </c>
      <c r="I6" s="1">
        <f>(1-exposure!I$7+exposure!I$5)*H6</f>
        <v>13838569.122688247</v>
      </c>
      <c r="J6" s="1">
        <f>(1-exposure!J$7+exposure!J$5)*I6</f>
        <v>14069673.227037139</v>
      </c>
      <c r="K6" s="1">
        <f>(1-exposure!K$7+exposure!K$5)*J6</f>
        <v>14297601.933315141</v>
      </c>
      <c r="L6" s="1">
        <f>(1-exposure!L$7+exposure!L$5)*K6</f>
        <v>14523504.043861521</v>
      </c>
      <c r="M6" s="1">
        <f>(1-exposure!M$7+exposure!M$5)*L6</f>
        <v>14747166.006136989</v>
      </c>
    </row>
    <row r="7" spans="1:13" x14ac:dyDescent="0.2">
      <c r="A7" t="str">
        <f>raw!A7</f>
        <v>Commonwealth Edison Co.</v>
      </c>
      <c r="B7" s="1">
        <f>VLOOKUP($A7,raw!$A$4:$AU$24,$B$2,FALSE)</f>
        <v>89828990</v>
      </c>
      <c r="C7" s="16">
        <f t="shared" si="0"/>
        <v>89828990</v>
      </c>
      <c r="D7" s="1">
        <f>(1-exposure!D$7+exposure!D$5)*C7</f>
        <v>91715398.789999992</v>
      </c>
      <c r="E7" s="1">
        <f>(1-exposure!E$7+exposure!E$5)*D7</f>
        <v>93549706.765799999</v>
      </c>
      <c r="F7" s="1">
        <f>(1-exposure!F$7+exposure!F$5)*E7</f>
        <v>95327151.194350183</v>
      </c>
      <c r="G7" s="1">
        <f>(1-exposure!G$7+exposure!G$5)*F7</f>
        <v>97090703.491445661</v>
      </c>
      <c r="H7" s="1">
        <f>(1-exposure!H$7+exposure!H$5)*G7</f>
        <v>98838336.154291689</v>
      </c>
      <c r="I7" s="1">
        <f>(1-exposure!I$7+exposure!I$5)*H7</f>
        <v>100538355.53614549</v>
      </c>
      <c r="J7" s="1">
        <f>(1-exposure!J$7+exposure!J$5)*I7</f>
        <v>102217346.07359912</v>
      </c>
      <c r="K7" s="1">
        <f>(1-exposure!K$7+exposure!K$5)*J7</f>
        <v>103873267.07999142</v>
      </c>
      <c r="L7" s="1">
        <f>(1-exposure!L$7+exposure!L$5)*K7</f>
        <v>105514464.69985528</v>
      </c>
      <c r="M7" s="1">
        <f>(1-exposure!M$7+exposure!M$5)*L7</f>
        <v>107139387.45623307</v>
      </c>
    </row>
    <row r="8" spans="1:13" x14ac:dyDescent="0.2">
      <c r="A8" t="str">
        <f>raw!A8</f>
        <v>Consolidated Edison Co. of New York, Inc.</v>
      </c>
      <c r="B8" s="1">
        <f>VLOOKUP($A8,raw!$A$4:$AU$24,$B$2,FALSE)</f>
        <v>11385374</v>
      </c>
      <c r="C8" s="16">
        <f t="shared" si="0"/>
        <v>11385374</v>
      </c>
      <c r="D8" s="1">
        <f>(1-exposure!D$7+exposure!D$5)*C8</f>
        <v>11624466.853999998</v>
      </c>
      <c r="E8" s="1">
        <f>(1-exposure!E$7+exposure!E$5)*D8</f>
        <v>11856956.191079998</v>
      </c>
      <c r="F8" s="1">
        <f>(1-exposure!F$7+exposure!F$5)*E8</f>
        <v>12082238.358710518</v>
      </c>
      <c r="G8" s="1">
        <f>(1-exposure!G$7+exposure!G$5)*F8</f>
        <v>12305759.768346662</v>
      </c>
      <c r="H8" s="1">
        <f>(1-exposure!H$7+exposure!H$5)*G8</f>
        <v>12527263.444176901</v>
      </c>
      <c r="I8" s="1">
        <f>(1-exposure!I$7+exposure!I$5)*H8</f>
        <v>12742732.375416743</v>
      </c>
      <c r="J8" s="1">
        <f>(1-exposure!J$7+exposure!J$5)*I8</f>
        <v>12955536.006086202</v>
      </c>
      <c r="K8" s="1">
        <f>(1-exposure!K$7+exposure!K$5)*J8</f>
        <v>13165415.689384799</v>
      </c>
      <c r="L8" s="1">
        <f>(1-exposure!L$7+exposure!L$5)*K8</f>
        <v>13373429.257277079</v>
      </c>
      <c r="M8" s="1">
        <f>(1-exposure!M$7+exposure!M$5)*L8</f>
        <v>13579380.067839148</v>
      </c>
    </row>
    <row r="9" spans="1:13" x14ac:dyDescent="0.2">
      <c r="A9" t="str">
        <f>raw!A9</f>
        <v>Consumers Energy Co.</v>
      </c>
      <c r="B9" s="1">
        <f>VLOOKUP($A9,raw!$A$4:$AU$24,$B$2,FALSE)</f>
        <v>37253391</v>
      </c>
      <c r="C9" s="16">
        <f t="shared" si="0"/>
        <v>37253391</v>
      </c>
      <c r="D9" s="1">
        <f>(1-exposure!D$7+exposure!D$5)*C9</f>
        <v>38035712.210999995</v>
      </c>
      <c r="E9" s="1">
        <f>(1-exposure!E$7+exposure!E$5)*D9</f>
        <v>38796426.455219999</v>
      </c>
      <c r="F9" s="1">
        <f>(1-exposure!F$7+exposure!F$5)*E9</f>
        <v>39533558.557869174</v>
      </c>
      <c r="G9" s="1">
        <f>(1-exposure!G$7+exposure!G$5)*F9</f>
        <v>40264929.391189754</v>
      </c>
      <c r="H9" s="1">
        <f>(1-exposure!H$7+exposure!H$5)*G9</f>
        <v>40989698.120231174</v>
      </c>
      <c r="I9" s="1">
        <f>(1-exposure!I$7+exposure!I$5)*H9</f>
        <v>41694720.927899145</v>
      </c>
      <c r="J9" s="1">
        <f>(1-exposure!J$7+exposure!J$5)*I9</f>
        <v>42391022.767395057</v>
      </c>
      <c r="K9" s="1">
        <f>(1-exposure!K$7+exposure!K$5)*J9</f>
        <v>43077757.336226858</v>
      </c>
      <c r="L9" s="1">
        <f>(1-exposure!L$7+exposure!L$5)*K9</f>
        <v>43758385.902139246</v>
      </c>
      <c r="M9" s="1">
        <f>(1-exposure!M$7+exposure!M$5)*L9</f>
        <v>44432265.045032196</v>
      </c>
    </row>
    <row r="10" spans="1:13" x14ac:dyDescent="0.2">
      <c r="A10" t="str">
        <f>raw!A10</f>
        <v>Duke Energy Corp.</v>
      </c>
      <c r="B10" s="1">
        <f>VLOOKUP($A10,raw!$A$4:$AU$24,$B$2,FALSE)</f>
        <v>62715137</v>
      </c>
      <c r="C10" s="16">
        <f t="shared" si="0"/>
        <v>62715137</v>
      </c>
      <c r="D10" s="1">
        <f>(1-exposure!D$7+exposure!D$5)*C10</f>
        <v>64032154.876999997</v>
      </c>
      <c r="E10" s="1">
        <f>(1-exposure!E$7+exposure!E$5)*D10</f>
        <v>65312797.974539995</v>
      </c>
      <c r="F10" s="1">
        <f>(1-exposure!F$7+exposure!F$5)*E10</f>
        <v>66553741.136056252</v>
      </c>
      <c r="G10" s="1">
        <f>(1-exposure!G$7+exposure!G$5)*F10</f>
        <v>67784985.347073287</v>
      </c>
      <c r="H10" s="1">
        <f>(1-exposure!H$7+exposure!H$5)*G10</f>
        <v>69005115.083320603</v>
      </c>
      <c r="I10" s="1">
        <f>(1-exposure!I$7+exposure!I$5)*H10</f>
        <v>70192003.062753707</v>
      </c>
      <c r="J10" s="1">
        <f>(1-exposure!J$7+exposure!J$5)*I10</f>
        <v>71364209.513901696</v>
      </c>
      <c r="K10" s="1">
        <f>(1-exposure!K$7+exposure!K$5)*J10</f>
        <v>72520309.708026901</v>
      </c>
      <c r="L10" s="1">
        <f>(1-exposure!L$7+exposure!L$5)*K10</f>
        <v>73666130.601413727</v>
      </c>
      <c r="M10" s="1">
        <f>(1-exposure!M$7+exposure!M$5)*L10</f>
        <v>74800589.012675509</v>
      </c>
    </row>
    <row r="11" spans="1:13" x14ac:dyDescent="0.2">
      <c r="A11" t="str">
        <f>raw!A11</f>
        <v>Entergy Mississippi, Inc.</v>
      </c>
      <c r="B11" s="1">
        <f>VLOOKUP($A11,raw!$A$4:$AU$24,$B$2,FALSE)</f>
        <v>15403216</v>
      </c>
      <c r="C11" s="16">
        <f t="shared" si="0"/>
        <v>15403216</v>
      </c>
      <c r="D11" s="1">
        <f>(1-exposure!D$7+exposure!D$5)*C11</f>
        <v>15726683.535999998</v>
      </c>
      <c r="E11" s="1">
        <f>(1-exposure!E$7+exposure!E$5)*D11</f>
        <v>16041217.206719998</v>
      </c>
      <c r="F11" s="1">
        <f>(1-exposure!F$7+exposure!F$5)*E11</f>
        <v>16346000.333647676</v>
      </c>
      <c r="G11" s="1">
        <f>(1-exposure!G$7+exposure!G$5)*F11</f>
        <v>16648401.339820158</v>
      </c>
      <c r="H11" s="1">
        <f>(1-exposure!H$7+exposure!H$5)*G11</f>
        <v>16948072.563936923</v>
      </c>
      <c r="I11" s="1">
        <f>(1-exposure!I$7+exposure!I$5)*H11</f>
        <v>17239579.412036635</v>
      </c>
      <c r="J11" s="1">
        <f>(1-exposure!J$7+exposure!J$5)*I11</f>
        <v>17527480.388217647</v>
      </c>
      <c r="K11" s="1">
        <f>(1-exposure!K$7+exposure!K$5)*J11</f>
        <v>17811425.570506774</v>
      </c>
      <c r="L11" s="1">
        <f>(1-exposure!L$7+exposure!L$5)*K11</f>
        <v>18092846.094520781</v>
      </c>
      <c r="M11" s="1">
        <f>(1-exposure!M$7+exposure!M$5)*L11</f>
        <v>18371475.924376402</v>
      </c>
    </row>
    <row r="12" spans="1:13" x14ac:dyDescent="0.2">
      <c r="A12" t="str">
        <f>raw!A12</f>
        <v>Florida Power &amp; Light Co.</v>
      </c>
      <c r="B12" s="1">
        <f>VLOOKUP($A12,raw!$A$4:$AU$24,$B$2,FALSE)</f>
        <v>111477050</v>
      </c>
      <c r="C12" s="16">
        <f t="shared" si="0"/>
        <v>111477050</v>
      </c>
      <c r="D12" s="1">
        <f>(1-exposure!D$7+exposure!D$5)*C12</f>
        <v>113818068.05</v>
      </c>
      <c r="E12" s="1">
        <f>(1-exposure!E$7+exposure!E$5)*D12</f>
        <v>116094429.411</v>
      </c>
      <c r="F12" s="1">
        <f>(1-exposure!F$7+exposure!F$5)*E12</f>
        <v>118300223.56980899</v>
      </c>
      <c r="G12" s="1">
        <f>(1-exposure!G$7+exposure!G$5)*F12</f>
        <v>120488777.70585045</v>
      </c>
      <c r="H12" s="1">
        <f>(1-exposure!H$7+exposure!H$5)*G12</f>
        <v>122657575.70455576</v>
      </c>
      <c r="I12" s="1">
        <f>(1-exposure!I$7+exposure!I$5)*H12</f>
        <v>124767286.00667411</v>
      </c>
      <c r="J12" s="1">
        <f>(1-exposure!J$7+exposure!J$5)*I12</f>
        <v>126850899.68298556</v>
      </c>
      <c r="K12" s="1">
        <f>(1-exposure!K$7+exposure!K$5)*J12</f>
        <v>128905884.25784992</v>
      </c>
      <c r="L12" s="1">
        <f>(1-exposure!L$7+exposure!L$5)*K12</f>
        <v>130942597.22912395</v>
      </c>
      <c r="M12" s="1">
        <f>(1-exposure!M$7+exposure!M$5)*L12</f>
        <v>132959113.22645247</v>
      </c>
    </row>
    <row r="13" spans="1:13" x14ac:dyDescent="0.2">
      <c r="A13" t="str">
        <f>raw!A13</f>
        <v>Gulf Power Co.</v>
      </c>
      <c r="B13" s="1">
        <f>VLOOKUP($A13,raw!$A$4:$AU$24,$B$2,FALSE)</f>
        <v>8292907</v>
      </c>
      <c r="C13" s="16">
        <f t="shared" si="0"/>
        <v>8292907</v>
      </c>
      <c r="D13" s="1">
        <f>(1-exposure!D$7+exposure!D$5)*C13</f>
        <v>8467058.0469999984</v>
      </c>
      <c r="E13" s="1">
        <f>(1-exposure!E$7+exposure!E$5)*D13</f>
        <v>8636399.2079399992</v>
      </c>
      <c r="F13" s="1">
        <f>(1-exposure!F$7+exposure!F$5)*E13</f>
        <v>8800490.7928908579</v>
      </c>
      <c r="G13" s="1">
        <f>(1-exposure!G$7+exposure!G$5)*F13</f>
        <v>8963299.8725593388</v>
      </c>
      <c r="H13" s="1">
        <f>(1-exposure!H$7+exposure!H$5)*G13</f>
        <v>9124639.2702654079</v>
      </c>
      <c r="I13" s="1">
        <f>(1-exposure!I$7+exposure!I$5)*H13</f>
        <v>9281583.0657139719</v>
      </c>
      <c r="J13" s="1">
        <f>(1-exposure!J$7+exposure!J$5)*I13</f>
        <v>9436585.5029113945</v>
      </c>
      <c r="K13" s="1">
        <f>(1-exposure!K$7+exposure!K$5)*J13</f>
        <v>9589458.1880585589</v>
      </c>
      <c r="L13" s="1">
        <f>(1-exposure!L$7+exposure!L$5)*K13</f>
        <v>9740971.6274298839</v>
      </c>
      <c r="M13" s="1">
        <f>(1-exposure!M$7+exposure!M$5)*L13</f>
        <v>9890982.5904923044</v>
      </c>
    </row>
    <row r="14" spans="1:13" x14ac:dyDescent="0.2">
      <c r="A14" t="str">
        <f>raw!A14</f>
        <v>Illinois Power Co.</v>
      </c>
      <c r="B14" s="1">
        <f>VLOOKUP($A14,raw!$A$4:$AU$24,$B$2,FALSE)</f>
        <v>13794788</v>
      </c>
      <c r="C14" s="16">
        <f t="shared" si="0"/>
        <v>13794788</v>
      </c>
      <c r="D14" s="1">
        <f>(1-exposure!D$7+exposure!D$5)*C14</f>
        <v>14084478.547999999</v>
      </c>
      <c r="E14" s="1">
        <f>(1-exposure!E$7+exposure!E$5)*D14</f>
        <v>14366168.118959999</v>
      </c>
      <c r="F14" s="1">
        <f>(1-exposure!F$7+exposure!F$5)*E14</f>
        <v>14639125.313220236</v>
      </c>
      <c r="G14" s="1">
        <f>(1-exposure!G$7+exposure!G$5)*F14</f>
        <v>14909949.13151481</v>
      </c>
      <c r="H14" s="1">
        <f>(1-exposure!H$7+exposure!H$5)*G14</f>
        <v>15178328.215882076</v>
      </c>
      <c r="I14" s="1">
        <f>(1-exposure!I$7+exposure!I$5)*H14</f>
        <v>15439395.461195245</v>
      </c>
      <c r="J14" s="1">
        <f>(1-exposure!J$7+exposure!J$5)*I14</f>
        <v>15697233.365397206</v>
      </c>
      <c r="K14" s="1">
        <f>(1-exposure!K$7+exposure!K$5)*J14</f>
        <v>15951528.545916639</v>
      </c>
      <c r="L14" s="1">
        <f>(1-exposure!L$7+exposure!L$5)*K14</f>
        <v>16203562.696942123</v>
      </c>
      <c r="M14" s="1">
        <f>(1-exposure!M$7+exposure!M$5)*L14</f>
        <v>16453097.562475033</v>
      </c>
    </row>
    <row r="15" spans="1:13" x14ac:dyDescent="0.2">
      <c r="A15" t="str">
        <f>raw!A15</f>
        <v>Jersey Central Power &amp; Light Co.</v>
      </c>
      <c r="B15" s="1">
        <f>VLOOKUP($A15,raw!$A$4:$AU$24,$B$2,FALSE)</f>
        <v>40310878</v>
      </c>
      <c r="C15" s="16">
        <f t="shared" si="0"/>
        <v>40310878</v>
      </c>
      <c r="D15" s="1">
        <f>(1-exposure!D$7+exposure!D$5)*C15</f>
        <v>41157406.437999994</v>
      </c>
      <c r="E15" s="1">
        <f>(1-exposure!E$7+exposure!E$5)*D15</f>
        <v>41980554.566759996</v>
      </c>
      <c r="F15" s="1">
        <f>(1-exposure!F$7+exposure!F$5)*E15</f>
        <v>42778185.103528433</v>
      </c>
      <c r="G15" s="1">
        <f>(1-exposure!G$7+exposure!G$5)*F15</f>
        <v>43569581.527943708</v>
      </c>
      <c r="H15" s="1">
        <f>(1-exposure!H$7+exposure!H$5)*G15</f>
        <v>44353833.995446697</v>
      </c>
      <c r="I15" s="1">
        <f>(1-exposure!I$7+exposure!I$5)*H15</f>
        <v>45116719.940168373</v>
      </c>
      <c r="J15" s="1">
        <f>(1-exposure!J$7+exposure!J$5)*I15</f>
        <v>45870169.163169183</v>
      </c>
      <c r="K15" s="1">
        <f>(1-exposure!K$7+exposure!K$5)*J15</f>
        <v>46613265.903612524</v>
      </c>
      <c r="L15" s="1">
        <f>(1-exposure!L$7+exposure!L$5)*K15</f>
        <v>47349755.504889607</v>
      </c>
      <c r="M15" s="1">
        <f>(1-exposure!M$7+exposure!M$5)*L15</f>
        <v>48078941.739664912</v>
      </c>
    </row>
    <row r="16" spans="1:13" x14ac:dyDescent="0.2">
      <c r="A16" t="str">
        <f>raw!A16</f>
        <v>Kentucky Utilities Co.</v>
      </c>
      <c r="B16" s="1">
        <f>VLOOKUP($A16,raw!$A$4:$AU$24,$B$2,FALSE)</f>
        <v>13845844</v>
      </c>
      <c r="C16" s="16">
        <f t="shared" si="0"/>
        <v>13845844</v>
      </c>
      <c r="D16" s="1">
        <f>(1-exposure!D$7+exposure!D$5)*C16</f>
        <v>14136606.723999999</v>
      </c>
      <c r="E16" s="1">
        <f>(1-exposure!E$7+exposure!E$5)*D16</f>
        <v>14419338.858479999</v>
      </c>
      <c r="F16" s="1">
        <f>(1-exposure!F$7+exposure!F$5)*E16</f>
        <v>14693306.296791118</v>
      </c>
      <c r="G16" s="1">
        <f>(1-exposure!G$7+exposure!G$5)*F16</f>
        <v>14965132.463281753</v>
      </c>
      <c r="H16" s="1">
        <f>(1-exposure!H$7+exposure!H$5)*G16</f>
        <v>15234504.847620824</v>
      </c>
      <c r="I16" s="1">
        <f>(1-exposure!I$7+exposure!I$5)*H16</f>
        <v>15496538.330999902</v>
      </c>
      <c r="J16" s="1">
        <f>(1-exposure!J$7+exposure!J$5)*I16</f>
        <v>15755330.521127598</v>
      </c>
      <c r="K16" s="1">
        <f>(1-exposure!K$7+exposure!K$5)*J16</f>
        <v>16010566.875569865</v>
      </c>
      <c r="L16" s="1">
        <f>(1-exposure!L$7+exposure!L$5)*K16</f>
        <v>16263533.832203869</v>
      </c>
      <c r="M16" s="1">
        <f>(1-exposure!M$7+exposure!M$5)*L16</f>
        <v>16513992.253219809</v>
      </c>
    </row>
    <row r="17" spans="1:13" x14ac:dyDescent="0.2">
      <c r="A17" t="str">
        <f>raw!A17</f>
        <v>Ohio Power Co.</v>
      </c>
      <c r="B17" s="1">
        <f>VLOOKUP($A17,raw!$A$4:$AU$24,$B$2,FALSE)</f>
        <v>25424787</v>
      </c>
      <c r="C17" s="16">
        <f t="shared" si="0"/>
        <v>25424787</v>
      </c>
      <c r="D17" s="1">
        <f>(1-exposure!D$7+exposure!D$5)*C17</f>
        <v>25958707.526999999</v>
      </c>
      <c r="E17" s="1">
        <f>(1-exposure!E$7+exposure!E$5)*D17</f>
        <v>26477881.677540001</v>
      </c>
      <c r="F17" s="1">
        <f>(1-exposure!F$7+exposure!F$5)*E17</f>
        <v>26980961.429413259</v>
      </c>
      <c r="G17" s="1">
        <f>(1-exposure!G$7+exposure!G$5)*F17</f>
        <v>27480109.215857401</v>
      </c>
      <c r="H17" s="1">
        <f>(1-exposure!H$7+exposure!H$5)*G17</f>
        <v>27974751.181742836</v>
      </c>
      <c r="I17" s="1">
        <f>(1-exposure!I$7+exposure!I$5)*H17</f>
        <v>28455916.902068809</v>
      </c>
      <c r="J17" s="1">
        <f>(1-exposure!J$7+exposure!J$5)*I17</f>
        <v>28931130.714333355</v>
      </c>
      <c r="K17" s="1">
        <f>(1-exposure!K$7+exposure!K$5)*J17</f>
        <v>29399815.031905554</v>
      </c>
      <c r="L17" s="1">
        <f>(1-exposure!L$7+exposure!L$5)*K17</f>
        <v>29864332.109409664</v>
      </c>
      <c r="M17" s="1">
        <f>(1-exposure!M$7+exposure!M$5)*L17</f>
        <v>30324242.823894575</v>
      </c>
    </row>
    <row r="18" spans="1:13" x14ac:dyDescent="0.2">
      <c r="A18" t="str">
        <f>raw!A18</f>
        <v>PPL Electric Utilities Corp.</v>
      </c>
      <c r="B18" s="1">
        <f>VLOOKUP($A18,raw!$A$4:$AU$24,$B$2,FALSE)</f>
        <v>40614347</v>
      </c>
      <c r="C18" s="16">
        <f t="shared" si="0"/>
        <v>40614347</v>
      </c>
      <c r="D18" s="1">
        <f>(1-exposure!D$7+exposure!D$5)*C18</f>
        <v>41467248.286999993</v>
      </c>
      <c r="E18" s="1">
        <f>(1-exposure!E$7+exposure!E$5)*D18</f>
        <v>42296593.252739996</v>
      </c>
      <c r="F18" s="1">
        <f>(1-exposure!F$7+exposure!F$5)*E18</f>
        <v>43100228.524542049</v>
      </c>
      <c r="G18" s="1">
        <f>(1-exposure!G$7+exposure!G$5)*F18</f>
        <v>43897582.752246074</v>
      </c>
      <c r="H18" s="1">
        <f>(1-exposure!H$7+exposure!H$5)*G18</f>
        <v>44687739.241786502</v>
      </c>
      <c r="I18" s="1">
        <f>(1-exposure!I$7+exposure!I$5)*H18</f>
        <v>45456368.356745228</v>
      </c>
      <c r="J18" s="1">
        <f>(1-exposure!J$7+exposure!J$5)*I18</f>
        <v>46215489.70830287</v>
      </c>
      <c r="K18" s="1">
        <f>(1-exposure!K$7+exposure!K$5)*J18</f>
        <v>46964180.641577378</v>
      </c>
      <c r="L18" s="1">
        <f>(1-exposure!L$7+exposure!L$5)*K18</f>
        <v>47706214.695714302</v>
      </c>
      <c r="M18" s="1">
        <f>(1-exposure!M$7+exposure!M$5)*L18</f>
        <v>48440890.402028307</v>
      </c>
    </row>
    <row r="19" spans="1:13" x14ac:dyDescent="0.2">
      <c r="A19" t="str">
        <f>raw!A19</f>
        <v>Pacific Gas &amp; Electric Co.</v>
      </c>
      <c r="B19" s="1">
        <f>VLOOKUP($A19,raw!$A$4:$AU$24,$B$2,FALSE)</f>
        <v>150912384</v>
      </c>
      <c r="C19" s="16">
        <f t="shared" si="0"/>
        <v>150912384</v>
      </c>
      <c r="D19" s="1">
        <f>(1-exposure!D$7+exposure!D$5)*C19</f>
        <v>154081544.06399998</v>
      </c>
      <c r="E19" s="1">
        <f>(1-exposure!E$7+exposure!E$5)*D19</f>
        <v>157163174.94527999</v>
      </c>
      <c r="F19" s="1">
        <f>(1-exposure!F$7+exposure!F$5)*E19</f>
        <v>160149275.26924029</v>
      </c>
      <c r="G19" s="1">
        <f>(1-exposure!G$7+exposure!G$5)*F19</f>
        <v>163112036.86172122</v>
      </c>
      <c r="H19" s="1">
        <f>(1-exposure!H$7+exposure!H$5)*G19</f>
        <v>166048053.5252322</v>
      </c>
      <c r="I19" s="1">
        <f>(1-exposure!I$7+exposure!I$5)*H19</f>
        <v>168904080.04586616</v>
      </c>
      <c r="J19" s="1">
        <f>(1-exposure!J$7+exposure!J$5)*I19</f>
        <v>171724778.18263212</v>
      </c>
      <c r="K19" s="1">
        <f>(1-exposure!K$7+exposure!K$5)*J19</f>
        <v>174506719.58919075</v>
      </c>
      <c r="L19" s="1">
        <f>(1-exposure!L$7+exposure!L$5)*K19</f>
        <v>177263925.75869998</v>
      </c>
      <c r="M19" s="1">
        <f>(1-exposure!M$7+exposure!M$5)*L19</f>
        <v>179993790.21538398</v>
      </c>
    </row>
    <row r="20" spans="1:13" x14ac:dyDescent="0.2">
      <c r="A20" t="str">
        <f>raw!A20</f>
        <v>Public Service Electric &amp; Gas Co.</v>
      </c>
      <c r="B20" s="1">
        <f>VLOOKUP($A20,raw!$A$4:$AU$24,$B$2,FALSE)</f>
        <v>62626363</v>
      </c>
      <c r="C20" s="16">
        <f t="shared" si="0"/>
        <v>62626363</v>
      </c>
      <c r="D20" s="1">
        <f>(1-exposure!D$7+exposure!D$5)*C20</f>
        <v>63941516.622999996</v>
      </c>
      <c r="E20" s="1">
        <f>(1-exposure!E$7+exposure!E$5)*D20</f>
        <v>65220346.955459997</v>
      </c>
      <c r="F20" s="1">
        <f>(1-exposure!F$7+exposure!F$5)*E20</f>
        <v>66459533.547613733</v>
      </c>
      <c r="G20" s="1">
        <f>(1-exposure!G$7+exposure!G$5)*F20</f>
        <v>67689034.918244585</v>
      </c>
      <c r="H20" s="1">
        <f>(1-exposure!H$7+exposure!H$5)*G20</f>
        <v>68907437.546772987</v>
      </c>
      <c r="I20" s="1">
        <f>(1-exposure!I$7+exposure!I$5)*H20</f>
        <v>70092645.472577468</v>
      </c>
      <c r="J20" s="1">
        <f>(1-exposure!J$7+exposure!J$5)*I20</f>
        <v>71263192.651969507</v>
      </c>
      <c r="K20" s="1">
        <f>(1-exposure!K$7+exposure!K$5)*J20</f>
        <v>72417656.372931406</v>
      </c>
      <c r="L20" s="1">
        <f>(1-exposure!L$7+exposure!L$5)*K20</f>
        <v>73561855.343623728</v>
      </c>
      <c r="M20" s="1">
        <f>(1-exposure!M$7+exposure!M$5)*L20</f>
        <v>74694707.915915534</v>
      </c>
    </row>
    <row r="21" spans="1:13" x14ac:dyDescent="0.2">
      <c r="A21" t="str">
        <f>raw!A21</f>
        <v>San Diego Gas &amp; Electric Co.</v>
      </c>
      <c r="B21" s="1">
        <f>VLOOKUP($A21,raw!$A$4:$AU$24,$B$2,FALSE)</f>
        <v>17495608</v>
      </c>
      <c r="C21" s="16">
        <f t="shared" si="0"/>
        <v>17495608</v>
      </c>
      <c r="D21" s="1">
        <f>(1-exposure!D$7+exposure!D$5)*C21</f>
        <v>17863015.767999999</v>
      </c>
      <c r="E21" s="1">
        <f>(1-exposure!E$7+exposure!E$5)*D21</f>
        <v>18220276.083359998</v>
      </c>
      <c r="F21" s="1">
        <f>(1-exposure!F$7+exposure!F$5)*E21</f>
        <v>18566461.328943837</v>
      </c>
      <c r="G21" s="1">
        <f>(1-exposure!G$7+exposure!G$5)*F21</f>
        <v>18909940.863529298</v>
      </c>
      <c r="H21" s="1">
        <f>(1-exposure!H$7+exposure!H$5)*G21</f>
        <v>19250319.799072824</v>
      </c>
      <c r="I21" s="1">
        <f>(1-exposure!I$7+exposure!I$5)*H21</f>
        <v>19581425.299616873</v>
      </c>
      <c r="J21" s="1">
        <f>(1-exposure!J$7+exposure!J$5)*I21</f>
        <v>19908435.102120474</v>
      </c>
      <c r="K21" s="1">
        <f>(1-exposure!K$7+exposure!K$5)*J21</f>
        <v>20230951.750774827</v>
      </c>
      <c r="L21" s="1">
        <f>(1-exposure!L$7+exposure!L$5)*K21</f>
        <v>20550600.788437068</v>
      </c>
      <c r="M21" s="1">
        <f>(1-exposure!M$7+exposure!M$5)*L21</f>
        <v>20867080.040579002</v>
      </c>
    </row>
    <row r="22" spans="1:13" x14ac:dyDescent="0.2">
      <c r="A22" t="str">
        <f>raw!A22</f>
        <v>Southern California Edison Co.</v>
      </c>
      <c r="B22" s="1">
        <f>VLOOKUP($A22,raw!$A$4:$AU$24,$B$2,FALSE)</f>
        <v>87377561</v>
      </c>
      <c r="C22" s="16">
        <f t="shared" si="0"/>
        <v>87377561</v>
      </c>
      <c r="D22" s="1">
        <f>(1-exposure!D$7+exposure!D$5)*C22</f>
        <v>89212489.780999988</v>
      </c>
      <c r="E22" s="1">
        <f>(1-exposure!E$7+exposure!E$5)*D22</f>
        <v>90996739.576619983</v>
      </c>
      <c r="F22" s="1">
        <f>(1-exposure!F$7+exposure!F$5)*E22</f>
        <v>92725677.628575757</v>
      </c>
      <c r="G22" s="1">
        <f>(1-exposure!G$7+exposure!G$5)*F22</f>
        <v>94441102.664704412</v>
      </c>
      <c r="H22" s="1">
        <f>(1-exposure!H$7+exposure!H$5)*G22</f>
        <v>96141042.512669086</v>
      </c>
      <c r="I22" s="1">
        <f>(1-exposure!I$7+exposure!I$5)*H22</f>
        <v>97794668.44388698</v>
      </c>
      <c r="J22" s="1">
        <f>(1-exposure!J$7+exposure!J$5)*I22</f>
        <v>99427839.406899884</v>
      </c>
      <c r="K22" s="1">
        <f>(1-exposure!K$7+exposure!K$5)*J22</f>
        <v>101038570.40529166</v>
      </c>
      <c r="L22" s="1">
        <f>(1-exposure!L$7+exposure!L$5)*K22</f>
        <v>102634979.81769527</v>
      </c>
      <c r="M22" s="1">
        <f>(1-exposure!M$7+exposure!M$5)*L22</f>
        <v>104215558.50688779</v>
      </c>
    </row>
    <row r="23" spans="1:13" x14ac:dyDescent="0.2">
      <c r="A23" t="str">
        <f>raw!A23</f>
        <v>Southwestern Public Service Co.</v>
      </c>
      <c r="B23" s="1">
        <f>VLOOKUP($A23,raw!$A$4:$AU$24,$B$2,FALSE)</f>
        <v>12450106</v>
      </c>
      <c r="C23" s="16">
        <f t="shared" si="0"/>
        <v>12450106</v>
      </c>
      <c r="D23" s="1">
        <f>(1-exposure!D$7+exposure!D$5)*C23</f>
        <v>12711558.225999998</v>
      </c>
      <c r="E23" s="1">
        <f>(1-exposure!E$7+exposure!E$5)*D23</f>
        <v>12965789.390519999</v>
      </c>
      <c r="F23" s="1">
        <f>(1-exposure!F$7+exposure!F$5)*E23</f>
        <v>13212139.388939878</v>
      </c>
      <c r="G23" s="1">
        <f>(1-exposure!G$7+exposure!G$5)*F23</f>
        <v>13456563.967635265</v>
      </c>
      <c r="H23" s="1">
        <f>(1-exposure!H$7+exposure!H$5)*G23</f>
        <v>13698782.119052699</v>
      </c>
      <c r="I23" s="1">
        <f>(1-exposure!I$7+exposure!I$5)*H23</f>
        <v>13934401.171500403</v>
      </c>
      <c r="J23" s="1">
        <f>(1-exposure!J$7+exposure!J$5)*I23</f>
        <v>14167105.671064459</v>
      </c>
      <c r="K23" s="1">
        <f>(1-exposure!K$7+exposure!K$5)*J23</f>
        <v>14396612.782935703</v>
      </c>
      <c r="L23" s="1">
        <f>(1-exposure!L$7+exposure!L$5)*K23</f>
        <v>14624079.264906088</v>
      </c>
      <c r="M23" s="1">
        <f>(1-exposure!M$7+exposure!M$5)*L23</f>
        <v>14849290.085585643</v>
      </c>
    </row>
    <row r="24" spans="1:13" x14ac:dyDescent="0.2">
      <c r="A24" t="str">
        <f>raw!A24</f>
        <v>TXU Electric Co.</v>
      </c>
      <c r="B24" s="1">
        <f>VLOOKUP($A24,raw!$A$4:$AU$24,$B$2,FALSE)</f>
        <v>59111883</v>
      </c>
      <c r="C24" s="16">
        <f t="shared" si="0"/>
        <v>59111883</v>
      </c>
      <c r="D24" s="1">
        <f>(1-exposure!D$7+exposure!D$5)*C24</f>
        <v>60353232.542999998</v>
      </c>
      <c r="E24" s="1">
        <f>(1-exposure!E$7+exposure!E$5)*D24</f>
        <v>61560297.193860002</v>
      </c>
      <c r="F24" s="1">
        <f>(1-exposure!F$7+exposure!F$5)*E24</f>
        <v>62729942.840543337</v>
      </c>
      <c r="G24" s="1">
        <f>(1-exposure!G$7+exposure!G$5)*F24</f>
        <v>63890446.783093385</v>
      </c>
      <c r="H24" s="1">
        <f>(1-exposure!H$7+exposure!H$5)*G24</f>
        <v>65040474.825189069</v>
      </c>
      <c r="I24" s="1">
        <f>(1-exposure!I$7+exposure!I$5)*H24</f>
        <v>66159170.992182314</v>
      </c>
      <c r="J24" s="1">
        <f>(1-exposure!J$7+exposure!J$5)*I24</f>
        <v>67264029.147751749</v>
      </c>
      <c r="K24" s="1">
        <f>(1-exposure!K$7+exposure!K$5)*J24</f>
        <v>68353706.419945329</v>
      </c>
      <c r="L24" s="1">
        <f>(1-exposure!L$7+exposure!L$5)*K24</f>
        <v>69433694.981380463</v>
      </c>
      <c r="M24" s="1">
        <f>(1-exposure!M$7+exposure!M$5)*L24</f>
        <v>70502973.884093732</v>
      </c>
    </row>
  </sheetData>
  <pageMargins left="0.75" right="0.75" top="1" bottom="1" header="0.5" footer="0.5"/>
  <pageSetup scale="65" orientation="landscape" verticalDpi="0" r:id="rId1"/>
  <headerFooter alignWithMargins="0">
    <oddFooter>Page &amp;P&amp;R&amp;A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workbookViewId="0">
      <selection activeCell="E25" sqref="E25"/>
    </sheetView>
  </sheetViews>
  <sheetFormatPr defaultRowHeight="12.75" x14ac:dyDescent="0.2"/>
  <cols>
    <col min="1" max="1" width="36.140625" bestFit="1" customWidth="1"/>
    <col min="2" max="2" width="14.85546875" bestFit="1" customWidth="1"/>
  </cols>
  <sheetData>
    <row r="1" spans="1:13" x14ac:dyDescent="0.2">
      <c r="A1" t="s">
        <v>529</v>
      </c>
    </row>
    <row r="3" spans="1:13" x14ac:dyDescent="0.2">
      <c r="A3" s="8" t="s">
        <v>177</v>
      </c>
      <c r="B3" s="8">
        <v>1998</v>
      </c>
      <c r="C3" s="8">
        <v>2000</v>
      </c>
      <c r="D3" s="8">
        <v>2001</v>
      </c>
      <c r="E3" s="8">
        <v>2002</v>
      </c>
      <c r="F3" s="8">
        <v>2003</v>
      </c>
      <c r="G3" s="8">
        <v>2004</v>
      </c>
      <c r="H3" s="8">
        <v>2005</v>
      </c>
      <c r="I3" s="8">
        <v>2006</v>
      </c>
      <c r="J3" s="8">
        <v>2007</v>
      </c>
      <c r="K3" s="8">
        <v>2008</v>
      </c>
      <c r="L3" s="8">
        <v>2009</v>
      </c>
      <c r="M3" s="8">
        <v>2010</v>
      </c>
    </row>
    <row r="4" spans="1:13" x14ac:dyDescent="0.2">
      <c r="A4" t="str">
        <f>raw!A4</f>
        <v>Boston Edison Co.</v>
      </c>
      <c r="B4" s="2">
        <f>rawcalc!D4</f>
        <v>0.34245554823437641</v>
      </c>
      <c r="C4" s="19">
        <f>B4</f>
        <v>0.34245554823437641</v>
      </c>
      <c r="D4" s="19">
        <f t="shared" ref="D4:M4" si="0">C4</f>
        <v>0.34245554823437641</v>
      </c>
      <c r="E4" s="19">
        <f t="shared" si="0"/>
        <v>0.34245554823437641</v>
      </c>
      <c r="F4" s="19">
        <f t="shared" si="0"/>
        <v>0.34245554823437641</v>
      </c>
      <c r="G4" s="19">
        <f t="shared" si="0"/>
        <v>0.34245554823437641</v>
      </c>
      <c r="H4" s="19">
        <f t="shared" si="0"/>
        <v>0.34245554823437641</v>
      </c>
      <c r="I4" s="19">
        <f t="shared" si="0"/>
        <v>0.34245554823437641</v>
      </c>
      <c r="J4" s="19">
        <f t="shared" si="0"/>
        <v>0.34245554823437641</v>
      </c>
      <c r="K4" s="19">
        <f t="shared" si="0"/>
        <v>0.34245554823437641</v>
      </c>
      <c r="L4" s="19">
        <f t="shared" si="0"/>
        <v>0.34245554823437641</v>
      </c>
      <c r="M4" s="19">
        <f t="shared" si="0"/>
        <v>0.34245554823437641</v>
      </c>
    </row>
    <row r="5" spans="1:13" x14ac:dyDescent="0.2">
      <c r="A5" t="str">
        <f>raw!A5</f>
        <v>Carolina Power &amp; Light Co.</v>
      </c>
      <c r="B5" s="2">
        <f>rawcalc!D5</f>
        <v>0.28716465124845347</v>
      </c>
      <c r="C5" s="19">
        <f t="shared" ref="C5:M5" si="1">B5</f>
        <v>0.28716465124845347</v>
      </c>
      <c r="D5" s="19">
        <f t="shared" si="1"/>
        <v>0.28716465124845347</v>
      </c>
      <c r="E5" s="19">
        <f t="shared" si="1"/>
        <v>0.28716465124845347</v>
      </c>
      <c r="F5" s="19">
        <f t="shared" si="1"/>
        <v>0.28716465124845347</v>
      </c>
      <c r="G5" s="19">
        <f t="shared" si="1"/>
        <v>0.28716465124845347</v>
      </c>
      <c r="H5" s="19">
        <f t="shared" si="1"/>
        <v>0.28716465124845347</v>
      </c>
      <c r="I5" s="19">
        <f t="shared" si="1"/>
        <v>0.28716465124845347</v>
      </c>
      <c r="J5" s="19">
        <f t="shared" si="1"/>
        <v>0.28716465124845347</v>
      </c>
      <c r="K5" s="19">
        <f t="shared" si="1"/>
        <v>0.28716465124845347</v>
      </c>
      <c r="L5" s="19">
        <f t="shared" si="1"/>
        <v>0.28716465124845347</v>
      </c>
      <c r="M5" s="19">
        <f t="shared" si="1"/>
        <v>0.28716465124845347</v>
      </c>
    </row>
    <row r="6" spans="1:13" x14ac:dyDescent="0.2">
      <c r="A6" t="str">
        <f>raw!A6</f>
        <v>Central Hudson Gas &amp; Electric Corp.</v>
      </c>
      <c r="B6" s="2">
        <f>rawcalc!D6</f>
        <v>0.39269614499555833</v>
      </c>
      <c r="C6" s="19">
        <f t="shared" ref="C6:M6" si="2">B6</f>
        <v>0.39269614499555833</v>
      </c>
      <c r="D6" s="19">
        <f t="shared" si="2"/>
        <v>0.39269614499555833</v>
      </c>
      <c r="E6" s="19">
        <f t="shared" si="2"/>
        <v>0.39269614499555833</v>
      </c>
      <c r="F6" s="19">
        <f t="shared" si="2"/>
        <v>0.39269614499555833</v>
      </c>
      <c r="G6" s="19">
        <f t="shared" si="2"/>
        <v>0.39269614499555833</v>
      </c>
      <c r="H6" s="19">
        <f t="shared" si="2"/>
        <v>0.39269614499555833</v>
      </c>
      <c r="I6" s="19">
        <f t="shared" si="2"/>
        <v>0.39269614499555833</v>
      </c>
      <c r="J6" s="19">
        <f t="shared" si="2"/>
        <v>0.39269614499555833</v>
      </c>
      <c r="K6" s="19">
        <f t="shared" si="2"/>
        <v>0.39269614499555833</v>
      </c>
      <c r="L6" s="19">
        <f t="shared" si="2"/>
        <v>0.39269614499555833</v>
      </c>
      <c r="M6" s="19">
        <f t="shared" si="2"/>
        <v>0.39269614499555833</v>
      </c>
    </row>
    <row r="7" spans="1:13" x14ac:dyDescent="0.2">
      <c r="A7" t="str">
        <f>raw!A7</f>
        <v>Commonwealth Edison Co.</v>
      </c>
      <c r="B7" s="2">
        <f>rawcalc!D7</f>
        <v>0.32524368524089881</v>
      </c>
      <c r="C7" s="19">
        <f t="shared" ref="C7:M7" si="3">B7</f>
        <v>0.32524368524089881</v>
      </c>
      <c r="D7" s="19">
        <f t="shared" si="3"/>
        <v>0.32524368524089881</v>
      </c>
      <c r="E7" s="19">
        <f t="shared" si="3"/>
        <v>0.32524368524089881</v>
      </c>
      <c r="F7" s="19">
        <f t="shared" si="3"/>
        <v>0.32524368524089881</v>
      </c>
      <c r="G7" s="19">
        <f t="shared" si="3"/>
        <v>0.32524368524089881</v>
      </c>
      <c r="H7" s="19">
        <f t="shared" si="3"/>
        <v>0.32524368524089881</v>
      </c>
      <c r="I7" s="19">
        <f t="shared" si="3"/>
        <v>0.32524368524089881</v>
      </c>
      <c r="J7" s="19">
        <f t="shared" si="3"/>
        <v>0.32524368524089881</v>
      </c>
      <c r="K7" s="19">
        <f t="shared" si="3"/>
        <v>0.32524368524089881</v>
      </c>
      <c r="L7" s="19">
        <f t="shared" si="3"/>
        <v>0.32524368524089881</v>
      </c>
      <c r="M7" s="19">
        <f t="shared" si="3"/>
        <v>0.32524368524089881</v>
      </c>
    </row>
    <row r="8" spans="1:13" x14ac:dyDescent="0.2">
      <c r="A8" t="str">
        <f>raw!A8</f>
        <v>Consolidated Edison Co. of New York, Inc.</v>
      </c>
      <c r="B8" s="2">
        <f>rawcalc!D8</f>
        <v>0.19920443667400095</v>
      </c>
      <c r="C8" s="19">
        <f t="shared" ref="C8:M8" si="4">B8</f>
        <v>0.19920443667400095</v>
      </c>
      <c r="D8" s="19">
        <f t="shared" si="4"/>
        <v>0.19920443667400095</v>
      </c>
      <c r="E8" s="19">
        <f t="shared" si="4"/>
        <v>0.19920443667400095</v>
      </c>
      <c r="F8" s="19">
        <f t="shared" si="4"/>
        <v>0.19920443667400095</v>
      </c>
      <c r="G8" s="19">
        <f t="shared" si="4"/>
        <v>0.19920443667400095</v>
      </c>
      <c r="H8" s="19">
        <f t="shared" si="4"/>
        <v>0.19920443667400095</v>
      </c>
      <c r="I8" s="19">
        <f t="shared" si="4"/>
        <v>0.19920443667400095</v>
      </c>
      <c r="J8" s="19">
        <f t="shared" si="4"/>
        <v>0.19920443667400095</v>
      </c>
      <c r="K8" s="19">
        <f t="shared" si="4"/>
        <v>0.19920443667400095</v>
      </c>
      <c r="L8" s="19">
        <f t="shared" si="4"/>
        <v>0.19920443667400095</v>
      </c>
      <c r="M8" s="19">
        <f t="shared" si="4"/>
        <v>0.19920443667400095</v>
      </c>
    </row>
    <row r="9" spans="1:13" x14ac:dyDescent="0.2">
      <c r="A9" t="str">
        <f>raw!A9</f>
        <v>Consumers Energy Co.</v>
      </c>
      <c r="B9" s="2">
        <f>rawcalc!D9</f>
        <v>0.27389740936605761</v>
      </c>
      <c r="C9" s="19">
        <f t="shared" ref="C9:M9" si="5">B9</f>
        <v>0.27389740936605761</v>
      </c>
      <c r="D9" s="19">
        <f t="shared" si="5"/>
        <v>0.27389740936605761</v>
      </c>
      <c r="E9" s="19">
        <f t="shared" si="5"/>
        <v>0.27389740936605761</v>
      </c>
      <c r="F9" s="19">
        <f t="shared" si="5"/>
        <v>0.27389740936605761</v>
      </c>
      <c r="G9" s="19">
        <f t="shared" si="5"/>
        <v>0.27389740936605761</v>
      </c>
      <c r="H9" s="19">
        <f t="shared" si="5"/>
        <v>0.27389740936605761</v>
      </c>
      <c r="I9" s="19">
        <f t="shared" si="5"/>
        <v>0.27389740936605761</v>
      </c>
      <c r="J9" s="19">
        <f t="shared" si="5"/>
        <v>0.27389740936605761</v>
      </c>
      <c r="K9" s="19">
        <f t="shared" si="5"/>
        <v>0.27389740936605761</v>
      </c>
      <c r="L9" s="19">
        <f t="shared" si="5"/>
        <v>0.27389740936605761</v>
      </c>
      <c r="M9" s="19">
        <f t="shared" si="5"/>
        <v>0.27389740936605761</v>
      </c>
    </row>
    <row r="10" spans="1:13" x14ac:dyDescent="0.2">
      <c r="A10" t="str">
        <f>raw!A10</f>
        <v>Duke Energy Corp.</v>
      </c>
      <c r="B10" s="2">
        <f>rawcalc!D10</f>
        <v>0.38958929877716275</v>
      </c>
      <c r="C10" s="19">
        <f t="shared" ref="C10:M10" si="6">B10</f>
        <v>0.38958929877716275</v>
      </c>
      <c r="D10" s="19">
        <f t="shared" si="6"/>
        <v>0.38958929877716275</v>
      </c>
      <c r="E10" s="19">
        <f t="shared" si="6"/>
        <v>0.38958929877716275</v>
      </c>
      <c r="F10" s="19">
        <f t="shared" si="6"/>
        <v>0.38958929877716275</v>
      </c>
      <c r="G10" s="19">
        <f t="shared" si="6"/>
        <v>0.38958929877716275</v>
      </c>
      <c r="H10" s="19">
        <f t="shared" si="6"/>
        <v>0.38958929877716275</v>
      </c>
      <c r="I10" s="19">
        <f t="shared" si="6"/>
        <v>0.38958929877716275</v>
      </c>
      <c r="J10" s="19">
        <f t="shared" si="6"/>
        <v>0.38958929877716275</v>
      </c>
      <c r="K10" s="19">
        <f t="shared" si="6"/>
        <v>0.38958929877716275</v>
      </c>
      <c r="L10" s="19">
        <f t="shared" si="6"/>
        <v>0.38958929877716275</v>
      </c>
      <c r="M10" s="19">
        <f t="shared" si="6"/>
        <v>0.38958929877716275</v>
      </c>
    </row>
    <row r="11" spans="1:13" x14ac:dyDescent="0.2">
      <c r="A11" t="str">
        <f>raw!A11</f>
        <v>Entergy Mississippi, Inc.</v>
      </c>
      <c r="B11" s="2">
        <f>rawcalc!D11</f>
        <v>0.28055888598679612</v>
      </c>
      <c r="C11" s="19">
        <f t="shared" ref="C11:M11" si="7">B11</f>
        <v>0.28055888598679612</v>
      </c>
      <c r="D11" s="19">
        <f t="shared" si="7"/>
        <v>0.28055888598679612</v>
      </c>
      <c r="E11" s="19">
        <f t="shared" si="7"/>
        <v>0.28055888598679612</v>
      </c>
      <c r="F11" s="19">
        <f t="shared" si="7"/>
        <v>0.28055888598679612</v>
      </c>
      <c r="G11" s="19">
        <f t="shared" si="7"/>
        <v>0.28055888598679612</v>
      </c>
      <c r="H11" s="19">
        <f t="shared" si="7"/>
        <v>0.28055888598679612</v>
      </c>
      <c r="I11" s="19">
        <f t="shared" si="7"/>
        <v>0.28055888598679612</v>
      </c>
      <c r="J11" s="19">
        <f t="shared" si="7"/>
        <v>0.28055888598679612</v>
      </c>
      <c r="K11" s="19">
        <f t="shared" si="7"/>
        <v>0.28055888598679612</v>
      </c>
      <c r="L11" s="19">
        <f t="shared" si="7"/>
        <v>0.28055888598679612</v>
      </c>
      <c r="M11" s="19">
        <f t="shared" si="7"/>
        <v>0.28055888598679612</v>
      </c>
    </row>
    <row r="12" spans="1:13" x14ac:dyDescent="0.2">
      <c r="A12" t="str">
        <f>raw!A12</f>
        <v>Florida Power &amp; Light Co.</v>
      </c>
      <c r="B12" s="2">
        <f>rawcalc!D12</f>
        <v>0.36240184655888613</v>
      </c>
      <c r="C12" s="19">
        <f t="shared" ref="C12:M12" si="8">B12</f>
        <v>0.36240184655888613</v>
      </c>
      <c r="D12" s="19">
        <f t="shared" si="8"/>
        <v>0.36240184655888613</v>
      </c>
      <c r="E12" s="19">
        <f t="shared" si="8"/>
        <v>0.36240184655888613</v>
      </c>
      <c r="F12" s="19">
        <f t="shared" si="8"/>
        <v>0.36240184655888613</v>
      </c>
      <c r="G12" s="19">
        <f t="shared" si="8"/>
        <v>0.36240184655888613</v>
      </c>
      <c r="H12" s="19">
        <f t="shared" si="8"/>
        <v>0.36240184655888613</v>
      </c>
      <c r="I12" s="19">
        <f t="shared" si="8"/>
        <v>0.36240184655888613</v>
      </c>
      <c r="J12" s="19">
        <f t="shared" si="8"/>
        <v>0.36240184655888613</v>
      </c>
      <c r="K12" s="19">
        <f t="shared" si="8"/>
        <v>0.36240184655888613</v>
      </c>
      <c r="L12" s="19">
        <f t="shared" si="8"/>
        <v>0.36240184655888613</v>
      </c>
      <c r="M12" s="19">
        <f t="shared" si="8"/>
        <v>0.36240184655888613</v>
      </c>
    </row>
    <row r="13" spans="1:13" x14ac:dyDescent="0.2">
      <c r="A13" t="str">
        <f>raw!A13</f>
        <v>Gulf Power Co.</v>
      </c>
      <c r="B13" s="2">
        <f>rawcalc!D13</f>
        <v>0.3235754844698116</v>
      </c>
      <c r="C13" s="19">
        <f t="shared" ref="C13:M13" si="9">B13</f>
        <v>0.3235754844698116</v>
      </c>
      <c r="D13" s="19">
        <f t="shared" si="9"/>
        <v>0.3235754844698116</v>
      </c>
      <c r="E13" s="19">
        <f t="shared" si="9"/>
        <v>0.3235754844698116</v>
      </c>
      <c r="F13" s="19">
        <f t="shared" si="9"/>
        <v>0.3235754844698116</v>
      </c>
      <c r="G13" s="19">
        <f t="shared" si="9"/>
        <v>0.3235754844698116</v>
      </c>
      <c r="H13" s="19">
        <f t="shared" si="9"/>
        <v>0.3235754844698116</v>
      </c>
      <c r="I13" s="19">
        <f t="shared" si="9"/>
        <v>0.3235754844698116</v>
      </c>
      <c r="J13" s="19">
        <f t="shared" si="9"/>
        <v>0.3235754844698116</v>
      </c>
      <c r="K13" s="19">
        <f t="shared" si="9"/>
        <v>0.3235754844698116</v>
      </c>
      <c r="L13" s="19">
        <f t="shared" si="9"/>
        <v>0.3235754844698116</v>
      </c>
      <c r="M13" s="19">
        <f t="shared" si="9"/>
        <v>0.3235754844698116</v>
      </c>
    </row>
    <row r="14" spans="1:13" x14ac:dyDescent="0.2">
      <c r="A14" t="str">
        <f>raw!A14</f>
        <v>Illinois Power Co.</v>
      </c>
      <c r="B14" s="2">
        <f>rawcalc!D14</f>
        <v>0.2902902273102248</v>
      </c>
      <c r="C14" s="19">
        <f t="shared" ref="C14:M14" si="10">B14</f>
        <v>0.2902902273102248</v>
      </c>
      <c r="D14" s="19">
        <f t="shared" si="10"/>
        <v>0.2902902273102248</v>
      </c>
      <c r="E14" s="19">
        <f t="shared" si="10"/>
        <v>0.2902902273102248</v>
      </c>
      <c r="F14" s="19">
        <f t="shared" si="10"/>
        <v>0.2902902273102248</v>
      </c>
      <c r="G14" s="19">
        <f t="shared" si="10"/>
        <v>0.2902902273102248</v>
      </c>
      <c r="H14" s="19">
        <f t="shared" si="10"/>
        <v>0.2902902273102248</v>
      </c>
      <c r="I14" s="19">
        <f t="shared" si="10"/>
        <v>0.2902902273102248</v>
      </c>
      <c r="J14" s="19">
        <f t="shared" si="10"/>
        <v>0.2902902273102248</v>
      </c>
      <c r="K14" s="19">
        <f t="shared" si="10"/>
        <v>0.2902902273102248</v>
      </c>
      <c r="L14" s="19">
        <f t="shared" si="10"/>
        <v>0.2902902273102248</v>
      </c>
      <c r="M14" s="19">
        <f t="shared" si="10"/>
        <v>0.2902902273102248</v>
      </c>
    </row>
    <row r="15" spans="1:13" x14ac:dyDescent="0.2">
      <c r="A15" t="str">
        <f>raw!A15</f>
        <v>Jersey Central Power &amp; Light Co.</v>
      </c>
      <c r="B15" s="2">
        <f>rawcalc!D15</f>
        <v>0.26639719530621603</v>
      </c>
      <c r="C15" s="19">
        <f t="shared" ref="C15:M15" si="11">B15</f>
        <v>0.26639719530621603</v>
      </c>
      <c r="D15" s="19">
        <f t="shared" si="11"/>
        <v>0.26639719530621603</v>
      </c>
      <c r="E15" s="19">
        <f t="shared" si="11"/>
        <v>0.26639719530621603</v>
      </c>
      <c r="F15" s="19">
        <f t="shared" si="11"/>
        <v>0.26639719530621603</v>
      </c>
      <c r="G15" s="19">
        <f t="shared" si="11"/>
        <v>0.26639719530621603</v>
      </c>
      <c r="H15" s="19">
        <f t="shared" si="11"/>
        <v>0.26639719530621603</v>
      </c>
      <c r="I15" s="19">
        <f t="shared" si="11"/>
        <v>0.26639719530621603</v>
      </c>
      <c r="J15" s="19">
        <f t="shared" si="11"/>
        <v>0.26639719530621603</v>
      </c>
      <c r="K15" s="19">
        <f t="shared" si="11"/>
        <v>0.26639719530621603</v>
      </c>
      <c r="L15" s="19">
        <f t="shared" si="11"/>
        <v>0.26639719530621603</v>
      </c>
      <c r="M15" s="19">
        <f t="shared" si="11"/>
        <v>0.26639719530621603</v>
      </c>
    </row>
    <row r="16" spans="1:13" x14ac:dyDescent="0.2">
      <c r="A16" t="str">
        <f>raw!A16</f>
        <v>Kentucky Utilities Co.</v>
      </c>
      <c r="B16" s="2">
        <f>rawcalc!D16</f>
        <v>0.32872991560987214</v>
      </c>
      <c r="C16" s="19">
        <f t="shared" ref="C16:M16" si="12">B16</f>
        <v>0.32872991560987214</v>
      </c>
      <c r="D16" s="19">
        <f t="shared" si="12"/>
        <v>0.32872991560987214</v>
      </c>
      <c r="E16" s="19">
        <f t="shared" si="12"/>
        <v>0.32872991560987214</v>
      </c>
      <c r="F16" s="19">
        <f t="shared" si="12"/>
        <v>0.32872991560987214</v>
      </c>
      <c r="G16" s="19">
        <f t="shared" si="12"/>
        <v>0.32872991560987214</v>
      </c>
      <c r="H16" s="19">
        <f t="shared" si="12"/>
        <v>0.32872991560987214</v>
      </c>
      <c r="I16" s="19">
        <f t="shared" si="12"/>
        <v>0.32872991560987214</v>
      </c>
      <c r="J16" s="19">
        <f t="shared" si="12"/>
        <v>0.32872991560987214</v>
      </c>
      <c r="K16" s="19">
        <f t="shared" si="12"/>
        <v>0.32872991560987214</v>
      </c>
      <c r="L16" s="19">
        <f t="shared" si="12"/>
        <v>0.32872991560987214</v>
      </c>
      <c r="M16" s="19">
        <f t="shared" si="12"/>
        <v>0.32872991560987214</v>
      </c>
    </row>
    <row r="17" spans="1:13" x14ac:dyDescent="0.2">
      <c r="A17" t="str">
        <f>raw!A17</f>
        <v>Ohio Power Co.</v>
      </c>
      <c r="B17" s="2">
        <f>rawcalc!D17</f>
        <v>0.28663217739387098</v>
      </c>
      <c r="C17" s="19">
        <f t="shared" ref="C17:M17" si="13">B17</f>
        <v>0.28663217739387098</v>
      </c>
      <c r="D17" s="19">
        <f t="shared" si="13"/>
        <v>0.28663217739387098</v>
      </c>
      <c r="E17" s="19">
        <f t="shared" si="13"/>
        <v>0.28663217739387098</v>
      </c>
      <c r="F17" s="19">
        <f t="shared" si="13"/>
        <v>0.28663217739387098</v>
      </c>
      <c r="G17" s="19">
        <f t="shared" si="13"/>
        <v>0.28663217739387098</v>
      </c>
      <c r="H17" s="19">
        <f t="shared" si="13"/>
        <v>0.28663217739387098</v>
      </c>
      <c r="I17" s="19">
        <f t="shared" si="13"/>
        <v>0.28663217739387098</v>
      </c>
      <c r="J17" s="19">
        <f t="shared" si="13"/>
        <v>0.28663217739387098</v>
      </c>
      <c r="K17" s="19">
        <f t="shared" si="13"/>
        <v>0.28663217739387098</v>
      </c>
      <c r="L17" s="19">
        <f t="shared" si="13"/>
        <v>0.28663217739387098</v>
      </c>
      <c r="M17" s="19">
        <f t="shared" si="13"/>
        <v>0.28663217739387098</v>
      </c>
    </row>
    <row r="18" spans="1:13" x14ac:dyDescent="0.2">
      <c r="A18" t="str">
        <f>raw!A18</f>
        <v>PPL Electric Utilities Corp.</v>
      </c>
      <c r="B18" s="2">
        <f>rawcalc!D18</f>
        <v>0.3220021226508491</v>
      </c>
      <c r="C18" s="19">
        <f t="shared" ref="C18:M18" si="14">B18</f>
        <v>0.3220021226508491</v>
      </c>
      <c r="D18" s="19">
        <f t="shared" si="14"/>
        <v>0.3220021226508491</v>
      </c>
      <c r="E18" s="19">
        <f t="shared" si="14"/>
        <v>0.3220021226508491</v>
      </c>
      <c r="F18" s="19">
        <f t="shared" si="14"/>
        <v>0.3220021226508491</v>
      </c>
      <c r="G18" s="19">
        <f t="shared" si="14"/>
        <v>0.3220021226508491</v>
      </c>
      <c r="H18" s="19">
        <f t="shared" si="14"/>
        <v>0.3220021226508491</v>
      </c>
      <c r="I18" s="19">
        <f t="shared" si="14"/>
        <v>0.3220021226508491</v>
      </c>
      <c r="J18" s="19">
        <f t="shared" si="14"/>
        <v>0.3220021226508491</v>
      </c>
      <c r="K18" s="19">
        <f t="shared" si="14"/>
        <v>0.3220021226508491</v>
      </c>
      <c r="L18" s="19">
        <f t="shared" si="14"/>
        <v>0.3220021226508491</v>
      </c>
      <c r="M18" s="19">
        <f t="shared" si="14"/>
        <v>0.3220021226508491</v>
      </c>
    </row>
    <row r="19" spans="1:13" x14ac:dyDescent="0.2">
      <c r="A19" t="str">
        <f>raw!A19</f>
        <v>Pacific Gas &amp; Electric Co.</v>
      </c>
      <c r="B19" s="2">
        <f>rawcalc!D19</f>
        <v>0.31481129768415683</v>
      </c>
      <c r="C19" s="19">
        <f t="shared" ref="C19:M19" si="15">B19</f>
        <v>0.31481129768415683</v>
      </c>
      <c r="D19" s="19">
        <f t="shared" si="15"/>
        <v>0.31481129768415683</v>
      </c>
      <c r="E19" s="19">
        <f t="shared" si="15"/>
        <v>0.31481129768415683</v>
      </c>
      <c r="F19" s="19">
        <f t="shared" si="15"/>
        <v>0.31481129768415683</v>
      </c>
      <c r="G19" s="19">
        <f t="shared" si="15"/>
        <v>0.31481129768415683</v>
      </c>
      <c r="H19" s="19">
        <f t="shared" si="15"/>
        <v>0.31481129768415683</v>
      </c>
      <c r="I19" s="19">
        <f t="shared" si="15"/>
        <v>0.31481129768415683</v>
      </c>
      <c r="J19" s="19">
        <f t="shared" si="15"/>
        <v>0.31481129768415683</v>
      </c>
      <c r="K19" s="19">
        <f t="shared" si="15"/>
        <v>0.31481129768415683</v>
      </c>
      <c r="L19" s="19">
        <f t="shared" si="15"/>
        <v>0.31481129768415683</v>
      </c>
      <c r="M19" s="19">
        <f t="shared" si="15"/>
        <v>0.31481129768415683</v>
      </c>
    </row>
    <row r="20" spans="1:13" x14ac:dyDescent="0.2">
      <c r="A20" t="str">
        <f>raw!A20</f>
        <v>Public Service Electric &amp; Gas Co.</v>
      </c>
      <c r="B20" s="2">
        <f>rawcalc!D20</f>
        <v>0.36106217499250703</v>
      </c>
      <c r="C20" s="19">
        <f t="shared" ref="C20:M20" si="16">B20</f>
        <v>0.36106217499250703</v>
      </c>
      <c r="D20" s="19">
        <f t="shared" si="16"/>
        <v>0.36106217499250703</v>
      </c>
      <c r="E20" s="19">
        <f t="shared" si="16"/>
        <v>0.36106217499250703</v>
      </c>
      <c r="F20" s="19">
        <f t="shared" si="16"/>
        <v>0.36106217499250703</v>
      </c>
      <c r="G20" s="19">
        <f t="shared" si="16"/>
        <v>0.36106217499250703</v>
      </c>
      <c r="H20" s="19">
        <f t="shared" si="16"/>
        <v>0.36106217499250703</v>
      </c>
      <c r="I20" s="19">
        <f t="shared" si="16"/>
        <v>0.36106217499250703</v>
      </c>
      <c r="J20" s="19">
        <f t="shared" si="16"/>
        <v>0.36106217499250703</v>
      </c>
      <c r="K20" s="19">
        <f t="shared" si="16"/>
        <v>0.36106217499250703</v>
      </c>
      <c r="L20" s="19">
        <f t="shared" si="16"/>
        <v>0.36106217499250703</v>
      </c>
      <c r="M20" s="19">
        <f t="shared" si="16"/>
        <v>0.36106217499250703</v>
      </c>
    </row>
    <row r="21" spans="1:13" x14ac:dyDescent="0.2">
      <c r="A21" t="str">
        <f>raw!A21</f>
        <v>San Diego Gas &amp; Electric Co.</v>
      </c>
      <c r="B21" s="2">
        <f>rawcalc!D21</f>
        <v>0.22033766112359929</v>
      </c>
      <c r="C21" s="19">
        <f t="shared" ref="C21:M21" si="17">B21</f>
        <v>0.22033766112359929</v>
      </c>
      <c r="D21" s="19">
        <f t="shared" si="17"/>
        <v>0.22033766112359929</v>
      </c>
      <c r="E21" s="19">
        <f t="shared" si="17"/>
        <v>0.22033766112359929</v>
      </c>
      <c r="F21" s="19">
        <f t="shared" si="17"/>
        <v>0.22033766112359929</v>
      </c>
      <c r="G21" s="19">
        <f t="shared" si="17"/>
        <v>0.22033766112359929</v>
      </c>
      <c r="H21" s="19">
        <f t="shared" si="17"/>
        <v>0.22033766112359929</v>
      </c>
      <c r="I21" s="19">
        <f t="shared" si="17"/>
        <v>0.22033766112359929</v>
      </c>
      <c r="J21" s="19">
        <f t="shared" si="17"/>
        <v>0.22033766112359929</v>
      </c>
      <c r="K21" s="19">
        <f t="shared" si="17"/>
        <v>0.22033766112359929</v>
      </c>
      <c r="L21" s="19">
        <f t="shared" si="17"/>
        <v>0.22033766112359929</v>
      </c>
      <c r="M21" s="19">
        <f t="shared" si="17"/>
        <v>0.22033766112359929</v>
      </c>
    </row>
    <row r="22" spans="1:13" x14ac:dyDescent="0.2">
      <c r="A22" t="str">
        <f>raw!A22</f>
        <v>Southern California Edison Co.</v>
      </c>
      <c r="B22" s="2">
        <f>rawcalc!D22</f>
        <v>0.3049900568899741</v>
      </c>
      <c r="C22" s="19">
        <f t="shared" ref="C22:M22" si="18">B22</f>
        <v>0.3049900568899741</v>
      </c>
      <c r="D22" s="19">
        <f t="shared" si="18"/>
        <v>0.3049900568899741</v>
      </c>
      <c r="E22" s="19">
        <f t="shared" si="18"/>
        <v>0.3049900568899741</v>
      </c>
      <c r="F22" s="19">
        <f t="shared" si="18"/>
        <v>0.3049900568899741</v>
      </c>
      <c r="G22" s="19">
        <f t="shared" si="18"/>
        <v>0.3049900568899741</v>
      </c>
      <c r="H22" s="19">
        <f t="shared" si="18"/>
        <v>0.3049900568899741</v>
      </c>
      <c r="I22" s="19">
        <f t="shared" si="18"/>
        <v>0.3049900568899741</v>
      </c>
      <c r="J22" s="19">
        <f t="shared" si="18"/>
        <v>0.3049900568899741</v>
      </c>
      <c r="K22" s="19">
        <f t="shared" si="18"/>
        <v>0.3049900568899741</v>
      </c>
      <c r="L22" s="19">
        <f t="shared" si="18"/>
        <v>0.3049900568899741</v>
      </c>
      <c r="M22" s="19">
        <f t="shared" si="18"/>
        <v>0.3049900568899741</v>
      </c>
    </row>
    <row r="23" spans="1:13" x14ac:dyDescent="0.2">
      <c r="A23" t="str">
        <f>raw!A23</f>
        <v>Southwestern Public Service Co.</v>
      </c>
      <c r="B23" s="2">
        <f>rawcalc!D23</f>
        <v>0.3978180374909242</v>
      </c>
      <c r="C23" s="19">
        <f t="shared" ref="C23:M23" si="19">B23</f>
        <v>0.3978180374909242</v>
      </c>
      <c r="D23" s="19">
        <f t="shared" si="19"/>
        <v>0.3978180374909242</v>
      </c>
      <c r="E23" s="19">
        <f t="shared" si="19"/>
        <v>0.3978180374909242</v>
      </c>
      <c r="F23" s="19">
        <f t="shared" si="19"/>
        <v>0.3978180374909242</v>
      </c>
      <c r="G23" s="19">
        <f t="shared" si="19"/>
        <v>0.3978180374909242</v>
      </c>
      <c r="H23" s="19">
        <f t="shared" si="19"/>
        <v>0.3978180374909242</v>
      </c>
      <c r="I23" s="19">
        <f t="shared" si="19"/>
        <v>0.3978180374909242</v>
      </c>
      <c r="J23" s="19">
        <f t="shared" si="19"/>
        <v>0.3978180374909242</v>
      </c>
      <c r="K23" s="19">
        <f t="shared" si="19"/>
        <v>0.3978180374909242</v>
      </c>
      <c r="L23" s="19">
        <f t="shared" si="19"/>
        <v>0.3978180374909242</v>
      </c>
      <c r="M23" s="19">
        <f t="shared" si="19"/>
        <v>0.3978180374909242</v>
      </c>
    </row>
    <row r="24" spans="1:13" x14ac:dyDescent="0.2">
      <c r="A24" t="str">
        <f>raw!A24</f>
        <v>TXU Electric Co.</v>
      </c>
      <c r="B24" s="2">
        <f>rawcalc!D24</f>
        <v>0.25741238583762788</v>
      </c>
      <c r="C24" s="19">
        <f t="shared" ref="C24:M24" si="20">B24</f>
        <v>0.25741238583762788</v>
      </c>
      <c r="D24" s="19">
        <f t="shared" si="20"/>
        <v>0.25741238583762788</v>
      </c>
      <c r="E24" s="19">
        <f t="shared" si="20"/>
        <v>0.25741238583762788</v>
      </c>
      <c r="F24" s="19">
        <f t="shared" si="20"/>
        <v>0.25741238583762788</v>
      </c>
      <c r="G24" s="19">
        <f t="shared" si="20"/>
        <v>0.25741238583762788</v>
      </c>
      <c r="H24" s="19">
        <f t="shared" si="20"/>
        <v>0.25741238583762788</v>
      </c>
      <c r="I24" s="19">
        <f t="shared" si="20"/>
        <v>0.25741238583762788</v>
      </c>
      <c r="J24" s="19">
        <f t="shared" si="20"/>
        <v>0.25741238583762788</v>
      </c>
      <c r="K24" s="19">
        <f t="shared" si="20"/>
        <v>0.25741238583762788</v>
      </c>
      <c r="L24" s="19">
        <f t="shared" si="20"/>
        <v>0.25741238583762788</v>
      </c>
      <c r="M24" s="19">
        <f t="shared" si="20"/>
        <v>0.25741238583762788</v>
      </c>
    </row>
  </sheetData>
  <pageMargins left="0.75" right="0.75" top="1" bottom="1" header="0.5" footer="0.5"/>
  <pageSetup scale="79" orientation="landscape" verticalDpi="0" r:id="rId1"/>
  <headerFooter alignWithMargins="0">
    <oddFooter>Page &amp;P&amp;R&amp;A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zoomScale="75" workbookViewId="0"/>
  </sheetViews>
  <sheetFormatPr defaultRowHeight="12.75" x14ac:dyDescent="0.2"/>
  <cols>
    <col min="1" max="1" width="5.42578125" customWidth="1"/>
    <col min="2" max="2" width="24.42578125" customWidth="1"/>
    <col min="3" max="3" width="55.5703125" customWidth="1"/>
  </cols>
  <sheetData>
    <row r="1" spans="1:3" x14ac:dyDescent="0.2">
      <c r="A1" s="38" t="s">
        <v>540</v>
      </c>
      <c r="B1" s="8" t="s">
        <v>381</v>
      </c>
      <c r="C1" s="8" t="s">
        <v>382</v>
      </c>
    </row>
    <row r="2" spans="1:3" x14ac:dyDescent="0.2">
      <c r="A2" s="25">
        <v>1</v>
      </c>
      <c r="B2" t="s">
        <v>383</v>
      </c>
      <c r="C2" t="s">
        <v>384</v>
      </c>
    </row>
    <row r="3" spans="1:3" x14ac:dyDescent="0.2">
      <c r="A3" s="25">
        <v>2</v>
      </c>
      <c r="B3" t="s">
        <v>439</v>
      </c>
      <c r="C3" t="s">
        <v>440</v>
      </c>
    </row>
    <row r="4" spans="1:3" x14ac:dyDescent="0.2">
      <c r="A4" s="25">
        <v>3</v>
      </c>
      <c r="B4" t="s">
        <v>544</v>
      </c>
      <c r="C4" t="s">
        <v>545</v>
      </c>
    </row>
    <row r="5" spans="1:3" x14ac:dyDescent="0.2">
      <c r="A5" s="25">
        <v>4</v>
      </c>
      <c r="B5" t="s">
        <v>387</v>
      </c>
      <c r="C5" t="s">
        <v>388</v>
      </c>
    </row>
    <row r="6" spans="1:3" x14ac:dyDescent="0.2">
      <c r="A6" s="25">
        <v>5</v>
      </c>
      <c r="B6" t="s">
        <v>385</v>
      </c>
      <c r="C6" t="s">
        <v>386</v>
      </c>
    </row>
    <row r="7" spans="1:3" x14ac:dyDescent="0.2">
      <c r="A7" s="25">
        <v>6</v>
      </c>
      <c r="B7" t="s">
        <v>389</v>
      </c>
      <c r="C7" t="s">
        <v>390</v>
      </c>
    </row>
    <row r="8" spans="1:3" x14ac:dyDescent="0.2">
      <c r="A8" s="25">
        <v>7</v>
      </c>
      <c r="B8" t="s">
        <v>391</v>
      </c>
      <c r="C8" t="s">
        <v>443</v>
      </c>
    </row>
    <row r="9" spans="1:3" x14ac:dyDescent="0.2">
      <c r="A9" s="25">
        <v>8</v>
      </c>
      <c r="B9" t="s">
        <v>392</v>
      </c>
      <c r="C9" t="s">
        <v>444</v>
      </c>
    </row>
    <row r="10" spans="1:3" x14ac:dyDescent="0.2">
      <c r="A10" s="25">
        <v>9</v>
      </c>
      <c r="B10" t="s">
        <v>393</v>
      </c>
      <c r="C10" t="s">
        <v>410</v>
      </c>
    </row>
    <row r="11" spans="1:3" x14ac:dyDescent="0.2">
      <c r="A11" s="25">
        <v>10</v>
      </c>
      <c r="B11" t="s">
        <v>394</v>
      </c>
      <c r="C11" t="s">
        <v>395</v>
      </c>
    </row>
    <row r="12" spans="1:3" x14ac:dyDescent="0.2">
      <c r="A12" s="25">
        <v>11</v>
      </c>
      <c r="B12" t="s">
        <v>396</v>
      </c>
      <c r="C12" t="s">
        <v>411</v>
      </c>
    </row>
    <row r="13" spans="1:3" x14ac:dyDescent="0.2">
      <c r="A13" s="25">
        <v>12</v>
      </c>
      <c r="B13" t="s">
        <v>397</v>
      </c>
      <c r="C13" t="s">
        <v>398</v>
      </c>
    </row>
    <row r="14" spans="1:3" x14ac:dyDescent="0.2">
      <c r="A14" s="25">
        <v>13</v>
      </c>
      <c r="B14" t="s">
        <v>399</v>
      </c>
      <c r="C14" t="s">
        <v>408</v>
      </c>
    </row>
    <row r="15" spans="1:3" x14ac:dyDescent="0.2">
      <c r="A15" s="25">
        <v>14</v>
      </c>
      <c r="B15" t="s">
        <v>400</v>
      </c>
      <c r="C15" t="s">
        <v>409</v>
      </c>
    </row>
    <row r="16" spans="1:3" x14ac:dyDescent="0.2">
      <c r="A16" s="25">
        <v>15</v>
      </c>
      <c r="B16" t="s">
        <v>360</v>
      </c>
      <c r="C16" t="s">
        <v>401</v>
      </c>
    </row>
    <row r="17" spans="1:3" x14ac:dyDescent="0.2">
      <c r="A17" s="25">
        <v>16</v>
      </c>
      <c r="B17" t="s">
        <v>402</v>
      </c>
      <c r="C17" t="s">
        <v>403</v>
      </c>
    </row>
    <row r="18" spans="1:3" x14ac:dyDescent="0.2">
      <c r="A18" s="25">
        <v>17</v>
      </c>
      <c r="B18" t="s">
        <v>404</v>
      </c>
      <c r="C18" t="s">
        <v>405</v>
      </c>
    </row>
    <row r="19" spans="1:3" x14ac:dyDescent="0.2">
      <c r="A19" s="25">
        <v>18</v>
      </c>
      <c r="B19" t="s">
        <v>406</v>
      </c>
      <c r="C19" t="s">
        <v>407</v>
      </c>
    </row>
    <row r="20" spans="1:3" x14ac:dyDescent="0.2">
      <c r="A20" s="25">
        <v>19</v>
      </c>
      <c r="B20" t="s">
        <v>412</v>
      </c>
      <c r="C20" t="s">
        <v>413</v>
      </c>
    </row>
    <row r="21" spans="1:3" x14ac:dyDescent="0.2">
      <c r="A21" s="25">
        <v>20</v>
      </c>
      <c r="B21" t="s">
        <v>414</v>
      </c>
      <c r="C21" t="s">
        <v>417</v>
      </c>
    </row>
    <row r="22" spans="1:3" x14ac:dyDescent="0.2">
      <c r="A22" s="25">
        <v>21</v>
      </c>
      <c r="B22" t="s">
        <v>415</v>
      </c>
      <c r="C22" t="s">
        <v>418</v>
      </c>
    </row>
    <row r="23" spans="1:3" x14ac:dyDescent="0.2">
      <c r="A23" s="25">
        <v>22</v>
      </c>
      <c r="B23" t="s">
        <v>416</v>
      </c>
      <c r="C23" t="s">
        <v>419</v>
      </c>
    </row>
    <row r="24" spans="1:3" x14ac:dyDescent="0.2">
      <c r="A24" s="25">
        <v>23</v>
      </c>
      <c r="B24" t="s">
        <v>420</v>
      </c>
      <c r="C24" t="s">
        <v>425</v>
      </c>
    </row>
    <row r="25" spans="1:3" x14ac:dyDescent="0.2">
      <c r="A25" s="25">
        <v>24</v>
      </c>
      <c r="B25" t="s">
        <v>421</v>
      </c>
      <c r="C25" t="s">
        <v>456</v>
      </c>
    </row>
    <row r="26" spans="1:3" x14ac:dyDescent="0.2">
      <c r="A26" s="25">
        <v>25</v>
      </c>
      <c r="B26" t="s">
        <v>422</v>
      </c>
      <c r="C26" t="s">
        <v>457</v>
      </c>
    </row>
    <row r="27" spans="1:3" x14ac:dyDescent="0.2">
      <c r="A27" s="25">
        <v>26</v>
      </c>
      <c r="B27" t="s">
        <v>423</v>
      </c>
      <c r="C27" t="s">
        <v>424</v>
      </c>
    </row>
    <row r="28" spans="1:3" x14ac:dyDescent="0.2">
      <c r="A28" s="25">
        <v>27</v>
      </c>
      <c r="B28" t="s">
        <v>498</v>
      </c>
      <c r="C28" t="s">
        <v>500</v>
      </c>
    </row>
    <row r="29" spans="1:3" x14ac:dyDescent="0.2">
      <c r="A29" s="25">
        <v>28</v>
      </c>
      <c r="B29" t="s">
        <v>499</v>
      </c>
      <c r="C29" t="s">
        <v>501</v>
      </c>
    </row>
    <row r="30" spans="1:3" x14ac:dyDescent="0.2">
      <c r="A30" s="25">
        <v>29</v>
      </c>
      <c r="B30" t="s">
        <v>426</v>
      </c>
      <c r="C30" t="s">
        <v>427</v>
      </c>
    </row>
    <row r="31" spans="1:3" x14ac:dyDescent="0.2">
      <c r="A31" s="25">
        <v>30</v>
      </c>
      <c r="B31" t="s">
        <v>428</v>
      </c>
      <c r="C31" t="s">
        <v>429</v>
      </c>
    </row>
    <row r="32" spans="1:3" x14ac:dyDescent="0.2">
      <c r="A32" s="25">
        <v>31</v>
      </c>
      <c r="B32" t="s">
        <v>431</v>
      </c>
      <c r="C32" t="s">
        <v>432</v>
      </c>
    </row>
    <row r="33" spans="1:3" x14ac:dyDescent="0.2">
      <c r="A33" s="25">
        <v>32</v>
      </c>
      <c r="B33" t="s">
        <v>433</v>
      </c>
      <c r="C33" t="s">
        <v>434</v>
      </c>
    </row>
    <row r="34" spans="1:3" x14ac:dyDescent="0.2">
      <c r="A34" s="25">
        <v>33</v>
      </c>
      <c r="B34" t="s">
        <v>502</v>
      </c>
      <c r="C34" t="s">
        <v>504</v>
      </c>
    </row>
    <row r="35" spans="1:3" x14ac:dyDescent="0.2">
      <c r="A35" s="25">
        <v>34</v>
      </c>
      <c r="B35" t="s">
        <v>503</v>
      </c>
      <c r="C35" t="s">
        <v>505</v>
      </c>
    </row>
    <row r="36" spans="1:3" x14ac:dyDescent="0.2">
      <c r="A36" s="25">
        <v>35</v>
      </c>
      <c r="B36" t="s">
        <v>352</v>
      </c>
      <c r="C36" t="s">
        <v>430</v>
      </c>
    </row>
    <row r="37" spans="1:3" x14ac:dyDescent="0.2">
      <c r="A37" s="25">
        <v>36</v>
      </c>
      <c r="B37" t="s">
        <v>445</v>
      </c>
      <c r="C37" t="s">
        <v>455</v>
      </c>
    </row>
    <row r="38" spans="1:3" x14ac:dyDescent="0.2">
      <c r="A38" s="25">
        <v>37</v>
      </c>
      <c r="B38" t="s">
        <v>435</v>
      </c>
      <c r="C38" t="s">
        <v>436</v>
      </c>
    </row>
    <row r="39" spans="1:3" x14ac:dyDescent="0.2">
      <c r="A39" s="25">
        <v>38</v>
      </c>
      <c r="B39" t="s">
        <v>466</v>
      </c>
      <c r="C39" t="s">
        <v>467</v>
      </c>
    </row>
    <row r="40" spans="1:3" x14ac:dyDescent="0.2">
      <c r="A40" s="25">
        <v>39</v>
      </c>
      <c r="B40" t="s">
        <v>437</v>
      </c>
      <c r="C40" t="s">
        <v>438</v>
      </c>
    </row>
  </sheetData>
  <pageMargins left="0.75" right="0.75" top="1" bottom="1" header="0.5" footer="0.5"/>
  <pageSetup orientation="portrait" verticalDpi="0" r:id="rId1"/>
  <headerFooter alignWithMargins="0">
    <oddFooter>Page &amp;P&amp;R&amp;A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workbookViewId="0">
      <selection activeCell="E25" sqref="E25"/>
    </sheetView>
  </sheetViews>
  <sheetFormatPr defaultRowHeight="12.75" x14ac:dyDescent="0.2"/>
  <cols>
    <col min="1" max="1" width="36.140625" bestFit="1" customWidth="1"/>
    <col min="2" max="13" width="14.85546875" bestFit="1" customWidth="1"/>
  </cols>
  <sheetData>
    <row r="1" spans="1:13" x14ac:dyDescent="0.2">
      <c r="A1" t="s">
        <v>530</v>
      </c>
    </row>
    <row r="2" spans="1:13" x14ac:dyDescent="0.2">
      <c r="B2">
        <v>55</v>
      </c>
    </row>
    <row r="3" spans="1:13" x14ac:dyDescent="0.2">
      <c r="A3" s="8" t="s">
        <v>177</v>
      </c>
      <c r="B3" s="8">
        <v>1998</v>
      </c>
      <c r="C3" s="8">
        <v>2000</v>
      </c>
      <c r="D3" s="8">
        <v>2001</v>
      </c>
      <c r="E3" s="8">
        <v>2002</v>
      </c>
      <c r="F3" s="8">
        <v>2003</v>
      </c>
      <c r="G3" s="8">
        <v>2004</v>
      </c>
      <c r="H3" s="8">
        <v>2005</v>
      </c>
      <c r="I3" s="8">
        <v>2006</v>
      </c>
      <c r="J3" s="8">
        <v>2007</v>
      </c>
      <c r="K3" s="8">
        <v>2008</v>
      </c>
      <c r="L3" s="8">
        <v>2009</v>
      </c>
      <c r="M3" s="8">
        <v>2010</v>
      </c>
    </row>
    <row r="4" spans="1:13" x14ac:dyDescent="0.2">
      <c r="A4" t="str">
        <f>raw!A4</f>
        <v>Boston Edison Co.</v>
      </c>
      <c r="B4" s="1">
        <f>VLOOKUP(A4,raw!$A$4:$BK$24,TransNplant!$B$2,FALSE)</f>
        <v>1894255418.8241999</v>
      </c>
      <c r="C4" s="4">
        <f>B4</f>
        <v>1894255418.8241999</v>
      </c>
      <c r="D4" s="4">
        <f>((1+criteria!$C4)*C4)*(1-TransDeprRt!D4)</f>
        <v>1890245039.0820575</v>
      </c>
      <c r="E4" s="4">
        <f>((1+criteria!$C4)*D4)*(1-TransDeprRt!E4)</f>
        <v>1886243149.8241003</v>
      </c>
      <c r="F4" s="4">
        <f>((1+criteria!$C4)*E4)*(1-TransDeprRt!F4)</f>
        <v>1882249733.0748928</v>
      </c>
      <c r="G4" s="4">
        <f>((1+criteria!$C4)*F4)*(1-TransDeprRt!G4)</f>
        <v>1878264770.8970561</v>
      </c>
      <c r="H4" s="4">
        <f>((1+criteria!$C4)*G4)*(1-TransDeprRt!H4)</f>
        <v>1874288245.391187</v>
      </c>
      <c r="I4" s="4">
        <f>((1+criteria!$C4)*H4)*(1-TransDeprRt!I4)</f>
        <v>1870320138.6957772</v>
      </c>
      <c r="J4" s="4">
        <f>((1+criteria!$C4)*I4)*(1-TransDeprRt!J4)</f>
        <v>1866360432.987134</v>
      </c>
      <c r="K4" s="4">
        <f>((1+criteria!$C4)*J4)*(1-TransDeprRt!K4)</f>
        <v>1862409110.4792995</v>
      </c>
      <c r="L4" s="4">
        <f>((1+criteria!$C4)*K4)*(1-TransDeprRt!L4)</f>
        <v>1858466153.4239709</v>
      </c>
      <c r="M4" s="4">
        <f>((1+criteria!$C4)*L4)*(1-TransDeprRt!M4)</f>
        <v>1854531544.1104207</v>
      </c>
    </row>
    <row r="5" spans="1:13" x14ac:dyDescent="0.2">
      <c r="A5" t="str">
        <f>raw!A5</f>
        <v>Carolina Power &amp; Light Co.</v>
      </c>
      <c r="B5" s="1">
        <f>VLOOKUP(A5,raw!$A$4:$BK$24,TransNplant!$B$2,FALSE)</f>
        <v>4483056759.9741001</v>
      </c>
      <c r="C5" s="4">
        <f t="shared" ref="C5:C24" si="0">B5</f>
        <v>4483056759.9741001</v>
      </c>
      <c r="D5" s="4">
        <f>((1+criteria!$C5)*C5)*(1-TransDeprRt!D5)</f>
        <v>4483155153.159071</v>
      </c>
      <c r="E5" s="4">
        <f>((1+criteria!$C5)*D5)*(1-TransDeprRt!E5)</f>
        <v>4483253548.5035534</v>
      </c>
      <c r="F5" s="4">
        <f>((1+criteria!$C5)*E5)*(1-TransDeprRt!F5)</f>
        <v>4483351946.007597</v>
      </c>
      <c r="G5" s="4">
        <f>((1+criteria!$C5)*F5)*(1-TransDeprRt!G5)</f>
        <v>4483450345.6712484</v>
      </c>
      <c r="H5" s="4">
        <f>((1+criteria!$C5)*G5)*(1-TransDeprRt!H5)</f>
        <v>4483548747.4945536</v>
      </c>
      <c r="I5" s="4">
        <f>((1+criteria!$C5)*H5)*(1-TransDeprRt!I5)</f>
        <v>4483647151.477562</v>
      </c>
      <c r="J5" s="4">
        <f>((1+criteria!$C5)*I5)*(1-TransDeprRt!J5)</f>
        <v>4483745557.6203203</v>
      </c>
      <c r="K5" s="4">
        <f>((1+criteria!$C5)*J5)*(1-TransDeprRt!K5)</f>
        <v>4483843965.9228764</v>
      </c>
      <c r="L5" s="4">
        <f>((1+criteria!$C5)*K5)*(1-TransDeprRt!L5)</f>
        <v>4483942376.3852768</v>
      </c>
      <c r="M5" s="4">
        <f>((1+criteria!$C5)*L5)*(1-TransDeprRt!M5)</f>
        <v>4484040789.0075684</v>
      </c>
    </row>
    <row r="6" spans="1:13" x14ac:dyDescent="0.2">
      <c r="A6" t="str">
        <f>raw!A6</f>
        <v>Central Hudson Gas &amp; Electric Corp.</v>
      </c>
      <c r="B6" s="1">
        <f>VLOOKUP(A6,raw!$A$4:$BK$24,TransNplant!$B$2,FALSE)</f>
        <v>532255088.77999997</v>
      </c>
      <c r="C6" s="4">
        <f t="shared" si="0"/>
        <v>532255088.77999997</v>
      </c>
      <c r="D6" s="4">
        <f>((1+criteria!$C6)*C6)*(1-TransDeprRt!D6)</f>
        <v>532345765.41239047</v>
      </c>
      <c r="E6" s="4">
        <f>((1+criteria!$C6)*D6)*(1-TransDeprRt!E6)</f>
        <v>532436457.49273407</v>
      </c>
      <c r="F6" s="4">
        <f>((1+criteria!$C6)*E6)*(1-TransDeprRt!F6)</f>
        <v>532527165.02366257</v>
      </c>
      <c r="G6" s="4">
        <f>((1+criteria!$C6)*F6)*(1-TransDeprRt!G6)</f>
        <v>532617888.00780815</v>
      </c>
      <c r="H6" s="4">
        <f>((1+criteria!$C6)*G6)*(1-TransDeprRt!H6)</f>
        <v>532708626.4478035</v>
      </c>
      <c r="I6" s="4">
        <f>((1+criteria!$C6)*H6)*(1-TransDeprRt!I6)</f>
        <v>532799380.34628171</v>
      </c>
      <c r="J6" s="4">
        <f>((1+criteria!$C6)*I6)*(1-TransDeprRt!J6)</f>
        <v>532890149.70587635</v>
      </c>
      <c r="K6" s="4">
        <f>((1+criteria!$C6)*J6)*(1-TransDeprRt!K6)</f>
        <v>532980934.52922136</v>
      </c>
      <c r="L6" s="4">
        <f>((1+criteria!$C6)*K6)*(1-TransDeprRt!L6)</f>
        <v>533071734.81895125</v>
      </c>
      <c r="M6" s="4">
        <f>((1+criteria!$C6)*L6)*(1-TransDeprRt!M6)</f>
        <v>533162550.57770091</v>
      </c>
    </row>
    <row r="7" spans="1:13" x14ac:dyDescent="0.2">
      <c r="A7" t="str">
        <f>raw!A7</f>
        <v>Commonwealth Edison Co.</v>
      </c>
      <c r="B7" s="1">
        <f>VLOOKUP(A7,raw!$A$4:$BK$24,TransNplant!$B$2,FALSE)</f>
        <v>10313277927.8939</v>
      </c>
      <c r="C7" s="4">
        <f t="shared" si="0"/>
        <v>10313277927.8939</v>
      </c>
      <c r="D7" s="4">
        <f>((1+criteria!$C7)*C7)*(1-TransDeprRt!D7)</f>
        <v>10344931850.091154</v>
      </c>
      <c r="E7" s="4">
        <f>((1+criteria!$C7)*D7)*(1-TransDeprRt!E7)</f>
        <v>10376682925.763515</v>
      </c>
      <c r="F7" s="4">
        <f>((1+criteria!$C7)*E7)*(1-TransDeprRt!F7)</f>
        <v>10408531453.098293</v>
      </c>
      <c r="G7" s="4">
        <f>((1+criteria!$C7)*F7)*(1-TransDeprRt!G7)</f>
        <v>10440477731.197996</v>
      </c>
      <c r="H7" s="4">
        <f>((1+criteria!$C7)*G7)*(1-TransDeprRt!H7)</f>
        <v>10472522060.083157</v>
      </c>
      <c r="I7" s="4">
        <f>((1+criteria!$C7)*H7)*(1-TransDeprRt!I7)</f>
        <v>10504664740.695139</v>
      </c>
      <c r="J7" s="4">
        <f>((1+criteria!$C7)*I7)*(1-TransDeprRt!J7)</f>
        <v>10536906074.898966</v>
      </c>
      <c r="K7" s="4">
        <f>((1+criteria!$C7)*J7)*(1-TransDeprRt!K7)</f>
        <v>10569246365.486164</v>
      </c>
      <c r="L7" s="4">
        <f>((1+criteria!$C7)*K7)*(1-TransDeprRt!L7)</f>
        <v>10601685916.177591</v>
      </c>
      <c r="M7" s="4">
        <f>((1+criteria!$C7)*L7)*(1-TransDeprRt!M7)</f>
        <v>10634225031.626305</v>
      </c>
    </row>
    <row r="8" spans="1:13" x14ac:dyDescent="0.2">
      <c r="A8" t="str">
        <f>raw!A8</f>
        <v>Consolidated Edison Co. of New York, Inc.</v>
      </c>
      <c r="B8" s="1">
        <f>VLOOKUP(A8,raw!$A$4:$BK$24,TransNplant!$B$2,FALSE)</f>
        <v>8470661730.25</v>
      </c>
      <c r="C8" s="4">
        <f t="shared" si="0"/>
        <v>8470661730.25</v>
      </c>
      <c r="D8" s="4">
        <f>((1+criteria!$C8)*C8)*(1-TransDeprRt!D8)</f>
        <v>8439500585.5313587</v>
      </c>
      <c r="E8" s="4">
        <f>((1+criteria!$C8)*D8)*(1-TransDeprRt!E8)</f>
        <v>8408454073.7624331</v>
      </c>
      <c r="F8" s="4">
        <f>((1+criteria!$C8)*E8)*(1-TransDeprRt!F8)</f>
        <v>8377521773.2413473</v>
      </c>
      <c r="G8" s="4">
        <f>((1+criteria!$C8)*F8)*(1-TransDeprRt!G8)</f>
        <v>8346703263.8175468</v>
      </c>
      <c r="H8" s="4">
        <f>((1+criteria!$C8)*G8)*(1-TransDeprRt!H8)</f>
        <v>8315998126.8860912</v>
      </c>
      <c r="I8" s="4">
        <f>((1+criteria!$C8)*H8)*(1-TransDeprRt!I8)</f>
        <v>8285405945.3819675</v>
      </c>
      <c r="J8" s="4">
        <f>((1+criteria!$C8)*I8)*(1-TransDeprRt!J8)</f>
        <v>8254926303.7744265</v>
      </c>
      <c r="K8" s="4">
        <f>((1+criteria!$C8)*J8)*(1-TransDeprRt!K8)</f>
        <v>8224558788.0613375</v>
      </c>
      <c r="L8" s="4">
        <f>((1+criteria!$C8)*K8)*(1-TransDeprRt!L8)</f>
        <v>8194302985.7635651</v>
      </c>
      <c r="M8" s="4">
        <f>((1+criteria!$C8)*L8)*(1-TransDeprRt!M8)</f>
        <v>8164158485.9193678</v>
      </c>
    </row>
    <row r="9" spans="1:13" x14ac:dyDescent="0.2">
      <c r="A9" t="str">
        <f>raw!A9</f>
        <v>Consumers Energy Co.</v>
      </c>
      <c r="B9" s="1">
        <f>VLOOKUP(A9,raw!$A$4:$BK$24,TransNplant!$B$2,FALSE)</f>
        <v>3581416662.8923001</v>
      </c>
      <c r="C9" s="4">
        <f t="shared" si="0"/>
        <v>3581416662.8923001</v>
      </c>
      <c r="D9" s="4">
        <f>((1+criteria!$C9)*C9)*(1-TransDeprRt!D9)</f>
        <v>3581947132.3093953</v>
      </c>
      <c r="E9" s="4">
        <f>((1+criteria!$C9)*D9)*(1-TransDeprRt!E9)</f>
        <v>3582477680.2981367</v>
      </c>
      <c r="F9" s="4">
        <f>((1+criteria!$C9)*E9)*(1-TransDeprRt!F9)</f>
        <v>3583008306.8701615</v>
      </c>
      <c r="G9" s="4">
        <f>((1+criteria!$C9)*F9)*(1-TransDeprRt!G9)</f>
        <v>3583539012.0371099</v>
      </c>
      <c r="H9" s="4">
        <f>((1+criteria!$C9)*G9)*(1-TransDeprRt!H9)</f>
        <v>3584069795.8106227</v>
      </c>
      <c r="I9" s="4">
        <f>((1+criteria!$C9)*H9)*(1-TransDeprRt!I9)</f>
        <v>3584600658.2023435</v>
      </c>
      <c r="J9" s="4">
        <f>((1+criteria!$C9)*I9)*(1-TransDeprRt!J9)</f>
        <v>3585131599.2239165</v>
      </c>
      <c r="K9" s="4">
        <f>((1+criteria!$C9)*J9)*(1-TransDeprRt!K9)</f>
        <v>3585662618.8869882</v>
      </c>
      <c r="L9" s="4">
        <f>((1+criteria!$C9)*K9)*(1-TransDeprRt!L9)</f>
        <v>3586193717.203207</v>
      </c>
      <c r="M9" s="4">
        <f>((1+criteria!$C9)*L9)*(1-TransDeprRt!M9)</f>
        <v>3586724894.1842227</v>
      </c>
    </row>
    <row r="10" spans="1:13" x14ac:dyDescent="0.2">
      <c r="A10" t="str">
        <f>raw!A10</f>
        <v>Duke Energy Corp.</v>
      </c>
      <c r="B10" s="1">
        <f>VLOOKUP(A10,raw!$A$4:$BK$24,TransNplant!$B$2,FALSE)</f>
        <v>6004062083.9920998</v>
      </c>
      <c r="C10" s="4">
        <f t="shared" si="0"/>
        <v>6004062083.9920998</v>
      </c>
      <c r="D10" s="4">
        <f>((1+criteria!$C10)*C10)*(1-TransDeprRt!D10)</f>
        <v>5979296118.2626505</v>
      </c>
      <c r="E10" s="4">
        <f>((1+criteria!$C10)*D10)*(1-TransDeprRt!E10)</f>
        <v>5954632308.8816748</v>
      </c>
      <c r="F10" s="4">
        <f>((1+criteria!$C10)*E10)*(1-TransDeprRt!F10)</f>
        <v>5930070234.4676838</v>
      </c>
      <c r="G10" s="4">
        <f>((1+criteria!$C10)*F10)*(1-TransDeprRt!G10)</f>
        <v>5905609475.3773298</v>
      </c>
      <c r="H10" s="4">
        <f>((1+criteria!$C10)*G10)*(1-TransDeprRt!H10)</f>
        <v>5881249613.6982412</v>
      </c>
      <c r="I10" s="4">
        <f>((1+criteria!$C10)*H10)*(1-TransDeprRt!I10)</f>
        <v>5856990233.2418785</v>
      </c>
      <c r="J10" s="4">
        <f>((1+criteria!$C10)*I10)*(1-TransDeprRt!J10)</f>
        <v>5832830919.5364246</v>
      </c>
      <c r="K10" s="4">
        <f>((1+criteria!$C10)*J10)*(1-TransDeprRt!K10)</f>
        <v>5808771259.8197031</v>
      </c>
      <c r="L10" s="4">
        <f>((1+criteria!$C10)*K10)*(1-TransDeprRt!L10)</f>
        <v>5784810843.0321312</v>
      </c>
      <c r="M10" s="4">
        <f>((1+criteria!$C10)*L10)*(1-TransDeprRt!M10)</f>
        <v>5760949259.8096895</v>
      </c>
    </row>
    <row r="11" spans="1:13" x14ac:dyDescent="0.2">
      <c r="A11" t="str">
        <f>raw!A11</f>
        <v>Entergy Mississippi, Inc.</v>
      </c>
      <c r="B11" s="1">
        <f>VLOOKUP(A11,raw!$A$4:$BK$24,TransNplant!$B$2,FALSE)</f>
        <v>1442832281.9570999</v>
      </c>
      <c r="C11" s="4">
        <f t="shared" si="0"/>
        <v>1442832281.9570999</v>
      </c>
      <c r="D11" s="4">
        <f>((1+criteria!$C11)*C11)*(1-TransDeprRt!D11)</f>
        <v>1440528670.9427817</v>
      </c>
      <c r="E11" s="4">
        <f>((1+criteria!$C11)*D11)*(1-TransDeprRt!E11)</f>
        <v>1438228737.8498487</v>
      </c>
      <c r="F11" s="4">
        <f>((1+criteria!$C11)*E11)*(1-TransDeprRt!F11)</f>
        <v>1435932476.8061702</v>
      </c>
      <c r="G11" s="4">
        <f>((1+criteria!$C11)*F11)*(1-TransDeprRt!G11)</f>
        <v>1433639881.9489903</v>
      </c>
      <c r="H11" s="4">
        <f>((1+criteria!$C11)*G11)*(1-TransDeprRt!H11)</f>
        <v>1431350947.4249139</v>
      </c>
      <c r="I11" s="4">
        <f>((1+criteria!$C11)*H11)*(1-TransDeprRt!I11)</f>
        <v>1429065667.3898911</v>
      </c>
      <c r="J11" s="4">
        <f>((1+criteria!$C11)*I11)*(1-TransDeprRt!J11)</f>
        <v>1426784036.009203</v>
      </c>
      <c r="K11" s="4">
        <f>((1+criteria!$C11)*J11)*(1-TransDeprRt!K11)</f>
        <v>1424506047.4574456</v>
      </c>
      <c r="L11" s="4">
        <f>((1+criteria!$C11)*K11)*(1-TransDeprRt!L11)</f>
        <v>1422231695.9185164</v>
      </c>
      <c r="M11" s="4">
        <f>((1+criteria!$C11)*L11)*(1-TransDeprRt!M11)</f>
        <v>1419960975.5855982</v>
      </c>
    </row>
    <row r="12" spans="1:13" x14ac:dyDescent="0.2">
      <c r="A12" t="str">
        <f>raw!A12</f>
        <v>Florida Power &amp; Light Co.</v>
      </c>
      <c r="B12" s="1">
        <f>VLOOKUP(A12,raw!$A$4:$BK$24,TransNplant!$B$2,FALSE)</f>
        <v>8048172504.6696997</v>
      </c>
      <c r="C12" s="4">
        <f t="shared" si="0"/>
        <v>8048172504.6696997</v>
      </c>
      <c r="D12" s="4">
        <f>((1+criteria!$C12)*C12)*(1-TransDeprRt!D12)</f>
        <v>8006061809.4623699</v>
      </c>
      <c r="E12" s="4">
        <f>((1+criteria!$C12)*D12)*(1-TransDeprRt!E12)</f>
        <v>7964171451.3129015</v>
      </c>
      <c r="F12" s="4">
        <f>((1+criteria!$C12)*E12)*(1-TransDeprRt!F12)</f>
        <v>7922500277.3450756</v>
      </c>
      <c r="G12" s="4">
        <f>((1+criteria!$C12)*F12)*(1-TransDeprRt!G12)</f>
        <v>7881047140.7149038</v>
      </c>
      <c r="H12" s="4">
        <f>((1+criteria!$C12)*G12)*(1-TransDeprRt!H12)</f>
        <v>7839810900.5790606</v>
      </c>
      <c r="I12" s="4">
        <f>((1+criteria!$C12)*H12)*(1-TransDeprRt!I12)</f>
        <v>7798790422.0634928</v>
      </c>
      <c r="J12" s="4">
        <f>((1+criteria!$C12)*I12)*(1-TransDeprRt!J12)</f>
        <v>7757984576.2321796</v>
      </c>
      <c r="K12" s="4">
        <f>((1+criteria!$C12)*J12)*(1-TransDeprRt!K12)</f>
        <v>7717392240.0560684</v>
      </c>
      <c r="L12" s="4">
        <f>((1+criteria!$C12)*K12)*(1-TransDeprRt!L12)</f>
        <v>7677012296.382165</v>
      </c>
      <c r="M12" s="4">
        <f>((1+criteria!$C12)*L12)*(1-TransDeprRt!M12)</f>
        <v>7636843633.9027882</v>
      </c>
    </row>
    <row r="13" spans="1:13" x14ac:dyDescent="0.2">
      <c r="A13" t="str">
        <f>raw!A13</f>
        <v>Gulf Power Co.</v>
      </c>
      <c r="B13" s="1">
        <f>VLOOKUP(A13,raw!$A$4:$BK$24,TransNplant!$B$2,FALSE)</f>
        <v>697093015.6444</v>
      </c>
      <c r="C13" s="4">
        <f t="shared" si="0"/>
        <v>697093015.6444</v>
      </c>
      <c r="D13" s="4">
        <f>((1+criteria!$C13)*C13)*(1-TransDeprRt!D13)</f>
        <v>695930907.38441503</v>
      </c>
      <c r="E13" s="4">
        <f>((1+criteria!$C13)*D13)*(1-TransDeprRt!E13)</f>
        <v>694770736.44925988</v>
      </c>
      <c r="F13" s="4">
        <f>((1+criteria!$C13)*E13)*(1-TransDeprRt!F13)</f>
        <v>693612499.60926342</v>
      </c>
      <c r="G13" s="4">
        <f>((1+criteria!$C13)*F13)*(1-TransDeprRt!G13)</f>
        <v>692456193.64013875</v>
      </c>
      <c r="H13" s="4">
        <f>((1+criteria!$C13)*G13)*(1-TransDeprRt!H13)</f>
        <v>691301815.32297385</v>
      </c>
      <c r="I13" s="4">
        <f>((1+criteria!$C13)*H13)*(1-TransDeprRt!I13)</f>
        <v>690149361.44422305</v>
      </c>
      <c r="J13" s="4">
        <f>((1+criteria!$C13)*I13)*(1-TransDeprRt!J13)</f>
        <v>688998828.79569805</v>
      </c>
      <c r="K13" s="4">
        <f>((1+criteria!$C13)*J13)*(1-TransDeprRt!K13)</f>
        <v>687850214.1745584</v>
      </c>
      <c r="L13" s="4">
        <f>((1+criteria!$C13)*K13)*(1-TransDeprRt!L13)</f>
        <v>686703514.3833034</v>
      </c>
      <c r="M13" s="4">
        <f>((1+criteria!$C13)*L13)*(1-TransDeprRt!M13)</f>
        <v>685558726.22976291</v>
      </c>
    </row>
    <row r="14" spans="1:13" x14ac:dyDescent="0.2">
      <c r="A14" t="str">
        <f>raw!A14</f>
        <v>Illinois Power Co.</v>
      </c>
      <c r="B14" s="1">
        <f>VLOOKUP(A14,raw!$A$4:$BK$24,TransNplant!$B$2,FALSE)</f>
        <v>1120611270.6831</v>
      </c>
      <c r="C14" s="4">
        <f t="shared" si="0"/>
        <v>1120611270.6831</v>
      </c>
      <c r="D14" s="4">
        <f>((1+criteria!$C14)*C14)*(1-TransDeprRt!D14)</f>
        <v>1122119874.9924252</v>
      </c>
      <c r="E14" s="4">
        <f>((1+criteria!$C14)*D14)*(1-TransDeprRt!E14)</f>
        <v>1123630510.2352431</v>
      </c>
      <c r="F14" s="4">
        <f>((1+criteria!$C14)*E14)*(1-TransDeprRt!F14)</f>
        <v>1125143179.1456642</v>
      </c>
      <c r="G14" s="4">
        <f>((1+criteria!$C14)*F14)*(1-TransDeprRt!G14)</f>
        <v>1126657884.4614799</v>
      </c>
      <c r="H14" s="4">
        <f>((1+criteria!$C14)*G14)*(1-TransDeprRt!H14)</f>
        <v>1128174628.9241672</v>
      </c>
      <c r="I14" s="4">
        <f>((1+criteria!$C14)*H14)*(1-TransDeprRt!I14)</f>
        <v>1129693415.2788935</v>
      </c>
      <c r="J14" s="4">
        <f>((1+criteria!$C14)*I14)*(1-TransDeprRt!J14)</f>
        <v>1131214246.2745223</v>
      </c>
      <c r="K14" s="4">
        <f>((1+criteria!$C14)*J14)*(1-TransDeprRt!K14)</f>
        <v>1132737124.6636174</v>
      </c>
      <c r="L14" s="4">
        <f>((1+criteria!$C14)*K14)*(1-TransDeprRt!L14)</f>
        <v>1134262053.2024481</v>
      </c>
      <c r="M14" s="4">
        <f>((1+criteria!$C14)*L14)*(1-TransDeprRt!M14)</f>
        <v>1135789034.6509945</v>
      </c>
    </row>
    <row r="15" spans="1:13" x14ac:dyDescent="0.2">
      <c r="A15" t="str">
        <f>raw!A15</f>
        <v>Jersey Central Power &amp; Light Co.</v>
      </c>
      <c r="B15" s="1">
        <f>VLOOKUP(A15,raw!$A$4:$BK$24,TransNplant!$B$2,FALSE)</f>
        <v>3136913508.4878001</v>
      </c>
      <c r="C15" s="4">
        <f t="shared" si="0"/>
        <v>3136913508.4878001</v>
      </c>
      <c r="D15" s="4">
        <f>((1+criteria!$C15)*C15)*(1-TransDeprRt!D15)</f>
        <v>3143880683.2698312</v>
      </c>
      <c r="E15" s="4">
        <f>((1+criteria!$C15)*D15)*(1-TransDeprRt!E15)</f>
        <v>3150863332.3466787</v>
      </c>
      <c r="F15" s="4">
        <f>((1+criteria!$C15)*E15)*(1-TransDeprRt!F15)</f>
        <v>3157861490.0871944</v>
      </c>
      <c r="G15" s="4">
        <f>((1+criteria!$C15)*F15)*(1-TransDeprRt!G15)</f>
        <v>3164875190.9365649</v>
      </c>
      <c r="H15" s="4">
        <f>((1+criteria!$C15)*G15)*(1-TransDeprRt!H15)</f>
        <v>3171904469.4164801</v>
      </c>
      <c r="I15" s="4">
        <f>((1+criteria!$C15)*H15)*(1-TransDeprRt!I15)</f>
        <v>3178949360.1253042</v>
      </c>
      <c r="J15" s="4">
        <f>((1+criteria!$C15)*I15)*(1-TransDeprRt!J15)</f>
        <v>3186009897.7382445</v>
      </c>
      <c r="K15" s="4">
        <f>((1+criteria!$C15)*J15)*(1-TransDeprRt!K15)</f>
        <v>3193086117.0075235</v>
      </c>
      <c r="L15" s="4">
        <f>((1+criteria!$C15)*K15)*(1-TransDeprRt!L15)</f>
        <v>3200178052.7625494</v>
      </c>
      <c r="M15" s="4">
        <f>((1+criteria!$C15)*L15)*(1-TransDeprRt!M15)</f>
        <v>3207285739.9100871</v>
      </c>
    </row>
    <row r="16" spans="1:13" x14ac:dyDescent="0.2">
      <c r="A16" t="str">
        <f>raw!A16</f>
        <v>Kentucky Utilities Co.</v>
      </c>
      <c r="B16" s="1">
        <f>VLOOKUP(A16,raw!$A$4:$BK$24,TransNplant!$B$2,FALSE)</f>
        <v>1573782370.5044999</v>
      </c>
      <c r="C16" s="4">
        <f t="shared" si="0"/>
        <v>1573782370.5044999</v>
      </c>
      <c r="D16" s="4">
        <f>((1+criteria!$C16)*C16)*(1-TransDeprRt!D16)</f>
        <v>1578084104.0970941</v>
      </c>
      <c r="E16" s="4">
        <f>((1+criteria!$C16)*D16)*(1-TransDeprRt!E16)</f>
        <v>1582397595.9303753</v>
      </c>
      <c r="F16" s="4">
        <f>((1+criteria!$C16)*E16)*(1-TransDeprRt!F16)</f>
        <v>1586722878.1439965</v>
      </c>
      <c r="G16" s="4">
        <f>((1+criteria!$C16)*F16)*(1-TransDeprRt!G16)</f>
        <v>1591059982.9654603</v>
      </c>
      <c r="H16" s="4">
        <f>((1+criteria!$C16)*G16)*(1-TransDeprRt!H16)</f>
        <v>1595408942.7103586</v>
      </c>
      <c r="I16" s="4">
        <f>((1+criteria!$C16)*H16)*(1-TransDeprRt!I16)</f>
        <v>1599769789.7826142</v>
      </c>
      <c r="J16" s="4">
        <f>((1+criteria!$C16)*I16)*(1-TransDeprRt!J16)</f>
        <v>1604142556.674722</v>
      </c>
      <c r="K16" s="4">
        <f>((1+criteria!$C16)*J16)*(1-TransDeprRt!K16)</f>
        <v>1608527275.9679906</v>
      </c>
      <c r="L16" s="4">
        <f>((1+criteria!$C16)*K16)*(1-TransDeprRt!L16)</f>
        <v>1612923980.3327863</v>
      </c>
      <c r="M16" s="4">
        <f>((1+criteria!$C16)*L16)*(1-TransDeprRt!M16)</f>
        <v>1617332702.5287745</v>
      </c>
    </row>
    <row r="17" spans="1:13" x14ac:dyDescent="0.2">
      <c r="A17" t="str">
        <f>raw!A17</f>
        <v>Ohio Power Co.</v>
      </c>
      <c r="B17" s="1">
        <f>VLOOKUP(A17,raw!$A$4:$BK$24,TransNplant!$B$2,FALSE)</f>
        <v>3913487125.4123998</v>
      </c>
      <c r="C17" s="4">
        <f t="shared" si="0"/>
        <v>3913487125.4123998</v>
      </c>
      <c r="D17" s="4">
        <f>((1+criteria!$C17)*C17)*(1-TransDeprRt!D17)</f>
        <v>3928364100.4378977</v>
      </c>
      <c r="E17" s="4">
        <f>((1+criteria!$C17)*D17)*(1-TransDeprRt!E17)</f>
        <v>3943297629.7278705</v>
      </c>
      <c r="F17" s="4">
        <f>((1+criteria!$C17)*E17)*(1-TransDeprRt!F17)</f>
        <v>3958287928.2712402</v>
      </c>
      <c r="G17" s="4">
        <f>((1+criteria!$C17)*F17)*(1-TransDeprRt!G17)</f>
        <v>3973335211.8742027</v>
      </c>
      <c r="H17" s="4">
        <f>((1+criteria!$C17)*G17)*(1-TransDeprRt!H17)</f>
        <v>3988439697.163331</v>
      </c>
      <c r="I17" s="4">
        <f>((1+criteria!$C17)*H17)*(1-TransDeprRt!I17)</f>
        <v>4003601601.588697</v>
      </c>
      <c r="J17" s="4">
        <f>((1+criteria!$C17)*I17)*(1-TransDeprRt!J17)</f>
        <v>4018821143.427001</v>
      </c>
      <c r="K17" s="4">
        <f>((1+criteria!$C17)*J17)*(1-TransDeprRt!K17)</f>
        <v>4034098541.7847142</v>
      </c>
      <c r="L17" s="4">
        <f>((1+criteria!$C17)*K17)*(1-TransDeprRt!L17)</f>
        <v>4049434016.6012325</v>
      </c>
      <c r="M17" s="4">
        <f>((1+criteria!$C17)*L17)*(1-TransDeprRt!M17)</f>
        <v>4064827788.6520429</v>
      </c>
    </row>
    <row r="18" spans="1:13" x14ac:dyDescent="0.2">
      <c r="A18" t="str">
        <f>raw!A18</f>
        <v>PPL Electric Utilities Corp.</v>
      </c>
      <c r="B18" s="1">
        <f>VLOOKUP(A18,raw!$A$4:$BK$24,TransNplant!$B$2,FALSE)</f>
        <v>1835140856.7234001</v>
      </c>
      <c r="C18" s="4">
        <f t="shared" si="0"/>
        <v>1835140856.7234001</v>
      </c>
      <c r="D18" s="4">
        <f>((1+criteria!$C18)*C18)*(1-TransDeprRt!D18)</f>
        <v>1839457176.6752715</v>
      </c>
      <c r="E18" s="4">
        <f>((1+criteria!$C18)*D18)*(1-TransDeprRt!E18)</f>
        <v>1843783648.7731533</v>
      </c>
      <c r="F18" s="4">
        <f>((1+criteria!$C18)*E18)*(1-TransDeprRt!F18)</f>
        <v>1848120296.8952725</v>
      </c>
      <c r="G18" s="4">
        <f>((1+criteria!$C18)*F18)*(1-TransDeprRt!G18)</f>
        <v>1852467144.9760189</v>
      </c>
      <c r="H18" s="4">
        <f>((1+criteria!$C18)*G18)*(1-TransDeprRt!H18)</f>
        <v>1856824217.0060771</v>
      </c>
      <c r="I18" s="4">
        <f>((1+criteria!$C18)*H18)*(1-TransDeprRt!I18)</f>
        <v>1861191537.032558</v>
      </c>
      <c r="J18" s="4">
        <f>((1+criteria!$C18)*I18)*(1-TransDeprRt!J18)</f>
        <v>1865569129.1591327</v>
      </c>
      <c r="K18" s="4">
        <f>((1+criteria!$C18)*J18)*(1-TransDeprRt!K18)</f>
        <v>1869957017.5461652</v>
      </c>
      <c r="L18" s="4">
        <f>((1+criteria!$C18)*K18)*(1-TransDeprRt!L18)</f>
        <v>1874355226.4108448</v>
      </c>
      <c r="M18" s="4">
        <f>((1+criteria!$C18)*L18)*(1-TransDeprRt!M18)</f>
        <v>1878763780.0273213</v>
      </c>
    </row>
    <row r="19" spans="1:13" x14ac:dyDescent="0.2">
      <c r="A19" t="str">
        <f>raw!A19</f>
        <v>Pacific Gas &amp; Electric Co.</v>
      </c>
      <c r="B19" s="1">
        <f>VLOOKUP(A19,raw!$A$4:$BK$24,TransNplant!$B$2,FALSE)</f>
        <v>9433086193.0723991</v>
      </c>
      <c r="C19" s="4">
        <f t="shared" si="0"/>
        <v>9433086193.0723991</v>
      </c>
      <c r="D19" s="4">
        <f>((1+criteria!$C19)*C19)*(1-TransDeprRt!D19)</f>
        <v>9386988518.3583279</v>
      </c>
      <c r="E19" s="4">
        <f>((1+criteria!$C19)*D19)*(1-TransDeprRt!E19)</f>
        <v>9341116114.0987568</v>
      </c>
      <c r="F19" s="4">
        <f>((1+criteria!$C19)*E19)*(1-TransDeprRt!F19)</f>
        <v>9295467879.4403782</v>
      </c>
      <c r="G19" s="4">
        <f>((1+criteria!$C19)*F19)*(1-TransDeprRt!G19)</f>
        <v>9250042718.9095421</v>
      </c>
      <c r="H19" s="4">
        <f>((1+criteria!$C19)*G19)*(1-TransDeprRt!H19)</f>
        <v>9204839542.3859673</v>
      </c>
      <c r="I19" s="4">
        <f>((1+criteria!$C19)*H19)*(1-TransDeprRt!I19)</f>
        <v>9159857265.076582</v>
      </c>
      <c r="J19" s="4">
        <f>((1+criteria!$C19)*I19)*(1-TransDeprRt!J19)</f>
        <v>9115094807.4894867</v>
      </c>
      <c r="K19" s="4">
        <f>((1+criteria!$C19)*J19)*(1-TransDeprRt!K19)</f>
        <v>9070551095.4080544</v>
      </c>
      <c r="L19" s="4">
        <f>((1+criteria!$C19)*K19)*(1-TransDeprRt!L19)</f>
        <v>9026225059.8651428</v>
      </c>
      <c r="M19" s="4">
        <f>((1+criteria!$C19)*L19)*(1-TransDeprRt!M19)</f>
        <v>8982115637.1174488</v>
      </c>
    </row>
    <row r="20" spans="1:13" x14ac:dyDescent="0.2">
      <c r="A20" t="str">
        <f>raw!A20</f>
        <v>Public Service Electric &amp; Gas Co.</v>
      </c>
      <c r="B20" s="1">
        <f>VLOOKUP(A20,raw!$A$4:$BK$24,TransNplant!$B$2,FALSE)</f>
        <v>4901375944.6127996</v>
      </c>
      <c r="C20" s="4">
        <f t="shared" si="0"/>
        <v>4901375944.6127996</v>
      </c>
      <c r="D20" s="4">
        <f>((1+criteria!$C20)*C20)*(1-TransDeprRt!D20)</f>
        <v>4905005684.3302145</v>
      </c>
      <c r="E20" s="4">
        <f>((1+criteria!$C20)*D20)*(1-TransDeprRt!E20)</f>
        <v>4908638112.0704556</v>
      </c>
      <c r="F20" s="4">
        <f>((1+criteria!$C20)*E20)*(1-TransDeprRt!F20)</f>
        <v>4912273229.8241501</v>
      </c>
      <c r="G20" s="4">
        <f>((1+criteria!$C20)*F20)*(1-TransDeprRt!G20)</f>
        <v>4915911039.5834045</v>
      </c>
      <c r="H20" s="4">
        <f>((1+criteria!$C20)*G20)*(1-TransDeprRt!H20)</f>
        <v>4919551543.3417959</v>
      </c>
      <c r="I20" s="4">
        <f>((1+criteria!$C20)*H20)*(1-TransDeprRt!I20)</f>
        <v>4923194743.0943804</v>
      </c>
      <c r="J20" s="4">
        <f>((1+criteria!$C20)*I20)*(1-TransDeprRt!J20)</f>
        <v>4926840640.8376904</v>
      </c>
      <c r="K20" s="4">
        <f>((1+criteria!$C20)*J20)*(1-TransDeprRt!K20)</f>
        <v>4930489238.5697374</v>
      </c>
      <c r="L20" s="4">
        <f>((1+criteria!$C20)*K20)*(1-TransDeprRt!L20)</f>
        <v>4934140538.2900114</v>
      </c>
      <c r="M20" s="4">
        <f>((1+criteria!$C20)*L20)*(1-TransDeprRt!M20)</f>
        <v>4937794541.9994841</v>
      </c>
    </row>
    <row r="21" spans="1:13" x14ac:dyDescent="0.2">
      <c r="A21" t="str">
        <f>raw!A21</f>
        <v>San Diego Gas &amp; Electric Co.</v>
      </c>
      <c r="B21" s="1">
        <f>VLOOKUP(A21,raw!$A$4:$BK$24,TransNplant!$B$2,FALSE)</f>
        <v>3147926282.9924002</v>
      </c>
      <c r="C21" s="4">
        <f t="shared" si="0"/>
        <v>3147926282.9924002</v>
      </c>
      <c r="D21" s="4">
        <f>((1+criteria!$C21)*C21)*(1-TransDeprRt!D21)</f>
        <v>3145288559.7213931</v>
      </c>
      <c r="E21" s="4">
        <f>((1+criteria!$C21)*D21)*(1-TransDeprRt!E21)</f>
        <v>3142653046.6622615</v>
      </c>
      <c r="F21" s="4">
        <f>((1+criteria!$C21)*E21)*(1-TransDeprRt!F21)</f>
        <v>3140019741.963016</v>
      </c>
      <c r="G21" s="4">
        <f>((1+criteria!$C21)*F21)*(1-TransDeprRt!G21)</f>
        <v>3137388643.7732182</v>
      </c>
      <c r="H21" s="4">
        <f>((1+criteria!$C21)*G21)*(1-TransDeprRt!H21)</f>
        <v>3134759750.2439809</v>
      </c>
      <c r="I21" s="4">
        <f>((1+criteria!$C21)*H21)*(1-TransDeprRt!I21)</f>
        <v>3132133059.527966</v>
      </c>
      <c r="J21" s="4">
        <f>((1+criteria!$C21)*I21)*(1-TransDeprRt!J21)</f>
        <v>3129508569.7793832</v>
      </c>
      <c r="K21" s="4">
        <f>((1+criteria!$C21)*J21)*(1-TransDeprRt!K21)</f>
        <v>3126886279.1539888</v>
      </c>
      <c r="L21" s="4">
        <f>((1+criteria!$C21)*K21)*(1-TransDeprRt!L21)</f>
        <v>3124266185.8090844</v>
      </c>
      <c r="M21" s="4">
        <f>((1+criteria!$C21)*L21)*(1-TransDeprRt!M21)</f>
        <v>3121648287.9035163</v>
      </c>
    </row>
    <row r="22" spans="1:13" x14ac:dyDescent="0.2">
      <c r="A22" t="str">
        <f>raw!A22</f>
        <v>Southern California Edison Co.</v>
      </c>
      <c r="B22" s="1">
        <f>VLOOKUP(A22,raw!$A$4:$BK$24,TransNplant!$B$2,FALSE)</f>
        <v>13085716196.999901</v>
      </c>
      <c r="C22" s="4">
        <f t="shared" si="0"/>
        <v>13085716196.999901</v>
      </c>
      <c r="D22" s="4">
        <f>((1+criteria!$C22)*C22)*(1-TransDeprRt!D22)</f>
        <v>13003268499.684893</v>
      </c>
      <c r="E22" s="4">
        <f>((1+criteria!$C22)*D22)*(1-TransDeprRt!E22)</f>
        <v>12921340271.284706</v>
      </c>
      <c r="F22" s="4">
        <f>((1+criteria!$C22)*E22)*(1-TransDeprRt!F22)</f>
        <v>12839928238.840096</v>
      </c>
      <c r="G22" s="4">
        <f>((1+criteria!$C22)*F22)*(1-TransDeprRt!G22)</f>
        <v>12759029150.013376</v>
      </c>
      <c r="H22" s="4">
        <f>((1+criteria!$C22)*G22)*(1-TransDeprRt!H22)</f>
        <v>12678639772.958502</v>
      </c>
      <c r="I22" s="4">
        <f>((1+criteria!$C22)*H22)*(1-TransDeprRt!I22)</f>
        <v>12598756896.191957</v>
      </c>
      <c r="J22" s="4">
        <f>((1+criteria!$C22)*I22)*(1-TransDeprRt!J22)</f>
        <v>12519377328.464457</v>
      </c>
      <c r="K22" s="4">
        <f>((1+criteria!$C22)*J22)*(1-TransDeprRt!K22)</f>
        <v>12440497898.633457</v>
      </c>
      <c r="L22" s="4">
        <f>((1+criteria!$C22)*K22)*(1-TransDeprRt!L22)</f>
        <v>12362115455.53648</v>
      </c>
      <c r="M22" s="4">
        <f>((1+criteria!$C22)*L22)*(1-TransDeprRt!M22)</f>
        <v>12284226867.865219</v>
      </c>
    </row>
    <row r="23" spans="1:13" x14ac:dyDescent="0.2">
      <c r="A23" t="str">
        <f>raw!A23</f>
        <v>Southwestern Public Service Co.</v>
      </c>
      <c r="B23" s="1">
        <f>VLOOKUP(A23,raw!$A$4:$BK$24,TransNplant!$B$2,FALSE)</f>
        <v>1628203085.4154999</v>
      </c>
      <c r="C23" s="4">
        <f t="shared" si="0"/>
        <v>1628203085.4154999</v>
      </c>
      <c r="D23" s="4">
        <f>((1+criteria!$C23)*C23)*(1-TransDeprRt!D23)</f>
        <v>1629876610.2016864</v>
      </c>
      <c r="E23" s="4">
        <f>((1+criteria!$C23)*D23)*(1-TransDeprRt!E23)</f>
        <v>1631551855.0959079</v>
      </c>
      <c r="F23" s="4">
        <f>((1+criteria!$C23)*E23)*(1-TransDeprRt!F23)</f>
        <v>1633228821.8661525</v>
      </c>
      <c r="G23" s="4">
        <f>((1+criteria!$C23)*F23)*(1-TransDeprRt!G23)</f>
        <v>1634907512.2822254</v>
      </c>
      <c r="H23" s="4">
        <f>((1+criteria!$C23)*G23)*(1-TransDeprRt!H23)</f>
        <v>1636587928.1157506</v>
      </c>
      <c r="I23" s="4">
        <f>((1+criteria!$C23)*H23)*(1-TransDeprRt!I23)</f>
        <v>1638270071.1401732</v>
      </c>
      <c r="J23" s="4">
        <f>((1+criteria!$C23)*I23)*(1-TransDeprRt!J23)</f>
        <v>1639953943.1307614</v>
      </c>
      <c r="K23" s="4">
        <f>((1+criteria!$C23)*J23)*(1-TransDeprRt!K23)</f>
        <v>1641639545.8646078</v>
      </c>
      <c r="L23" s="4">
        <f>((1+criteria!$C23)*K23)*(1-TransDeprRt!L23)</f>
        <v>1643326881.1206317</v>
      </c>
      <c r="M23" s="4">
        <f>((1+criteria!$C23)*L23)*(1-TransDeprRt!M23)</f>
        <v>1645015950.6795805</v>
      </c>
    </row>
    <row r="24" spans="1:13" x14ac:dyDescent="0.2">
      <c r="A24" t="str">
        <f>raw!A24</f>
        <v>TXU Electric Co.</v>
      </c>
      <c r="B24" s="1">
        <f>VLOOKUP(A24,raw!$A$4:$BK$24,TransNplant!$B$2,FALSE)</f>
        <v>7630434988.4027004</v>
      </c>
      <c r="C24" s="4">
        <f t="shared" si="0"/>
        <v>7630434988.4027004</v>
      </c>
      <c r="D24" s="4">
        <f>((1+criteria!$C24)*C24)*(1-TransDeprRt!D24)</f>
        <v>7659119393.3683081</v>
      </c>
      <c r="E24" s="4">
        <f>((1+criteria!$C24)*D24)*(1-TransDeprRt!E24)</f>
        <v>7687911629.0263309</v>
      </c>
      <c r="F24" s="4">
        <f>((1+criteria!$C24)*E24)*(1-TransDeprRt!F24)</f>
        <v>7716812100.734951</v>
      </c>
      <c r="G24" s="4">
        <f>((1+criteria!$C24)*F24)*(1-TransDeprRt!G24)</f>
        <v>7745821215.3761749</v>
      </c>
      <c r="H24" s="4">
        <f>((1+criteria!$C24)*G24)*(1-TransDeprRt!H24)</f>
        <v>7774939381.3615665</v>
      </c>
      <c r="I24" s="4">
        <f>((1+criteria!$C24)*H24)*(1-TransDeprRt!I24)</f>
        <v>7804167008.637991</v>
      </c>
      <c r="J24" s="4">
        <f>((1+criteria!$C24)*I24)*(1-TransDeprRt!J24)</f>
        <v>7833504508.6933928</v>
      </c>
      <c r="K24" s="4">
        <f>((1+criteria!$C24)*J24)*(1-TransDeprRt!K24)</f>
        <v>7862952294.5625849</v>
      </c>
      <c r="L24" s="4">
        <f>((1+criteria!$C24)*K24)*(1-TransDeprRt!L24)</f>
        <v>7892510780.8330631</v>
      </c>
      <c r="M24" s="4">
        <f>((1+criteria!$C24)*L24)*(1-TransDeprRt!M24)</f>
        <v>7922180383.6508474</v>
      </c>
    </row>
  </sheetData>
  <pageMargins left="0.46" right="0.44" top="1" bottom="1" header="0.5" footer="0.5"/>
  <pageSetup scale="61" orientation="landscape" verticalDpi="0" r:id="rId1"/>
  <headerFooter alignWithMargins="0">
    <oddFooter>Page &amp;P&amp;R&amp;A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workbookViewId="0">
      <selection activeCell="E25" sqref="E25"/>
    </sheetView>
  </sheetViews>
  <sheetFormatPr defaultRowHeight="12.75" x14ac:dyDescent="0.2"/>
  <cols>
    <col min="1" max="1" width="36.140625" bestFit="1" customWidth="1"/>
    <col min="2" max="13" width="14.85546875" bestFit="1" customWidth="1"/>
  </cols>
  <sheetData>
    <row r="1" spans="1:13" x14ac:dyDescent="0.2">
      <c r="A1" t="s">
        <v>531</v>
      </c>
    </row>
    <row r="2" spans="1:13" x14ac:dyDescent="0.2">
      <c r="B2">
        <v>56</v>
      </c>
    </row>
    <row r="3" spans="1:13" x14ac:dyDescent="0.2">
      <c r="A3" s="8" t="s">
        <v>177</v>
      </c>
      <c r="B3" s="8">
        <v>1998</v>
      </c>
      <c r="C3" s="8">
        <v>2000</v>
      </c>
      <c r="D3" s="8">
        <v>2001</v>
      </c>
      <c r="E3" s="8">
        <v>2002</v>
      </c>
      <c r="F3" s="8">
        <v>2003</v>
      </c>
      <c r="G3" s="8">
        <v>2004</v>
      </c>
      <c r="H3" s="8">
        <v>2005</v>
      </c>
      <c r="I3" s="8">
        <v>2006</v>
      </c>
      <c r="J3" s="8">
        <v>2007</v>
      </c>
      <c r="K3" s="8">
        <v>2008</v>
      </c>
      <c r="L3" s="8">
        <v>2009</v>
      </c>
      <c r="M3" s="8">
        <v>2010</v>
      </c>
    </row>
    <row r="4" spans="1:13" x14ac:dyDescent="0.2">
      <c r="A4" t="str">
        <f>raw!A4</f>
        <v>Boston Edison Co.</v>
      </c>
      <c r="B4" s="1">
        <f>VLOOKUP(A4,raw!$A$4:$BK$24,DistNplant!$B$2,FALSE)</f>
        <v>7364838312.2363997</v>
      </c>
      <c r="C4" s="4">
        <f>B4</f>
        <v>7364838312.2363997</v>
      </c>
      <c r="D4" s="4">
        <f>((1+criteria!$D4)*DistNplant!C4)*(1-DistDeprRt!D4)</f>
        <v>7457689104.2637005</v>
      </c>
      <c r="E4" s="4">
        <f>((1+criteria!$D4)*DistNplant!D4)*(1-DistDeprRt!E4)</f>
        <v>7551710494.9130735</v>
      </c>
      <c r="F4" s="4">
        <f>((1+criteria!$D4)*DistNplant!E4)*(1-DistDeprRt!F4)</f>
        <v>7646917242.2830153</v>
      </c>
      <c r="G4" s="4">
        <f>((1+criteria!$D4)*DistNplant!F4)*(1-DistDeprRt!G4)</f>
        <v>7743324290.5319252</v>
      </c>
      <c r="H4" s="4">
        <f>((1+criteria!$D4)*DistNplant!G4)*(1-DistDeprRt!H4)</f>
        <v>7840946772.2238283</v>
      </c>
      <c r="I4" s="4">
        <f>((1+criteria!$D4)*DistNplant!H4)*(1-DistDeprRt!I4)</f>
        <v>7939800010.7036581</v>
      </c>
      <c r="J4" s="4">
        <f>((1+criteria!$D4)*DistNplant!I4)*(1-DistDeprRt!J4)</f>
        <v>8039899522.502491</v>
      </c>
      <c r="K4" s="4">
        <f>((1+criteria!$D4)*DistNplant!J4)*(1-DistDeprRt!K4)</f>
        <v>8141261019.7731066</v>
      </c>
      <c r="L4" s="4">
        <f>((1+criteria!$D4)*DistNplant!K4)*(1-DistDeprRt!L4)</f>
        <v>8243900412.7562466</v>
      </c>
      <c r="M4" s="4">
        <f>((1+criteria!$D4)*DistNplant!L4)*(1-DistDeprRt!M4)</f>
        <v>8347833812.277976</v>
      </c>
    </row>
    <row r="5" spans="1:13" x14ac:dyDescent="0.2">
      <c r="A5" t="str">
        <f>raw!A5</f>
        <v>Carolina Power &amp; Light Co.</v>
      </c>
      <c r="B5" s="1">
        <f>VLOOKUP(A5,raw!$A$4:$BK$24,DistNplant!$B$2,FALSE)</f>
        <v>10206533341.1285</v>
      </c>
      <c r="C5" s="4">
        <f t="shared" ref="C5:C24" si="0">B5</f>
        <v>10206533341.1285</v>
      </c>
      <c r="D5" s="4">
        <f>((1+criteria!$D5)*DistNplant!C5)*(1-DistDeprRt!D5)</f>
        <v>10356844631.972343</v>
      </c>
      <c r="E5" s="4">
        <f>((1+criteria!$D5)*DistNplant!D5)*(1-DistDeprRt!E5)</f>
        <v>10509369552.400297</v>
      </c>
      <c r="F5" s="4">
        <f>((1+criteria!$D5)*DistNplant!E5)*(1-DistDeprRt!F5)</f>
        <v>10664140702.464615</v>
      </c>
      <c r="G5" s="4">
        <f>((1+criteria!$D5)*DistNplant!F5)*(1-DistDeprRt!G5)</f>
        <v>10821191162.317478</v>
      </c>
      <c r="H5" s="4">
        <f>((1+criteria!$D5)*DistNplant!G5)*(1-DistDeprRt!H5)</f>
        <v>10980554499.281416</v>
      </c>
      <c r="I5" s="4">
        <f>((1+criteria!$D5)*DistNplant!H5)*(1-DistDeprRt!I5)</f>
        <v>11142264775.023842</v>
      </c>
      <c r="J5" s="4">
        <f>((1+criteria!$D5)*DistNplant!I5)*(1-DistDeprRt!J5)</f>
        <v>11306356552.837261</v>
      </c>
      <c r="K5" s="4">
        <f>((1+criteria!$D5)*DistNplant!J5)*(1-DistDeprRt!K5)</f>
        <v>11472864905.026684</v>
      </c>
      <c r="L5" s="4">
        <f>((1+criteria!$D5)*DistNplant!K5)*(1-DistDeprRt!L5)</f>
        <v>11641825420.405838</v>
      </c>
      <c r="M5" s="4">
        <f>((1+criteria!$D5)*DistNplant!L5)*(1-DistDeprRt!M5)</f>
        <v>11813274211.903774</v>
      </c>
    </row>
    <row r="6" spans="1:13" x14ac:dyDescent="0.2">
      <c r="A6" t="str">
        <f>raw!A6</f>
        <v>Central Hudson Gas &amp; Electric Corp.</v>
      </c>
      <c r="B6" s="1">
        <f>VLOOKUP(A6,raw!$A$4:$BK$24,DistNplant!$B$2,FALSE)</f>
        <v>1531996557</v>
      </c>
      <c r="C6" s="4">
        <f t="shared" si="0"/>
        <v>1531996557</v>
      </c>
      <c r="D6" s="4">
        <f>((1+criteria!$D6)*DistNplant!C6)*(1-DistDeprRt!D6)</f>
        <v>1555096235.9107089</v>
      </c>
      <c r="E6" s="4">
        <f>((1+criteria!$D6)*DistNplant!D6)*(1-DistDeprRt!E6)</f>
        <v>1578544215.3207495</v>
      </c>
      <c r="F6" s="4">
        <f>((1+criteria!$D6)*DistNplant!E6)*(1-DistDeprRt!F6)</f>
        <v>1602345746.9584386</v>
      </c>
      <c r="G6" s="4">
        <f>((1+criteria!$D6)*DistNplant!F6)*(1-DistDeprRt!G6)</f>
        <v>1626506161.7384567</v>
      </c>
      <c r="H6" s="4">
        <f>((1+criteria!$D6)*DistNplant!G6)*(1-DistDeprRt!H6)</f>
        <v>1651030870.9558337</v>
      </c>
      <c r="I6" s="4">
        <f>((1+criteria!$D6)*DistNplant!H6)*(1-DistDeprRt!I6)</f>
        <v>1675925367.4979351</v>
      </c>
      <c r="J6" s="4">
        <f>((1+criteria!$D6)*DistNplant!I6)*(1-DistDeprRt!J6)</f>
        <v>1701195227.0747237</v>
      </c>
      <c r="K6" s="4">
        <f>((1+criteria!$D6)*DistNplant!J6)*(1-DistDeprRt!K6)</f>
        <v>1726846109.4675727</v>
      </c>
      <c r="L6" s="4">
        <f>((1+criteria!$D6)*DistNplant!K6)*(1-DistDeprRt!L6)</f>
        <v>1752883759.7969055</v>
      </c>
      <c r="M6" s="4">
        <f>((1+criteria!$D6)*DistNplant!L6)*(1-DistDeprRt!M6)</f>
        <v>1779314009.8089521</v>
      </c>
    </row>
    <row r="7" spans="1:13" x14ac:dyDescent="0.2">
      <c r="A7" t="str">
        <f>raw!A7</f>
        <v>Commonwealth Edison Co.</v>
      </c>
      <c r="B7" s="1">
        <f>VLOOKUP(A7,raw!$A$4:$BK$24,DistNplant!$B$2,FALSE)</f>
        <v>17121930644.0037</v>
      </c>
      <c r="C7" s="4">
        <f t="shared" si="0"/>
        <v>17121930644.0037</v>
      </c>
      <c r="D7" s="4">
        <f>((1+criteria!$D7)*DistNplant!C7)*(1-DistDeprRt!D7)</f>
        <v>17430167348.64732</v>
      </c>
      <c r="E7" s="4">
        <f>((1+criteria!$D7)*DistNplant!D7)*(1-DistDeprRt!E7)</f>
        <v>17743953069.232246</v>
      </c>
      <c r="F7" s="4">
        <f>((1+criteria!$D7)*DistNplant!E7)*(1-DistDeprRt!F7)</f>
        <v>18063387701.641914</v>
      </c>
      <c r="G7" s="4">
        <f>((1+criteria!$D7)*DistNplant!F7)*(1-DistDeprRt!G7)</f>
        <v>18388572940.130428</v>
      </c>
      <c r="H7" s="4">
        <f>((1+criteria!$D7)*DistNplant!G7)*(1-DistDeprRt!H7)</f>
        <v>18719612309.697647</v>
      </c>
      <c r="I7" s="4">
        <f>((1+criteria!$D7)*DistNplant!H7)*(1-DistDeprRt!I7)</f>
        <v>19056611199.047085</v>
      </c>
      <c r="J7" s="4">
        <f>((1+criteria!$D7)*DistNplant!I7)*(1-DistDeprRt!J7)</f>
        <v>19399676894.137146</v>
      </c>
      <c r="K7" s="4">
        <f>((1+criteria!$D7)*DistNplant!J7)*(1-DistDeprRt!K7)</f>
        <v>19748918612.336372</v>
      </c>
      <c r="L7" s="4">
        <f>((1+criteria!$D7)*DistNplant!K7)*(1-DistDeprRt!L7)</f>
        <v>20104447537.193539</v>
      </c>
      <c r="M7" s="4">
        <f>((1+criteria!$D7)*DistNplant!L7)*(1-DistDeprRt!M7)</f>
        <v>20466376853.833733</v>
      </c>
    </row>
    <row r="8" spans="1:13" x14ac:dyDescent="0.2">
      <c r="A8" t="str">
        <f>raw!A8</f>
        <v>Consolidated Edison Co. of New York, Inc.</v>
      </c>
      <c r="B8" s="1">
        <f>VLOOKUP(A8,raw!$A$4:$BK$24,DistNplant!$B$2,FALSE)</f>
        <v>34728806518.900002</v>
      </c>
      <c r="C8" s="4">
        <f t="shared" si="0"/>
        <v>34728806518.900002</v>
      </c>
      <c r="D8" s="4">
        <f>((1+criteria!$D8)*DistNplant!C8)*(1-DistDeprRt!D8)</f>
        <v>35109409716.678757</v>
      </c>
      <c r="E8" s="4">
        <f>((1+criteria!$D8)*DistNplant!D8)*(1-DistDeprRt!E8)</f>
        <v>35494184056.764999</v>
      </c>
      <c r="F8" s="4">
        <f>((1+criteria!$D8)*DistNplant!E8)*(1-DistDeprRt!F8)</f>
        <v>35883175251.933212</v>
      </c>
      <c r="G8" s="4">
        <f>((1+criteria!$D8)*DistNplant!F8)*(1-DistDeprRt!G8)</f>
        <v>36276429515.937622</v>
      </c>
      <c r="H8" s="4">
        <f>((1+criteria!$D8)*DistNplant!G8)*(1-DistDeprRt!H8)</f>
        <v>36673993569.002556</v>
      </c>
      <c r="I8" s="4">
        <f>((1+criteria!$D8)*DistNplant!H8)*(1-DistDeprRt!I8)</f>
        <v>37075914643.373009</v>
      </c>
      <c r="J8" s="4">
        <f>((1+criteria!$D8)*DistNplant!I8)*(1-DistDeprRt!J8)</f>
        <v>37482240488.926056</v>
      </c>
      <c r="K8" s="4">
        <f>((1+criteria!$D8)*DistNplant!J8)*(1-DistDeprRt!K8)</f>
        <v>37893019378.843681</v>
      </c>
      <c r="L8" s="4">
        <f>((1+criteria!$D8)*DistNplant!K8)*(1-DistDeprRt!L8)</f>
        <v>38308300115.34787</v>
      </c>
      <c r="M8" s="4">
        <f>((1+criteria!$D8)*DistNplant!L8)*(1-DistDeprRt!M8)</f>
        <v>38728132035.498512</v>
      </c>
    </row>
    <row r="9" spans="1:13" x14ac:dyDescent="0.2">
      <c r="A9" t="str">
        <f>raw!A9</f>
        <v>Consumers Energy Co.</v>
      </c>
      <c r="B9" s="1">
        <f>VLOOKUP(A9,raw!$A$4:$BK$24,DistNplant!$B$2,FALSE)</f>
        <v>8949302405.3195992</v>
      </c>
      <c r="C9" s="4">
        <f t="shared" si="0"/>
        <v>8949302405.3195992</v>
      </c>
      <c r="D9" s="4">
        <f>((1+criteria!$D9)*DistNplant!C9)*(1-DistDeprRt!D9)</f>
        <v>9081803294.7444592</v>
      </c>
      <c r="E9" s="4">
        <f>((1+criteria!$D9)*DistNplant!D9)*(1-DistDeprRt!E9)</f>
        <v>9216265955.5905132</v>
      </c>
      <c r="F9" s="4">
        <f>((1+criteria!$D9)*DistNplant!E9)*(1-DistDeprRt!F9)</f>
        <v>9352719433.3013477</v>
      </c>
      <c r="G9" s="4">
        <f>((1+criteria!$D9)*DistNplant!F9)*(1-DistDeprRt!G9)</f>
        <v>9491193203.359333</v>
      </c>
      <c r="H9" s="4">
        <f>((1+criteria!$D9)*DistNplant!G9)*(1-DistDeprRt!H9)</f>
        <v>9631717177.6526546</v>
      </c>
      <c r="I9" s="4">
        <f>((1+criteria!$D9)*DistNplant!H9)*(1-DistDeprRt!I9)</f>
        <v>9774321710.9366207</v>
      </c>
      <c r="J9" s="4">
        <f>((1+criteria!$D9)*DistNplant!I9)*(1-DistDeprRt!J9)</f>
        <v>9919037607.3906269</v>
      </c>
      <c r="K9" s="4">
        <f>((1+criteria!$D9)*DistNplant!J9)*(1-DistDeprRt!K9)</f>
        <v>10065896127.272205</v>
      </c>
      <c r="L9" s="4">
        <f>((1+criteria!$D9)*DistNplant!K9)*(1-DistDeprRt!L9)</f>
        <v>10214928993.669594</v>
      </c>
      <c r="M9" s="4">
        <f>((1+criteria!$D9)*DistNplant!L9)*(1-DistDeprRt!M9)</f>
        <v>10366168399.354273</v>
      </c>
    </row>
    <row r="10" spans="1:13" x14ac:dyDescent="0.2">
      <c r="A10" t="str">
        <f>raw!A10</f>
        <v>Duke Energy Corp.</v>
      </c>
      <c r="B10" s="1">
        <f>VLOOKUP(A10,raw!$A$4:$BK$24,DistNplant!$B$2,FALSE)</f>
        <v>19939584621.4431</v>
      </c>
      <c r="C10" s="4">
        <f t="shared" si="0"/>
        <v>19939584621.4431</v>
      </c>
      <c r="D10" s="4">
        <f>((1+criteria!$D10)*DistNplant!C10)*(1-DistDeprRt!D10)</f>
        <v>20143314326.423389</v>
      </c>
      <c r="E10" s="4">
        <f>((1+criteria!$D10)*DistNplant!D10)*(1-DistDeprRt!E10)</f>
        <v>20349125609.003181</v>
      </c>
      <c r="F10" s="4">
        <f>((1+criteria!$D10)*DistNplant!E10)*(1-DistDeprRt!F10)</f>
        <v>20557039737.388321</v>
      </c>
      <c r="G10" s="4">
        <f>((1+criteria!$D10)*DistNplant!F10)*(1-DistDeprRt!G10)</f>
        <v>20767078197.089348</v>
      </c>
      <c r="H10" s="4">
        <f>((1+criteria!$D10)*DistNplant!G10)*(1-DistDeprRt!H10)</f>
        <v>20979262693.141773</v>
      </c>
      <c r="I10" s="4">
        <f>((1+criteria!$D10)*DistNplant!H10)*(1-DistDeprRt!I10)</f>
        <v>21193615152.349041</v>
      </c>
      <c r="J10" s="4">
        <f>((1+criteria!$D10)*DistNplant!I10)*(1-DistDeprRt!J10)</f>
        <v>21410157725.548409</v>
      </c>
      <c r="K10" s="4">
        <f>((1+criteria!$D10)*DistNplant!J10)*(1-DistDeprRt!K10)</f>
        <v>21628912789.899979</v>
      </c>
      <c r="L10" s="4">
        <f>((1+criteria!$D10)*DistNplant!K10)*(1-DistDeprRt!L10)</f>
        <v>21849902951.199127</v>
      </c>
      <c r="M10" s="4">
        <f>((1+criteria!$D10)*DistNplant!L10)*(1-DistDeprRt!M10)</f>
        <v>22073151046.212532</v>
      </c>
    </row>
    <row r="11" spans="1:13" x14ac:dyDescent="0.2">
      <c r="A11" t="str">
        <f>raw!A11</f>
        <v>Entergy Mississippi, Inc.</v>
      </c>
      <c r="B11" s="1">
        <f>VLOOKUP(A11,raw!$A$4:$BK$24,DistNplant!$B$2,FALSE)</f>
        <v>1868128975.6879001</v>
      </c>
      <c r="C11" s="4">
        <f t="shared" si="0"/>
        <v>1868128975.6879001</v>
      </c>
      <c r="D11" s="4">
        <f>((1+criteria!$D11)*DistNplant!C11)*(1-DistDeprRt!D11)</f>
        <v>1892423869.4285617</v>
      </c>
      <c r="E11" s="4">
        <f>((1+criteria!$D11)*DistNplant!D11)*(1-DistDeprRt!E11)</f>
        <v>1917034716.6550648</v>
      </c>
      <c r="F11" s="4">
        <f>((1+criteria!$D11)*DistNplant!E11)*(1-DistDeprRt!F11)</f>
        <v>1941965626.3215904</v>
      </c>
      <c r="G11" s="4">
        <f>((1+criteria!$D11)*DistNplant!F11)*(1-DistDeprRt!G11)</f>
        <v>1967220760.8189971</v>
      </c>
      <c r="H11" s="4">
        <f>((1+criteria!$D11)*DistNplant!G11)*(1-DistDeprRt!H11)</f>
        <v>1992804336.6697609</v>
      </c>
      <c r="I11" s="4">
        <f>((1+criteria!$D11)*DistNplant!H11)*(1-DistDeprRt!I11)</f>
        <v>2018720625.2319541</v>
      </c>
      <c r="J11" s="4">
        <f>((1+criteria!$D11)*DistNplant!I11)*(1-DistDeprRt!J11)</f>
        <v>2044973953.4123774</v>
      </c>
      <c r="K11" s="4">
        <f>((1+criteria!$D11)*DistNplant!J11)*(1-DistDeprRt!K11)</f>
        <v>2071568704.3889687</v>
      </c>
      <c r="L11" s="4">
        <f>((1+criteria!$D11)*DistNplant!K11)*(1-DistDeprRt!L11)</f>
        <v>2098509318.3426054</v>
      </c>
      <c r="M11" s="4">
        <f>((1+criteria!$D11)*DistNplant!L11)*(1-DistDeprRt!M11)</f>
        <v>2125800293.1984224</v>
      </c>
    </row>
    <row r="12" spans="1:13" x14ac:dyDescent="0.2">
      <c r="A12" t="str">
        <f>raw!A12</f>
        <v>Florida Power &amp; Light Co.</v>
      </c>
      <c r="B12" s="1">
        <f>VLOOKUP(A12,raw!$A$4:$BK$24,DistNplant!$B$2,FALSE)</f>
        <v>24491824736.272499</v>
      </c>
      <c r="C12" s="4">
        <f t="shared" si="0"/>
        <v>24491824736.272499</v>
      </c>
      <c r="D12" s="4">
        <f>((1+criteria!$D12)*DistNplant!C12)*(1-DistDeprRt!D12)</f>
        <v>24728351382.015289</v>
      </c>
      <c r="E12" s="4">
        <f>((1+criteria!$D12)*DistNplant!D12)*(1-DistDeprRt!E12)</f>
        <v>24967162253.402706</v>
      </c>
      <c r="F12" s="4">
        <f>((1+criteria!$D12)*DistNplant!E12)*(1-DistDeprRt!F12)</f>
        <v>25208279410.049976</v>
      </c>
      <c r="G12" s="4">
        <f>((1+criteria!$D12)*DistNplant!F12)*(1-DistDeprRt!G12)</f>
        <v>25451725124.610222</v>
      </c>
      <c r="H12" s="4">
        <f>((1+criteria!$D12)*DistNplant!G12)*(1-DistDeprRt!H12)</f>
        <v>25697521884.831844</v>
      </c>
      <c r="I12" s="4">
        <f>((1+criteria!$D12)*DistNplant!H12)*(1-DistDeprRt!I12)</f>
        <v>25945692395.63578</v>
      </c>
      <c r="J12" s="4">
        <f>((1+criteria!$D12)*DistNplant!I12)*(1-DistDeprRt!J12)</f>
        <v>26196259581.212822</v>
      </c>
      <c r="K12" s="4">
        <f>((1+criteria!$D12)*DistNplant!J12)*(1-DistDeprRt!K12)</f>
        <v>26449246587.141182</v>
      </c>
      <c r="L12" s="4">
        <f>((1+criteria!$D12)*DistNplant!K12)*(1-DistDeprRt!L12)</f>
        <v>26704676782.524517</v>
      </c>
      <c r="M12" s="4">
        <f>((1+criteria!$D12)*DistNplant!L12)*(1-DistDeprRt!M12)</f>
        <v>26962573762.150593</v>
      </c>
    </row>
    <row r="13" spans="1:13" x14ac:dyDescent="0.2">
      <c r="A13" t="str">
        <f>raw!A13</f>
        <v>Gulf Power Co.</v>
      </c>
      <c r="B13" s="1">
        <f>VLOOKUP(A13,raw!$A$4:$BK$24,DistNplant!$B$2,FALSE)</f>
        <v>2376819052.4032001</v>
      </c>
      <c r="C13" s="4">
        <f t="shared" si="0"/>
        <v>2376819052.4032001</v>
      </c>
      <c r="D13" s="4">
        <f>((1+criteria!$D13)*DistNplant!C13)*(1-DistDeprRt!D13)</f>
        <v>2408375512.9601068</v>
      </c>
      <c r="E13" s="4">
        <f>((1+criteria!$D13)*DistNplant!D13)*(1-DistDeprRt!E13)</f>
        <v>2440350941.1291556</v>
      </c>
      <c r="F13" s="4">
        <f>((1+criteria!$D13)*DistNplant!E13)*(1-DistDeprRt!F13)</f>
        <v>2472750899.443563</v>
      </c>
      <c r="G13" s="4">
        <f>((1+criteria!$D13)*DistNplant!F13)*(1-DistDeprRt!G13)</f>
        <v>2505581024.2889729</v>
      </c>
      <c r="H13" s="4">
        <f>((1+criteria!$D13)*DistNplant!G13)*(1-DistDeprRt!H13)</f>
        <v>2538847026.8839803</v>
      </c>
      <c r="I13" s="4">
        <f>((1+criteria!$D13)*DistNplant!H13)*(1-DistDeprRt!I13)</f>
        <v>2572554694.2736697</v>
      </c>
      <c r="J13" s="4">
        <f>((1+criteria!$D13)*DistNplant!I13)*(1-DistDeprRt!J13)</f>
        <v>2606709890.3363442</v>
      </c>
      <c r="K13" s="4">
        <f>((1+criteria!$D13)*DistNplant!J13)*(1-DistDeprRt!K13)</f>
        <v>2641318556.8036237</v>
      </c>
      <c r="L13" s="4">
        <f>((1+criteria!$D13)*DistNplant!K13)*(1-DistDeprRt!L13)</f>
        <v>2676386714.2940831</v>
      </c>
      <c r="M13" s="4">
        <f>((1+criteria!$D13)*DistNplant!L13)*(1-DistDeprRt!M13)</f>
        <v>2711920463.3606162</v>
      </c>
    </row>
    <row r="14" spans="1:13" x14ac:dyDescent="0.2">
      <c r="A14" t="str">
        <f>raw!A14</f>
        <v>Illinois Power Co.</v>
      </c>
      <c r="B14" s="1">
        <f>VLOOKUP(A14,raw!$A$4:$BK$24,DistNplant!$B$2,FALSE)</f>
        <v>3670280704.0447001</v>
      </c>
      <c r="C14" s="4">
        <f t="shared" si="0"/>
        <v>3670280704.0447001</v>
      </c>
      <c r="D14" s="4">
        <f>((1+criteria!$D14)*DistNplant!C14)*(1-DistDeprRt!D14)</f>
        <v>3728969612.5288024</v>
      </c>
      <c r="E14" s="4">
        <f>((1+criteria!$D14)*DistNplant!D14)*(1-DistDeprRt!E14)</f>
        <v>3788596974.5691295</v>
      </c>
      <c r="F14" s="4">
        <f>((1+criteria!$D14)*DistNplant!E14)*(1-DistDeprRt!F14)</f>
        <v>3849177796.3244252</v>
      </c>
      <c r="G14" s="4">
        <f>((1+criteria!$D14)*DistNplant!F14)*(1-DistDeprRt!G14)</f>
        <v>3910727323.9064903</v>
      </c>
      <c r="H14" s="4">
        <f>((1+criteria!$D14)*DistNplant!G14)*(1-DistDeprRt!H14)</f>
        <v>3973261047.2171068</v>
      </c>
      <c r="I14" s="4">
        <f>((1+criteria!$D14)*DistNplant!H14)*(1-DistDeprRt!I14)</f>
        <v>4036794703.8463116</v>
      </c>
      <c r="J14" s="4">
        <f>((1+criteria!$D14)*DistNplant!I14)*(1-DistDeprRt!J14)</f>
        <v>4101344283.03301</v>
      </c>
      <c r="K14" s="4">
        <f>((1+criteria!$D14)*DistNplant!J14)*(1-DistDeprRt!K14)</f>
        <v>4166926029.6889162</v>
      </c>
      <c r="L14" s="4">
        <f>((1+criteria!$D14)*DistNplant!K14)*(1-DistDeprRt!L14)</f>
        <v>4233556448.4868398</v>
      </c>
      <c r="M14" s="4">
        <f>((1+criteria!$D14)*DistNplant!L14)*(1-DistDeprRt!M14)</f>
        <v>4301252308.0143452</v>
      </c>
    </row>
    <row r="15" spans="1:13" x14ac:dyDescent="0.2">
      <c r="A15" t="str">
        <f>raw!A15</f>
        <v>Jersey Central Power &amp; Light Co.</v>
      </c>
      <c r="B15" s="1">
        <f>VLOOKUP(A15,raw!$A$4:$BK$24,DistNplant!$B$2,FALSE)</f>
        <v>8084862051.6371002</v>
      </c>
      <c r="C15" s="4">
        <f t="shared" si="0"/>
        <v>8084862051.6371002</v>
      </c>
      <c r="D15" s="4">
        <f>((1+criteria!$D15)*DistNplant!C15)*(1-DistDeprRt!D15)</f>
        <v>8223058876.6409655</v>
      </c>
      <c r="E15" s="4">
        <f>((1+criteria!$D15)*DistNplant!D15)*(1-DistDeprRt!E15)</f>
        <v>8363617938.9123526</v>
      </c>
      <c r="F15" s="4">
        <f>((1+criteria!$D15)*DistNplant!E15)*(1-DistDeprRt!F15)</f>
        <v>8506579616.8384476</v>
      </c>
      <c r="G15" s="4">
        <f>((1+criteria!$D15)*DistNplant!F15)*(1-DistDeprRt!G15)</f>
        <v>8651984979.0055885</v>
      </c>
      <c r="H15" s="4">
        <f>((1+criteria!$D15)*DistNplant!G15)*(1-DistDeprRt!H15)</f>
        <v>8799875795.9970284</v>
      </c>
      <c r="I15" s="4">
        <f>((1+criteria!$D15)*DistNplant!H15)*(1-DistDeprRt!I15)</f>
        <v>8950294552.3923702</v>
      </c>
      <c r="J15" s="4">
        <f>((1+criteria!$D15)*DistNplant!I15)*(1-DistDeprRt!J15)</f>
        <v>9103284458.9721069</v>
      </c>
      <c r="K15" s="4">
        <f>((1+criteria!$D15)*DistNplant!J15)*(1-DistDeprRt!K15)</f>
        <v>9258889465.1307735</v>
      </c>
      <c r="L15" s="4">
        <f>((1+criteria!$D15)*DistNplant!K15)*(1-DistDeprRt!L15)</f>
        <v>9417154271.5022945</v>
      </c>
      <c r="M15" s="4">
        <f>((1+criteria!$D15)*DistNplant!L15)*(1-DistDeprRt!M15)</f>
        <v>9578124342.8011208</v>
      </c>
    </row>
    <row r="16" spans="1:13" x14ac:dyDescent="0.2">
      <c r="A16" t="str">
        <f>raw!A16</f>
        <v>Kentucky Utilities Co.</v>
      </c>
      <c r="B16" s="1">
        <f>VLOOKUP(A16,raw!$A$4:$BK$24,DistNplant!$B$2,FALSE)</f>
        <v>2692917137.1132998</v>
      </c>
      <c r="C16" s="4">
        <f t="shared" si="0"/>
        <v>2692917137.1132998</v>
      </c>
      <c r="D16" s="4">
        <f>((1+criteria!$D16)*DistNplant!C16)*(1-DistDeprRt!D16)</f>
        <v>2740501450.2978363</v>
      </c>
      <c r="E16" s="4">
        <f>((1+criteria!$D16)*DistNplant!D16)*(1-DistDeprRt!E16)</f>
        <v>2788926586.554883</v>
      </c>
      <c r="F16" s="4">
        <f>((1+criteria!$D16)*DistNplant!E16)*(1-DistDeprRt!F16)</f>
        <v>2838207403.3740616</v>
      </c>
      <c r="G16" s="4">
        <f>((1+criteria!$D16)*DistNplant!F16)*(1-DistDeprRt!G16)</f>
        <v>2888359020.7794132</v>
      </c>
      <c r="H16" s="4">
        <f>((1+criteria!$D16)*DistNplant!G16)*(1-DistDeprRt!H16)</f>
        <v>2939396825.9684281</v>
      </c>
      <c r="I16" s="4">
        <f>((1+criteria!$D16)*DistNplant!H16)*(1-DistDeprRt!I16)</f>
        <v>2991336478.0330467</v>
      </c>
      <c r="J16" s="4">
        <f>((1+criteria!$D16)*DistNplant!I16)*(1-DistDeprRt!J16)</f>
        <v>3044193912.764082</v>
      </c>
      <c r="K16" s="4">
        <f>((1+criteria!$D16)*DistNplant!J16)*(1-DistDeprRt!K16)</f>
        <v>3097985347.5405359</v>
      </c>
      <c r="L16" s="4">
        <f>((1+criteria!$D16)*DistNplant!K16)*(1-DistDeprRt!L16)</f>
        <v>3152727286.3053126</v>
      </c>
      <c r="M16" s="4">
        <f>((1+criteria!$D16)*DistNplant!L16)*(1-DistDeprRt!M16)</f>
        <v>3208436524.6288509</v>
      </c>
    </row>
    <row r="17" spans="1:13" x14ac:dyDescent="0.2">
      <c r="A17" t="str">
        <f>raw!A17</f>
        <v>Ohio Power Co.</v>
      </c>
      <c r="B17" s="1">
        <f>VLOOKUP(A17,raw!$A$4:$BK$24,DistNplant!$B$2,FALSE)</f>
        <v>4590293574.9237003</v>
      </c>
      <c r="C17" s="4">
        <f t="shared" si="0"/>
        <v>4590293574.9237003</v>
      </c>
      <c r="D17" s="4">
        <f>((1+criteria!$D17)*DistNplant!C17)*(1-DistDeprRt!D17)</f>
        <v>4676517166.332242</v>
      </c>
      <c r="E17" s="4">
        <f>((1+criteria!$D17)*DistNplant!D17)*(1-DistDeprRt!E17)</f>
        <v>4764360372.6072493</v>
      </c>
      <c r="F17" s="4">
        <f>((1+criteria!$D17)*DistNplant!E17)*(1-DistDeprRt!F17)</f>
        <v>4853853616.4239178</v>
      </c>
      <c r="G17" s="4">
        <f>((1+criteria!$D17)*DistNplant!F17)*(1-DistDeprRt!G17)</f>
        <v>4945027891.9137735</v>
      </c>
      <c r="H17" s="4">
        <f>((1+criteria!$D17)*DistNplant!G17)*(1-DistDeprRt!H17)</f>
        <v>5037914775.3988466</v>
      </c>
      <c r="I17" s="4">
        <f>((1+criteria!$D17)*DistNplant!H17)*(1-DistDeprRt!I17)</f>
        <v>5132546436.3274765</v>
      </c>
      <c r="J17" s="4">
        <f>((1+criteria!$D17)*DistNplant!I17)*(1-DistDeprRt!J17)</f>
        <v>5228955648.4155331</v>
      </c>
      <c r="K17" s="4">
        <f>((1+criteria!$D17)*DistNplant!J17)*(1-DistDeprRt!K17)</f>
        <v>5327175800.9969196</v>
      </c>
      <c r="L17" s="4">
        <f>((1+criteria!$D17)*DistNplant!K17)*(1-DistDeprRt!L17)</f>
        <v>5427240910.5872717</v>
      </c>
      <c r="M17" s="4">
        <f>((1+criteria!$D17)*DistNplant!L17)*(1-DistDeprRt!M17)</f>
        <v>5529185632.6648731</v>
      </c>
    </row>
    <row r="18" spans="1:13" x14ac:dyDescent="0.2">
      <c r="A18" t="str">
        <f>raw!A18</f>
        <v>PPL Electric Utilities Corp.</v>
      </c>
      <c r="B18" s="1">
        <f>VLOOKUP(A18,raw!$A$4:$BK$24,DistNplant!$B$2,FALSE)</f>
        <v>10424055735.672001</v>
      </c>
      <c r="C18" s="4">
        <f t="shared" si="0"/>
        <v>10424055735.672001</v>
      </c>
      <c r="D18" s="4">
        <f>((1+criteria!$D18)*DistNplant!C18)*(1-DistDeprRt!D18)</f>
        <v>10602979750.683371</v>
      </c>
      <c r="E18" s="4">
        <f>((1+criteria!$D18)*DistNplant!D18)*(1-DistDeprRt!E18)</f>
        <v>10784974912.277182</v>
      </c>
      <c r="F18" s="4">
        <f>((1+criteria!$D18)*DistNplant!E18)*(1-DistDeprRt!F18)</f>
        <v>10970093935.240381</v>
      </c>
      <c r="G18" s="4">
        <f>((1+criteria!$D18)*DistNplant!F18)*(1-DistDeprRt!G18)</f>
        <v>11158390439.184443</v>
      </c>
      <c r="H18" s="4">
        <f>((1+criteria!$D18)*DistNplant!G18)*(1-DistDeprRt!H18)</f>
        <v>11349918964.076262</v>
      </c>
      <c r="I18" s="4">
        <f>((1+criteria!$D18)*DistNplant!H18)*(1-DistDeprRt!I18)</f>
        <v>11544734986.035614</v>
      </c>
      <c r="J18" s="4">
        <f>((1+criteria!$D18)*DistNplant!I18)*(1-DistDeprRt!J18)</f>
        <v>11742894933.403791</v>
      </c>
      <c r="K18" s="4">
        <f>((1+criteria!$D18)*DistNplant!J18)*(1-DistDeprRt!K18)</f>
        <v>11944456203.088026</v>
      </c>
      <c r="L18" s="4">
        <f>((1+criteria!$D18)*DistNplant!K18)*(1-DistDeprRt!L18)</f>
        <v>12149477177.186472</v>
      </c>
      <c r="M18" s="4">
        <f>((1+criteria!$D18)*DistNplant!L18)*(1-DistDeprRt!M18)</f>
        <v>12358017239.898546</v>
      </c>
    </row>
    <row r="19" spans="1:13" x14ac:dyDescent="0.2">
      <c r="A19" t="str">
        <f>raw!A19</f>
        <v>Pacific Gas &amp; Electric Co.</v>
      </c>
      <c r="B19" s="1">
        <f>VLOOKUP(A19,raw!$A$4:$BK$24,DistNplant!$B$2,FALSE)</f>
        <v>39000012694.339104</v>
      </c>
      <c r="C19" s="4">
        <f t="shared" si="0"/>
        <v>39000012694.339104</v>
      </c>
      <c r="D19" s="4">
        <f>((1+criteria!$D19)*DistNplant!C19)*(1-DistDeprRt!D19)</f>
        <v>39384175636.315086</v>
      </c>
      <c r="E19" s="4">
        <f>((1+criteria!$D19)*DistNplant!D19)*(1-DistDeprRt!E19)</f>
        <v>39772122709.520569</v>
      </c>
      <c r="F19" s="4">
        <f>((1+criteria!$D19)*DistNplant!E19)*(1-DistDeprRt!F19)</f>
        <v>40163891188.891785</v>
      </c>
      <c r="G19" s="4">
        <f>((1+criteria!$D19)*DistNplant!F19)*(1-DistDeprRt!G19)</f>
        <v>40559518716.535324</v>
      </c>
      <c r="H19" s="4">
        <f>((1+criteria!$D19)*DistNplant!G19)*(1-DistDeprRt!H19)</f>
        <v>40959043305.344894</v>
      </c>
      <c r="I19" s="4">
        <f>((1+criteria!$D19)*DistNplant!H19)*(1-DistDeprRt!I19)</f>
        <v>41362503342.653725</v>
      </c>
      <c r="J19" s="4">
        <f>((1+criteria!$D19)*DistNplant!I19)*(1-DistDeprRt!J19)</f>
        <v>41769937593.922867</v>
      </c>
      <c r="K19" s="4">
        <f>((1+criteria!$D19)*DistNplant!J19)*(1-DistDeprRt!K19)</f>
        <v>42181385206.465919</v>
      </c>
      <c r="L19" s="4">
        <f>((1+criteria!$D19)*DistNplant!K19)*(1-DistDeprRt!L19)</f>
        <v>42596885713.210373</v>
      </c>
      <c r="M19" s="4">
        <f>((1+criteria!$D19)*DistNplant!L19)*(1-DistDeprRt!M19)</f>
        <v>43016479036.496056</v>
      </c>
    </row>
    <row r="20" spans="1:13" x14ac:dyDescent="0.2">
      <c r="A20" t="str">
        <f>raw!A20</f>
        <v>Public Service Electric &amp; Gas Co.</v>
      </c>
      <c r="B20" s="1">
        <f>VLOOKUP(A20,raw!$A$4:$BK$24,DistNplant!$B$2,FALSE)</f>
        <v>12512050862.167601</v>
      </c>
      <c r="C20" s="4">
        <f t="shared" si="0"/>
        <v>12512050862.167601</v>
      </c>
      <c r="D20" s="4">
        <f>((1+criteria!$D20)*DistNplant!C20)*(1-DistDeprRt!D20)</f>
        <v>12706458541.790382</v>
      </c>
      <c r="E20" s="4">
        <f>((1+criteria!$D20)*DistNplant!D20)*(1-DistDeprRt!E20)</f>
        <v>12903886856.983835</v>
      </c>
      <c r="F20" s="4">
        <f>((1+criteria!$D20)*DistNplant!E20)*(1-DistDeprRt!F20)</f>
        <v>13104382741.280979</v>
      </c>
      <c r="G20" s="4">
        <f>((1+criteria!$D20)*DistNplant!F20)*(1-DistDeprRt!G20)</f>
        <v>13307993857.450941</v>
      </c>
      <c r="H20" s="4">
        <f>((1+criteria!$D20)*DistNplant!G20)*(1-DistDeprRt!H20)</f>
        <v>13514768608.829556</v>
      </c>
      <c r="I20" s="4">
        <f>((1+criteria!$D20)*DistNplant!H20)*(1-DistDeprRt!I20)</f>
        <v>13724756150.826025</v>
      </c>
      <c r="J20" s="4">
        <f>((1+criteria!$D20)*DistNplant!I20)*(1-DistDeprRt!J20)</f>
        <v>13938006402.608358</v>
      </c>
      <c r="K20" s="4">
        <f>((1+criteria!$D20)*DistNplant!J20)*(1-DistDeprRt!K20)</f>
        <v>14154570058.970377</v>
      </c>
      <c r="L20" s="4">
        <f>((1+criteria!$D20)*DistNplant!K20)*(1-DistDeprRt!L20)</f>
        <v>14374498602.383108</v>
      </c>
      <c r="M20" s="4">
        <f>((1+criteria!$D20)*DistNplant!L20)*(1-DistDeprRt!M20)</f>
        <v>14597844315.233423</v>
      </c>
    </row>
    <row r="21" spans="1:13" x14ac:dyDescent="0.2">
      <c r="A21" t="str">
        <f>raw!A21</f>
        <v>San Diego Gas &amp; Electric Co.</v>
      </c>
      <c r="B21" s="1">
        <f>VLOOKUP(A21,raw!$A$4:$BK$24,DistNplant!$B$2,FALSE)</f>
        <v>9490821024.0795002</v>
      </c>
      <c r="C21" s="4">
        <f t="shared" si="0"/>
        <v>9490821024.0795002</v>
      </c>
      <c r="D21" s="4">
        <f>((1+criteria!$D21)*DistNplant!C21)*(1-DistDeprRt!D21)</f>
        <v>9623573693.6226654</v>
      </c>
      <c r="E21" s="4">
        <f>((1+criteria!$D21)*DistNplant!D21)*(1-DistDeprRt!E21)</f>
        <v>9758183238.4800034</v>
      </c>
      <c r="F21" s="4">
        <f>((1+criteria!$D21)*DistNplant!E21)*(1-DistDeprRt!F21)</f>
        <v>9894675631.6578865</v>
      </c>
      <c r="G21" s="4">
        <f>((1+criteria!$D21)*DistNplant!F21)*(1-DistDeprRt!G21)</f>
        <v>10033077209.4596</v>
      </c>
      <c r="H21" s="4">
        <f>((1+criteria!$D21)*DistNplant!G21)*(1-DistDeprRt!H21)</f>
        <v>10173414676.566944</v>
      </c>
      <c r="I21" s="4">
        <f>((1+criteria!$D21)*DistNplant!H21)*(1-DistDeprRt!I21)</f>
        <v>10315715111.192923</v>
      </c>
      <c r="J21" s="4">
        <f>((1+criteria!$D21)*DistNplant!I21)*(1-DistDeprRt!J21)</f>
        <v>10460005970.306499</v>
      </c>
      <c r="K21" s="4">
        <f>((1+criteria!$D21)*DistNplant!J21)*(1-DistDeprRt!K21)</f>
        <v>10606315094.930447</v>
      </c>
      <c r="L21" s="4">
        <f>((1+criteria!$D21)*DistNplant!K21)*(1-DistDeprRt!L21)</f>
        <v>10754670715.513287</v>
      </c>
      <c r="M21" s="4">
        <f>((1+criteria!$D21)*DistNplant!L21)*(1-DistDeprRt!M21)</f>
        <v>10905101457.376377</v>
      </c>
    </row>
    <row r="22" spans="1:13" x14ac:dyDescent="0.2">
      <c r="A22" t="str">
        <f>raw!A22</f>
        <v>Southern California Edison Co.</v>
      </c>
      <c r="B22" s="1">
        <f>VLOOKUP(A22,raw!$A$4:$BK$24,DistNplant!$B$2,FALSE)</f>
        <v>28915006852.299702</v>
      </c>
      <c r="C22" s="4">
        <f t="shared" si="0"/>
        <v>28915006852.299702</v>
      </c>
      <c r="D22" s="4">
        <f>((1+criteria!$D22)*DistNplant!C22)*(1-DistDeprRt!D22)</f>
        <v>29152925634.837502</v>
      </c>
      <c r="E22" s="4">
        <f>((1+criteria!$D22)*DistNplant!D22)*(1-DistDeprRt!E22)</f>
        <v>29392802063.360771</v>
      </c>
      <c r="F22" s="4">
        <f>((1+criteria!$D22)*DistNplant!E22)*(1-DistDeprRt!F22)</f>
        <v>29634652245.79409</v>
      </c>
      <c r="G22" s="4">
        <f>((1+criteria!$D22)*DistNplant!F22)*(1-DistDeprRt!G22)</f>
        <v>29878492422.601437</v>
      </c>
      <c r="H22" s="4">
        <f>((1+criteria!$D22)*DistNplant!G22)*(1-DistDeprRt!H22)</f>
        <v>30124338967.876762</v>
      </c>
      <c r="I22" s="4">
        <f>((1+criteria!$D22)*DistNplant!H22)*(1-DistDeprRt!I22)</f>
        <v>30372208390.443516</v>
      </c>
      <c r="J22" s="4">
        <f>((1+criteria!$D22)*DistNplant!I22)*(1-DistDeprRt!J22)</f>
        <v>30622117334.963238</v>
      </c>
      <c r="K22" s="4">
        <f>((1+criteria!$D22)*DistNplant!J22)*(1-DistDeprRt!K22)</f>
        <v>30874082583.053249</v>
      </c>
      <c r="L22" s="4">
        <f>((1+criteria!$D22)*DistNplant!K22)*(1-DistDeprRt!L22)</f>
        <v>31128121054.413574</v>
      </c>
      <c r="M22" s="4">
        <f>((1+criteria!$D22)*DistNplant!L22)*(1-DistDeprRt!M22)</f>
        <v>31384249807.963093</v>
      </c>
    </row>
    <row r="23" spans="1:13" x14ac:dyDescent="0.2">
      <c r="A23" t="str">
        <f>raw!A23</f>
        <v>Southwestern Public Service Co.</v>
      </c>
      <c r="B23" s="1">
        <f>VLOOKUP(A23,raw!$A$4:$BK$24,DistNplant!$B$2,FALSE)</f>
        <v>1631004740.9605</v>
      </c>
      <c r="C23" s="4">
        <f t="shared" si="0"/>
        <v>1631004740.9605</v>
      </c>
      <c r="D23" s="4">
        <f>((1+criteria!$D23)*DistNplant!C23)*(1-DistDeprRt!D23)</f>
        <v>1656277460.0341296</v>
      </c>
      <c r="E23" s="4">
        <f>((1+criteria!$D23)*DistNplant!D23)*(1-DistDeprRt!E23)</f>
        <v>1681941784.5478504</v>
      </c>
      <c r="F23" s="4">
        <f>((1+criteria!$D23)*DistNplant!E23)*(1-DistDeprRt!F23)</f>
        <v>1708003782.5001338</v>
      </c>
      <c r="G23" s="4">
        <f>((1+criteria!$D23)*DistNplant!F23)*(1-DistDeprRt!G23)</f>
        <v>1734469615.914206</v>
      </c>
      <c r="H23" s="4">
        <f>((1+criteria!$D23)*DistNplant!G23)*(1-DistDeprRt!H23)</f>
        <v>1761345542.2949789</v>
      </c>
      <c r="I23" s="4">
        <f>((1+criteria!$D23)*DistNplant!H23)*(1-DistDeprRt!I23)</f>
        <v>1788637916.1085563</v>
      </c>
      <c r="J23" s="4">
        <f>((1+criteria!$D23)*DistNplant!I23)*(1-DistDeprRt!J23)</f>
        <v>1816353190.2846653</v>
      </c>
      <c r="K23" s="4">
        <f>((1+criteria!$D23)*DistNplant!J23)*(1-DistDeprRt!K23)</f>
        <v>1844497917.7423687</v>
      </c>
      <c r="L23" s="4">
        <f>((1+criteria!$D23)*DistNplant!K23)*(1-DistDeprRt!L23)</f>
        <v>1873078752.9394178</v>
      </c>
      <c r="M23" s="4">
        <f>((1+criteria!$D23)*DistNplant!L23)*(1-DistDeprRt!M23)</f>
        <v>1902102453.4456131</v>
      </c>
    </row>
    <row r="24" spans="1:13" x14ac:dyDescent="0.2">
      <c r="A24" t="str">
        <f>raw!A24</f>
        <v>TXU Electric Co.</v>
      </c>
      <c r="B24" s="1">
        <f>VLOOKUP(A24,raw!$A$4:$BK$24,DistNplant!$B$2,FALSE)</f>
        <v>20866881177.7188</v>
      </c>
      <c r="C24" s="4">
        <f t="shared" si="0"/>
        <v>20866881177.7188</v>
      </c>
      <c r="D24" s="4">
        <f>((1+criteria!$D24)*DistNplant!C24)*(1-DistDeprRt!D24)</f>
        <v>21257581753.818146</v>
      </c>
      <c r="E24" s="4">
        <f>((1+criteria!$D24)*DistNplant!D24)*(1-DistDeprRt!E24)</f>
        <v>21655597603.286057</v>
      </c>
      <c r="F24" s="4">
        <f>((1+criteria!$D24)*DistNplant!E24)*(1-DistDeprRt!F24)</f>
        <v>22061065693.477409</v>
      </c>
      <c r="G24" s="4">
        <f>((1+criteria!$D24)*DistNplant!F24)*(1-DistDeprRt!G24)</f>
        <v>22474125556.252239</v>
      </c>
      <c r="H24" s="4">
        <f>((1+criteria!$D24)*DistNplant!G24)*(1-DistDeprRt!H24)</f>
        <v>22894919335.992195</v>
      </c>
      <c r="I24" s="4">
        <f>((1+criteria!$D24)*DistNplant!H24)*(1-DistDeprRt!I24)</f>
        <v>23323591838.516029</v>
      </c>
      <c r="J24" s="4">
        <f>((1+criteria!$D24)*DistNplant!I24)*(1-DistDeprRt!J24)</f>
        <v>23760290580.910961</v>
      </c>
      <c r="K24" s="4">
        <f>((1+criteria!$D24)*DistNplant!J24)*(1-DistDeprRt!K24)</f>
        <v>24205165842.297035</v>
      </c>
      <c r="L24" s="4">
        <f>((1+criteria!$D24)*DistNplant!K24)*(1-DistDeprRt!L24)</f>
        <v>24658370715.541992</v>
      </c>
      <c r="M24" s="4">
        <f>((1+criteria!$D24)*DistNplant!L24)*(1-DistDeprRt!M24)</f>
        <v>25120061159.944416</v>
      </c>
    </row>
  </sheetData>
  <pageMargins left="0.55000000000000004" right="0.56999999999999995" top="1" bottom="1" header="0.5" footer="0.5"/>
  <pageSetup scale="59" orientation="landscape" verticalDpi="0" r:id="rId1"/>
  <headerFooter alignWithMargins="0">
    <oddFooter>Page &amp;P&amp;R&amp;A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"/>
  <sheetViews>
    <sheetView workbookViewId="0">
      <selection activeCell="E25" sqref="E25"/>
    </sheetView>
  </sheetViews>
  <sheetFormatPr defaultRowHeight="12.75" x14ac:dyDescent="0.2"/>
  <cols>
    <col min="1" max="1" width="36.140625" bestFit="1" customWidth="1"/>
    <col min="2" max="2" width="14.85546875" bestFit="1" customWidth="1"/>
    <col min="3" max="3" width="13.85546875" bestFit="1" customWidth="1"/>
    <col min="4" max="13" width="12.28515625" bestFit="1" customWidth="1"/>
  </cols>
  <sheetData>
    <row r="1" spans="1:13" x14ac:dyDescent="0.2">
      <c r="A1" t="s">
        <v>532</v>
      </c>
    </row>
    <row r="2" spans="1:13" x14ac:dyDescent="0.2">
      <c r="B2">
        <v>31</v>
      </c>
    </row>
    <row r="3" spans="1:13" x14ac:dyDescent="0.2">
      <c r="A3" s="8" t="s">
        <v>177</v>
      </c>
      <c r="B3" s="8">
        <v>1998</v>
      </c>
      <c r="C3" s="8">
        <v>2000</v>
      </c>
      <c r="D3" s="8">
        <v>2001</v>
      </c>
      <c r="E3" s="8">
        <v>2002</v>
      </c>
      <c r="F3" s="8">
        <v>2003</v>
      </c>
      <c r="G3" s="8">
        <v>2004</v>
      </c>
      <c r="H3" s="8">
        <v>2005</v>
      </c>
      <c r="I3" s="8">
        <v>2006</v>
      </c>
      <c r="J3" s="8">
        <v>2007</v>
      </c>
      <c r="K3" s="8">
        <v>2008</v>
      </c>
      <c r="L3" s="8">
        <v>2009</v>
      </c>
      <c r="M3" s="8">
        <v>2010</v>
      </c>
    </row>
    <row r="4" spans="1:13" x14ac:dyDescent="0.2">
      <c r="A4" t="str">
        <f>raw!A4</f>
        <v>Boston Edison Co.</v>
      </c>
      <c r="B4" s="1">
        <f>VLOOKUP($A4,raw!$A$4:$AU$24,$B$2,FALSE)</f>
        <v>13414583.91667966</v>
      </c>
      <c r="C4" s="4">
        <f>TransNplant!C4*TransDeprRt!C4</f>
        <v>13414583.91667966</v>
      </c>
      <c r="D4" s="4">
        <f>TransNplant!D4*TransDeprRt!D4</f>
        <v>13386183.535688739</v>
      </c>
      <c r="E4" s="4">
        <f>TransNplant!E4*TransDeprRt!E4</f>
        <v>13357843.281917974</v>
      </c>
      <c r="F4" s="4">
        <f>TransNplant!F4*TransDeprRt!F4</f>
        <v>13329563.028070385</v>
      </c>
      <c r="G4" s="4">
        <f>TransNplant!G4*TransDeprRt!G4</f>
        <v>13301342.647118503</v>
      </c>
      <c r="H4" s="4">
        <f>TransNplant!H4*TransDeprRt!H4</f>
        <v>13273182.012303792</v>
      </c>
      <c r="I4" s="4">
        <f>TransNplant!I4*TransDeprRt!I4</f>
        <v>13245080.997136073</v>
      </c>
      <c r="J4" s="4">
        <f>TransNplant!J4*TransDeprRt!J4</f>
        <v>13217039.475392969</v>
      </c>
      <c r="K4" s="4">
        <f>TransNplant!K4*TransDeprRt!K4</f>
        <v>13189057.321119333</v>
      </c>
      <c r="L4" s="4">
        <f>TransNplant!L4*TransDeprRt!L4</f>
        <v>13161134.408626676</v>
      </c>
      <c r="M4" s="4">
        <f>TransNplant!M4*TransDeprRt!M4</f>
        <v>13133270.61249261</v>
      </c>
    </row>
    <row r="5" spans="1:13" x14ac:dyDescent="0.2">
      <c r="A5" t="str">
        <f>raw!A5</f>
        <v>Carolina Power &amp; Light Co.</v>
      </c>
      <c r="B5" s="1">
        <f>VLOOKUP($A5,raw!$A$4:$AU$24,$B$2,FALSE)</f>
        <v>22205861.30835842</v>
      </c>
      <c r="C5" s="4">
        <f>TransNplant!C5*TransDeprRt!C5</f>
        <v>22205861.30835842</v>
      </c>
      <c r="D5" s="4">
        <f>TransNplant!D5*TransDeprRt!D5</f>
        <v>22206348.677922565</v>
      </c>
      <c r="E5" s="4">
        <f>TransNplant!E5*TransDeprRt!E5</f>
        <v>22206836.058183391</v>
      </c>
      <c r="F5" s="4">
        <f>TransNplant!F5*TransDeprRt!F5</f>
        <v>22207323.449141137</v>
      </c>
      <c r="G5" s="4">
        <f>TransNplant!G5*TransDeprRt!G5</f>
        <v>22207810.85079604</v>
      </c>
      <c r="H5" s="4">
        <f>TransNplant!H5*TransDeprRt!H5</f>
        <v>22208298.263148326</v>
      </c>
      <c r="I5" s="4">
        <f>TransNplant!I5*TransDeprRt!I5</f>
        <v>22208785.686198238</v>
      </c>
      <c r="J5" s="4">
        <f>TransNplant!J5*TransDeprRt!J5</f>
        <v>22209273.119946007</v>
      </c>
      <c r="K5" s="4">
        <f>TransNplant!K5*TransDeprRt!K5</f>
        <v>22209760.564391874</v>
      </c>
      <c r="L5" s="4">
        <f>TransNplant!L5*TransDeprRt!L5</f>
        <v>22210248.019536067</v>
      </c>
      <c r="M5" s="4">
        <f>TransNplant!M5*TransDeprRt!M5</f>
        <v>22210735.485378817</v>
      </c>
    </row>
    <row r="6" spans="1:13" x14ac:dyDescent="0.2">
      <c r="A6" t="str">
        <f>raw!A6</f>
        <v>Central Hudson Gas &amp; Electric Corp.</v>
      </c>
      <c r="B6" s="1">
        <f>VLOOKUP($A6,raw!$A$4:$AU$24,$B$2,FALSE)</f>
        <v>2557809.76269597</v>
      </c>
      <c r="C6" s="4">
        <f>TransNplant!C6*TransDeprRt!C6</f>
        <v>2557809.76269597</v>
      </c>
      <c r="D6" s="4">
        <f>TransNplant!D6*TransDeprRt!D6</f>
        <v>2558245.5191226644</v>
      </c>
      <c r="E6" s="4">
        <f>TransNplant!E6*TransDeprRt!E6</f>
        <v>2558681.3497861791</v>
      </c>
      <c r="F6" s="4">
        <f>TransNplant!F6*TransDeprRt!F6</f>
        <v>2559117.2546991613</v>
      </c>
      <c r="G6" s="4">
        <f>TransNplant!G6*TransDeprRt!G6</f>
        <v>2559553.23387426</v>
      </c>
      <c r="H6" s="4">
        <f>TransNplant!H6*TransDeprRt!H6</f>
        <v>2559989.2873241273</v>
      </c>
      <c r="I6" s="4">
        <f>TransNplant!I6*TransDeprRt!I6</f>
        <v>2560425.4150614166</v>
      </c>
      <c r="J6" s="4">
        <f>TransNplant!J6*TransDeprRt!J6</f>
        <v>2560861.6170987836</v>
      </c>
      <c r="K6" s="4">
        <f>TransNplant!K6*TransDeprRt!K6</f>
        <v>2561297.8934488865</v>
      </c>
      <c r="L6" s="4">
        <f>TransNplant!L6*TransDeprRt!L6</f>
        <v>2561734.2441243851</v>
      </c>
      <c r="M6" s="4">
        <f>TransNplant!M6*TransDeprRt!M6</f>
        <v>2562170.6691379417</v>
      </c>
    </row>
    <row r="7" spans="1:13" x14ac:dyDescent="0.2">
      <c r="A7" t="str">
        <f>raw!A7</f>
        <v>Commonwealth Edison Co.</v>
      </c>
      <c r="B7" s="1">
        <f>VLOOKUP($A7,raw!$A$4:$AU$24,$B$2,FALSE)</f>
        <v>19813400.440015599</v>
      </c>
      <c r="C7" s="4">
        <f>TransNplant!C7*TransDeprRt!C7</f>
        <v>19813400.440015599</v>
      </c>
      <c r="D7" s="4">
        <f>TransNplant!D7*TransDeprRt!D7</f>
        <v>19874212.515514407</v>
      </c>
      <c r="E7" s="4">
        <f>TransNplant!E7*TransDeprRt!E7</f>
        <v>19935211.237850424</v>
      </c>
      <c r="F7" s="4">
        <f>TransNplant!F7*TransDeprRt!F7</f>
        <v>19996397.179887533</v>
      </c>
      <c r="G7" s="4">
        <f>TransNplant!G7*TransDeprRt!G7</f>
        <v>20057770.916247878</v>
      </c>
      <c r="H7" s="4">
        <f>TransNplant!H7*TransDeprRt!H7</f>
        <v>20119333.023317255</v>
      </c>
      <c r="I7" s="4">
        <f>TransNplant!I7*TransDeprRt!I7</f>
        <v>20181084.079250522</v>
      </c>
      <c r="J7" s="4">
        <f>TransNplant!J7*TransDeprRt!J7</f>
        <v>20243024.663977038</v>
      </c>
      <c r="K7" s="4">
        <f>TransNplant!K7*TransDeprRt!K7</f>
        <v>20305155.359206103</v>
      </c>
      <c r="L7" s="4">
        <f>TransNplant!L7*TransDeprRt!L7</f>
        <v>20367476.748432416</v>
      </c>
      <c r="M7" s="4">
        <f>TransNplant!M7*TransDeprRt!M7</f>
        <v>20429989.416941576</v>
      </c>
    </row>
    <row r="8" spans="1:13" x14ac:dyDescent="0.2">
      <c r="A8" t="str">
        <f>raw!A8</f>
        <v>Consolidated Edison Co. of New York, Inc.</v>
      </c>
      <c r="B8" s="1">
        <f>VLOOKUP($A8,raw!$A$4:$AU$24,$B$2,FALSE)</f>
        <v>73148709.82078591</v>
      </c>
      <c r="C8" s="4">
        <f>TransNplant!C8*TransDeprRt!C8</f>
        <v>73148709.82078591</v>
      </c>
      <c r="D8" s="4">
        <f>TransNplant!D8*TransDeprRt!D8</f>
        <v>72879616.613514125</v>
      </c>
      <c r="E8" s="4">
        <f>TransNplant!E8*TransDeprRt!E8</f>
        <v>72611513.323280886</v>
      </c>
      <c r="F8" s="4">
        <f>TransNplant!F8*TransDeprRt!F8</f>
        <v>72344396.308464214</v>
      </c>
      <c r="G8" s="4">
        <f>TransNplant!G8*TransDeprRt!G8</f>
        <v>72078261.940838575</v>
      </c>
      <c r="H8" s="4">
        <f>TransNplant!H8*TransDeprRt!H8</f>
        <v>71813106.605525687</v>
      </c>
      <c r="I8" s="4">
        <f>TransNplant!I8*TransDeprRt!I8</f>
        <v>71548926.700945318</v>
      </c>
      <c r="J8" s="4">
        <f>TransNplant!J8*TransDeprRt!J8</f>
        <v>71285718.638766482</v>
      </c>
      <c r="K8" s="4">
        <f>TransNplant!K8*TransDeprRt!K8</f>
        <v>71023478.843858585</v>
      </c>
      <c r="L8" s="4">
        <f>TransNplant!L8*TransDeprRt!L8</f>
        <v>70762203.754242957</v>
      </c>
      <c r="M8" s="4">
        <f>TransNplant!M8*TransDeprRt!M8</f>
        <v>70501889.821044385</v>
      </c>
    </row>
    <row r="9" spans="1:13" x14ac:dyDescent="0.2">
      <c r="A9" t="str">
        <f>raw!A9</f>
        <v>Consumers Energy Co.</v>
      </c>
      <c r="B9" s="1">
        <f>VLOOKUP($A9,raw!$A$4:$AU$24,$B$2,FALSE)</f>
        <v>17290163.08195639</v>
      </c>
      <c r="C9" s="4">
        <f>TransNplant!C9*TransDeprRt!C9</f>
        <v>17290163.08195639</v>
      </c>
      <c r="D9" s="4">
        <f>TransNplant!D9*TransDeprRt!D9</f>
        <v>17292724.052542862</v>
      </c>
      <c r="E9" s="4">
        <f>TransNplant!E9*TransDeprRt!E9</f>
        <v>17295285.402453132</v>
      </c>
      <c r="F9" s="4">
        <f>TransNplant!F9*TransDeprRt!F9</f>
        <v>17297847.131743383</v>
      </c>
      <c r="G9" s="4">
        <f>TransNplant!G9*TransDeprRt!G9</f>
        <v>17300409.240469813</v>
      </c>
      <c r="H9" s="4">
        <f>TransNplant!H9*TransDeprRt!H9</f>
        <v>17302971.728688616</v>
      </c>
      <c r="I9" s="4">
        <f>TransNplant!I9*TransDeprRt!I9</f>
        <v>17305534.59645601</v>
      </c>
      <c r="J9" s="4">
        <f>TransNplant!J9*TransDeprRt!J9</f>
        <v>17308097.843828205</v>
      </c>
      <c r="K9" s="4">
        <f>TransNplant!K9*TransDeprRt!K9</f>
        <v>17310661.470861431</v>
      </c>
      <c r="L9" s="4">
        <f>TransNplant!L9*TransDeprRt!L9</f>
        <v>17313225.477611922</v>
      </c>
      <c r="M9" s="4">
        <f>TransNplant!M9*TransDeprRt!M9</f>
        <v>17315789.864135921</v>
      </c>
    </row>
    <row r="10" spans="1:13" x14ac:dyDescent="0.2">
      <c r="A10" t="str">
        <f>raw!A10</f>
        <v>Duke Energy Corp.</v>
      </c>
      <c r="B10" s="1">
        <f>VLOOKUP($A10,raw!$A$4:$AU$24,$B$2,FALSE)</f>
        <v>54513707.611353159</v>
      </c>
      <c r="C10" s="4">
        <f>TransNplant!C10*TransDeprRt!C10</f>
        <v>54513707.611353159</v>
      </c>
      <c r="D10" s="4">
        <f>TransNplant!D10*TransDeprRt!D10</f>
        <v>54288845.743570752</v>
      </c>
      <c r="E10" s="4">
        <f>TransNplant!E10*TransDeprRt!E10</f>
        <v>54064911.401392423</v>
      </c>
      <c r="F10" s="4">
        <f>TransNplant!F10*TransDeprRt!F10</f>
        <v>53841900.758897148</v>
      </c>
      <c r="G10" s="4">
        <f>TransNplant!G10*TransDeprRt!G10</f>
        <v>53619810.005945317</v>
      </c>
      <c r="H10" s="4">
        <f>TransNplant!H10*TransDeprRt!H10</f>
        <v>53398635.348113686</v>
      </c>
      <c r="I10" s="4">
        <f>TransNplant!I10*TransDeprRt!I10</f>
        <v>53178373.006630465</v>
      </c>
      <c r="J10" s="4">
        <f>TransNplant!J10*TransDeprRt!J10</f>
        <v>52959019.218310811</v>
      </c>
      <c r="K10" s="4">
        <f>TransNplant!K10*TransDeprRt!K10</f>
        <v>52740570.235492505</v>
      </c>
      <c r="L10" s="4">
        <f>TransNplant!L10*TransDeprRt!L10</f>
        <v>52523022.325971991</v>
      </c>
      <c r="M10" s="4">
        <f>TransNplant!M10*TransDeprRt!M10</f>
        <v>52306371.772940524</v>
      </c>
    </row>
    <row r="11" spans="1:13" x14ac:dyDescent="0.2">
      <c r="A11" t="str">
        <f>raw!A11</f>
        <v>Entergy Mississippi, Inc.</v>
      </c>
      <c r="B11" s="1">
        <f>VLOOKUP($A11,raw!$A$4:$AU$24,$B$2,FALSE)</f>
        <v>9470420.3224911094</v>
      </c>
      <c r="C11" s="4">
        <f>TransNplant!C11*TransDeprRt!C11</f>
        <v>9470420.3224911094</v>
      </c>
      <c r="D11" s="4">
        <f>TransNplant!D11*TransDeprRt!D11</f>
        <v>9455299.9479070846</v>
      </c>
      <c r="E11" s="4">
        <f>TransNplant!E11*TransDeprRt!E11</f>
        <v>9440203.7143558525</v>
      </c>
      <c r="F11" s="4">
        <f>TransNplant!F11*TransDeprRt!F11</f>
        <v>9425131.5832940917</v>
      </c>
      <c r="G11" s="4">
        <f>TransNplant!G11*TransDeprRt!G11</f>
        <v>9410083.5162400156</v>
      </c>
      <c r="H11" s="4">
        <f>TransNplant!H11*TransDeprRt!H11</f>
        <v>9395059.4747732822</v>
      </c>
      <c r="I11" s="4">
        <f>TransNplant!I11*TransDeprRt!I11</f>
        <v>9380059.4205348883</v>
      </c>
      <c r="J11" s="4">
        <f>TransNplant!J11*TransDeprRt!J11</f>
        <v>9365083.3152270745</v>
      </c>
      <c r="K11" s="4">
        <f>TransNplant!K11*TransDeprRt!K11</f>
        <v>9350131.1206132267</v>
      </c>
      <c r="L11" s="4">
        <f>TransNplant!L11*TransDeprRt!L11</f>
        <v>9335202.7985177804</v>
      </c>
      <c r="M11" s="4">
        <f>TransNplant!M11*TransDeprRt!M11</f>
        <v>9320298.3108261172</v>
      </c>
    </row>
    <row r="12" spans="1:13" x14ac:dyDescent="0.2">
      <c r="A12" t="str">
        <f>raw!A12</f>
        <v>Florida Power &amp; Light Co.</v>
      </c>
      <c r="B12" s="1">
        <f>VLOOKUP($A12,raw!$A$4:$AU$24,$B$2,FALSE)</f>
        <v>81941848.488236681</v>
      </c>
      <c r="C12" s="4">
        <f>TransNplant!C12*TransDeprRt!C12</f>
        <v>81941848.488236681</v>
      </c>
      <c r="D12" s="4">
        <f>TransNplant!D12*TransDeprRt!D12</f>
        <v>81513101.68833755</v>
      </c>
      <c r="E12" s="4">
        <f>TransNplant!E12*TransDeprRt!E12</f>
        <v>81086598.233222723</v>
      </c>
      <c r="F12" s="4">
        <f>TransNplant!F12*TransDeprRt!F12</f>
        <v>80662326.384971797</v>
      </c>
      <c r="G12" s="4">
        <f>TransNplant!G12*TransDeprRt!G12</f>
        <v>80240274.46708101</v>
      </c>
      <c r="H12" s="4">
        <f>TransNplant!H12*TransDeprRt!H12</f>
        <v>79820430.864141926</v>
      </c>
      <c r="I12" s="4">
        <f>TransNplant!I12*TransDeprRt!I12</f>
        <v>79402784.021521777</v>
      </c>
      <c r="J12" s="4">
        <f>TransNplant!J12*TransDeprRt!J12</f>
        <v>78987322.445045412</v>
      </c>
      <c r="K12" s="4">
        <f>TransNplant!K12*TransDeprRt!K12</f>
        <v>78574034.700679034</v>
      </c>
      <c r="L12" s="4">
        <f>TransNplant!L12*TransDeprRt!L12</f>
        <v>78162909.41421546</v>
      </c>
      <c r="M12" s="4">
        <f>TransNplant!M12*TransDeprRt!M12</f>
        <v>77753935.270961151</v>
      </c>
    </row>
    <row r="13" spans="1:13" x14ac:dyDescent="0.2">
      <c r="A13" t="str">
        <f>raw!A13</f>
        <v>Gulf Power Co.</v>
      </c>
      <c r="B13" s="1">
        <f>VLOOKUP($A13,raw!$A$4:$AU$24,$B$2,FALSE)</f>
        <v>4624451.0827929201</v>
      </c>
      <c r="C13" s="4">
        <f>TransNplant!C13*TransDeprRt!C13</f>
        <v>4624451.0827929201</v>
      </c>
      <c r="D13" s="4">
        <f>TransNplant!D13*TransDeprRt!D13</f>
        <v>4616741.7632608023</v>
      </c>
      <c r="E13" s="4">
        <f>TransNplant!E13*TransDeprRt!E13</f>
        <v>4609045.2957637878</v>
      </c>
      <c r="F13" s="4">
        <f>TransNplant!F13*TransDeprRt!F13</f>
        <v>4601361.6588765336</v>
      </c>
      <c r="G13" s="4">
        <f>TransNplant!G13*TransDeprRt!G13</f>
        <v>4593690.8312094174</v>
      </c>
      <c r="H13" s="4">
        <f>TransNplant!H13*TransDeprRt!H13</f>
        <v>4586032.7914084727</v>
      </c>
      <c r="I13" s="4">
        <f>TransNplant!I13*TransDeprRt!I13</f>
        <v>4578387.5181553308</v>
      </c>
      <c r="J13" s="4">
        <f>TransNplant!J13*TransDeprRt!J13</f>
        <v>4570754.9901671661</v>
      </c>
      <c r="K13" s="4">
        <f>TransNplant!K13*TransDeprRt!K13</f>
        <v>4563135.186196629</v>
      </c>
      <c r="L13" s="4">
        <f>TransNplant!L13*TransDeprRt!L13</f>
        <v>4555528.0850317925</v>
      </c>
      <c r="M13" s="4">
        <f>TransNplant!M13*TransDeprRt!M13</f>
        <v>4547933.6654960942</v>
      </c>
    </row>
    <row r="14" spans="1:13" x14ac:dyDescent="0.2">
      <c r="A14" t="str">
        <f>raw!A14</f>
        <v>Illinois Power Co.</v>
      </c>
      <c r="B14" s="1">
        <f>VLOOKUP($A14,raw!$A$4:$AU$24,$B$2,FALSE)</f>
        <v>4074081.6359108202</v>
      </c>
      <c r="C14" s="4">
        <f>TransNplant!C14*TransDeprRt!C14</f>
        <v>4074081.6359108202</v>
      </c>
      <c r="D14" s="4">
        <f>TransNplant!D14*TransDeprRt!D14</f>
        <v>4079566.300640929</v>
      </c>
      <c r="E14" s="4">
        <f>TransNplant!E14*TransDeprRt!E14</f>
        <v>4085058.3490098272</v>
      </c>
      <c r="F14" s="4">
        <f>TransNplant!F14*TransDeprRt!F14</f>
        <v>4090557.7909576162</v>
      </c>
      <c r="G14" s="4">
        <f>TransNplant!G14*TransDeprRt!G14</f>
        <v>4096064.6364377798</v>
      </c>
      <c r="H14" s="4">
        <f>TransNplant!H14*TransDeprRt!H14</f>
        <v>4101578.8954171995</v>
      </c>
      <c r="I14" s="4">
        <f>TransNplant!I14*TransDeprRt!I14</f>
        <v>4107100.5778761762</v>
      </c>
      <c r="J14" s="4">
        <f>TransNplant!J14*TransDeprRt!J14</f>
        <v>4112629.6938084462</v>
      </c>
      <c r="K14" s="4">
        <f>TransNplant!K14*TransDeprRt!K14</f>
        <v>4118166.2532211994</v>
      </c>
      <c r="L14" s="4">
        <f>TransNplant!L14*TransDeprRt!L14</f>
        <v>4123710.2661350975</v>
      </c>
      <c r="M14" s="4">
        <f>TransNplant!M14*TransDeprRt!M14</f>
        <v>4129261.7425842923</v>
      </c>
    </row>
    <row r="15" spans="1:13" x14ac:dyDescent="0.2">
      <c r="A15" t="str">
        <f>raw!A15</f>
        <v>Jersey Central Power &amp; Light Co.</v>
      </c>
      <c r="B15" s="1">
        <f>VLOOKUP($A15,raw!$A$4:$AU$24,$B$2,FALSE)</f>
        <v>8674022.6471718103</v>
      </c>
      <c r="C15" s="4">
        <f>TransNplant!C15*TransDeprRt!C15</f>
        <v>8674022.6471718103</v>
      </c>
      <c r="D15" s="4">
        <f>TransNplant!D15*TransDeprRt!D15</f>
        <v>8693287.9000015818</v>
      </c>
      <c r="E15" s="4">
        <f>TransNplant!E15*TransDeprRt!E15</f>
        <v>8712595.941509882</v>
      </c>
      <c r="F15" s="4">
        <f>TransNplant!F15*TransDeprRt!F15</f>
        <v>8731946.8667315897</v>
      </c>
      <c r="G15" s="4">
        <f>TransNplant!G15*TransDeprRt!G15</f>
        <v>8751340.7709126621</v>
      </c>
      <c r="H15" s="4">
        <f>TransNplant!H15*TransDeprRt!H15</f>
        <v>8770777.7495106012</v>
      </c>
      <c r="I15" s="4">
        <f>TransNplant!I15*TransDeprRt!I15</f>
        <v>8790257.8981949203</v>
      </c>
      <c r="J15" s="4">
        <f>TransNplant!J15*TransDeprRt!J15</f>
        <v>8809781.3128476162</v>
      </c>
      <c r="K15" s="4">
        <f>TransNplant!K15*TransDeprRt!K15</f>
        <v>8829348.0895636473</v>
      </c>
      <c r="L15" s="4">
        <f>TransNplant!L15*TransDeprRt!L15</f>
        <v>8848958.3246513959</v>
      </c>
      <c r="M15" s="4">
        <f>TransNplant!M15*TransDeprRt!M15</f>
        <v>8868612.1146331523</v>
      </c>
    </row>
    <row r="16" spans="1:13" x14ac:dyDescent="0.2">
      <c r="A16" t="str">
        <f>raw!A16</f>
        <v>Kentucky Utilities Co.</v>
      </c>
      <c r="B16" s="1">
        <f>VLOOKUP($A16,raw!$A$4:$AU$24,$B$2,FALSE)</f>
        <v>3549431.1044062902</v>
      </c>
      <c r="C16" s="4">
        <f>TransNplant!C16*TransDeprRt!C16</f>
        <v>3549431.1044062902</v>
      </c>
      <c r="D16" s="4">
        <f>TransNplant!D16*TransDeprRt!D16</f>
        <v>3559133.0220936313</v>
      </c>
      <c r="E16" s="4">
        <f>TransNplant!E16*TransDeprRt!E16</f>
        <v>3568861.4587368392</v>
      </c>
      <c r="F16" s="4">
        <f>TransNplant!F16*TransDeprRt!F16</f>
        <v>3578616.4868221018</v>
      </c>
      <c r="G16" s="4">
        <f>TransNplant!G16*TransDeprRt!G16</f>
        <v>3588398.1790337381</v>
      </c>
      <c r="H16" s="4">
        <f>TransNplant!H16*TransDeprRt!H16</f>
        <v>3598206.6082547391</v>
      </c>
      <c r="I16" s="4">
        <f>TransNplant!I16*TransDeprRt!I16</f>
        <v>3608041.8475673138</v>
      </c>
      <c r="J16" s="4">
        <f>TransNplant!J16*TransDeprRt!J16</f>
        <v>3617903.9702534322</v>
      </c>
      <c r="K16" s="4">
        <f>TransNplant!K16*TransDeprRt!K16</f>
        <v>3627793.0497953696</v>
      </c>
      <c r="L16" s="4">
        <f>TransNplant!L16*TransDeprRt!L16</f>
        <v>3637709.1598762586</v>
      </c>
      <c r="M16" s="4">
        <f>TransNplant!M16*TransDeprRt!M16</f>
        <v>3647652.3743806314</v>
      </c>
    </row>
    <row r="17" spans="1:13" x14ac:dyDescent="0.2">
      <c r="A17" t="str">
        <f>raw!A17</f>
        <v>Ohio Power Co.</v>
      </c>
      <c r="B17" s="1">
        <f>VLOOKUP($A17,raw!$A$4:$AU$24,$B$2,FALSE)</f>
        <v>4667124.9766800199</v>
      </c>
      <c r="C17" s="4">
        <f>TransNplant!C17*TransDeprRt!C17</f>
        <v>4667124.9766800199</v>
      </c>
      <c r="D17" s="4">
        <f>TransNplant!D17*TransDeprRt!D17</f>
        <v>4684866.8778269738</v>
      </c>
      <c r="E17" s="4">
        <f>TransNplant!E17*TransDeprRt!E17</f>
        <v>4702676.2241479671</v>
      </c>
      <c r="F17" s="4">
        <f>TransNplant!F17*TransDeprRt!F17</f>
        <v>4720553.2720333049</v>
      </c>
      <c r="G17" s="4">
        <f>TransNplant!G17*TransDeprRt!G17</f>
        <v>4738498.2788479552</v>
      </c>
      <c r="H17" s="4">
        <f>TransNplant!H17*TransDeprRt!H17</f>
        <v>4756511.5029352475</v>
      </c>
      <c r="I17" s="4">
        <f>TransNplant!I17*TransDeprRt!I17</f>
        <v>4774593.2036205931</v>
      </c>
      <c r="J17" s="4">
        <f>TransNplant!J17*TransDeprRt!J17</f>
        <v>4792743.641215221</v>
      </c>
      <c r="K17" s="4">
        <f>TransNplant!K17*TransDeprRt!K17</f>
        <v>4810963.0770199215</v>
      </c>
      <c r="L17" s="4">
        <f>TransNplant!L17*TransDeprRt!L17</f>
        <v>4829251.7733288119</v>
      </c>
      <c r="M17" s="4">
        <f>TransNplant!M17*TransDeprRt!M17</f>
        <v>4847609.9934331095</v>
      </c>
    </row>
    <row r="18" spans="1:13" x14ac:dyDescent="0.2">
      <c r="A18" t="str">
        <f>raw!A18</f>
        <v>PPL Electric Utilities Corp.</v>
      </c>
      <c r="B18" s="1">
        <f>VLOOKUP($A18,raw!$A$4:$AU$24,$B$2,FALSE)</f>
        <v>4835208.2902939003</v>
      </c>
      <c r="C18" s="4">
        <f>TransNplant!C18*TransDeprRt!C18</f>
        <v>4835208.2902939003</v>
      </c>
      <c r="D18" s="4">
        <f>TransNplant!D18*TransDeprRt!D18</f>
        <v>4846580.8810889814</v>
      </c>
      <c r="E18" s="4">
        <f>TransNplant!E18*TransDeprRt!E18</f>
        <v>4857980.2206430873</v>
      </c>
      <c r="F18" s="4">
        <f>TransNplant!F18*TransDeprRt!F18</f>
        <v>4869406.3718702998</v>
      </c>
      <c r="G18" s="4">
        <f>TransNplant!G18*TransDeprRt!G18</f>
        <v>4880859.3978326777</v>
      </c>
      <c r="H18" s="4">
        <f>TransNplant!H18*TransDeprRt!H18</f>
        <v>4892339.3617406031</v>
      </c>
      <c r="I18" s="4">
        <f>TransNplant!I18*TransDeprRt!I18</f>
        <v>4903846.3269531326</v>
      </c>
      <c r="J18" s="4">
        <f>TransNplant!J18*TransDeprRt!J18</f>
        <v>4915380.3569783438</v>
      </c>
      <c r="K18" s="4">
        <f>TransNplant!K18*TransDeprRt!K18</f>
        <v>4926941.5154736899</v>
      </c>
      <c r="L18" s="4">
        <f>TransNplant!L18*TransDeprRt!L18</f>
        <v>4938529.8662463455</v>
      </c>
      <c r="M18" s="4">
        <f>TransNplant!M18*TransDeprRt!M18</f>
        <v>4950145.4732535658</v>
      </c>
    </row>
    <row r="19" spans="1:13" x14ac:dyDescent="0.2">
      <c r="A19" t="str">
        <f>raw!A19</f>
        <v>Pacific Gas &amp; Electric Co.</v>
      </c>
      <c r="B19" s="1">
        <f>VLOOKUP($A19,raw!$A$4:$AU$24,$B$2,FALSE)</f>
        <v>92799110.128786713</v>
      </c>
      <c r="C19" s="4">
        <f>TransNplant!C19*TransDeprRt!C19</f>
        <v>92799110.128786728</v>
      </c>
      <c r="D19" s="4">
        <f>TransNplant!D19*TransDeprRt!D19</f>
        <v>92345618.757573158</v>
      </c>
      <c r="E19" s="4">
        <f>TransNplant!E19*TransDeprRt!E19</f>
        <v>91894343.51131469</v>
      </c>
      <c r="F19" s="4">
        <f>TransNplant!F19*TransDeprRt!F19</f>
        <v>91445273.560235634</v>
      </c>
      <c r="G19" s="4">
        <f>TransNplant!G19*TransDeprRt!G19</f>
        <v>90998398.127483338</v>
      </c>
      <c r="H19" s="4">
        <f>TransNplant!H19*TransDeprRt!H19</f>
        <v>90553706.488869578</v>
      </c>
      <c r="I19" s="4">
        <f>TransNplant!I19*TransDeprRt!I19</f>
        <v>90111187.972613156</v>
      </c>
      <c r="J19" s="4">
        <f>TransNplant!J19*TransDeprRt!J19</f>
        <v>89670831.959083825</v>
      </c>
      <c r="K19" s="4">
        <f>TransNplant!K19*TransDeprRt!K19</f>
        <v>89232627.880547419</v>
      </c>
      <c r="L19" s="4">
        <f>TransNplant!L19*TransDeprRt!L19</f>
        <v>88796565.220912218</v>
      </c>
      <c r="M19" s="4">
        <f>TransNplant!M19*TransDeprRt!M19</f>
        <v>88362633.515476674</v>
      </c>
    </row>
    <row r="20" spans="1:13" x14ac:dyDescent="0.2">
      <c r="A20" t="str">
        <f>raw!A20</f>
        <v>Public Service Electric &amp; Gas Co.</v>
      </c>
      <c r="B20" s="1">
        <f>VLOOKUP($A20,raw!$A$4:$AU$24,$B$2,FALSE)</f>
        <v>20773273.637461551</v>
      </c>
      <c r="C20" s="4">
        <f>TransNplant!C20*TransDeprRt!C20</f>
        <v>20773273.637461551</v>
      </c>
      <c r="D20" s="4">
        <f>TransNplant!D20*TransDeprRt!D20</f>
        <v>20788657.394438095</v>
      </c>
      <c r="E20" s="4">
        <f>TransNplant!E20*TransDeprRt!E20</f>
        <v>20804052.543936733</v>
      </c>
      <c r="F20" s="4">
        <f>TransNplant!F20*TransDeprRt!F20</f>
        <v>20819459.094394241</v>
      </c>
      <c r="G20" s="4">
        <f>TransNplant!G20*TransDeprRt!G20</f>
        <v>20834877.054253671</v>
      </c>
      <c r="H20" s="4">
        <f>TransNplant!H20*TransDeprRt!H20</f>
        <v>20850306.431964312</v>
      </c>
      <c r="I20" s="4">
        <f>TransNplant!I20*TransDeprRt!I20</f>
        <v>20865747.23598171</v>
      </c>
      <c r="J20" s="4">
        <f>TransNplant!J20*TransDeprRt!J20</f>
        <v>20881199.474767685</v>
      </c>
      <c r="K20" s="4">
        <f>TransNplant!K20*TransDeprRt!K20</f>
        <v>20896663.156790309</v>
      </c>
      <c r="L20" s="4">
        <f>TransNplant!L20*TransDeprRt!L20</f>
        <v>20912138.290523931</v>
      </c>
      <c r="M20" s="4">
        <f>TransNplant!M20*TransDeprRt!M20</f>
        <v>20927624.884449176</v>
      </c>
    </row>
    <row r="21" spans="1:13" x14ac:dyDescent="0.2">
      <c r="A21" t="str">
        <f>raw!A21</f>
        <v>San Diego Gas &amp; Electric Co.</v>
      </c>
      <c r="B21" s="1">
        <f>VLOOKUP($A21,raw!$A$4:$AU$24,$B$2,FALSE)</f>
        <v>18285925.060665719</v>
      </c>
      <c r="C21" s="4">
        <f>TransNplant!C21*TransDeprRt!C21</f>
        <v>18285925.060665719</v>
      </c>
      <c r="D21" s="4">
        <f>TransNplant!D21*TransDeprRt!D21</f>
        <v>18270602.843520734</v>
      </c>
      <c r="E21" s="4">
        <f>TransNplant!E21*TransDeprRt!E21</f>
        <v>18255293.465230633</v>
      </c>
      <c r="F21" s="4">
        <f>TransNplant!F21*TransDeprRt!F21</f>
        <v>18239996.915037427</v>
      </c>
      <c r="G21" s="4">
        <f>TransNplant!G21*TransDeprRt!G21</f>
        <v>18224713.182192147</v>
      </c>
      <c r="H21" s="4">
        <f>TransNplant!H21*TransDeprRt!H21</f>
        <v>18209442.255954824</v>
      </c>
      <c r="I21" s="4">
        <f>TransNplant!I21*TransDeprRt!I21</f>
        <v>18194184.1255945</v>
      </c>
      <c r="J21" s="4">
        <f>TransNplant!J21*TransDeprRt!J21</f>
        <v>18178938.780389193</v>
      </c>
      <c r="K21" s="4">
        <f>TransNplant!K21*TransDeprRt!K21</f>
        <v>18163706.209625922</v>
      </c>
      <c r="L21" s="4">
        <f>TransNplant!L21*TransDeprRt!L21</f>
        <v>18148486.402600668</v>
      </c>
      <c r="M21" s="4">
        <f>TransNplant!M21*TransDeprRt!M21</f>
        <v>18133279.348618392</v>
      </c>
    </row>
    <row r="22" spans="1:13" x14ac:dyDescent="0.2">
      <c r="A22" t="str">
        <f>raw!A22</f>
        <v>Southern California Edison Co.</v>
      </c>
      <c r="B22" s="1">
        <f>VLOOKUP($A22,raw!$A$4:$AU$24,$B$2,FALSE)</f>
        <v>147140575.42289311</v>
      </c>
      <c r="C22" s="4">
        <f>TransNplant!C22*TransDeprRt!C22</f>
        <v>147140575.42289311</v>
      </c>
      <c r="D22" s="4">
        <f>TransNplant!D22*TransDeprRt!D22</f>
        <v>146213503.38170028</v>
      </c>
      <c r="E22" s="4">
        <f>TransNplant!E22*TransDeprRt!E22</f>
        <v>145292272.43883866</v>
      </c>
      <c r="F22" s="4">
        <f>TransNplant!F22*TransDeprRt!F22</f>
        <v>144376845.79195833</v>
      </c>
      <c r="G22" s="4">
        <f>TransNplant!G22*TransDeprRt!G22</f>
        <v>143467186.87058571</v>
      </c>
      <c r="H22" s="4">
        <f>TransNplant!H22*TransDeprRt!H22</f>
        <v>142563259.33466268</v>
      </c>
      <c r="I22" s="4">
        <f>TransNplant!I22*TransDeprRt!I22</f>
        <v>141665027.0730949</v>
      </c>
      <c r="J22" s="4">
        <f>TransNplant!J22*TransDeprRt!J22</f>
        <v>140772454.20230907</v>
      </c>
      <c r="K22" s="4">
        <f>TransNplant!K22*TransDeprRt!K22</f>
        <v>139885505.06481946</v>
      </c>
      <c r="L22" s="4">
        <f>TransNplant!L22*TransDeprRt!L22</f>
        <v>139004144.22780347</v>
      </c>
      <c r="M22" s="4">
        <f>TransNplant!M22*TransDeprRt!M22</f>
        <v>138128336.48168612</v>
      </c>
    </row>
    <row r="23" spans="1:13" x14ac:dyDescent="0.2">
      <c r="A23" t="str">
        <f>raw!A23</f>
        <v>Southwestern Public Service Co.</v>
      </c>
      <c r="B23" s="1">
        <f>VLOOKUP($A23,raw!$A$4:$AU$24,$B$2,FALSE)</f>
        <v>6435314.0705381604</v>
      </c>
      <c r="C23" s="4">
        <f>TransNplant!C23*TransDeprRt!C23</f>
        <v>6435314.0705381604</v>
      </c>
      <c r="D23" s="4">
        <f>TransNplant!D23*TransDeprRt!D23</f>
        <v>6441928.5142156156</v>
      </c>
      <c r="E23" s="4">
        <f>TransNplant!E23*TransDeprRt!E23</f>
        <v>6448549.7564525018</v>
      </c>
      <c r="F23" s="4">
        <f>TransNplant!F23*TransDeprRt!F23</f>
        <v>6455177.8042366179</v>
      </c>
      <c r="G23" s="4">
        <f>TransNplant!G23*TransDeprRt!G23</f>
        <v>6461812.664562948</v>
      </c>
      <c r="H23" s="4">
        <f>TransNplant!H23*TransDeprRt!H23</f>
        <v>6468454.3444336625</v>
      </c>
      <c r="I23" s="4">
        <f>TransNplant!I23*TransDeprRt!I23</f>
        <v>6475102.8508581314</v>
      </c>
      <c r="J23" s="4">
        <f>TransNplant!J23*TransDeprRt!J23</f>
        <v>6481758.190852928</v>
      </c>
      <c r="K23" s="4">
        <f>TransNplant!K23*TransDeprRt!K23</f>
        <v>6488420.3714418383</v>
      </c>
      <c r="L23" s="4">
        <f>TransNplant!L23*TransDeprRt!L23</f>
        <v>6495089.3996558683</v>
      </c>
      <c r="M23" s="4">
        <f>TransNplant!M23*TransDeprRt!M23</f>
        <v>6501765.282533247</v>
      </c>
    </row>
    <row r="24" spans="1:13" x14ac:dyDescent="0.2">
      <c r="A24" t="str">
        <f>raw!A24</f>
        <v>TXU Electric Co.</v>
      </c>
      <c r="B24" s="1">
        <f>VLOOKUP($A24,raw!$A$4:$AU$24,$B$2,FALSE)</f>
        <v>9420666.6431898307</v>
      </c>
      <c r="C24" s="4">
        <f>TransNplant!C24*TransDeprRt!C24</f>
        <v>9420666.6431898307</v>
      </c>
      <c r="D24" s="4">
        <f>TransNplant!D24*TransDeprRt!D24</f>
        <v>9456080.9042968266</v>
      </c>
      <c r="E24" s="4">
        <f>TransNplant!E24*TransDeprRt!E24</f>
        <v>9491628.2950364966</v>
      </c>
      <c r="F24" s="4">
        <f>TransNplant!F24*TransDeprRt!F24</f>
        <v>9527309.3158710431</v>
      </c>
      <c r="G24" s="4">
        <f>TransNplant!G24*TransDeprRt!G24</f>
        <v>9563124.4691440091</v>
      </c>
      <c r="H24" s="4">
        <f>TransNplant!H24*TransDeprRt!H24</f>
        <v>9599074.2590873558</v>
      </c>
      <c r="I24" s="4">
        <f>TransNplant!I24*TransDeprRt!I24</f>
        <v>9635159.1918285545</v>
      </c>
      <c r="J24" s="4">
        <f>TransNplant!J24*TransDeprRt!J24</f>
        <v>9671379.7753977161</v>
      </c>
      <c r="K24" s="4">
        <f>TransNplant!K24*TransDeprRt!K24</f>
        <v>9707736.5197347477</v>
      </c>
      <c r="L24" s="4">
        <f>TransNplant!L24*TransDeprRt!L24</f>
        <v>9744229.9366965201</v>
      </c>
      <c r="M24" s="4">
        <f>TransNplant!M24*TransDeprRt!M24</f>
        <v>9780860.540064089</v>
      </c>
    </row>
    <row r="25" spans="1:13" x14ac:dyDescent="0.2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</sheetData>
  <pageMargins left="0.75" right="0.75" top="1" bottom="1" header="0.5" footer="0.5"/>
  <pageSetup scale="65" orientation="landscape" verticalDpi="0" r:id="rId1"/>
  <headerFooter alignWithMargins="0">
    <oddFooter>Page &amp;P&amp;R&amp;A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workbookViewId="0">
      <selection activeCell="E25" sqref="E25"/>
    </sheetView>
  </sheetViews>
  <sheetFormatPr defaultRowHeight="12.75" x14ac:dyDescent="0.2"/>
  <cols>
    <col min="1" max="1" width="36.140625" bestFit="1" customWidth="1"/>
    <col min="2" max="2" width="14.85546875" bestFit="1" customWidth="1"/>
    <col min="3" max="3" width="13.85546875" bestFit="1" customWidth="1"/>
    <col min="4" max="13" width="12.28515625" bestFit="1" customWidth="1"/>
  </cols>
  <sheetData>
    <row r="1" spans="1:13" x14ac:dyDescent="0.2">
      <c r="A1" t="s">
        <v>533</v>
      </c>
    </row>
    <row r="2" spans="1:13" x14ac:dyDescent="0.2">
      <c r="B2">
        <v>32</v>
      </c>
    </row>
    <row r="3" spans="1:13" x14ac:dyDescent="0.2">
      <c r="A3" s="8" t="s">
        <v>177</v>
      </c>
      <c r="B3" s="8">
        <v>1998</v>
      </c>
      <c r="C3" s="8">
        <v>2000</v>
      </c>
      <c r="D3" s="8">
        <v>2001</v>
      </c>
      <c r="E3" s="8">
        <v>2002</v>
      </c>
      <c r="F3" s="8">
        <v>2003</v>
      </c>
      <c r="G3" s="8">
        <v>2004</v>
      </c>
      <c r="H3" s="8">
        <v>2005</v>
      </c>
      <c r="I3" s="8">
        <v>2006</v>
      </c>
      <c r="J3" s="8">
        <v>2007</v>
      </c>
      <c r="K3" s="8">
        <v>2008</v>
      </c>
      <c r="L3" s="8">
        <v>2009</v>
      </c>
      <c r="M3" s="8">
        <v>2010</v>
      </c>
    </row>
    <row r="4" spans="1:13" x14ac:dyDescent="0.2">
      <c r="A4" t="str">
        <f>raw!A4</f>
        <v>Boston Edison Co.</v>
      </c>
      <c r="B4" s="1">
        <f>VLOOKUP($A4,raw!$A$4:$AU$24,$B$2,FALSE)</f>
        <v>53378406.095517144</v>
      </c>
      <c r="C4" s="4">
        <f>DistDeprRt!C4*DistNplant!C4</f>
        <v>53378406.095517144</v>
      </c>
      <c r="D4" s="4">
        <f>DistDeprRt!D4*DistNplant!D4</f>
        <v>54051364.152843274</v>
      </c>
      <c r="E4" s="4">
        <f>DistDeprRt!E4*DistNplant!E4</f>
        <v>54732806.40031381</v>
      </c>
      <c r="F4" s="4">
        <f>DistDeprRt!F4*DistNplant!F4</f>
        <v>55422839.800735176</v>
      </c>
      <c r="G4" s="4">
        <f>DistDeprRt!G4*DistNplant!G4</f>
        <v>56121572.665426917</v>
      </c>
      <c r="H4" s="4">
        <f>DistDeprRt!H4*DistNplant!H4</f>
        <v>56829114.671222866</v>
      </c>
      <c r="I4" s="4">
        <f>DistDeprRt!I4*DistNplant!I4</f>
        <v>57545576.877686575</v>
      </c>
      <c r="J4" s="4">
        <f>DistDeprRt!J4*DistNplant!J4</f>
        <v>58271071.744543828</v>
      </c>
      <c r="K4" s="4">
        <f>DistDeprRt!K4*DistNplant!K4</f>
        <v>59005713.149334915</v>
      </c>
      <c r="L4" s="4">
        <f>DistDeprRt!L4*DistNplant!L4</f>
        <v>59749616.405289456</v>
      </c>
      <c r="M4" s="4">
        <f>DistDeprRt!M4*DistNplant!M4</f>
        <v>60502898.279426605</v>
      </c>
    </row>
    <row r="5" spans="1:13" x14ac:dyDescent="0.2">
      <c r="A5" t="str">
        <f>raw!A5</f>
        <v>Carolina Power &amp; Light Co.</v>
      </c>
      <c r="B5" s="1">
        <f>VLOOKUP($A5,raw!$A$4:$AU$24,$B$2,FALSE)</f>
        <v>52764094.096791409</v>
      </c>
      <c r="C5" s="4">
        <f>DistDeprRt!C5*DistNplant!C5</f>
        <v>52764094.096791409</v>
      </c>
      <c r="D5" s="4">
        <f>DistDeprRt!D5*DistNplant!D5</f>
        <v>53541149.226953536</v>
      </c>
      <c r="E5" s="4">
        <f>DistDeprRt!E5*DistNplant!E5</f>
        <v>54329648.023223214</v>
      </c>
      <c r="F5" s="4">
        <f>DistDeprRt!F5*DistNplant!F5</f>
        <v>55129759.016106069</v>
      </c>
      <c r="G5" s="4">
        <f>DistDeprRt!G5*DistNplant!G5</f>
        <v>55941653.218051098</v>
      </c>
      <c r="H5" s="4">
        <f>DistDeprRt!H5*DistNplant!H5</f>
        <v>56765504.160002187</v>
      </c>
      <c r="I5" s="4">
        <f>DistDeprRt!I5*DistNplant!I5</f>
        <v>57601487.928487875</v>
      </c>
      <c r="J5" s="4">
        <f>DistDeprRt!J5*DistNplant!J5</f>
        <v>58449783.203257412</v>
      </c>
      <c r="K5" s="4">
        <f>DistDeprRt!K5*DistNplant!K5</f>
        <v>59310571.295470998</v>
      </c>
      <c r="L5" s="4">
        <f>DistDeprRt!L5*DistNplant!L5</f>
        <v>60184036.186452523</v>
      </c>
      <c r="M5" s="4">
        <f>DistDeprRt!M5*DistNplant!M5</f>
        <v>61070364.567012936</v>
      </c>
    </row>
    <row r="6" spans="1:13" x14ac:dyDescent="0.2">
      <c r="A6" t="str">
        <f>raw!A6</f>
        <v>Central Hudson Gas &amp; Electric Corp.</v>
      </c>
      <c r="B6" s="1">
        <f>VLOOKUP($A6,raw!$A$4:$AU$24,$B$2,FALSE)</f>
        <v>7392404.1463639904</v>
      </c>
      <c r="C6" s="4">
        <f>DistDeprRt!C6*DistNplant!C6</f>
        <v>7392404.1463639904</v>
      </c>
      <c r="D6" s="4">
        <f>DistDeprRt!D6*DistNplant!D6</f>
        <v>7503867.949189757</v>
      </c>
      <c r="E6" s="4">
        <f>DistDeprRt!E6*DistNplant!E6</f>
        <v>7617012.4203196894</v>
      </c>
      <c r="F6" s="4">
        <f>DistDeprRt!F6*DistNplant!F6</f>
        <v>7731862.9011280909</v>
      </c>
      <c r="G6" s="4">
        <f>DistDeprRt!G6*DistNplant!G6</f>
        <v>7848445.1150903907</v>
      </c>
      <c r="H6" s="4">
        <f>DistDeprRt!H6*DistNplant!H6</f>
        <v>7966785.1735445224</v>
      </c>
      <c r="I6" s="4">
        <f>DistDeprRt!I6*DistNplant!I6</f>
        <v>8086909.5815391764</v>
      </c>
      <c r="J6" s="4">
        <f>DistDeprRt!J6*DistNplant!J6</f>
        <v>8208845.2437702296</v>
      </c>
      <c r="K6" s="4">
        <f>DistDeprRt!K6*DistNplant!K6</f>
        <v>8332619.4706066884</v>
      </c>
      <c r="L6" s="4">
        <f>DistDeprRt!L6*DistNplant!L6</f>
        <v>8458259.9842074867</v>
      </c>
      <c r="M6" s="4">
        <f>DistDeprRt!M6*DistNplant!M6</f>
        <v>8585794.9247305226</v>
      </c>
    </row>
    <row r="7" spans="1:13" x14ac:dyDescent="0.2">
      <c r="A7" t="str">
        <f>raw!A7</f>
        <v>Commonwealth Edison Co.</v>
      </c>
      <c r="B7" s="1">
        <f>VLOOKUP($A7,raw!$A$4:$AU$24,$B$2,FALSE)</f>
        <v>33531282.584758438</v>
      </c>
      <c r="C7" s="4">
        <f>DistDeprRt!C7*DistNplant!C7</f>
        <v>33531282.584758442</v>
      </c>
      <c r="D7" s="4">
        <f>DistDeprRt!D7*DistNplant!D7</f>
        <v>34134927.831389524</v>
      </c>
      <c r="E7" s="4">
        <f>DistDeprRt!E7*DistNplant!E7</f>
        <v>34749440.171543173</v>
      </c>
      <c r="F7" s="4">
        <f>DistDeprRt!F7*DistNplant!F7</f>
        <v>35375015.239529923</v>
      </c>
      <c r="G7" s="4">
        <f>DistDeprRt!G7*DistNplant!G7</f>
        <v>36011852.191557243</v>
      </c>
      <c r="H7" s="4">
        <f>DistDeprRt!H7*DistNplant!H7</f>
        <v>36660153.769132324</v>
      </c>
      <c r="I7" s="4">
        <f>DistDeprRt!I7*DistNplant!I7</f>
        <v>37320126.363606244</v>
      </c>
      <c r="J7" s="4">
        <f>DistDeprRt!J7*DistNplant!J7</f>
        <v>37991980.08188013</v>
      </c>
      <c r="K7" s="4">
        <f>DistDeprRt!K7*DistNplant!K7</f>
        <v>38675928.813294128</v>
      </c>
      <c r="L7" s="4">
        <f>DistDeprRt!L7*DistNplant!L7</f>
        <v>39372190.297720596</v>
      </c>
      <c r="M7" s="4">
        <f>DistDeprRt!M7*DistNplant!M7</f>
        <v>40080986.194883108</v>
      </c>
    </row>
    <row r="8" spans="1:13" x14ac:dyDescent="0.2">
      <c r="A8" t="str">
        <f>raw!A8</f>
        <v>Consolidated Edison Co. of New York, Inc.</v>
      </c>
      <c r="B8" s="1">
        <f>VLOOKUP($A8,raw!$A$4:$AU$24,$B$2,FALSE)</f>
        <v>307816600.5874933</v>
      </c>
      <c r="C8" s="4">
        <f>DistDeprRt!C8*DistNplant!C8</f>
        <v>307816600.5874933</v>
      </c>
      <c r="D8" s="4">
        <f>DistDeprRt!D8*DistNplant!D8</f>
        <v>311190053.18366092</v>
      </c>
      <c r="E8" s="4">
        <f>DistDeprRt!E8*DistNplant!E8</f>
        <v>314600476.43832088</v>
      </c>
      <c r="F8" s="4">
        <f>DistDeprRt!F8*DistNplant!F8</f>
        <v>318048275.52378559</v>
      </c>
      <c r="G8" s="4">
        <f>DistDeprRt!G8*DistNplant!G8</f>
        <v>321533860.05277014</v>
      </c>
      <c r="H8" s="4">
        <f>DistDeprRt!H8*DistNplant!H8</f>
        <v>325057644.12705535</v>
      </c>
      <c r="I8" s="4">
        <f>DistDeprRt!I8*DistNplant!I8</f>
        <v>328620046.38668549</v>
      </c>
      <c r="J8" s="4">
        <f>DistDeprRt!J8*DistNplant!J8</f>
        <v>332221490.05970401</v>
      </c>
      <c r="K8" s="4">
        <f>DistDeprRt!K8*DistNplant!K8</f>
        <v>335862403.0124349</v>
      </c>
      <c r="L8" s="4">
        <f>DistDeprRt!L8*DistNplant!L8</f>
        <v>339543217.8003149</v>
      </c>
      <c r="M8" s="4">
        <f>DistDeprRt!M8*DistNplant!M8</f>
        <v>343264371.71928298</v>
      </c>
    </row>
    <row r="9" spans="1:13" x14ac:dyDescent="0.2">
      <c r="A9" t="str">
        <f>raw!A9</f>
        <v>Consumers Energy Co.</v>
      </c>
      <c r="B9" s="1">
        <f>VLOOKUP($A9,raw!$A$4:$AU$24,$B$2,FALSE)</f>
        <v>45573684.98189453</v>
      </c>
      <c r="C9" s="4">
        <f>DistDeprRt!C9*DistNplant!C9</f>
        <v>45573684.98189453</v>
      </c>
      <c r="D9" s="4">
        <f>DistDeprRt!D9*DistNplant!D9</f>
        <v>46248436.322387844</v>
      </c>
      <c r="E9" s="4">
        <f>DistDeprRt!E9*DistNplant!E9</f>
        <v>46933177.844093807</v>
      </c>
      <c r="F9" s="4">
        <f>DistDeprRt!F9*DistNplant!F9</f>
        <v>47628057.458864793</v>
      </c>
      <c r="G9" s="4">
        <f>DistDeprRt!G9*DistNplant!G9</f>
        <v>48333225.268495038</v>
      </c>
      <c r="H9" s="4">
        <f>DistDeprRt!H9*DistNplant!H9</f>
        <v>49048833.597144313</v>
      </c>
      <c r="I9" s="4">
        <f>DistDeprRt!I9*DistNplant!I9</f>
        <v>49775037.024241656</v>
      </c>
      <c r="J9" s="4">
        <f>DistDeprRt!J9*DistNplant!J9</f>
        <v>50511992.417876251</v>
      </c>
      <c r="K9" s="4">
        <f>DistDeprRt!K9*DistNplant!K9</f>
        <v>51259858.968682714</v>
      </c>
      <c r="L9" s="4">
        <f>DistDeprRt!L9*DistNplant!L9</f>
        <v>52018798.224228054</v>
      </c>
      <c r="M9" s="4">
        <f>DistDeprRt!M9*DistNplant!M9</f>
        <v>52788974.12390773</v>
      </c>
    </row>
    <row r="10" spans="1:13" x14ac:dyDescent="0.2">
      <c r="A10" t="str">
        <f>raw!A10</f>
        <v>Duke Energy Corp.</v>
      </c>
      <c r="B10" s="1">
        <f>VLOOKUP($A10,raw!$A$4:$AU$24,$B$2,FALSE)</f>
        <v>191237242.59664109</v>
      </c>
      <c r="C10" s="4">
        <f>DistDeprRt!C10*DistNplant!C10</f>
        <v>191237242.59664109</v>
      </c>
      <c r="D10" s="4">
        <f>DistDeprRt!D10*DistNplant!D10</f>
        <v>193191180.34184161</v>
      </c>
      <c r="E10" s="4">
        <f>DistDeprRt!E10*DistNplant!E10</f>
        <v>195165082.15188789</v>
      </c>
      <c r="F10" s="4">
        <f>DistDeprRt!F10*DistNplant!F10</f>
        <v>197159152.00660789</v>
      </c>
      <c r="G10" s="4">
        <f>DistDeprRt!G10*DistNplant!G10</f>
        <v>199173595.96996278</v>
      </c>
      <c r="H10" s="4">
        <f>DistDeprRt!H10*DistNplant!H10</f>
        <v>201208622.21134129</v>
      </c>
      <c r="I10" s="4">
        <f>DistDeprRt!I10*DistNplant!I10</f>
        <v>203264441.02707145</v>
      </c>
      <c r="J10" s="4">
        <f>DistDeprRt!J10*DistNplant!J10</f>
        <v>205341264.86215249</v>
      </c>
      <c r="K10" s="4">
        <f>DistDeprRt!K10*DistNplant!K10</f>
        <v>207439308.33220837</v>
      </c>
      <c r="L10" s="4">
        <f>DistDeprRt!L10*DistNplant!L10</f>
        <v>209558788.24566594</v>
      </c>
      <c r="M10" s="4">
        <f>DistDeprRt!M10*DistNplant!M10</f>
        <v>211699923.62615946</v>
      </c>
    </row>
    <row r="11" spans="1:13" x14ac:dyDescent="0.2">
      <c r="A11" t="str">
        <f>raw!A11</f>
        <v>Entergy Mississippi, Inc.</v>
      </c>
      <c r="B11" s="1">
        <f>VLOOKUP($A11,raw!$A$4:$AU$24,$B$2,FALSE)</f>
        <v>12811456.64029046</v>
      </c>
      <c r="C11" s="4">
        <f>DistDeprRt!C11*DistNplant!C11</f>
        <v>12811456.64029046</v>
      </c>
      <c r="D11" s="4">
        <f>DistDeprRt!D11*DistNplant!D11</f>
        <v>12978068.786341209</v>
      </c>
      <c r="E11" s="4">
        <f>DistDeprRt!E11*DistNplant!E11</f>
        <v>13146847.712328937</v>
      </c>
      <c r="F11" s="4">
        <f>DistDeprRt!F11*DistNplant!F11</f>
        <v>13317821.597083377</v>
      </c>
      <c r="G11" s="4">
        <f>DistDeprRt!G11*DistNplant!G11</f>
        <v>13491018.985898079</v>
      </c>
      <c r="H11" s="4">
        <f>DistDeprRt!H11*DistNplant!H11</f>
        <v>13666468.79529625</v>
      </c>
      <c r="I11" s="4">
        <f>DistDeprRt!I11*DistNplant!I11</f>
        <v>13844200.317858567</v>
      </c>
      <c r="J11" s="4">
        <f>DistDeprRt!J11*DistNplant!J11</f>
        <v>14024243.22711378</v>
      </c>
      <c r="K11" s="4">
        <f>DistDeprRt!K11*DistNplant!K11</f>
        <v>14206627.582492914</v>
      </c>
      <c r="L11" s="4">
        <f>DistDeprRt!L11*DistNplant!L11</f>
        <v>14391383.834347917</v>
      </c>
      <c r="M11" s="4">
        <f>DistDeprRt!M11*DistNplant!M11</f>
        <v>14578542.829035535</v>
      </c>
    </row>
    <row r="12" spans="1:13" x14ac:dyDescent="0.2">
      <c r="A12" t="str">
        <f>raw!A12</f>
        <v>Florida Power &amp; Light Co.</v>
      </c>
      <c r="B12" s="1">
        <f>VLOOKUP($A12,raw!$A$4:$AU$24,$B$2,FALSE)</f>
        <v>248342989.19868511</v>
      </c>
      <c r="C12" s="4">
        <f>DistDeprRt!C12*DistNplant!C12</f>
        <v>248342989.19868511</v>
      </c>
      <c r="D12" s="4">
        <f>DistDeprRt!D12*DistNplant!D12</f>
        <v>250741329.65969247</v>
      </c>
      <c r="E12" s="4">
        <f>DistDeprRt!E12*DistNplant!E12</f>
        <v>253162831.78507963</v>
      </c>
      <c r="F12" s="4">
        <f>DistDeprRt!F12*DistNplant!F12</f>
        <v>255607719.25563991</v>
      </c>
      <c r="G12" s="4">
        <f>DistDeprRt!G12*DistNplant!G12</f>
        <v>258076217.91233504</v>
      </c>
      <c r="H12" s="4">
        <f>DistDeprRt!H12*DistNplant!H12</f>
        <v>260568555.7771568</v>
      </c>
      <c r="I12" s="4">
        <f>DistDeprRt!I12*DistNplant!I12</f>
        <v>263084963.07418999</v>
      </c>
      <c r="J12" s="4">
        <f>DistDeprRt!J12*DistNplant!J12</f>
        <v>265625672.2508789</v>
      </c>
      <c r="K12" s="4">
        <f>DistDeprRt!K12*DistNplant!K12</f>
        <v>268190917.99949911</v>
      </c>
      <c r="L12" s="4">
        <f>DistDeprRt!L12*DistNplant!L12</f>
        <v>270780937.27883667</v>
      </c>
      <c r="M12" s="4">
        <f>DistDeprRt!M12*DistNplant!M12</f>
        <v>273395969.3360765</v>
      </c>
    </row>
    <row r="13" spans="1:13" x14ac:dyDescent="0.2">
      <c r="A13" t="str">
        <f>raw!A13</f>
        <v>Gulf Power Co.</v>
      </c>
      <c r="B13" s="1">
        <f>VLOOKUP($A13,raw!$A$4:$AU$24,$B$2,FALSE)</f>
        <v>15666588.71682086</v>
      </c>
      <c r="C13" s="4">
        <f>DistDeprRt!C13*DistNplant!C13</f>
        <v>15666588.71682086</v>
      </c>
      <c r="D13" s="4">
        <f>DistDeprRt!D13*DistNplant!D13</f>
        <v>15874590.284463869</v>
      </c>
      <c r="E13" s="4">
        <f>DistDeprRt!E13*DistNplant!E13</f>
        <v>16085353.439388191</v>
      </c>
      <c r="F13" s="4">
        <f>DistDeprRt!F13*DistNplant!F13</f>
        <v>16298914.846530534</v>
      </c>
      <c r="G13" s="4">
        <f>DistDeprRt!G13*DistNplant!G13</f>
        <v>16515311.657619236</v>
      </c>
      <c r="H13" s="4">
        <f>DistDeprRt!H13*DistNplant!H13</f>
        <v>16734581.517637283</v>
      </c>
      <c r="I13" s="4">
        <f>DistDeprRt!I13*DistNplant!I13</f>
        <v>16956762.571371142</v>
      </c>
      <c r="J13" s="4">
        <f>DistDeprRt!J13*DistNplant!J13</f>
        <v>17181893.470046524</v>
      </c>
      <c r="K13" s="4">
        <f>DistDeprRt!K13*DistNplant!K13</f>
        <v>17410013.378052261</v>
      </c>
      <c r="L13" s="4">
        <f>DistDeprRt!L13*DistNplant!L13</f>
        <v>17641161.979753442</v>
      </c>
      <c r="M13" s="4">
        <f>DistDeprRt!M13*DistNplant!M13</f>
        <v>17875379.486395027</v>
      </c>
    </row>
    <row r="14" spans="1:13" x14ac:dyDescent="0.2">
      <c r="A14" t="str">
        <f>raw!A14</f>
        <v>Illinois Power Co.</v>
      </c>
      <c r="B14" s="1">
        <f>VLOOKUP($A14,raw!$A$4:$AU$24,$B$2,FALSE)</f>
        <v>14428142.741952751</v>
      </c>
      <c r="C14" s="4">
        <f>DistDeprRt!C14*DistNplant!C14</f>
        <v>14428142.741952753</v>
      </c>
      <c r="D14" s="4">
        <f>DistDeprRt!D14*DistNplant!D14</f>
        <v>14658853.147302641</v>
      </c>
      <c r="E14" s="4">
        <f>DistDeprRt!E14*DistNplant!E14</f>
        <v>14893252.682437886</v>
      </c>
      <c r="F14" s="4">
        <f>DistDeprRt!F14*DistNplant!F14</f>
        <v>15131400.337669533</v>
      </c>
      <c r="G14" s="4">
        <f>DistDeprRt!G14*DistNplant!G14</f>
        <v>15373356.046581702</v>
      </c>
      <c r="H14" s="4">
        <f>DistDeprRt!H14*DistNplant!H14</f>
        <v>15619180.701114818</v>
      </c>
      <c r="I14" s="4">
        <f>DistDeprRt!I14*DistNplant!I14</f>
        <v>15868936.16689001</v>
      </c>
      <c r="J14" s="4">
        <f>DistDeprRt!J14*DistNplant!J14</f>
        <v>16122685.298778567</v>
      </c>
      <c r="K14" s="4">
        <f>DistDeprRt!K14*DistNplant!K14</f>
        <v>16380491.956720356</v>
      </c>
      <c r="L14" s="4">
        <f>DistDeprRt!L14*DistNplant!L14</f>
        <v>16642421.021795163</v>
      </c>
      <c r="M14" s="4">
        <f>DistDeprRt!M14*DistNplant!M14</f>
        <v>16908538.412551042</v>
      </c>
    </row>
    <row r="15" spans="1:13" x14ac:dyDescent="0.2">
      <c r="A15" t="str">
        <f>raw!A15</f>
        <v>Jersey Central Power &amp; Light Co.</v>
      </c>
      <c r="B15" s="1">
        <f>VLOOKUP($A15,raw!$A$4:$AU$24,$B$2,FALSE)</f>
        <v>23039623.557723079</v>
      </c>
      <c r="C15" s="4">
        <f>DistDeprRt!C15*DistNplant!C15</f>
        <v>23039623.557723079</v>
      </c>
      <c r="D15" s="4">
        <f>DistDeprRt!D15*DistNplant!D15</f>
        <v>23433446.334738407</v>
      </c>
      <c r="E15" s="4">
        <f>DistDeprRt!E15*DistNplant!E15</f>
        <v>23834000.835443038</v>
      </c>
      <c r="F15" s="4">
        <f>DistDeprRt!F15*DistNplant!F15</f>
        <v>24241402.127086688</v>
      </c>
      <c r="G15" s="4">
        <f>DistDeprRt!G15*DistNplant!G15</f>
        <v>24655767.243796002</v>
      </c>
      <c r="H15" s="4">
        <f>DistDeprRt!H15*DistNplant!H15</f>
        <v>25077215.220194925</v>
      </c>
      <c r="I15" s="4">
        <f>DistDeprRt!I15*DistNplant!I15</f>
        <v>25505867.125599764</v>
      </c>
      <c r="J15" s="4">
        <f>DistDeprRt!J15*DistNplant!J15</f>
        <v>25941846.09879877</v>
      </c>
      <c r="K15" s="4">
        <f>DistDeprRt!K15*DistNplant!K15</f>
        <v>26385277.383426186</v>
      </c>
      <c r="L15" s="4">
        <f>DistDeprRt!L15*DistNplant!L15</f>
        <v>26836288.363940988</v>
      </c>
      <c r="M15" s="4">
        <f>DistDeprRt!M15*DistNplant!M15</f>
        <v>27295008.602220606</v>
      </c>
    </row>
    <row r="16" spans="1:13" x14ac:dyDescent="0.2">
      <c r="A16" t="str">
        <f>raw!A16</f>
        <v>Kentucky Utilities Co.</v>
      </c>
      <c r="B16" s="1">
        <f>VLOOKUP($A16,raw!$A$4:$AU$24,$B$2,FALSE)</f>
        <v>6151009.3703233097</v>
      </c>
      <c r="C16" s="4">
        <f>DistDeprRt!C16*DistNplant!C16</f>
        <v>6151009.3703233097</v>
      </c>
      <c r="D16" s="4">
        <f>DistDeprRt!D16*DistNplant!D16</f>
        <v>6259698.7734410884</v>
      </c>
      <c r="E16" s="4">
        <f>DistDeprRt!E16*DistNplant!E16</f>
        <v>6370308.737175649</v>
      </c>
      <c r="F16" s="4">
        <f>DistDeprRt!F16*DistNplant!F16</f>
        <v>6482873.1981664142</v>
      </c>
      <c r="G16" s="4">
        <f>DistDeprRt!G16*DistNplant!G16</f>
        <v>6597426.6927191168</v>
      </c>
      <c r="H16" s="4">
        <f>DistDeprRt!H16*DistNplant!H16</f>
        <v>6714004.3674020041</v>
      </c>
      <c r="I16" s="4">
        <f>DistDeprRt!I16*DistNplant!I16</f>
        <v>6832641.9898292851</v>
      </c>
      <c r="J16" s="4">
        <f>DistDeprRt!J16*DistNplant!J16</f>
        <v>6953375.959635119</v>
      </c>
      <c r="K16" s="4">
        <f>DistDeprRt!K16*DistNplant!K16</f>
        <v>7076243.3196415184</v>
      </c>
      <c r="L16" s="4">
        <f>DistDeprRt!L16*DistNplant!L16</f>
        <v>7201281.767223591</v>
      </c>
      <c r="M16" s="4">
        <f>DistDeprRt!M16*DistNplant!M16</f>
        <v>7328529.6658756034</v>
      </c>
    </row>
    <row r="17" spans="1:13" x14ac:dyDescent="0.2">
      <c r="A17" t="str">
        <f>raw!A17</f>
        <v>Ohio Power Co.</v>
      </c>
      <c r="B17" s="1">
        <f>VLOOKUP($A17,raw!$A$4:$AU$24,$B$2,FALSE)</f>
        <v>5472823.6175807202</v>
      </c>
      <c r="C17" s="4">
        <f>DistDeprRt!C17*DistNplant!C17</f>
        <v>5472823.6175807202</v>
      </c>
      <c r="D17" s="4">
        <f>DistDeprRt!D17*DistNplant!D17</f>
        <v>5575624.5604291605</v>
      </c>
      <c r="E17" s="4">
        <f>DistDeprRt!E17*DistNplant!E17</f>
        <v>5680356.5053688409</v>
      </c>
      <c r="F17" s="4">
        <f>DistDeprRt!F17*DistNplant!F17</f>
        <v>5787055.7241398133</v>
      </c>
      <c r="G17" s="4">
        <f>DistDeprRt!G17*DistNplant!G17</f>
        <v>5895759.1698066816</v>
      </c>
      <c r="H17" s="4">
        <f>DistDeprRt!H17*DistNplant!H17</f>
        <v>6006504.4895565249</v>
      </c>
      <c r="I17" s="4">
        <f>DistDeprRt!I17*DistNplant!I17</f>
        <v>6119330.0377372215</v>
      </c>
      <c r="J17" s="4">
        <f>DistDeprRt!J17*DistNplant!J17</f>
        <v>6234274.8891406823</v>
      </c>
      <c r="K17" s="4">
        <f>DistDeprRt!K17*DistNplant!K17</f>
        <v>6351378.8525356008</v>
      </c>
      <c r="L17" s="4">
        <f>DistDeprRt!L17*DistNplant!L17</f>
        <v>6470682.4844543897</v>
      </c>
      <c r="M17" s="4">
        <f>DistDeprRt!M17*DistNplant!M17</f>
        <v>6592227.1032390986</v>
      </c>
    </row>
    <row r="18" spans="1:13" x14ac:dyDescent="0.2">
      <c r="A18" t="str">
        <f>raw!A18</f>
        <v>PPL Electric Utilities Corp.</v>
      </c>
      <c r="B18" s="1">
        <f>VLOOKUP($A18,raw!$A$4:$AU$24,$B$2,FALSE)</f>
        <v>28977548.727519929</v>
      </c>
      <c r="C18" s="4">
        <f>DistDeprRt!C18*DistNplant!C18</f>
        <v>28977548.727519929</v>
      </c>
      <c r="D18" s="4">
        <f>DistDeprRt!D18*DistNplant!D18</f>
        <v>29474934.725349233</v>
      </c>
      <c r="E18" s="4">
        <f>DistDeprRt!E18*DistNplant!E18</f>
        <v>29980858.119946044</v>
      </c>
      <c r="F18" s="4">
        <f>DistDeprRt!F18*DistNplant!F18</f>
        <v>30495465.451711349</v>
      </c>
      <c r="G18" s="4">
        <f>DistDeprRt!G18*DistNplant!G18</f>
        <v>31018905.7763432</v>
      </c>
      <c r="H18" s="4">
        <f>DistDeprRt!H18*DistNplant!H18</f>
        <v>31551330.708010636</v>
      </c>
      <c r="I18" s="4">
        <f>DistDeprRt!I18*DistNplant!I18</f>
        <v>32092894.463268589</v>
      </c>
      <c r="J18" s="4">
        <f>DistDeprRt!J18*DistNplant!J18</f>
        <v>32643753.90572666</v>
      </c>
      <c r="K18" s="4">
        <f>DistDeprRt!K18*DistNplant!K18</f>
        <v>33204068.591484543</v>
      </c>
      <c r="L18" s="4">
        <f>DistDeprRt!L18*DistNplant!L18</f>
        <v>33774000.815347344</v>
      </c>
      <c r="M18" s="4">
        <f>DistDeprRt!M18*DistNplant!M18</f>
        <v>34353715.657834187</v>
      </c>
    </row>
    <row r="19" spans="1:13" x14ac:dyDescent="0.2">
      <c r="A19" t="str">
        <f>raw!A19</f>
        <v>Pacific Gas &amp; Electric Co.</v>
      </c>
      <c r="B19" s="1">
        <f>VLOOKUP($A19,raw!$A$4:$AU$24,$B$2,FALSE)</f>
        <v>388075795.9909817</v>
      </c>
      <c r="C19" s="4">
        <f>DistDeprRt!C19*DistNplant!C19</f>
        <v>388075795.9909817</v>
      </c>
      <c r="D19" s="4">
        <f>DistDeprRt!D19*DistNplant!D19</f>
        <v>391898470.11844951</v>
      </c>
      <c r="E19" s="4">
        <f>DistDeprRt!E19*DistNplant!E19</f>
        <v>395758798.84235382</v>
      </c>
      <c r="F19" s="4">
        <f>DistDeprRt!F19*DistNplant!F19</f>
        <v>399657153.07284433</v>
      </c>
      <c r="G19" s="4">
        <f>DistDeprRt!G19*DistNplant!G19</f>
        <v>403593907.37365758</v>
      </c>
      <c r="H19" s="4">
        <f>DistDeprRt!H19*DistNplant!H19</f>
        <v>407569439.99810588</v>
      </c>
      <c r="I19" s="4">
        <f>DistDeprRt!I19*DistNplant!I19</f>
        <v>411584132.9254213</v>
      </c>
      <c r="J19" s="4">
        <f>DistDeprRt!J19*DistNplant!J19</f>
        <v>415638371.89745665</v>
      </c>
      <c r="K19" s="4">
        <f>DistDeprRt!K19*DistNplant!K19</f>
        <v>419732546.4557488</v>
      </c>
      <c r="L19" s="4">
        <f>DistDeprRt!L19*DistNplant!L19</f>
        <v>423867049.97894675</v>
      </c>
      <c r="M19" s="4">
        <f>DistDeprRt!M19*DistNplant!M19</f>
        <v>428042279.72060859</v>
      </c>
    </row>
    <row r="20" spans="1:13" x14ac:dyDescent="0.2">
      <c r="A20" t="str">
        <f>raw!A20</f>
        <v>Public Service Electric &amp; Gas Co.</v>
      </c>
      <c r="B20" s="1">
        <f>VLOOKUP($A20,raw!$A$4:$AU$24,$B$2,FALSE)</f>
        <v>54738566.294676162</v>
      </c>
      <c r="C20" s="4">
        <f>DistDeprRt!C20*DistNplant!C20</f>
        <v>54738566.294676162</v>
      </c>
      <c r="D20" s="4">
        <f>DistDeprRt!D20*DistNplant!D20</f>
        <v>55589074.159170426</v>
      </c>
      <c r="E20" s="4">
        <f>DistDeprRt!E20*DistNplant!E20</f>
        <v>56452796.904443122</v>
      </c>
      <c r="F20" s="4">
        <f>DistDeprRt!F20*DistNplant!F20</f>
        <v>57329939.858488597</v>
      </c>
      <c r="G20" s="4">
        <f>DistDeprRt!G20*DistNplant!G20</f>
        <v>58220711.539612636</v>
      </c>
      <c r="H20" s="4">
        <f>DistDeprRt!H20*DistNplant!H20</f>
        <v>59125323.706002332</v>
      </c>
      <c r="I20" s="4">
        <f>DistDeprRt!I20*DistNplant!I20</f>
        <v>60043991.406066217</v>
      </c>
      <c r="J20" s="4">
        <f>DistDeprRt!J20*DistNplant!J20</f>
        <v>60976933.029556498</v>
      </c>
      <c r="K20" s="4">
        <f>DistDeprRt!K20*DistNplant!K20</f>
        <v>61924370.359485649</v>
      </c>
      <c r="L20" s="4">
        <f>DistDeprRt!L20*DistNplant!L20</f>
        <v>62886528.624849647</v>
      </c>
      <c r="M20" s="4">
        <f>DistDeprRt!M20*DistNplant!M20</f>
        <v>63863636.554170415</v>
      </c>
    </row>
    <row r="21" spans="1:13" x14ac:dyDescent="0.2">
      <c r="A21" t="str">
        <f>raw!A21</f>
        <v>San Diego Gas &amp; Electric Co.</v>
      </c>
      <c r="B21" s="1">
        <f>VLOOKUP($A21,raw!$A$4:$AU$24,$B$2,FALSE)</f>
        <v>55944853.861200549</v>
      </c>
      <c r="C21" s="4">
        <f>DistDeprRt!C21*DistNplant!C21</f>
        <v>55944853.861200549</v>
      </c>
      <c r="D21" s="4">
        <f>DistDeprRt!D21*DistNplant!D21</f>
        <v>56727381.387368597</v>
      </c>
      <c r="E21" s="4">
        <f>DistDeprRt!E21*DistNplant!E21</f>
        <v>57520854.501681894</v>
      </c>
      <c r="F21" s="4">
        <f>DistDeprRt!F21*DistNplant!F21</f>
        <v>58325426.305336028</v>
      </c>
      <c r="G21" s="4">
        <f>DistDeprRt!G21*DistNplant!G21</f>
        <v>59141252.041026518</v>
      </c>
      <c r="H21" s="4">
        <f>DistDeprRt!H21*DistNplant!H21</f>
        <v>59968489.122902989</v>
      </c>
      <c r="I21" s="4">
        <f>DistDeprRt!I21*DistNplant!I21</f>
        <v>60807297.166942343</v>
      </c>
      <c r="J21" s="4">
        <f>DistDeprRt!J21*DistNplant!J21</f>
        <v>61657838.02174674</v>
      </c>
      <c r="K21" s="4">
        <f>DistDeprRt!K21*DistNplant!K21</f>
        <v>62520275.799772456</v>
      </c>
      <c r="L21" s="4">
        <f>DistDeprRt!L21*DistNplant!L21</f>
        <v>63394776.908995479</v>
      </c>
      <c r="M21" s="4">
        <f>DistDeprRt!M21*DistNplant!M21</f>
        <v>64281510.085020028</v>
      </c>
    </row>
    <row r="22" spans="1:13" x14ac:dyDescent="0.2">
      <c r="A22" t="str">
        <f>raw!A22</f>
        <v>Southern California Edison Co.</v>
      </c>
      <c r="B22" s="1">
        <f>VLOOKUP($A22,raw!$A$4:$AU$24,$B$2,FALSE)</f>
        <v>333707210.30215299</v>
      </c>
      <c r="C22" s="4">
        <f>DistDeprRt!C22*DistNplant!C22</f>
        <v>333707210.30215299</v>
      </c>
      <c r="D22" s="4">
        <f>DistDeprRt!D22*DistNplant!D22</f>
        <v>336453023.69949132</v>
      </c>
      <c r="E22" s="4">
        <f>DistDeprRt!E22*DistNplant!E22</f>
        <v>339221430.22931296</v>
      </c>
      <c r="F22" s="4">
        <f>DistDeprRt!F22*DistNplant!F22</f>
        <v>342012615.79268318</v>
      </c>
      <c r="G22" s="4">
        <f>DistDeprRt!G22*DistNplant!G22</f>
        <v>344826767.82030034</v>
      </c>
      <c r="H22" s="4">
        <f>DistDeprRt!H22*DistNplant!H22</f>
        <v>347664075.28508228</v>
      </c>
      <c r="I22" s="4">
        <f>DistDeprRt!I22*DistNplant!I22</f>
        <v>350524728.71485585</v>
      </c>
      <c r="J22" s="4">
        <f>DistDeprRt!J22*DistNplant!J22</f>
        <v>353408920.20515108</v>
      </c>
      <c r="K22" s="4">
        <f>DistDeprRt!K22*DistNplant!K22</f>
        <v>356316843.43210065</v>
      </c>
      <c r="L22" s="4">
        <f>DistDeprRt!L22*DistNplant!L22</f>
        <v>359248693.66544527</v>
      </c>
      <c r="M22" s="4">
        <f>DistDeprRt!M22*DistNplant!M22</f>
        <v>362204667.78164649</v>
      </c>
    </row>
    <row r="23" spans="1:13" x14ac:dyDescent="0.2">
      <c r="A23" t="str">
        <f>raw!A23</f>
        <v>Southwestern Public Service Co.</v>
      </c>
      <c r="B23" s="1">
        <f>VLOOKUP($A23,raw!$A$4:$AU$24,$B$2,FALSE)</f>
        <v>7203309.5544905504</v>
      </c>
      <c r="C23" s="4">
        <f>DistDeprRt!C23*DistNplant!C23</f>
        <v>7203309.5544905504</v>
      </c>
      <c r="D23" s="4">
        <f>DistDeprRt!D23*DistNplant!D23</f>
        <v>7314926.1636880338</v>
      </c>
      <c r="E23" s="4">
        <f>DistDeprRt!E23*DistNplant!E23</f>
        <v>7428272.2928172247</v>
      </c>
      <c r="F23" s="4">
        <f>DistDeprRt!F23*DistNplant!F23</f>
        <v>7543374.7411082331</v>
      </c>
      <c r="G23" s="4">
        <f>DistDeprRt!G23*DistNplant!G23</f>
        <v>7660260.7230501818</v>
      </c>
      <c r="H23" s="4">
        <f>DistDeprRt!H23*DistNplant!H23</f>
        <v>7778957.8748257169</v>
      </c>
      <c r="I23" s="4">
        <f>DistDeprRt!I23*DistNplant!I23</f>
        <v>7899494.26084523</v>
      </c>
      <c r="J23" s="4">
        <f>DistDeprRt!J23*DistNplant!J23</f>
        <v>8021898.3803823208</v>
      </c>
      <c r="K23" s="4">
        <f>DistDeprRt!K23*DistNplant!K23</f>
        <v>8146199.1743120896</v>
      </c>
      <c r="L23" s="4">
        <f>DistDeprRt!L23*DistNplant!L23</f>
        <v>8272426.0319538293</v>
      </c>
      <c r="M23" s="4">
        <f>DistDeprRt!M23*DistNplant!M23</f>
        <v>8400608.7980197519</v>
      </c>
    </row>
    <row r="24" spans="1:13" x14ac:dyDescent="0.2">
      <c r="A24" t="str">
        <f>raw!A24</f>
        <v>TXU Electric Co.</v>
      </c>
      <c r="B24" s="1">
        <f>VLOOKUP($A24,raw!$A$4:$AU$24,$B$2,FALSE)</f>
        <v>26114752.406890381</v>
      </c>
      <c r="C24" s="4">
        <f>DistDeprRt!C24*DistNplant!C24</f>
        <v>26114752.406890385</v>
      </c>
      <c r="D24" s="4">
        <f>DistDeprRt!D24*DistNplant!D24</f>
        <v>26603711.380834147</v>
      </c>
      <c r="E24" s="4">
        <f>DistDeprRt!E24*DistNplant!E24</f>
        <v>27101825.367028274</v>
      </c>
      <c r="F24" s="4">
        <f>DistDeprRt!F24*DistNplant!F24</f>
        <v>27609265.779136829</v>
      </c>
      <c r="G24" s="4">
        <f>DistDeprRt!G24*DistNplant!G24</f>
        <v>28126207.240283731</v>
      </c>
      <c r="H24" s="4">
        <f>DistDeprRt!H24*DistNplant!H24</f>
        <v>28652827.643145002</v>
      </c>
      <c r="I24" s="4">
        <f>DistDeprRt!I24*DistNplant!I24</f>
        <v>29189308.211166132</v>
      </c>
      <c r="J24" s="4">
        <f>DistDeprRt!J24*DistNplant!J24</f>
        <v>29735833.560925696</v>
      </c>
      <c r="K24" s="4">
        <f>DistDeprRt!K24*DistNplant!K24</f>
        <v>30292591.765666578</v>
      </c>
      <c r="L24" s="4">
        <f>DistDeprRt!L24*DistNplant!L24</f>
        <v>30859774.420016747</v>
      </c>
      <c r="M24" s="4">
        <f>DistDeprRt!M24*DistNplant!M24</f>
        <v>31437576.70592187</v>
      </c>
    </row>
  </sheetData>
  <pageMargins left="0.75" right="0.75" top="1" bottom="1" header="0.5" footer="0.5"/>
  <pageSetup scale="65" orientation="landscape" verticalDpi="0" r:id="rId1"/>
  <headerFooter alignWithMargins="0">
    <oddFooter>Page &amp;P&amp;R&amp;A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workbookViewId="0">
      <selection activeCell="E25" sqref="E25"/>
    </sheetView>
  </sheetViews>
  <sheetFormatPr defaultRowHeight="12.75" x14ac:dyDescent="0.2"/>
  <cols>
    <col min="1" max="1" width="36.140625" bestFit="1" customWidth="1"/>
    <col min="2" max="2" width="14.85546875" bestFit="1" customWidth="1"/>
  </cols>
  <sheetData>
    <row r="1" spans="1:13" x14ac:dyDescent="0.2">
      <c r="A1" t="s">
        <v>535</v>
      </c>
    </row>
    <row r="3" spans="1:13" x14ac:dyDescent="0.2">
      <c r="A3" s="8" t="s">
        <v>177</v>
      </c>
      <c r="B3" s="8">
        <v>1998</v>
      </c>
      <c r="C3" s="8">
        <v>2000</v>
      </c>
      <c r="D3" s="8">
        <v>2001</v>
      </c>
      <c r="E3" s="8">
        <v>2002</v>
      </c>
      <c r="F3" s="8">
        <v>2003</v>
      </c>
      <c r="G3" s="8">
        <v>2004</v>
      </c>
      <c r="H3" s="8">
        <v>2005</v>
      </c>
      <c r="I3" s="8">
        <v>2006</v>
      </c>
      <c r="J3" s="8">
        <v>2007</v>
      </c>
      <c r="K3" s="8">
        <v>2008</v>
      </c>
      <c r="L3" s="8">
        <v>2009</v>
      </c>
      <c r="M3" s="8">
        <v>2010</v>
      </c>
    </row>
    <row r="4" spans="1:13" x14ac:dyDescent="0.2">
      <c r="A4" t="str">
        <f>raw!A4</f>
        <v>Boston Edison Co.</v>
      </c>
      <c r="B4" s="17">
        <f>TransDepr!B4/TransNplant!B4</f>
        <v>7.0817186443665261E-3</v>
      </c>
      <c r="C4" s="18">
        <f>B4</f>
        <v>7.0817186443665261E-3</v>
      </c>
      <c r="D4" s="18">
        <f t="shared" ref="D4:M4" si="0">C4</f>
        <v>7.0817186443665261E-3</v>
      </c>
      <c r="E4" s="18">
        <f t="shared" si="0"/>
        <v>7.0817186443665261E-3</v>
      </c>
      <c r="F4" s="18">
        <f t="shared" si="0"/>
        <v>7.0817186443665261E-3</v>
      </c>
      <c r="G4" s="18">
        <f t="shared" si="0"/>
        <v>7.0817186443665261E-3</v>
      </c>
      <c r="H4" s="18">
        <f t="shared" si="0"/>
        <v>7.0817186443665261E-3</v>
      </c>
      <c r="I4" s="18">
        <f t="shared" si="0"/>
        <v>7.0817186443665261E-3</v>
      </c>
      <c r="J4" s="18">
        <f t="shared" si="0"/>
        <v>7.0817186443665261E-3</v>
      </c>
      <c r="K4" s="18">
        <f t="shared" si="0"/>
        <v>7.0817186443665261E-3</v>
      </c>
      <c r="L4" s="18">
        <f t="shared" si="0"/>
        <v>7.0817186443665261E-3</v>
      </c>
      <c r="M4" s="18">
        <f t="shared" si="0"/>
        <v>7.0817186443665261E-3</v>
      </c>
    </row>
    <row r="5" spans="1:13" x14ac:dyDescent="0.2">
      <c r="A5" t="str">
        <f>raw!A5</f>
        <v>Carolina Power &amp; Light Co.</v>
      </c>
      <c r="B5" s="17">
        <f>TransDepr!B5/TransNplant!B5</f>
        <v>4.9532857818393337E-3</v>
      </c>
      <c r="C5" s="18">
        <f t="shared" ref="C5:M5" si="1">B5</f>
        <v>4.9532857818393337E-3</v>
      </c>
      <c r="D5" s="18">
        <f t="shared" si="1"/>
        <v>4.9532857818393337E-3</v>
      </c>
      <c r="E5" s="18">
        <f t="shared" si="1"/>
        <v>4.9532857818393337E-3</v>
      </c>
      <c r="F5" s="18">
        <f t="shared" si="1"/>
        <v>4.9532857818393337E-3</v>
      </c>
      <c r="G5" s="18">
        <f t="shared" si="1"/>
        <v>4.9532857818393337E-3</v>
      </c>
      <c r="H5" s="18">
        <f t="shared" si="1"/>
        <v>4.9532857818393337E-3</v>
      </c>
      <c r="I5" s="18">
        <f t="shared" si="1"/>
        <v>4.9532857818393337E-3</v>
      </c>
      <c r="J5" s="18">
        <f t="shared" si="1"/>
        <v>4.9532857818393337E-3</v>
      </c>
      <c r="K5" s="18">
        <f t="shared" si="1"/>
        <v>4.9532857818393337E-3</v>
      </c>
      <c r="L5" s="18">
        <f t="shared" si="1"/>
        <v>4.9532857818393337E-3</v>
      </c>
      <c r="M5" s="18">
        <f t="shared" si="1"/>
        <v>4.9532857818393337E-3</v>
      </c>
    </row>
    <row r="6" spans="1:13" x14ac:dyDescent="0.2">
      <c r="A6" t="str">
        <f>raw!A6</f>
        <v>Central Hudson Gas &amp; Electric Corp.</v>
      </c>
      <c r="B6" s="17">
        <f>TransDepr!B6/TransNplant!B6</f>
        <v>4.8056088454857477E-3</v>
      </c>
      <c r="C6" s="18">
        <f t="shared" ref="C6:M6" si="2">B6</f>
        <v>4.8056088454857477E-3</v>
      </c>
      <c r="D6" s="18">
        <f t="shared" si="2"/>
        <v>4.8056088454857477E-3</v>
      </c>
      <c r="E6" s="18">
        <f t="shared" si="2"/>
        <v>4.8056088454857477E-3</v>
      </c>
      <c r="F6" s="18">
        <f t="shared" si="2"/>
        <v>4.8056088454857477E-3</v>
      </c>
      <c r="G6" s="18">
        <f t="shared" si="2"/>
        <v>4.8056088454857477E-3</v>
      </c>
      <c r="H6" s="18">
        <f t="shared" si="2"/>
        <v>4.8056088454857477E-3</v>
      </c>
      <c r="I6" s="18">
        <f t="shared" si="2"/>
        <v>4.8056088454857477E-3</v>
      </c>
      <c r="J6" s="18">
        <f t="shared" si="2"/>
        <v>4.8056088454857477E-3</v>
      </c>
      <c r="K6" s="18">
        <f t="shared" si="2"/>
        <v>4.8056088454857477E-3</v>
      </c>
      <c r="L6" s="18">
        <f t="shared" si="2"/>
        <v>4.8056088454857477E-3</v>
      </c>
      <c r="M6" s="18">
        <f t="shared" si="2"/>
        <v>4.8056088454857477E-3</v>
      </c>
    </row>
    <row r="7" spans="1:13" x14ac:dyDescent="0.2">
      <c r="A7" t="str">
        <f>raw!A7</f>
        <v>Commonwealth Edison Co.</v>
      </c>
      <c r="B7" s="17">
        <f>TransDepr!B7/TransNplant!B7</f>
        <v>1.9211545134866488E-3</v>
      </c>
      <c r="C7" s="18">
        <f t="shared" ref="C7:M7" si="3">B7</f>
        <v>1.9211545134866488E-3</v>
      </c>
      <c r="D7" s="18">
        <f t="shared" si="3"/>
        <v>1.9211545134866488E-3</v>
      </c>
      <c r="E7" s="18">
        <f t="shared" si="3"/>
        <v>1.9211545134866488E-3</v>
      </c>
      <c r="F7" s="18">
        <f t="shared" si="3"/>
        <v>1.9211545134866488E-3</v>
      </c>
      <c r="G7" s="18">
        <f t="shared" si="3"/>
        <v>1.9211545134866488E-3</v>
      </c>
      <c r="H7" s="18">
        <f t="shared" si="3"/>
        <v>1.9211545134866488E-3</v>
      </c>
      <c r="I7" s="18">
        <f t="shared" si="3"/>
        <v>1.9211545134866488E-3</v>
      </c>
      <c r="J7" s="18">
        <f t="shared" si="3"/>
        <v>1.9211545134866488E-3</v>
      </c>
      <c r="K7" s="18">
        <f t="shared" si="3"/>
        <v>1.9211545134866488E-3</v>
      </c>
      <c r="L7" s="18">
        <f t="shared" si="3"/>
        <v>1.9211545134866488E-3</v>
      </c>
      <c r="M7" s="18">
        <f t="shared" si="3"/>
        <v>1.9211545134866488E-3</v>
      </c>
    </row>
    <row r="8" spans="1:13" x14ac:dyDescent="0.2">
      <c r="A8" t="str">
        <f>raw!A8</f>
        <v>Consolidated Edison Co. of New York, Inc.</v>
      </c>
      <c r="B8" s="17">
        <f>TransDepr!B8/TransNplant!B8</f>
        <v>8.6355366499362065E-3</v>
      </c>
      <c r="C8" s="18">
        <f t="shared" ref="C8:M8" si="4">B8</f>
        <v>8.6355366499362065E-3</v>
      </c>
      <c r="D8" s="18">
        <f t="shared" si="4"/>
        <v>8.6355366499362065E-3</v>
      </c>
      <c r="E8" s="18">
        <f t="shared" si="4"/>
        <v>8.6355366499362065E-3</v>
      </c>
      <c r="F8" s="18">
        <f t="shared" si="4"/>
        <v>8.6355366499362065E-3</v>
      </c>
      <c r="G8" s="18">
        <f t="shared" si="4"/>
        <v>8.6355366499362065E-3</v>
      </c>
      <c r="H8" s="18">
        <f t="shared" si="4"/>
        <v>8.6355366499362065E-3</v>
      </c>
      <c r="I8" s="18">
        <f t="shared" si="4"/>
        <v>8.6355366499362065E-3</v>
      </c>
      <c r="J8" s="18">
        <f t="shared" si="4"/>
        <v>8.6355366499362065E-3</v>
      </c>
      <c r="K8" s="18">
        <f t="shared" si="4"/>
        <v>8.6355366499362065E-3</v>
      </c>
      <c r="L8" s="18">
        <f t="shared" si="4"/>
        <v>8.6355366499362065E-3</v>
      </c>
      <c r="M8" s="18">
        <f t="shared" si="4"/>
        <v>8.6355366499362065E-3</v>
      </c>
    </row>
    <row r="9" spans="1:13" x14ac:dyDescent="0.2">
      <c r="A9" t="str">
        <f>raw!A9</f>
        <v>Consumers Energy Co.</v>
      </c>
      <c r="B9" s="17">
        <f>TransDepr!B9/TransNplant!B9</f>
        <v>4.8277440771141954E-3</v>
      </c>
      <c r="C9" s="18">
        <f t="shared" ref="C9:M9" si="5">B9</f>
        <v>4.8277440771141954E-3</v>
      </c>
      <c r="D9" s="18">
        <f t="shared" si="5"/>
        <v>4.8277440771141954E-3</v>
      </c>
      <c r="E9" s="18">
        <f t="shared" si="5"/>
        <v>4.8277440771141954E-3</v>
      </c>
      <c r="F9" s="18">
        <f t="shared" si="5"/>
        <v>4.8277440771141954E-3</v>
      </c>
      <c r="G9" s="18">
        <f t="shared" si="5"/>
        <v>4.8277440771141954E-3</v>
      </c>
      <c r="H9" s="18">
        <f t="shared" si="5"/>
        <v>4.8277440771141954E-3</v>
      </c>
      <c r="I9" s="18">
        <f t="shared" si="5"/>
        <v>4.8277440771141954E-3</v>
      </c>
      <c r="J9" s="18">
        <f t="shared" si="5"/>
        <v>4.8277440771141954E-3</v>
      </c>
      <c r="K9" s="18">
        <f t="shared" si="5"/>
        <v>4.8277440771141954E-3</v>
      </c>
      <c r="L9" s="18">
        <f t="shared" si="5"/>
        <v>4.8277440771141954E-3</v>
      </c>
      <c r="M9" s="18">
        <f t="shared" si="5"/>
        <v>4.8277440771141954E-3</v>
      </c>
    </row>
    <row r="10" spans="1:13" x14ac:dyDescent="0.2">
      <c r="A10" t="str">
        <f>raw!A10</f>
        <v>Duke Energy Corp.</v>
      </c>
      <c r="B10" s="17">
        <f>TransDepr!B10/TransNplant!B10</f>
        <v>9.0794710062536543E-3</v>
      </c>
      <c r="C10" s="18">
        <f t="shared" ref="C10:M10" si="6">B10</f>
        <v>9.0794710062536543E-3</v>
      </c>
      <c r="D10" s="18">
        <f t="shared" si="6"/>
        <v>9.0794710062536543E-3</v>
      </c>
      <c r="E10" s="18">
        <f t="shared" si="6"/>
        <v>9.0794710062536543E-3</v>
      </c>
      <c r="F10" s="18">
        <f t="shared" si="6"/>
        <v>9.0794710062536543E-3</v>
      </c>
      <c r="G10" s="18">
        <f t="shared" si="6"/>
        <v>9.0794710062536543E-3</v>
      </c>
      <c r="H10" s="18">
        <f t="shared" si="6"/>
        <v>9.0794710062536543E-3</v>
      </c>
      <c r="I10" s="18">
        <f t="shared" si="6"/>
        <v>9.0794710062536543E-3</v>
      </c>
      <c r="J10" s="18">
        <f t="shared" si="6"/>
        <v>9.0794710062536543E-3</v>
      </c>
      <c r="K10" s="18">
        <f t="shared" si="6"/>
        <v>9.0794710062536543E-3</v>
      </c>
      <c r="L10" s="18">
        <f t="shared" si="6"/>
        <v>9.0794710062536543E-3</v>
      </c>
      <c r="M10" s="18">
        <f t="shared" si="6"/>
        <v>9.0794710062536543E-3</v>
      </c>
    </row>
    <row r="11" spans="1:13" x14ac:dyDescent="0.2">
      <c r="A11" t="str">
        <f>raw!A11</f>
        <v>Entergy Mississippi, Inc.</v>
      </c>
      <c r="B11" s="17">
        <f>TransDepr!B11/TransNplant!B11</f>
        <v>6.5637707451659966E-3</v>
      </c>
      <c r="C11" s="18">
        <f t="shared" ref="C11:M11" si="7">B11</f>
        <v>6.5637707451659966E-3</v>
      </c>
      <c r="D11" s="18">
        <f t="shared" si="7"/>
        <v>6.5637707451659966E-3</v>
      </c>
      <c r="E11" s="18">
        <f t="shared" si="7"/>
        <v>6.5637707451659966E-3</v>
      </c>
      <c r="F11" s="18">
        <f t="shared" si="7"/>
        <v>6.5637707451659966E-3</v>
      </c>
      <c r="G11" s="18">
        <f t="shared" si="7"/>
        <v>6.5637707451659966E-3</v>
      </c>
      <c r="H11" s="18">
        <f t="shared" si="7"/>
        <v>6.5637707451659966E-3</v>
      </c>
      <c r="I11" s="18">
        <f t="shared" si="7"/>
        <v>6.5637707451659966E-3</v>
      </c>
      <c r="J11" s="18">
        <f t="shared" si="7"/>
        <v>6.5637707451659966E-3</v>
      </c>
      <c r="K11" s="18">
        <f t="shared" si="7"/>
        <v>6.5637707451659966E-3</v>
      </c>
      <c r="L11" s="18">
        <f t="shared" si="7"/>
        <v>6.5637707451659966E-3</v>
      </c>
      <c r="M11" s="18">
        <f t="shared" si="7"/>
        <v>6.5637707451659966E-3</v>
      </c>
    </row>
    <row r="12" spans="1:13" x14ac:dyDescent="0.2">
      <c r="A12" t="str">
        <f>raw!A12</f>
        <v>Florida Power &amp; Light Co.</v>
      </c>
      <c r="B12" s="17">
        <f>TransDepr!B12/TransNplant!B12</f>
        <v>1.0181422980271918E-2</v>
      </c>
      <c r="C12" s="18">
        <f t="shared" ref="C12:M12" si="8">B12</f>
        <v>1.0181422980271918E-2</v>
      </c>
      <c r="D12" s="18">
        <f t="shared" si="8"/>
        <v>1.0181422980271918E-2</v>
      </c>
      <c r="E12" s="18">
        <f t="shared" si="8"/>
        <v>1.0181422980271918E-2</v>
      </c>
      <c r="F12" s="18">
        <f t="shared" si="8"/>
        <v>1.0181422980271918E-2</v>
      </c>
      <c r="G12" s="18">
        <f t="shared" si="8"/>
        <v>1.0181422980271918E-2</v>
      </c>
      <c r="H12" s="18">
        <f t="shared" si="8"/>
        <v>1.0181422980271918E-2</v>
      </c>
      <c r="I12" s="18">
        <f t="shared" si="8"/>
        <v>1.0181422980271918E-2</v>
      </c>
      <c r="J12" s="18">
        <f t="shared" si="8"/>
        <v>1.0181422980271918E-2</v>
      </c>
      <c r="K12" s="18">
        <f t="shared" si="8"/>
        <v>1.0181422980271918E-2</v>
      </c>
      <c r="L12" s="18">
        <f t="shared" si="8"/>
        <v>1.0181422980271918E-2</v>
      </c>
      <c r="M12" s="18">
        <f t="shared" si="8"/>
        <v>1.0181422980271918E-2</v>
      </c>
    </row>
    <row r="13" spans="1:13" x14ac:dyDescent="0.2">
      <c r="A13" t="str">
        <f>raw!A13</f>
        <v>Gulf Power Co.</v>
      </c>
      <c r="B13" s="17">
        <f>TransDepr!B13/TransNplant!B13</f>
        <v>6.6339082145558861E-3</v>
      </c>
      <c r="C13" s="18">
        <f t="shared" ref="C13:M13" si="9">B13</f>
        <v>6.6339082145558861E-3</v>
      </c>
      <c r="D13" s="18">
        <f t="shared" si="9"/>
        <v>6.6339082145558861E-3</v>
      </c>
      <c r="E13" s="18">
        <f t="shared" si="9"/>
        <v>6.6339082145558861E-3</v>
      </c>
      <c r="F13" s="18">
        <f t="shared" si="9"/>
        <v>6.6339082145558861E-3</v>
      </c>
      <c r="G13" s="18">
        <f t="shared" si="9"/>
        <v>6.6339082145558861E-3</v>
      </c>
      <c r="H13" s="18">
        <f t="shared" si="9"/>
        <v>6.6339082145558861E-3</v>
      </c>
      <c r="I13" s="18">
        <f t="shared" si="9"/>
        <v>6.6339082145558861E-3</v>
      </c>
      <c r="J13" s="18">
        <f t="shared" si="9"/>
        <v>6.6339082145558861E-3</v>
      </c>
      <c r="K13" s="18">
        <f t="shared" si="9"/>
        <v>6.6339082145558861E-3</v>
      </c>
      <c r="L13" s="18">
        <f t="shared" si="9"/>
        <v>6.6339082145558861E-3</v>
      </c>
      <c r="M13" s="18">
        <f t="shared" si="9"/>
        <v>6.6339082145558861E-3</v>
      </c>
    </row>
    <row r="14" spans="1:13" x14ac:dyDescent="0.2">
      <c r="A14" t="str">
        <f>raw!A14</f>
        <v>Illinois Power Co.</v>
      </c>
      <c r="B14" s="17">
        <f>TransDepr!B14/TransNplant!B14</f>
        <v>3.6355886670918006E-3</v>
      </c>
      <c r="C14" s="18">
        <f t="shared" ref="C14:M14" si="10">B14</f>
        <v>3.6355886670918006E-3</v>
      </c>
      <c r="D14" s="18">
        <f t="shared" si="10"/>
        <v>3.6355886670918006E-3</v>
      </c>
      <c r="E14" s="18">
        <f t="shared" si="10"/>
        <v>3.6355886670918006E-3</v>
      </c>
      <c r="F14" s="18">
        <f t="shared" si="10"/>
        <v>3.6355886670918006E-3</v>
      </c>
      <c r="G14" s="18">
        <f t="shared" si="10"/>
        <v>3.6355886670918006E-3</v>
      </c>
      <c r="H14" s="18">
        <f t="shared" si="10"/>
        <v>3.6355886670918006E-3</v>
      </c>
      <c r="I14" s="18">
        <f t="shared" si="10"/>
        <v>3.6355886670918006E-3</v>
      </c>
      <c r="J14" s="18">
        <f t="shared" si="10"/>
        <v>3.6355886670918006E-3</v>
      </c>
      <c r="K14" s="18">
        <f t="shared" si="10"/>
        <v>3.6355886670918006E-3</v>
      </c>
      <c r="L14" s="18">
        <f t="shared" si="10"/>
        <v>3.6355886670918006E-3</v>
      </c>
      <c r="M14" s="18">
        <f t="shared" si="10"/>
        <v>3.6355886670918006E-3</v>
      </c>
    </row>
    <row r="15" spans="1:13" x14ac:dyDescent="0.2">
      <c r="A15" t="str">
        <f>raw!A15</f>
        <v>Jersey Central Power &amp; Light Co.</v>
      </c>
      <c r="B15" s="17">
        <f>TransDepr!B15/TransNplant!B15</f>
        <v>2.7651456196359277E-3</v>
      </c>
      <c r="C15" s="18">
        <f t="shared" ref="C15:M15" si="11">B15</f>
        <v>2.7651456196359277E-3</v>
      </c>
      <c r="D15" s="18">
        <f t="shared" si="11"/>
        <v>2.7651456196359277E-3</v>
      </c>
      <c r="E15" s="18">
        <f t="shared" si="11"/>
        <v>2.7651456196359277E-3</v>
      </c>
      <c r="F15" s="18">
        <f t="shared" si="11"/>
        <v>2.7651456196359277E-3</v>
      </c>
      <c r="G15" s="18">
        <f t="shared" si="11"/>
        <v>2.7651456196359277E-3</v>
      </c>
      <c r="H15" s="18">
        <f t="shared" si="11"/>
        <v>2.7651456196359277E-3</v>
      </c>
      <c r="I15" s="18">
        <f t="shared" si="11"/>
        <v>2.7651456196359277E-3</v>
      </c>
      <c r="J15" s="18">
        <f t="shared" si="11"/>
        <v>2.7651456196359277E-3</v>
      </c>
      <c r="K15" s="18">
        <f t="shared" si="11"/>
        <v>2.7651456196359277E-3</v>
      </c>
      <c r="L15" s="18">
        <f t="shared" si="11"/>
        <v>2.7651456196359277E-3</v>
      </c>
      <c r="M15" s="18">
        <f t="shared" si="11"/>
        <v>2.7651456196359277E-3</v>
      </c>
    </row>
    <row r="16" spans="1:13" x14ac:dyDescent="0.2">
      <c r="A16" t="str">
        <f>raw!A16</f>
        <v>Kentucky Utilities Co.</v>
      </c>
      <c r="B16" s="17">
        <f>TransDepr!B16/TransNplant!B16</f>
        <v>2.2553506577078163E-3</v>
      </c>
      <c r="C16" s="18">
        <f t="shared" ref="C16:M16" si="12">B16</f>
        <v>2.2553506577078163E-3</v>
      </c>
      <c r="D16" s="18">
        <f t="shared" si="12"/>
        <v>2.2553506577078163E-3</v>
      </c>
      <c r="E16" s="18">
        <f t="shared" si="12"/>
        <v>2.2553506577078163E-3</v>
      </c>
      <c r="F16" s="18">
        <f t="shared" si="12"/>
        <v>2.2553506577078163E-3</v>
      </c>
      <c r="G16" s="18">
        <f t="shared" si="12"/>
        <v>2.2553506577078163E-3</v>
      </c>
      <c r="H16" s="18">
        <f t="shared" si="12"/>
        <v>2.2553506577078163E-3</v>
      </c>
      <c r="I16" s="18">
        <f t="shared" si="12"/>
        <v>2.2553506577078163E-3</v>
      </c>
      <c r="J16" s="18">
        <f t="shared" si="12"/>
        <v>2.2553506577078163E-3</v>
      </c>
      <c r="K16" s="18">
        <f t="shared" si="12"/>
        <v>2.2553506577078163E-3</v>
      </c>
      <c r="L16" s="18">
        <f t="shared" si="12"/>
        <v>2.2553506577078163E-3</v>
      </c>
      <c r="M16" s="18">
        <f t="shared" si="12"/>
        <v>2.2553506577078163E-3</v>
      </c>
    </row>
    <row r="17" spans="1:13" x14ac:dyDescent="0.2">
      <c r="A17" t="str">
        <f>raw!A17</f>
        <v>Ohio Power Co.</v>
      </c>
      <c r="B17" s="17">
        <f>TransDepr!B17/TransNplant!B17</f>
        <v>1.1925745063459745E-3</v>
      </c>
      <c r="C17" s="18">
        <f t="shared" ref="C17:M17" si="13">B17</f>
        <v>1.1925745063459745E-3</v>
      </c>
      <c r="D17" s="18">
        <f t="shared" si="13"/>
        <v>1.1925745063459745E-3</v>
      </c>
      <c r="E17" s="18">
        <f t="shared" si="13"/>
        <v>1.1925745063459745E-3</v>
      </c>
      <c r="F17" s="18">
        <f t="shared" si="13"/>
        <v>1.1925745063459745E-3</v>
      </c>
      <c r="G17" s="18">
        <f t="shared" si="13"/>
        <v>1.1925745063459745E-3</v>
      </c>
      <c r="H17" s="18">
        <f t="shared" si="13"/>
        <v>1.1925745063459745E-3</v>
      </c>
      <c r="I17" s="18">
        <f t="shared" si="13"/>
        <v>1.1925745063459745E-3</v>
      </c>
      <c r="J17" s="18">
        <f t="shared" si="13"/>
        <v>1.1925745063459745E-3</v>
      </c>
      <c r="K17" s="18">
        <f t="shared" si="13"/>
        <v>1.1925745063459745E-3</v>
      </c>
      <c r="L17" s="18">
        <f t="shared" si="13"/>
        <v>1.1925745063459745E-3</v>
      </c>
      <c r="M17" s="18">
        <f t="shared" si="13"/>
        <v>1.1925745063459745E-3</v>
      </c>
    </row>
    <row r="18" spans="1:13" x14ac:dyDescent="0.2">
      <c r="A18" t="str">
        <f>raw!A18</f>
        <v>PPL Electric Utilities Corp.</v>
      </c>
      <c r="B18" s="17">
        <f>TransDepr!B18/TransNplant!B18</f>
        <v>2.6347886444678956E-3</v>
      </c>
      <c r="C18" s="18">
        <f t="shared" ref="C18:M18" si="14">B18</f>
        <v>2.6347886444678956E-3</v>
      </c>
      <c r="D18" s="18">
        <f t="shared" si="14"/>
        <v>2.6347886444678956E-3</v>
      </c>
      <c r="E18" s="18">
        <f t="shared" si="14"/>
        <v>2.6347886444678956E-3</v>
      </c>
      <c r="F18" s="18">
        <f t="shared" si="14"/>
        <v>2.6347886444678956E-3</v>
      </c>
      <c r="G18" s="18">
        <f t="shared" si="14"/>
        <v>2.6347886444678956E-3</v>
      </c>
      <c r="H18" s="18">
        <f t="shared" si="14"/>
        <v>2.6347886444678956E-3</v>
      </c>
      <c r="I18" s="18">
        <f t="shared" si="14"/>
        <v>2.6347886444678956E-3</v>
      </c>
      <c r="J18" s="18">
        <f t="shared" si="14"/>
        <v>2.6347886444678956E-3</v>
      </c>
      <c r="K18" s="18">
        <f t="shared" si="14"/>
        <v>2.6347886444678956E-3</v>
      </c>
      <c r="L18" s="18">
        <f t="shared" si="14"/>
        <v>2.6347886444678956E-3</v>
      </c>
      <c r="M18" s="18">
        <f t="shared" si="14"/>
        <v>2.6347886444678956E-3</v>
      </c>
    </row>
    <row r="19" spans="1:13" x14ac:dyDescent="0.2">
      <c r="A19" t="str">
        <f>raw!A19</f>
        <v>Pacific Gas &amp; Electric Co.</v>
      </c>
      <c r="B19" s="17">
        <f>TransDepr!B19/TransNplant!B19</f>
        <v>9.8376192297424166E-3</v>
      </c>
      <c r="C19" s="18">
        <f t="shared" ref="C19:M19" si="15">B19</f>
        <v>9.8376192297424166E-3</v>
      </c>
      <c r="D19" s="18">
        <f t="shared" si="15"/>
        <v>9.8376192297424166E-3</v>
      </c>
      <c r="E19" s="18">
        <f t="shared" si="15"/>
        <v>9.8376192297424166E-3</v>
      </c>
      <c r="F19" s="18">
        <f t="shared" si="15"/>
        <v>9.8376192297424166E-3</v>
      </c>
      <c r="G19" s="18">
        <f t="shared" si="15"/>
        <v>9.8376192297424166E-3</v>
      </c>
      <c r="H19" s="18">
        <f t="shared" si="15"/>
        <v>9.8376192297424166E-3</v>
      </c>
      <c r="I19" s="18">
        <f t="shared" si="15"/>
        <v>9.8376192297424166E-3</v>
      </c>
      <c r="J19" s="18">
        <f t="shared" si="15"/>
        <v>9.8376192297424166E-3</v>
      </c>
      <c r="K19" s="18">
        <f t="shared" si="15"/>
        <v>9.8376192297424166E-3</v>
      </c>
      <c r="L19" s="18">
        <f t="shared" si="15"/>
        <v>9.8376192297424166E-3</v>
      </c>
      <c r="M19" s="18">
        <f t="shared" si="15"/>
        <v>9.8376192297424166E-3</v>
      </c>
    </row>
    <row r="20" spans="1:13" x14ac:dyDescent="0.2">
      <c r="A20" t="str">
        <f>raw!A20</f>
        <v>Public Service Electric &amp; Gas Co.</v>
      </c>
      <c r="B20" s="17">
        <f>TransDepr!B20/TransNplant!B20</f>
        <v>4.2382534766168814E-3</v>
      </c>
      <c r="C20" s="18">
        <f t="shared" ref="C20:M20" si="16">B20</f>
        <v>4.2382534766168814E-3</v>
      </c>
      <c r="D20" s="18">
        <f t="shared" si="16"/>
        <v>4.2382534766168814E-3</v>
      </c>
      <c r="E20" s="18">
        <f t="shared" si="16"/>
        <v>4.2382534766168814E-3</v>
      </c>
      <c r="F20" s="18">
        <f t="shared" si="16"/>
        <v>4.2382534766168814E-3</v>
      </c>
      <c r="G20" s="18">
        <f t="shared" si="16"/>
        <v>4.2382534766168814E-3</v>
      </c>
      <c r="H20" s="18">
        <f t="shared" si="16"/>
        <v>4.2382534766168814E-3</v>
      </c>
      <c r="I20" s="18">
        <f t="shared" si="16"/>
        <v>4.2382534766168814E-3</v>
      </c>
      <c r="J20" s="18">
        <f t="shared" si="16"/>
        <v>4.2382534766168814E-3</v>
      </c>
      <c r="K20" s="18">
        <f t="shared" si="16"/>
        <v>4.2382534766168814E-3</v>
      </c>
      <c r="L20" s="18">
        <f t="shared" si="16"/>
        <v>4.2382534766168814E-3</v>
      </c>
      <c r="M20" s="18">
        <f t="shared" si="16"/>
        <v>4.2382534766168814E-3</v>
      </c>
    </row>
    <row r="21" spans="1:13" x14ac:dyDescent="0.2">
      <c r="A21" t="str">
        <f>raw!A21</f>
        <v>San Diego Gas &amp; Electric Co.</v>
      </c>
      <c r="B21" s="17">
        <f>TransDepr!B21/TransNplant!B21</f>
        <v>5.8088796931048924E-3</v>
      </c>
      <c r="C21" s="18">
        <f t="shared" ref="C21:M21" si="17">B21</f>
        <v>5.8088796931048924E-3</v>
      </c>
      <c r="D21" s="18">
        <f t="shared" si="17"/>
        <v>5.8088796931048924E-3</v>
      </c>
      <c r="E21" s="18">
        <f t="shared" si="17"/>
        <v>5.8088796931048924E-3</v>
      </c>
      <c r="F21" s="18">
        <f t="shared" si="17"/>
        <v>5.8088796931048924E-3</v>
      </c>
      <c r="G21" s="18">
        <f t="shared" si="17"/>
        <v>5.8088796931048924E-3</v>
      </c>
      <c r="H21" s="18">
        <f t="shared" si="17"/>
        <v>5.8088796931048924E-3</v>
      </c>
      <c r="I21" s="18">
        <f t="shared" si="17"/>
        <v>5.8088796931048924E-3</v>
      </c>
      <c r="J21" s="18">
        <f t="shared" si="17"/>
        <v>5.8088796931048924E-3</v>
      </c>
      <c r="K21" s="18">
        <f t="shared" si="17"/>
        <v>5.8088796931048924E-3</v>
      </c>
      <c r="L21" s="18">
        <f t="shared" si="17"/>
        <v>5.8088796931048924E-3</v>
      </c>
      <c r="M21" s="18">
        <f t="shared" si="17"/>
        <v>5.8088796931048924E-3</v>
      </c>
    </row>
    <row r="22" spans="1:13" x14ac:dyDescent="0.2">
      <c r="A22" t="str">
        <f>raw!A22</f>
        <v>Southern California Edison Co.</v>
      </c>
      <c r="B22" s="17">
        <f>TransDepr!B22/TransNplant!B22</f>
        <v>1.1244365475129846E-2</v>
      </c>
      <c r="C22" s="18">
        <f t="shared" ref="C22:M22" si="18">B22</f>
        <v>1.1244365475129846E-2</v>
      </c>
      <c r="D22" s="18">
        <f t="shared" si="18"/>
        <v>1.1244365475129846E-2</v>
      </c>
      <c r="E22" s="18">
        <f t="shared" si="18"/>
        <v>1.1244365475129846E-2</v>
      </c>
      <c r="F22" s="18">
        <f t="shared" si="18"/>
        <v>1.1244365475129846E-2</v>
      </c>
      <c r="G22" s="18">
        <f t="shared" si="18"/>
        <v>1.1244365475129846E-2</v>
      </c>
      <c r="H22" s="18">
        <f t="shared" si="18"/>
        <v>1.1244365475129846E-2</v>
      </c>
      <c r="I22" s="18">
        <f t="shared" si="18"/>
        <v>1.1244365475129846E-2</v>
      </c>
      <c r="J22" s="18">
        <f t="shared" si="18"/>
        <v>1.1244365475129846E-2</v>
      </c>
      <c r="K22" s="18">
        <f t="shared" si="18"/>
        <v>1.1244365475129846E-2</v>
      </c>
      <c r="L22" s="18">
        <f t="shared" si="18"/>
        <v>1.1244365475129846E-2</v>
      </c>
      <c r="M22" s="18">
        <f t="shared" si="18"/>
        <v>1.1244365475129846E-2</v>
      </c>
    </row>
    <row r="23" spans="1:13" x14ac:dyDescent="0.2">
      <c r="A23" t="str">
        <f>raw!A23</f>
        <v>Southwestern Public Service Co.</v>
      </c>
      <c r="B23" s="17">
        <f>TransDepr!B23/TransNplant!B23</f>
        <v>3.9524025769156045E-3</v>
      </c>
      <c r="C23" s="18">
        <f t="shared" ref="C23:M24" si="19">B23</f>
        <v>3.9524025769156045E-3</v>
      </c>
      <c r="D23" s="18">
        <f t="shared" si="19"/>
        <v>3.9524025769156045E-3</v>
      </c>
      <c r="E23" s="18">
        <f t="shared" si="19"/>
        <v>3.9524025769156045E-3</v>
      </c>
      <c r="F23" s="18">
        <f t="shared" si="19"/>
        <v>3.9524025769156045E-3</v>
      </c>
      <c r="G23" s="18">
        <f t="shared" si="19"/>
        <v>3.9524025769156045E-3</v>
      </c>
      <c r="H23" s="18">
        <f t="shared" si="19"/>
        <v>3.9524025769156045E-3</v>
      </c>
      <c r="I23" s="18">
        <f t="shared" si="19"/>
        <v>3.9524025769156045E-3</v>
      </c>
      <c r="J23" s="18">
        <f t="shared" si="19"/>
        <v>3.9524025769156045E-3</v>
      </c>
      <c r="K23" s="18">
        <f t="shared" si="19"/>
        <v>3.9524025769156045E-3</v>
      </c>
      <c r="L23" s="18">
        <f t="shared" si="19"/>
        <v>3.9524025769156045E-3</v>
      </c>
      <c r="M23" s="18">
        <f t="shared" si="19"/>
        <v>3.9524025769156045E-3</v>
      </c>
    </row>
    <row r="24" spans="1:13" x14ac:dyDescent="0.2">
      <c r="A24" t="str">
        <f>raw!A24</f>
        <v>TXU Electric Co.</v>
      </c>
      <c r="B24" s="17">
        <f>TransDepr!B24/TransNplant!B24</f>
        <v>1.2346172475760631E-3</v>
      </c>
      <c r="C24" s="18">
        <f t="shared" si="19"/>
        <v>1.2346172475760631E-3</v>
      </c>
      <c r="D24" s="18">
        <f t="shared" si="19"/>
        <v>1.2346172475760631E-3</v>
      </c>
      <c r="E24" s="18">
        <f t="shared" si="19"/>
        <v>1.2346172475760631E-3</v>
      </c>
      <c r="F24" s="18">
        <f t="shared" si="19"/>
        <v>1.2346172475760631E-3</v>
      </c>
      <c r="G24" s="18">
        <f t="shared" si="19"/>
        <v>1.2346172475760631E-3</v>
      </c>
      <c r="H24" s="18">
        <f t="shared" si="19"/>
        <v>1.2346172475760631E-3</v>
      </c>
      <c r="I24" s="18">
        <f t="shared" si="19"/>
        <v>1.2346172475760631E-3</v>
      </c>
      <c r="J24" s="18">
        <f t="shared" si="19"/>
        <v>1.2346172475760631E-3</v>
      </c>
      <c r="K24" s="18">
        <f t="shared" si="19"/>
        <v>1.2346172475760631E-3</v>
      </c>
      <c r="L24" s="18">
        <f t="shared" si="19"/>
        <v>1.2346172475760631E-3</v>
      </c>
      <c r="M24" s="18">
        <f t="shared" si="19"/>
        <v>1.2346172475760631E-3</v>
      </c>
    </row>
  </sheetData>
  <pageMargins left="0.75" right="0.75" top="1" bottom="1" header="0.5" footer="0.5"/>
  <pageSetup scale="79" orientation="landscape" verticalDpi="0" r:id="rId1"/>
  <headerFooter alignWithMargins="0">
    <oddFooter>Page &amp;P&amp;R&amp;A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workbookViewId="0">
      <selection activeCell="E25" sqref="E25"/>
    </sheetView>
  </sheetViews>
  <sheetFormatPr defaultRowHeight="12.75" x14ac:dyDescent="0.2"/>
  <cols>
    <col min="1" max="1" width="36.140625" bestFit="1" customWidth="1"/>
    <col min="2" max="2" width="14.85546875" bestFit="1" customWidth="1"/>
  </cols>
  <sheetData>
    <row r="1" spans="1:13" x14ac:dyDescent="0.2">
      <c r="A1" t="s">
        <v>534</v>
      </c>
    </row>
    <row r="3" spans="1:13" x14ac:dyDescent="0.2">
      <c r="A3" s="8" t="s">
        <v>177</v>
      </c>
      <c r="B3" s="8">
        <v>1998</v>
      </c>
      <c r="C3" s="8">
        <v>2000</v>
      </c>
      <c r="D3" s="8">
        <v>2001</v>
      </c>
      <c r="E3" s="8">
        <v>2002</v>
      </c>
      <c r="F3" s="8">
        <v>2003</v>
      </c>
      <c r="G3" s="8">
        <v>2004</v>
      </c>
      <c r="H3" s="8">
        <v>2005</v>
      </c>
      <c r="I3" s="8">
        <v>2006</v>
      </c>
      <c r="J3" s="8">
        <v>2007</v>
      </c>
      <c r="K3" s="8">
        <v>2008</v>
      </c>
      <c r="L3" s="8">
        <v>2009</v>
      </c>
      <c r="M3" s="8">
        <v>2010</v>
      </c>
    </row>
    <row r="4" spans="1:13" x14ac:dyDescent="0.2">
      <c r="A4" t="str">
        <f>raw!A4</f>
        <v>Boston Edison Co.</v>
      </c>
      <c r="B4" s="17">
        <f>DistDepr!B4/DistNplant!B4</f>
        <v>7.2477363157899804E-3</v>
      </c>
      <c r="C4" s="18">
        <f>B4</f>
        <v>7.2477363157899804E-3</v>
      </c>
      <c r="D4" s="18">
        <f t="shared" ref="D4:M4" si="0">C4</f>
        <v>7.2477363157899804E-3</v>
      </c>
      <c r="E4" s="18">
        <f t="shared" si="0"/>
        <v>7.2477363157899804E-3</v>
      </c>
      <c r="F4" s="18">
        <f t="shared" si="0"/>
        <v>7.2477363157899804E-3</v>
      </c>
      <c r="G4" s="18">
        <f t="shared" si="0"/>
        <v>7.2477363157899804E-3</v>
      </c>
      <c r="H4" s="18">
        <f t="shared" si="0"/>
        <v>7.2477363157899804E-3</v>
      </c>
      <c r="I4" s="18">
        <f t="shared" si="0"/>
        <v>7.2477363157899804E-3</v>
      </c>
      <c r="J4" s="18">
        <f t="shared" si="0"/>
        <v>7.2477363157899804E-3</v>
      </c>
      <c r="K4" s="18">
        <f t="shared" si="0"/>
        <v>7.2477363157899804E-3</v>
      </c>
      <c r="L4" s="18">
        <f t="shared" si="0"/>
        <v>7.2477363157899804E-3</v>
      </c>
      <c r="M4" s="18">
        <f t="shared" si="0"/>
        <v>7.2477363157899804E-3</v>
      </c>
    </row>
    <row r="5" spans="1:13" x14ac:dyDescent="0.2">
      <c r="A5" t="str">
        <f>raw!A5</f>
        <v>Carolina Power &amp; Light Co.</v>
      </c>
      <c r="B5" s="17">
        <f>DistDepr!B5/DistNplant!B5</f>
        <v>5.1696391255757626E-3</v>
      </c>
      <c r="C5" s="18">
        <f t="shared" ref="C5:M20" si="1">B5</f>
        <v>5.1696391255757626E-3</v>
      </c>
      <c r="D5" s="18">
        <f t="shared" si="1"/>
        <v>5.1696391255757626E-3</v>
      </c>
      <c r="E5" s="18">
        <f t="shared" si="1"/>
        <v>5.1696391255757626E-3</v>
      </c>
      <c r="F5" s="18">
        <f t="shared" si="1"/>
        <v>5.1696391255757626E-3</v>
      </c>
      <c r="G5" s="18">
        <f t="shared" si="1"/>
        <v>5.1696391255757626E-3</v>
      </c>
      <c r="H5" s="18">
        <f t="shared" si="1"/>
        <v>5.1696391255757626E-3</v>
      </c>
      <c r="I5" s="18">
        <f t="shared" si="1"/>
        <v>5.1696391255757626E-3</v>
      </c>
      <c r="J5" s="18">
        <f t="shared" si="1"/>
        <v>5.1696391255757626E-3</v>
      </c>
      <c r="K5" s="18">
        <f t="shared" si="1"/>
        <v>5.1696391255757626E-3</v>
      </c>
      <c r="L5" s="18">
        <f t="shared" si="1"/>
        <v>5.1696391255757626E-3</v>
      </c>
      <c r="M5" s="18">
        <f t="shared" si="1"/>
        <v>5.1696391255757626E-3</v>
      </c>
    </row>
    <row r="6" spans="1:13" x14ac:dyDescent="0.2">
      <c r="A6" t="str">
        <f>raw!A6</f>
        <v>Central Hudson Gas &amp; Electric Corp.</v>
      </c>
      <c r="B6" s="17">
        <f>DistDepr!B6/DistNplant!B6</f>
        <v>4.8253399216771154E-3</v>
      </c>
      <c r="C6" s="18">
        <f t="shared" si="1"/>
        <v>4.8253399216771154E-3</v>
      </c>
      <c r="D6" s="18">
        <f t="shared" si="1"/>
        <v>4.8253399216771154E-3</v>
      </c>
      <c r="E6" s="18">
        <f t="shared" si="1"/>
        <v>4.8253399216771154E-3</v>
      </c>
      <c r="F6" s="18">
        <f t="shared" si="1"/>
        <v>4.8253399216771154E-3</v>
      </c>
      <c r="G6" s="18">
        <f t="shared" si="1"/>
        <v>4.8253399216771154E-3</v>
      </c>
      <c r="H6" s="18">
        <f t="shared" si="1"/>
        <v>4.8253399216771154E-3</v>
      </c>
      <c r="I6" s="18">
        <f t="shared" si="1"/>
        <v>4.8253399216771154E-3</v>
      </c>
      <c r="J6" s="18">
        <f t="shared" si="1"/>
        <v>4.8253399216771154E-3</v>
      </c>
      <c r="K6" s="18">
        <f t="shared" si="1"/>
        <v>4.8253399216771154E-3</v>
      </c>
      <c r="L6" s="18">
        <f t="shared" si="1"/>
        <v>4.8253399216771154E-3</v>
      </c>
      <c r="M6" s="18">
        <f t="shared" si="1"/>
        <v>4.8253399216771154E-3</v>
      </c>
    </row>
    <row r="7" spans="1:13" x14ac:dyDescent="0.2">
      <c r="A7" t="str">
        <f>raw!A7</f>
        <v>Commonwealth Edison Co.</v>
      </c>
      <c r="B7" s="17">
        <f>DistDepr!B7/DistNplant!B7</f>
        <v>1.9583821054958827E-3</v>
      </c>
      <c r="C7" s="18">
        <f t="shared" si="1"/>
        <v>1.9583821054958827E-3</v>
      </c>
      <c r="D7" s="18">
        <f t="shared" si="1"/>
        <v>1.9583821054958827E-3</v>
      </c>
      <c r="E7" s="18">
        <f t="shared" si="1"/>
        <v>1.9583821054958827E-3</v>
      </c>
      <c r="F7" s="18">
        <f t="shared" si="1"/>
        <v>1.9583821054958827E-3</v>
      </c>
      <c r="G7" s="18">
        <f t="shared" si="1"/>
        <v>1.9583821054958827E-3</v>
      </c>
      <c r="H7" s="18">
        <f t="shared" si="1"/>
        <v>1.9583821054958827E-3</v>
      </c>
      <c r="I7" s="18">
        <f t="shared" si="1"/>
        <v>1.9583821054958827E-3</v>
      </c>
      <c r="J7" s="18">
        <f t="shared" si="1"/>
        <v>1.9583821054958827E-3</v>
      </c>
      <c r="K7" s="18">
        <f t="shared" si="1"/>
        <v>1.9583821054958827E-3</v>
      </c>
      <c r="L7" s="18">
        <f t="shared" si="1"/>
        <v>1.9583821054958827E-3</v>
      </c>
      <c r="M7" s="18">
        <f t="shared" si="1"/>
        <v>1.9583821054958827E-3</v>
      </c>
    </row>
    <row r="8" spans="1:13" x14ac:dyDescent="0.2">
      <c r="A8" t="str">
        <f>raw!A8</f>
        <v>Consolidated Edison Co. of New York, Inc.</v>
      </c>
      <c r="B8" s="17">
        <f>DistDepr!B8/DistNplant!B8</f>
        <v>8.8634373432894768E-3</v>
      </c>
      <c r="C8" s="18">
        <f t="shared" si="1"/>
        <v>8.8634373432894768E-3</v>
      </c>
      <c r="D8" s="18">
        <f t="shared" si="1"/>
        <v>8.8634373432894768E-3</v>
      </c>
      <c r="E8" s="18">
        <f t="shared" si="1"/>
        <v>8.8634373432894768E-3</v>
      </c>
      <c r="F8" s="18">
        <f t="shared" si="1"/>
        <v>8.8634373432894768E-3</v>
      </c>
      <c r="G8" s="18">
        <f t="shared" si="1"/>
        <v>8.8634373432894768E-3</v>
      </c>
      <c r="H8" s="18">
        <f t="shared" si="1"/>
        <v>8.8634373432894768E-3</v>
      </c>
      <c r="I8" s="18">
        <f t="shared" si="1"/>
        <v>8.8634373432894768E-3</v>
      </c>
      <c r="J8" s="18">
        <f t="shared" si="1"/>
        <v>8.8634373432894768E-3</v>
      </c>
      <c r="K8" s="18">
        <f t="shared" si="1"/>
        <v>8.8634373432894768E-3</v>
      </c>
      <c r="L8" s="18">
        <f t="shared" si="1"/>
        <v>8.8634373432894768E-3</v>
      </c>
      <c r="M8" s="18">
        <f t="shared" si="1"/>
        <v>8.8634373432894768E-3</v>
      </c>
    </row>
    <row r="9" spans="1:13" x14ac:dyDescent="0.2">
      <c r="A9" t="str">
        <f>raw!A9</f>
        <v>Consumers Energy Co.</v>
      </c>
      <c r="B9" s="17">
        <f>DistDepr!B9/DistNplant!B9</f>
        <v>5.0924287634760059E-3</v>
      </c>
      <c r="C9" s="18">
        <f t="shared" si="1"/>
        <v>5.0924287634760059E-3</v>
      </c>
      <c r="D9" s="18">
        <f t="shared" si="1"/>
        <v>5.0924287634760059E-3</v>
      </c>
      <c r="E9" s="18">
        <f t="shared" si="1"/>
        <v>5.0924287634760059E-3</v>
      </c>
      <c r="F9" s="18">
        <f t="shared" si="1"/>
        <v>5.0924287634760059E-3</v>
      </c>
      <c r="G9" s="18">
        <f t="shared" si="1"/>
        <v>5.0924287634760059E-3</v>
      </c>
      <c r="H9" s="18">
        <f t="shared" si="1"/>
        <v>5.0924287634760059E-3</v>
      </c>
      <c r="I9" s="18">
        <f t="shared" si="1"/>
        <v>5.0924287634760059E-3</v>
      </c>
      <c r="J9" s="18">
        <f t="shared" si="1"/>
        <v>5.0924287634760059E-3</v>
      </c>
      <c r="K9" s="18">
        <f t="shared" si="1"/>
        <v>5.0924287634760059E-3</v>
      </c>
      <c r="L9" s="18">
        <f t="shared" si="1"/>
        <v>5.0924287634760059E-3</v>
      </c>
      <c r="M9" s="18">
        <f t="shared" si="1"/>
        <v>5.0924287634760059E-3</v>
      </c>
    </row>
    <row r="10" spans="1:13" x14ac:dyDescent="0.2">
      <c r="A10" t="str">
        <f>raw!A10</f>
        <v>Duke Energy Corp.</v>
      </c>
      <c r="B10" s="17">
        <f>DistDepr!B10/DistNplant!B10</f>
        <v>9.5908338226355968E-3</v>
      </c>
      <c r="C10" s="18">
        <f t="shared" si="1"/>
        <v>9.5908338226355968E-3</v>
      </c>
      <c r="D10" s="18">
        <f t="shared" si="1"/>
        <v>9.5908338226355968E-3</v>
      </c>
      <c r="E10" s="18">
        <f t="shared" si="1"/>
        <v>9.5908338226355968E-3</v>
      </c>
      <c r="F10" s="18">
        <f t="shared" si="1"/>
        <v>9.5908338226355968E-3</v>
      </c>
      <c r="G10" s="18">
        <f t="shared" si="1"/>
        <v>9.5908338226355968E-3</v>
      </c>
      <c r="H10" s="18">
        <f t="shared" si="1"/>
        <v>9.5908338226355968E-3</v>
      </c>
      <c r="I10" s="18">
        <f t="shared" si="1"/>
        <v>9.5908338226355968E-3</v>
      </c>
      <c r="J10" s="18">
        <f t="shared" si="1"/>
        <v>9.5908338226355968E-3</v>
      </c>
      <c r="K10" s="18">
        <f t="shared" si="1"/>
        <v>9.5908338226355968E-3</v>
      </c>
      <c r="L10" s="18">
        <f t="shared" si="1"/>
        <v>9.5908338226355968E-3</v>
      </c>
      <c r="M10" s="18">
        <f t="shared" si="1"/>
        <v>9.5908338226355968E-3</v>
      </c>
    </row>
    <row r="11" spans="1:13" x14ac:dyDescent="0.2">
      <c r="A11" t="str">
        <f>raw!A11</f>
        <v>Entergy Mississippi, Inc.</v>
      </c>
      <c r="B11" s="17">
        <f>DistDepr!B11/DistNplant!B11</f>
        <v>6.8579079961933057E-3</v>
      </c>
      <c r="C11" s="18">
        <f t="shared" si="1"/>
        <v>6.8579079961933057E-3</v>
      </c>
      <c r="D11" s="18">
        <f t="shared" si="1"/>
        <v>6.8579079961933057E-3</v>
      </c>
      <c r="E11" s="18">
        <f t="shared" si="1"/>
        <v>6.8579079961933057E-3</v>
      </c>
      <c r="F11" s="18">
        <f t="shared" si="1"/>
        <v>6.8579079961933057E-3</v>
      </c>
      <c r="G11" s="18">
        <f t="shared" si="1"/>
        <v>6.8579079961933057E-3</v>
      </c>
      <c r="H11" s="18">
        <f t="shared" si="1"/>
        <v>6.8579079961933057E-3</v>
      </c>
      <c r="I11" s="18">
        <f t="shared" si="1"/>
        <v>6.8579079961933057E-3</v>
      </c>
      <c r="J11" s="18">
        <f t="shared" si="1"/>
        <v>6.8579079961933057E-3</v>
      </c>
      <c r="K11" s="18">
        <f t="shared" si="1"/>
        <v>6.8579079961933057E-3</v>
      </c>
      <c r="L11" s="18">
        <f t="shared" si="1"/>
        <v>6.8579079961933057E-3</v>
      </c>
      <c r="M11" s="18">
        <f t="shared" si="1"/>
        <v>6.8579079961933057E-3</v>
      </c>
    </row>
    <row r="12" spans="1:13" x14ac:dyDescent="0.2">
      <c r="A12" t="str">
        <f>raw!A12</f>
        <v>Florida Power &amp; Light Co.</v>
      </c>
      <c r="B12" s="17">
        <f>DistDepr!B12/DistNplant!B12</f>
        <v>1.0139832040806991E-2</v>
      </c>
      <c r="C12" s="18">
        <f t="shared" si="1"/>
        <v>1.0139832040806991E-2</v>
      </c>
      <c r="D12" s="18">
        <f t="shared" si="1"/>
        <v>1.0139832040806991E-2</v>
      </c>
      <c r="E12" s="18">
        <f t="shared" si="1"/>
        <v>1.0139832040806991E-2</v>
      </c>
      <c r="F12" s="18">
        <f t="shared" si="1"/>
        <v>1.0139832040806991E-2</v>
      </c>
      <c r="G12" s="18">
        <f t="shared" si="1"/>
        <v>1.0139832040806991E-2</v>
      </c>
      <c r="H12" s="18">
        <f t="shared" si="1"/>
        <v>1.0139832040806991E-2</v>
      </c>
      <c r="I12" s="18">
        <f t="shared" si="1"/>
        <v>1.0139832040806991E-2</v>
      </c>
      <c r="J12" s="18">
        <f t="shared" si="1"/>
        <v>1.0139832040806991E-2</v>
      </c>
      <c r="K12" s="18">
        <f t="shared" si="1"/>
        <v>1.0139832040806991E-2</v>
      </c>
      <c r="L12" s="18">
        <f t="shared" si="1"/>
        <v>1.0139832040806991E-2</v>
      </c>
      <c r="M12" s="18">
        <f t="shared" si="1"/>
        <v>1.0139832040806991E-2</v>
      </c>
    </row>
    <row r="13" spans="1:13" x14ac:dyDescent="0.2">
      <c r="A13" t="str">
        <f>raw!A13</f>
        <v>Gulf Power Co.</v>
      </c>
      <c r="B13" s="17">
        <f>DistDepr!B13/DistNplant!B13</f>
        <v>6.5914099354683238E-3</v>
      </c>
      <c r="C13" s="18">
        <f t="shared" si="1"/>
        <v>6.5914099354683238E-3</v>
      </c>
      <c r="D13" s="18">
        <f t="shared" si="1"/>
        <v>6.5914099354683238E-3</v>
      </c>
      <c r="E13" s="18">
        <f t="shared" si="1"/>
        <v>6.5914099354683238E-3</v>
      </c>
      <c r="F13" s="18">
        <f t="shared" si="1"/>
        <v>6.5914099354683238E-3</v>
      </c>
      <c r="G13" s="18">
        <f t="shared" si="1"/>
        <v>6.5914099354683238E-3</v>
      </c>
      <c r="H13" s="18">
        <f t="shared" si="1"/>
        <v>6.5914099354683238E-3</v>
      </c>
      <c r="I13" s="18">
        <f t="shared" si="1"/>
        <v>6.5914099354683238E-3</v>
      </c>
      <c r="J13" s="18">
        <f t="shared" si="1"/>
        <v>6.5914099354683238E-3</v>
      </c>
      <c r="K13" s="18">
        <f t="shared" si="1"/>
        <v>6.5914099354683238E-3</v>
      </c>
      <c r="L13" s="18">
        <f t="shared" si="1"/>
        <v>6.5914099354683238E-3</v>
      </c>
      <c r="M13" s="18">
        <f t="shared" si="1"/>
        <v>6.5914099354683238E-3</v>
      </c>
    </row>
    <row r="14" spans="1:13" x14ac:dyDescent="0.2">
      <c r="A14" t="str">
        <f>raw!A14</f>
        <v>Illinois Power Co.</v>
      </c>
      <c r="B14" s="17">
        <f>DistDepr!B14/DistNplant!B14</f>
        <v>3.9310733715960033E-3</v>
      </c>
      <c r="C14" s="18">
        <f t="shared" si="1"/>
        <v>3.9310733715960033E-3</v>
      </c>
      <c r="D14" s="18">
        <f t="shared" si="1"/>
        <v>3.9310733715960033E-3</v>
      </c>
      <c r="E14" s="18">
        <f t="shared" si="1"/>
        <v>3.9310733715960033E-3</v>
      </c>
      <c r="F14" s="18">
        <f t="shared" si="1"/>
        <v>3.9310733715960033E-3</v>
      </c>
      <c r="G14" s="18">
        <f t="shared" si="1"/>
        <v>3.9310733715960033E-3</v>
      </c>
      <c r="H14" s="18">
        <f t="shared" si="1"/>
        <v>3.9310733715960033E-3</v>
      </c>
      <c r="I14" s="18">
        <f t="shared" si="1"/>
        <v>3.9310733715960033E-3</v>
      </c>
      <c r="J14" s="18">
        <f t="shared" si="1"/>
        <v>3.9310733715960033E-3</v>
      </c>
      <c r="K14" s="18">
        <f t="shared" si="1"/>
        <v>3.9310733715960033E-3</v>
      </c>
      <c r="L14" s="18">
        <f t="shared" si="1"/>
        <v>3.9310733715960033E-3</v>
      </c>
      <c r="M14" s="18">
        <f t="shared" si="1"/>
        <v>3.9310733715960033E-3</v>
      </c>
    </row>
    <row r="15" spans="1:13" x14ac:dyDescent="0.2">
      <c r="A15" t="str">
        <f>raw!A15</f>
        <v>Jersey Central Power &amp; Light Co.</v>
      </c>
      <c r="B15" s="17">
        <f>DistDepr!B15/DistNplant!B15</f>
        <v>2.8497237690107272E-3</v>
      </c>
      <c r="C15" s="18">
        <f t="shared" si="1"/>
        <v>2.8497237690107272E-3</v>
      </c>
      <c r="D15" s="18">
        <f t="shared" si="1"/>
        <v>2.8497237690107272E-3</v>
      </c>
      <c r="E15" s="18">
        <f t="shared" si="1"/>
        <v>2.8497237690107272E-3</v>
      </c>
      <c r="F15" s="18">
        <f t="shared" si="1"/>
        <v>2.8497237690107272E-3</v>
      </c>
      <c r="G15" s="18">
        <f t="shared" si="1"/>
        <v>2.8497237690107272E-3</v>
      </c>
      <c r="H15" s="18">
        <f t="shared" si="1"/>
        <v>2.8497237690107272E-3</v>
      </c>
      <c r="I15" s="18">
        <f t="shared" si="1"/>
        <v>2.8497237690107272E-3</v>
      </c>
      <c r="J15" s="18">
        <f t="shared" si="1"/>
        <v>2.8497237690107272E-3</v>
      </c>
      <c r="K15" s="18">
        <f t="shared" si="1"/>
        <v>2.8497237690107272E-3</v>
      </c>
      <c r="L15" s="18">
        <f t="shared" si="1"/>
        <v>2.8497237690107272E-3</v>
      </c>
      <c r="M15" s="18">
        <f t="shared" si="1"/>
        <v>2.8497237690107272E-3</v>
      </c>
    </row>
    <row r="16" spans="1:13" x14ac:dyDescent="0.2">
      <c r="A16" t="str">
        <f>raw!A16</f>
        <v>Kentucky Utilities Co.</v>
      </c>
      <c r="B16" s="17">
        <f>DistDepr!B16/DistNplant!B16</f>
        <v>2.2841435726154379E-3</v>
      </c>
      <c r="C16" s="18">
        <f t="shared" si="1"/>
        <v>2.2841435726154379E-3</v>
      </c>
      <c r="D16" s="18">
        <f t="shared" si="1"/>
        <v>2.2841435726154379E-3</v>
      </c>
      <c r="E16" s="18">
        <f t="shared" si="1"/>
        <v>2.2841435726154379E-3</v>
      </c>
      <c r="F16" s="18">
        <f t="shared" si="1"/>
        <v>2.2841435726154379E-3</v>
      </c>
      <c r="G16" s="18">
        <f t="shared" si="1"/>
        <v>2.2841435726154379E-3</v>
      </c>
      <c r="H16" s="18">
        <f t="shared" si="1"/>
        <v>2.2841435726154379E-3</v>
      </c>
      <c r="I16" s="18">
        <f t="shared" si="1"/>
        <v>2.2841435726154379E-3</v>
      </c>
      <c r="J16" s="18">
        <f t="shared" si="1"/>
        <v>2.2841435726154379E-3</v>
      </c>
      <c r="K16" s="18">
        <f t="shared" si="1"/>
        <v>2.2841435726154379E-3</v>
      </c>
      <c r="L16" s="18">
        <f t="shared" si="1"/>
        <v>2.2841435726154379E-3</v>
      </c>
      <c r="M16" s="18">
        <f t="shared" si="1"/>
        <v>2.2841435726154379E-3</v>
      </c>
    </row>
    <row r="17" spans="1:13" x14ac:dyDescent="0.2">
      <c r="A17" t="str">
        <f>raw!A17</f>
        <v>Ohio Power Co.</v>
      </c>
      <c r="B17" s="17">
        <f>DistDepr!B17/DistNplant!B17</f>
        <v>1.1922600435576038E-3</v>
      </c>
      <c r="C17" s="18">
        <f t="shared" si="1"/>
        <v>1.1922600435576038E-3</v>
      </c>
      <c r="D17" s="18">
        <f t="shared" si="1"/>
        <v>1.1922600435576038E-3</v>
      </c>
      <c r="E17" s="18">
        <f t="shared" si="1"/>
        <v>1.1922600435576038E-3</v>
      </c>
      <c r="F17" s="18">
        <f t="shared" si="1"/>
        <v>1.1922600435576038E-3</v>
      </c>
      <c r="G17" s="18">
        <f t="shared" si="1"/>
        <v>1.1922600435576038E-3</v>
      </c>
      <c r="H17" s="18">
        <f t="shared" si="1"/>
        <v>1.1922600435576038E-3</v>
      </c>
      <c r="I17" s="18">
        <f t="shared" si="1"/>
        <v>1.1922600435576038E-3</v>
      </c>
      <c r="J17" s="18">
        <f t="shared" si="1"/>
        <v>1.1922600435576038E-3</v>
      </c>
      <c r="K17" s="18">
        <f t="shared" si="1"/>
        <v>1.1922600435576038E-3</v>
      </c>
      <c r="L17" s="18">
        <f t="shared" si="1"/>
        <v>1.1922600435576038E-3</v>
      </c>
      <c r="M17" s="18">
        <f t="shared" si="1"/>
        <v>1.1922600435576038E-3</v>
      </c>
    </row>
    <row r="18" spans="1:13" x14ac:dyDescent="0.2">
      <c r="A18" t="str">
        <f>raw!A18</f>
        <v>PPL Electric Utilities Corp.</v>
      </c>
      <c r="B18" s="17">
        <f>DistDepr!B18/DistNplant!B18</f>
        <v>2.7798727733540705E-3</v>
      </c>
      <c r="C18" s="18">
        <f t="shared" si="1"/>
        <v>2.7798727733540705E-3</v>
      </c>
      <c r="D18" s="18">
        <f t="shared" si="1"/>
        <v>2.7798727733540705E-3</v>
      </c>
      <c r="E18" s="18">
        <f t="shared" si="1"/>
        <v>2.7798727733540705E-3</v>
      </c>
      <c r="F18" s="18">
        <f t="shared" si="1"/>
        <v>2.7798727733540705E-3</v>
      </c>
      <c r="G18" s="18">
        <f t="shared" si="1"/>
        <v>2.7798727733540705E-3</v>
      </c>
      <c r="H18" s="18">
        <f t="shared" si="1"/>
        <v>2.7798727733540705E-3</v>
      </c>
      <c r="I18" s="18">
        <f t="shared" si="1"/>
        <v>2.7798727733540705E-3</v>
      </c>
      <c r="J18" s="18">
        <f t="shared" si="1"/>
        <v>2.7798727733540705E-3</v>
      </c>
      <c r="K18" s="18">
        <f t="shared" si="1"/>
        <v>2.7798727733540705E-3</v>
      </c>
      <c r="L18" s="18">
        <f t="shared" si="1"/>
        <v>2.7798727733540705E-3</v>
      </c>
      <c r="M18" s="18">
        <f t="shared" si="1"/>
        <v>2.7798727733540705E-3</v>
      </c>
    </row>
    <row r="19" spans="1:13" x14ac:dyDescent="0.2">
      <c r="A19" t="str">
        <f>raw!A19</f>
        <v>Pacific Gas &amp; Electric Co.</v>
      </c>
      <c r="B19" s="17">
        <f>DistDepr!B19/DistNplant!B19</f>
        <v>9.9506581967680058E-3</v>
      </c>
      <c r="C19" s="18">
        <f t="shared" si="1"/>
        <v>9.9506581967680058E-3</v>
      </c>
      <c r="D19" s="18">
        <f t="shared" si="1"/>
        <v>9.9506581967680058E-3</v>
      </c>
      <c r="E19" s="18">
        <f t="shared" si="1"/>
        <v>9.9506581967680058E-3</v>
      </c>
      <c r="F19" s="18">
        <f t="shared" si="1"/>
        <v>9.9506581967680058E-3</v>
      </c>
      <c r="G19" s="18">
        <f t="shared" si="1"/>
        <v>9.9506581967680058E-3</v>
      </c>
      <c r="H19" s="18">
        <f t="shared" si="1"/>
        <v>9.9506581967680058E-3</v>
      </c>
      <c r="I19" s="18">
        <f t="shared" si="1"/>
        <v>9.9506581967680058E-3</v>
      </c>
      <c r="J19" s="18">
        <f t="shared" si="1"/>
        <v>9.9506581967680058E-3</v>
      </c>
      <c r="K19" s="18">
        <f t="shared" si="1"/>
        <v>9.9506581967680058E-3</v>
      </c>
      <c r="L19" s="18">
        <f t="shared" si="1"/>
        <v>9.9506581967680058E-3</v>
      </c>
      <c r="M19" s="18">
        <f t="shared" si="1"/>
        <v>9.9506581967680058E-3</v>
      </c>
    </row>
    <row r="20" spans="1:13" x14ac:dyDescent="0.2">
      <c r="A20" t="str">
        <f>raw!A20</f>
        <v>Public Service Electric &amp; Gas Co.</v>
      </c>
      <c r="B20" s="17">
        <f>DistDepr!B20/DistNplant!B20</f>
        <v>4.3748676294297923E-3</v>
      </c>
      <c r="C20" s="18">
        <f t="shared" si="1"/>
        <v>4.3748676294297923E-3</v>
      </c>
      <c r="D20" s="18">
        <f t="shared" si="1"/>
        <v>4.3748676294297923E-3</v>
      </c>
      <c r="E20" s="18">
        <f t="shared" si="1"/>
        <v>4.3748676294297923E-3</v>
      </c>
      <c r="F20" s="18">
        <f t="shared" si="1"/>
        <v>4.3748676294297923E-3</v>
      </c>
      <c r="G20" s="18">
        <f t="shared" si="1"/>
        <v>4.3748676294297923E-3</v>
      </c>
      <c r="H20" s="18">
        <f t="shared" si="1"/>
        <v>4.3748676294297923E-3</v>
      </c>
      <c r="I20" s="18">
        <f t="shared" si="1"/>
        <v>4.3748676294297923E-3</v>
      </c>
      <c r="J20" s="18">
        <f t="shared" si="1"/>
        <v>4.3748676294297923E-3</v>
      </c>
      <c r="K20" s="18">
        <f t="shared" si="1"/>
        <v>4.3748676294297923E-3</v>
      </c>
      <c r="L20" s="18">
        <f t="shared" si="1"/>
        <v>4.3748676294297923E-3</v>
      </c>
      <c r="M20" s="18">
        <f t="shared" si="1"/>
        <v>4.3748676294297923E-3</v>
      </c>
    </row>
    <row r="21" spans="1:13" x14ac:dyDescent="0.2">
      <c r="A21" t="str">
        <f>raw!A21</f>
        <v>San Diego Gas &amp; Electric Co.</v>
      </c>
      <c r="B21" s="17">
        <f>DistDepr!B21/DistNplant!B21</f>
        <v>5.8946274215118865E-3</v>
      </c>
      <c r="C21" s="18">
        <f t="shared" ref="C21:M24" si="2">B21</f>
        <v>5.8946274215118865E-3</v>
      </c>
      <c r="D21" s="18">
        <f t="shared" si="2"/>
        <v>5.8946274215118865E-3</v>
      </c>
      <c r="E21" s="18">
        <f t="shared" si="2"/>
        <v>5.8946274215118865E-3</v>
      </c>
      <c r="F21" s="18">
        <f t="shared" si="2"/>
        <v>5.8946274215118865E-3</v>
      </c>
      <c r="G21" s="18">
        <f t="shared" si="2"/>
        <v>5.8946274215118865E-3</v>
      </c>
      <c r="H21" s="18">
        <f t="shared" si="2"/>
        <v>5.8946274215118865E-3</v>
      </c>
      <c r="I21" s="18">
        <f t="shared" si="2"/>
        <v>5.8946274215118865E-3</v>
      </c>
      <c r="J21" s="18">
        <f t="shared" si="2"/>
        <v>5.8946274215118865E-3</v>
      </c>
      <c r="K21" s="18">
        <f t="shared" si="2"/>
        <v>5.8946274215118865E-3</v>
      </c>
      <c r="L21" s="18">
        <f t="shared" si="2"/>
        <v>5.8946274215118865E-3</v>
      </c>
      <c r="M21" s="18">
        <f t="shared" si="2"/>
        <v>5.8946274215118865E-3</v>
      </c>
    </row>
    <row r="22" spans="1:13" x14ac:dyDescent="0.2">
      <c r="A22" t="str">
        <f>raw!A22</f>
        <v>Southern California Edison Co.</v>
      </c>
      <c r="B22" s="17">
        <f>DistDepr!B22/DistNplant!B22</f>
        <v>1.1540969435240241E-2</v>
      </c>
      <c r="C22" s="18">
        <f t="shared" si="2"/>
        <v>1.1540969435240241E-2</v>
      </c>
      <c r="D22" s="18">
        <f t="shared" si="2"/>
        <v>1.1540969435240241E-2</v>
      </c>
      <c r="E22" s="18">
        <f t="shared" si="2"/>
        <v>1.1540969435240241E-2</v>
      </c>
      <c r="F22" s="18">
        <f t="shared" si="2"/>
        <v>1.1540969435240241E-2</v>
      </c>
      <c r="G22" s="18">
        <f t="shared" si="2"/>
        <v>1.1540969435240241E-2</v>
      </c>
      <c r="H22" s="18">
        <f t="shared" si="2"/>
        <v>1.1540969435240241E-2</v>
      </c>
      <c r="I22" s="18">
        <f t="shared" si="2"/>
        <v>1.1540969435240241E-2</v>
      </c>
      <c r="J22" s="18">
        <f t="shared" si="2"/>
        <v>1.1540969435240241E-2</v>
      </c>
      <c r="K22" s="18">
        <f t="shared" si="2"/>
        <v>1.1540969435240241E-2</v>
      </c>
      <c r="L22" s="18">
        <f t="shared" si="2"/>
        <v>1.1540969435240241E-2</v>
      </c>
      <c r="M22" s="18">
        <f t="shared" si="2"/>
        <v>1.1540969435240241E-2</v>
      </c>
    </row>
    <row r="23" spans="1:13" x14ac:dyDescent="0.2">
      <c r="A23" t="str">
        <f>raw!A23</f>
        <v>Southwestern Public Service Co.</v>
      </c>
      <c r="B23" s="17">
        <f>DistDepr!B23/DistNplant!B23</f>
        <v>4.4164859694083508E-3</v>
      </c>
      <c r="C23" s="18">
        <f t="shared" si="2"/>
        <v>4.4164859694083508E-3</v>
      </c>
      <c r="D23" s="18">
        <f t="shared" si="2"/>
        <v>4.4164859694083508E-3</v>
      </c>
      <c r="E23" s="18">
        <f t="shared" si="2"/>
        <v>4.4164859694083508E-3</v>
      </c>
      <c r="F23" s="18">
        <f t="shared" si="2"/>
        <v>4.4164859694083508E-3</v>
      </c>
      <c r="G23" s="18">
        <f t="shared" si="2"/>
        <v>4.4164859694083508E-3</v>
      </c>
      <c r="H23" s="18">
        <f t="shared" si="2"/>
        <v>4.4164859694083508E-3</v>
      </c>
      <c r="I23" s="18">
        <f t="shared" si="2"/>
        <v>4.4164859694083508E-3</v>
      </c>
      <c r="J23" s="18">
        <f t="shared" si="2"/>
        <v>4.4164859694083508E-3</v>
      </c>
      <c r="K23" s="18">
        <f t="shared" si="2"/>
        <v>4.4164859694083508E-3</v>
      </c>
      <c r="L23" s="18">
        <f t="shared" si="2"/>
        <v>4.4164859694083508E-3</v>
      </c>
      <c r="M23" s="18">
        <f t="shared" si="2"/>
        <v>4.4164859694083508E-3</v>
      </c>
    </row>
    <row r="24" spans="1:13" x14ac:dyDescent="0.2">
      <c r="A24" t="str">
        <f>raw!A24</f>
        <v>TXU Electric Co.</v>
      </c>
      <c r="B24" s="17">
        <f>DistDepr!B24/DistNplant!B24</f>
        <v>1.2514928409510064E-3</v>
      </c>
      <c r="C24" s="18">
        <f t="shared" si="2"/>
        <v>1.2514928409510064E-3</v>
      </c>
      <c r="D24" s="18">
        <f t="shared" si="2"/>
        <v>1.2514928409510064E-3</v>
      </c>
      <c r="E24" s="18">
        <f t="shared" si="2"/>
        <v>1.2514928409510064E-3</v>
      </c>
      <c r="F24" s="18">
        <f t="shared" si="2"/>
        <v>1.2514928409510064E-3</v>
      </c>
      <c r="G24" s="18">
        <f t="shared" si="2"/>
        <v>1.2514928409510064E-3</v>
      </c>
      <c r="H24" s="18">
        <f t="shared" si="2"/>
        <v>1.2514928409510064E-3</v>
      </c>
      <c r="I24" s="18">
        <f t="shared" si="2"/>
        <v>1.2514928409510064E-3</v>
      </c>
      <c r="J24" s="18">
        <f t="shared" si="2"/>
        <v>1.2514928409510064E-3</v>
      </c>
      <c r="K24" s="18">
        <f t="shared" si="2"/>
        <v>1.2514928409510064E-3</v>
      </c>
      <c r="L24" s="18">
        <f t="shared" si="2"/>
        <v>1.2514928409510064E-3</v>
      </c>
      <c r="M24" s="18">
        <f t="shared" si="2"/>
        <v>1.2514928409510064E-3</v>
      </c>
    </row>
  </sheetData>
  <pageMargins left="0.75" right="0.75" top="1" bottom="1" header="0.5" footer="0.5"/>
  <pageSetup scale="79" orientation="landscape" verticalDpi="0" r:id="rId1"/>
  <headerFooter alignWithMargins="0">
    <oddFooter>Page &amp;P&amp;R&amp;A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workbookViewId="0">
      <selection activeCell="E25" sqref="E25"/>
    </sheetView>
  </sheetViews>
  <sheetFormatPr defaultRowHeight="12.75" x14ac:dyDescent="0.2"/>
  <cols>
    <col min="1" max="1" width="36.140625" bestFit="1" customWidth="1"/>
    <col min="2" max="13" width="13.85546875" bestFit="1" customWidth="1"/>
  </cols>
  <sheetData>
    <row r="1" spans="1:13" x14ac:dyDescent="0.2">
      <c r="A1" t="s">
        <v>536</v>
      </c>
    </row>
    <row r="2" spans="1:13" x14ac:dyDescent="0.2">
      <c r="B2">
        <v>7</v>
      </c>
    </row>
    <row r="3" spans="1:13" x14ac:dyDescent="0.2">
      <c r="A3" s="8" t="s">
        <v>177</v>
      </c>
      <c r="B3" s="8">
        <v>1998</v>
      </c>
      <c r="C3" s="8">
        <v>2000</v>
      </c>
      <c r="D3" s="8">
        <v>2001</v>
      </c>
      <c r="E3" s="8">
        <v>2002</v>
      </c>
      <c r="F3" s="8">
        <v>2003</v>
      </c>
      <c r="G3" s="8">
        <v>2004</v>
      </c>
      <c r="H3" s="8">
        <v>2005</v>
      </c>
      <c r="I3" s="8">
        <v>2006</v>
      </c>
      <c r="J3" s="8">
        <v>2007</v>
      </c>
      <c r="K3" s="8">
        <v>2008</v>
      </c>
      <c r="L3" s="8">
        <v>2009</v>
      </c>
      <c r="M3" s="8">
        <v>2010</v>
      </c>
    </row>
    <row r="4" spans="1:13" x14ac:dyDescent="0.2">
      <c r="A4" t="str">
        <f>raw!A4</f>
        <v>Boston Edison Co.</v>
      </c>
      <c r="B4" s="1">
        <f>VLOOKUP($A4,rawcalc!$A$4:$H$24,$B$2,FALSE)*TransNplant!B4</f>
        <v>62629166.220799997</v>
      </c>
      <c r="C4" s="1">
        <f>VLOOKUP($A4,rawcalc!$A$4:$H$24,$B$2,FALSE)*TransNplant!C4</f>
        <v>62629166.220799997</v>
      </c>
      <c r="D4" s="1">
        <f>VLOOKUP($A4,rawcalc!$A$4:$H$24,$B$2,FALSE)*TransNplant!D4</f>
        <v>62496572.307126477</v>
      </c>
      <c r="E4" s="1">
        <f>VLOOKUP($A4,rawcalc!$A$4:$H$24,$B$2,FALSE)*TransNplant!E4</f>
        <v>62364259.111639135</v>
      </c>
      <c r="F4" s="1">
        <f>VLOOKUP($A4,rawcalc!$A$4:$H$24,$B$2,FALSE)*TransNplant!F4</f>
        <v>62232226.040021852</v>
      </c>
      <c r="G4" s="1">
        <f>VLOOKUP($A4,rawcalc!$A$4:$H$24,$B$2,FALSE)*TransNplant!G4</f>
        <v>62100472.499216758</v>
      </c>
      <c r="H4" s="1">
        <f>VLOOKUP($A4,rawcalc!$A$4:$H$24,$B$2,FALSE)*TransNplant!H4</f>
        <v>61968997.897421546</v>
      </c>
      <c r="I4" s="1">
        <f>VLOOKUP($A4,rawcalc!$A$4:$H$24,$B$2,FALSE)*TransNplant!I4</f>
        <v>61837801.644086845</v>
      </c>
      <c r="J4" s="1">
        <f>VLOOKUP($A4,rawcalc!$A$4:$H$24,$B$2,FALSE)*TransNplant!J4</f>
        <v>61706883.149913549</v>
      </c>
      <c r="K4" s="1">
        <f>VLOOKUP($A4,rawcalc!$A$4:$H$24,$B$2,FALSE)*TransNplant!K4</f>
        <v>61576241.826850183</v>
      </c>
      <c r="L4" s="1">
        <f>VLOOKUP($A4,rawcalc!$A$4:$H$24,$B$2,FALSE)*TransNplant!L4</f>
        <v>61445877.088090226</v>
      </c>
      <c r="M4" s="1">
        <f>VLOOKUP($A4,rawcalc!$A$4:$H$24,$B$2,FALSE)*TransNplant!M4</f>
        <v>61315788.348069511</v>
      </c>
    </row>
    <row r="5" spans="1:13" x14ac:dyDescent="0.2">
      <c r="A5" t="str">
        <f>raw!A5</f>
        <v>Carolina Power &amp; Light Co.</v>
      </c>
      <c r="B5" s="1">
        <f>VLOOKUP($A5,rawcalc!$A$4:$H$24,$B$2,FALSE)*TransNplant!B5</f>
        <v>89661135.199482009</v>
      </c>
      <c r="C5" s="1">
        <f>VLOOKUP($A5,rawcalc!$A$4:$H$24,$B$2,FALSE)*TransNplant!C5</f>
        <v>89661135.199482009</v>
      </c>
      <c r="D5" s="1">
        <f>VLOOKUP($A5,rawcalc!$A$4:$H$24,$B$2,FALSE)*TransNplant!D5</f>
        <v>89663103.063181415</v>
      </c>
      <c r="E5" s="1">
        <f>VLOOKUP($A5,rawcalc!$A$4:$H$24,$B$2,FALSE)*TransNplant!E5</f>
        <v>89665070.970071062</v>
      </c>
      <c r="F5" s="1">
        <f>VLOOKUP($A5,rawcalc!$A$4:$H$24,$B$2,FALSE)*TransNplant!F5</f>
        <v>89667038.920151934</v>
      </c>
      <c r="G5" s="1">
        <f>VLOOKUP($A5,rawcalc!$A$4:$H$24,$B$2,FALSE)*TransNplant!G5</f>
        <v>89669006.913424969</v>
      </c>
      <c r="H5" s="1">
        <f>VLOOKUP($A5,rawcalc!$A$4:$H$24,$B$2,FALSE)*TransNplant!H5</f>
        <v>89670974.949891075</v>
      </c>
      <c r="I5" s="1">
        <f>VLOOKUP($A5,rawcalc!$A$4:$H$24,$B$2,FALSE)*TransNplant!I5</f>
        <v>89672943.029551238</v>
      </c>
      <c r="J5" s="1">
        <f>VLOOKUP($A5,rawcalc!$A$4:$H$24,$B$2,FALSE)*TransNplant!J5</f>
        <v>89674911.152406409</v>
      </c>
      <c r="K5" s="1">
        <f>VLOOKUP($A5,rawcalc!$A$4:$H$24,$B$2,FALSE)*TransNplant!K5</f>
        <v>89676879.318457529</v>
      </c>
      <c r="L5" s="1">
        <f>VLOOKUP($A5,rawcalc!$A$4:$H$24,$B$2,FALSE)*TransNplant!L5</f>
        <v>89678847.527705535</v>
      </c>
      <c r="M5" s="1">
        <f>VLOOKUP($A5,rawcalc!$A$4:$H$24,$B$2,FALSE)*TransNplant!M5</f>
        <v>89680815.780151367</v>
      </c>
    </row>
    <row r="6" spans="1:13" x14ac:dyDescent="0.2">
      <c r="A6" t="str">
        <f>raw!A6</f>
        <v>Central Hudson Gas &amp; Electric Corp.</v>
      </c>
      <c r="B6" s="1">
        <f>VLOOKUP($A6,rawcalc!$A$4:$H$24,$B$2,FALSE)*TransNplant!B6</f>
        <v>10645101.775599999</v>
      </c>
      <c r="C6" s="1">
        <f>VLOOKUP($A6,rawcalc!$A$4:$H$24,$B$2,FALSE)*TransNplant!C6</f>
        <v>10645101.775599999</v>
      </c>
      <c r="D6" s="1">
        <f>VLOOKUP($A6,rawcalc!$A$4:$H$24,$B$2,FALSE)*TransNplant!D6</f>
        <v>10646915.30824781</v>
      </c>
      <c r="E6" s="1">
        <f>VLOOKUP($A6,rawcalc!$A$4:$H$24,$B$2,FALSE)*TransNplant!E6</f>
        <v>10648729.149854682</v>
      </c>
      <c r="F6" s="1">
        <f>VLOOKUP($A6,rawcalc!$A$4:$H$24,$B$2,FALSE)*TransNplant!F6</f>
        <v>10650543.300473252</v>
      </c>
      <c r="G6" s="1">
        <f>VLOOKUP($A6,rawcalc!$A$4:$H$24,$B$2,FALSE)*TransNplant!G6</f>
        <v>10652357.760156164</v>
      </c>
      <c r="H6" s="1">
        <f>VLOOKUP($A6,rawcalc!$A$4:$H$24,$B$2,FALSE)*TransNplant!H6</f>
        <v>10654172.528956071</v>
      </c>
      <c r="I6" s="1">
        <f>VLOOKUP($A6,rawcalc!$A$4:$H$24,$B$2,FALSE)*TransNplant!I6</f>
        <v>10655987.606925635</v>
      </c>
      <c r="J6" s="1">
        <f>VLOOKUP($A6,rawcalc!$A$4:$H$24,$B$2,FALSE)*TransNplant!J6</f>
        <v>10657802.994117526</v>
      </c>
      <c r="K6" s="1">
        <f>VLOOKUP($A6,rawcalc!$A$4:$H$24,$B$2,FALSE)*TransNplant!K6</f>
        <v>10659618.690584427</v>
      </c>
      <c r="L6" s="1">
        <f>VLOOKUP($A6,rawcalc!$A$4:$H$24,$B$2,FALSE)*TransNplant!L6</f>
        <v>10661434.696379025</v>
      </c>
      <c r="M6" s="1">
        <f>VLOOKUP($A6,rawcalc!$A$4:$H$24,$B$2,FALSE)*TransNplant!M6</f>
        <v>10663251.011554018</v>
      </c>
    </row>
    <row r="7" spans="1:13" x14ac:dyDescent="0.2">
      <c r="A7" t="str">
        <f>raw!A7</f>
        <v>Commonwealth Edison Co.</v>
      </c>
      <c r="B7" s="1">
        <f>VLOOKUP($A7,rawcalc!$A$4:$H$24,$B$2,FALSE)*TransNplant!B7</f>
        <v>206265558.55787802</v>
      </c>
      <c r="C7" s="1">
        <f>VLOOKUP($A7,rawcalc!$A$4:$H$24,$B$2,FALSE)*TransNplant!C7</f>
        <v>206265558.55787802</v>
      </c>
      <c r="D7" s="1">
        <f>VLOOKUP($A7,rawcalc!$A$4:$H$24,$B$2,FALSE)*TransNplant!D7</f>
        <v>206898637.0018231</v>
      </c>
      <c r="E7" s="1">
        <f>VLOOKUP($A7,rawcalc!$A$4:$H$24,$B$2,FALSE)*TransNplant!E7</f>
        <v>207533658.51527032</v>
      </c>
      <c r="F7" s="1">
        <f>VLOOKUP($A7,rawcalc!$A$4:$H$24,$B$2,FALSE)*TransNplant!F7</f>
        <v>208170629.06196588</v>
      </c>
      <c r="G7" s="1">
        <f>VLOOKUP($A7,rawcalc!$A$4:$H$24,$B$2,FALSE)*TransNplant!G7</f>
        <v>208809554.62395993</v>
      </c>
      <c r="H7" s="1">
        <f>VLOOKUP($A7,rawcalc!$A$4:$H$24,$B$2,FALSE)*TransNplant!H7</f>
        <v>209450441.20166314</v>
      </c>
      <c r="I7" s="1">
        <f>VLOOKUP($A7,rawcalc!$A$4:$H$24,$B$2,FALSE)*TransNplant!I7</f>
        <v>210093294.8139028</v>
      </c>
      <c r="J7" s="1">
        <f>VLOOKUP($A7,rawcalc!$A$4:$H$24,$B$2,FALSE)*TransNplant!J7</f>
        <v>210738121.49797931</v>
      </c>
      <c r="K7" s="1">
        <f>VLOOKUP($A7,rawcalc!$A$4:$H$24,$B$2,FALSE)*TransNplant!K7</f>
        <v>211384927.30972329</v>
      </c>
      <c r="L7" s="1">
        <f>VLOOKUP($A7,rawcalc!$A$4:$H$24,$B$2,FALSE)*TransNplant!L7</f>
        <v>212033718.32355183</v>
      </c>
      <c r="M7" s="1">
        <f>VLOOKUP($A7,rawcalc!$A$4:$H$24,$B$2,FALSE)*TransNplant!M7</f>
        <v>212684500.6325261</v>
      </c>
    </row>
    <row r="8" spans="1:13" x14ac:dyDescent="0.2">
      <c r="A8" t="str">
        <f>raw!A8</f>
        <v>Consolidated Edison Co. of New York, Inc.</v>
      </c>
      <c r="B8" s="1">
        <f>VLOOKUP($A8,rawcalc!$A$4:$H$24,$B$2,FALSE)*TransNplant!B8</f>
        <v>169413234.60499999</v>
      </c>
      <c r="C8" s="1">
        <f>VLOOKUP($A8,rawcalc!$A$4:$H$24,$B$2,FALSE)*TransNplant!C8</f>
        <v>169413234.60499999</v>
      </c>
      <c r="D8" s="1">
        <f>VLOOKUP($A8,rawcalc!$A$4:$H$24,$B$2,FALSE)*TransNplant!D8</f>
        <v>168790011.71062717</v>
      </c>
      <c r="E8" s="1">
        <f>VLOOKUP($A8,rawcalc!$A$4:$H$24,$B$2,FALSE)*TransNplant!E8</f>
        <v>168169081.47524866</v>
      </c>
      <c r="F8" s="1">
        <f>VLOOKUP($A8,rawcalc!$A$4:$H$24,$B$2,FALSE)*TransNplant!F8</f>
        <v>167550435.46482694</v>
      </c>
      <c r="G8" s="1">
        <f>VLOOKUP($A8,rawcalc!$A$4:$H$24,$B$2,FALSE)*TransNplant!G8</f>
        <v>166934065.27635095</v>
      </c>
      <c r="H8" s="1">
        <f>VLOOKUP($A8,rawcalc!$A$4:$H$24,$B$2,FALSE)*TransNplant!H8</f>
        <v>166319962.53772184</v>
      </c>
      <c r="I8" s="1">
        <f>VLOOKUP($A8,rawcalc!$A$4:$H$24,$B$2,FALSE)*TransNplant!I8</f>
        <v>165708118.90763935</v>
      </c>
      <c r="J8" s="1">
        <f>VLOOKUP($A8,rawcalc!$A$4:$H$24,$B$2,FALSE)*TransNplant!J8</f>
        <v>165098526.07548854</v>
      </c>
      <c r="K8" s="1">
        <f>VLOOKUP($A8,rawcalc!$A$4:$H$24,$B$2,FALSE)*TransNplant!K8</f>
        <v>164491175.76122674</v>
      </c>
      <c r="L8" s="1">
        <f>VLOOKUP($A8,rawcalc!$A$4:$H$24,$B$2,FALSE)*TransNplant!L8</f>
        <v>163886059.71527129</v>
      </c>
      <c r="M8" s="1">
        <f>VLOOKUP($A8,rawcalc!$A$4:$H$24,$B$2,FALSE)*TransNplant!M8</f>
        <v>163283169.71838737</v>
      </c>
    </row>
    <row r="9" spans="1:13" x14ac:dyDescent="0.2">
      <c r="A9" t="str">
        <f>raw!A9</f>
        <v>Consumers Energy Co.</v>
      </c>
      <c r="B9" s="1">
        <f>VLOOKUP($A9,rawcalc!$A$4:$H$24,$B$2,FALSE)*TransNplant!B9</f>
        <v>71628333.257845998</v>
      </c>
      <c r="C9" s="1">
        <f>VLOOKUP($A9,rawcalc!$A$4:$H$24,$B$2,FALSE)*TransNplant!C9</f>
        <v>71628333.257845998</v>
      </c>
      <c r="D9" s="1">
        <f>VLOOKUP($A9,rawcalc!$A$4:$H$24,$B$2,FALSE)*TransNplant!D9</f>
        <v>71638942.646187901</v>
      </c>
      <c r="E9" s="1">
        <f>VLOOKUP($A9,rawcalc!$A$4:$H$24,$B$2,FALSE)*TransNplant!E9</f>
        <v>71649553.605962738</v>
      </c>
      <c r="F9" s="1">
        <f>VLOOKUP($A9,rawcalc!$A$4:$H$24,$B$2,FALSE)*TransNplant!F9</f>
        <v>71660166.137403235</v>
      </c>
      <c r="G9" s="1">
        <f>VLOOKUP($A9,rawcalc!$A$4:$H$24,$B$2,FALSE)*TransNplant!G9</f>
        <v>71670780.240742192</v>
      </c>
      <c r="H9" s="1">
        <f>VLOOKUP($A9,rawcalc!$A$4:$H$24,$B$2,FALSE)*TransNplant!H9</f>
        <v>71681395.916212454</v>
      </c>
      <c r="I9" s="1">
        <f>VLOOKUP($A9,rawcalc!$A$4:$H$24,$B$2,FALSE)*TransNplant!I9</f>
        <v>71692013.164046869</v>
      </c>
      <c r="J9" s="1">
        <f>VLOOKUP($A9,rawcalc!$A$4:$H$24,$B$2,FALSE)*TransNplant!J9</f>
        <v>71702631.984478325</v>
      </c>
      <c r="K9" s="1">
        <f>VLOOKUP($A9,rawcalc!$A$4:$H$24,$B$2,FALSE)*TransNplant!K9</f>
        <v>71713252.377739757</v>
      </c>
      <c r="L9" s="1">
        <f>VLOOKUP($A9,rawcalc!$A$4:$H$24,$B$2,FALSE)*TransNplant!L9</f>
        <v>71723874.344064146</v>
      </c>
      <c r="M9" s="1">
        <f>VLOOKUP($A9,rawcalc!$A$4:$H$24,$B$2,FALSE)*TransNplant!M9</f>
        <v>71734497.883684456</v>
      </c>
    </row>
    <row r="10" spans="1:13" x14ac:dyDescent="0.2">
      <c r="A10" t="str">
        <f>raw!A10</f>
        <v>Duke Energy Corp.</v>
      </c>
      <c r="B10" s="1">
        <f>VLOOKUP($A10,rawcalc!$A$4:$H$24,$B$2,FALSE)*TransNplant!B10</f>
        <v>120081241.679842</v>
      </c>
      <c r="C10" s="1">
        <f>VLOOKUP($A10,rawcalc!$A$4:$H$24,$B$2,FALSE)*TransNplant!C10</f>
        <v>120081241.679842</v>
      </c>
      <c r="D10" s="1">
        <f>VLOOKUP($A10,rawcalc!$A$4:$H$24,$B$2,FALSE)*TransNplant!D10</f>
        <v>119585922.36525302</v>
      </c>
      <c r="E10" s="1">
        <f>VLOOKUP($A10,rawcalc!$A$4:$H$24,$B$2,FALSE)*TransNplant!E10</f>
        <v>119092646.17763349</v>
      </c>
      <c r="F10" s="1">
        <f>VLOOKUP($A10,rawcalc!$A$4:$H$24,$B$2,FALSE)*TransNplant!F10</f>
        <v>118601404.68935367</v>
      </c>
      <c r="G10" s="1">
        <f>VLOOKUP($A10,rawcalc!$A$4:$H$24,$B$2,FALSE)*TransNplant!G10</f>
        <v>118112189.5075466</v>
      </c>
      <c r="H10" s="1">
        <f>VLOOKUP($A10,rawcalc!$A$4:$H$24,$B$2,FALSE)*TransNplant!H10</f>
        <v>117624992.27396482</v>
      </c>
      <c r="I10" s="1">
        <f>VLOOKUP($A10,rawcalc!$A$4:$H$24,$B$2,FALSE)*TransNplant!I10</f>
        <v>117139804.66483757</v>
      </c>
      <c r="J10" s="1">
        <f>VLOOKUP($A10,rawcalc!$A$4:$H$24,$B$2,FALSE)*TransNplant!J10</f>
        <v>116656618.39072849</v>
      </c>
      <c r="K10" s="1">
        <f>VLOOKUP($A10,rawcalc!$A$4:$H$24,$B$2,FALSE)*TransNplant!K10</f>
        <v>116175425.19639407</v>
      </c>
      <c r="L10" s="1">
        <f>VLOOKUP($A10,rawcalc!$A$4:$H$24,$B$2,FALSE)*TransNplant!L10</f>
        <v>115696216.86064263</v>
      </c>
      <c r="M10" s="1">
        <f>VLOOKUP($A10,rawcalc!$A$4:$H$24,$B$2,FALSE)*TransNplant!M10</f>
        <v>115218985.1961938</v>
      </c>
    </row>
    <row r="11" spans="1:13" x14ac:dyDescent="0.2">
      <c r="A11" t="str">
        <f>raw!A11</f>
        <v>Entergy Mississippi, Inc.</v>
      </c>
      <c r="B11" s="1">
        <f>VLOOKUP($A11,rawcalc!$A$4:$H$24,$B$2,FALSE)*TransNplant!B11</f>
        <v>28856645.639141999</v>
      </c>
      <c r="C11" s="1">
        <f>VLOOKUP($A11,rawcalc!$A$4:$H$24,$B$2,FALSE)*TransNplant!C11</f>
        <v>28856645.639141999</v>
      </c>
      <c r="D11" s="1">
        <f>VLOOKUP($A11,rawcalc!$A$4:$H$24,$B$2,FALSE)*TransNplant!D11</f>
        <v>28810573.418855634</v>
      </c>
      <c r="E11" s="1">
        <f>VLOOKUP($A11,rawcalc!$A$4:$H$24,$B$2,FALSE)*TransNplant!E11</f>
        <v>28764574.756996974</v>
      </c>
      <c r="F11" s="1">
        <f>VLOOKUP($A11,rawcalc!$A$4:$H$24,$B$2,FALSE)*TransNplant!F11</f>
        <v>28718649.536123406</v>
      </c>
      <c r="G11" s="1">
        <f>VLOOKUP($A11,rawcalc!$A$4:$H$24,$B$2,FALSE)*TransNplant!G11</f>
        <v>28672797.638979807</v>
      </c>
      <c r="H11" s="1">
        <f>VLOOKUP($A11,rawcalc!$A$4:$H$24,$B$2,FALSE)*TransNplant!H11</f>
        <v>28627018.948498279</v>
      </c>
      <c r="I11" s="1">
        <f>VLOOKUP($A11,rawcalc!$A$4:$H$24,$B$2,FALSE)*TransNplant!I11</f>
        <v>28581313.347797822</v>
      </c>
      <c r="J11" s="1">
        <f>VLOOKUP($A11,rawcalc!$A$4:$H$24,$B$2,FALSE)*TransNplant!J11</f>
        <v>28535680.720184058</v>
      </c>
      <c r="K11" s="1">
        <f>VLOOKUP($A11,rawcalc!$A$4:$H$24,$B$2,FALSE)*TransNplant!K11</f>
        <v>28490120.949148912</v>
      </c>
      <c r="L11" s="1">
        <f>VLOOKUP($A11,rawcalc!$A$4:$H$24,$B$2,FALSE)*TransNplant!L11</f>
        <v>28444633.918370329</v>
      </c>
      <c r="M11" s="1">
        <f>VLOOKUP($A11,rawcalc!$A$4:$H$24,$B$2,FALSE)*TransNplant!M11</f>
        <v>28399219.511711966</v>
      </c>
    </row>
    <row r="12" spans="1:13" x14ac:dyDescent="0.2">
      <c r="A12" t="str">
        <f>raw!A12</f>
        <v>Florida Power &amp; Light Co.</v>
      </c>
      <c r="B12" s="1">
        <f>VLOOKUP($A12,rawcalc!$A$4:$H$24,$B$2,FALSE)*TransNplant!B12</f>
        <v>160963450.09339401</v>
      </c>
      <c r="C12" s="1">
        <f>VLOOKUP($A12,rawcalc!$A$4:$H$24,$B$2,FALSE)*TransNplant!C12</f>
        <v>160963450.09339401</v>
      </c>
      <c r="D12" s="1">
        <f>VLOOKUP($A12,rawcalc!$A$4:$H$24,$B$2,FALSE)*TransNplant!D12</f>
        <v>160121236.1892474</v>
      </c>
      <c r="E12" s="1">
        <f>VLOOKUP($A12,rawcalc!$A$4:$H$24,$B$2,FALSE)*TransNplant!E12</f>
        <v>159283429.02625802</v>
      </c>
      <c r="F12" s="1">
        <f>VLOOKUP($A12,rawcalc!$A$4:$H$24,$B$2,FALSE)*TransNplant!F12</f>
        <v>158450005.54690152</v>
      </c>
      <c r="G12" s="1">
        <f>VLOOKUP($A12,rawcalc!$A$4:$H$24,$B$2,FALSE)*TransNplant!G12</f>
        <v>157620942.81429809</v>
      </c>
      <c r="H12" s="1">
        <f>VLOOKUP($A12,rawcalc!$A$4:$H$24,$B$2,FALSE)*TransNplant!H12</f>
        <v>156796218.01158121</v>
      </c>
      <c r="I12" s="1">
        <f>VLOOKUP($A12,rawcalc!$A$4:$H$24,$B$2,FALSE)*TransNplant!I12</f>
        <v>155975808.44126984</v>
      </c>
      <c r="J12" s="1">
        <f>VLOOKUP($A12,rawcalc!$A$4:$H$24,$B$2,FALSE)*TransNplant!J12</f>
        <v>155159691.5246436</v>
      </c>
      <c r="K12" s="1">
        <f>VLOOKUP($A12,rawcalc!$A$4:$H$24,$B$2,FALSE)*TransNplant!K12</f>
        <v>154347844.80112138</v>
      </c>
      <c r="L12" s="1">
        <f>VLOOKUP($A12,rawcalc!$A$4:$H$24,$B$2,FALSE)*TransNplant!L12</f>
        <v>153540245.9276433</v>
      </c>
      <c r="M12" s="1">
        <f>VLOOKUP($A12,rawcalc!$A$4:$H$24,$B$2,FALSE)*TransNplant!M12</f>
        <v>152736872.67805576</v>
      </c>
    </row>
    <row r="13" spans="1:13" x14ac:dyDescent="0.2">
      <c r="A13" t="str">
        <f>raw!A13</f>
        <v>Gulf Power Co.</v>
      </c>
      <c r="B13" s="1">
        <f>VLOOKUP($A13,rawcalc!$A$4:$H$24,$B$2,FALSE)*TransNplant!B13</f>
        <v>13941860.312888</v>
      </c>
      <c r="C13" s="1">
        <f>VLOOKUP($A13,rawcalc!$A$4:$H$24,$B$2,FALSE)*TransNplant!C13</f>
        <v>13941860.312888</v>
      </c>
      <c r="D13" s="1">
        <f>VLOOKUP($A13,rawcalc!$A$4:$H$24,$B$2,FALSE)*TransNplant!D13</f>
        <v>13918618.147688301</v>
      </c>
      <c r="E13" s="1">
        <f>VLOOKUP($A13,rawcalc!$A$4:$H$24,$B$2,FALSE)*TransNplant!E13</f>
        <v>13895414.728985198</v>
      </c>
      <c r="F13" s="1">
        <f>VLOOKUP($A13,rawcalc!$A$4:$H$24,$B$2,FALSE)*TransNplant!F13</f>
        <v>13872249.992185269</v>
      </c>
      <c r="G13" s="1">
        <f>VLOOKUP($A13,rawcalc!$A$4:$H$24,$B$2,FALSE)*TransNplant!G13</f>
        <v>13849123.872802775</v>
      </c>
      <c r="H13" s="1">
        <f>VLOOKUP($A13,rawcalc!$A$4:$H$24,$B$2,FALSE)*TransNplant!H13</f>
        <v>13826036.306459477</v>
      </c>
      <c r="I13" s="1">
        <f>VLOOKUP($A13,rawcalc!$A$4:$H$24,$B$2,FALSE)*TransNplant!I13</f>
        <v>13802987.22888446</v>
      </c>
      <c r="J13" s="1">
        <f>VLOOKUP($A13,rawcalc!$A$4:$H$24,$B$2,FALSE)*TransNplant!J13</f>
        <v>13779976.575913962</v>
      </c>
      <c r="K13" s="1">
        <f>VLOOKUP($A13,rawcalc!$A$4:$H$24,$B$2,FALSE)*TransNplant!K13</f>
        <v>13757004.283491168</v>
      </c>
      <c r="L13" s="1">
        <f>VLOOKUP($A13,rawcalc!$A$4:$H$24,$B$2,FALSE)*TransNplant!L13</f>
        <v>13734070.287666067</v>
      </c>
      <c r="M13" s="1">
        <f>VLOOKUP($A13,rawcalc!$A$4:$H$24,$B$2,FALSE)*TransNplant!M13</f>
        <v>13711174.524595259</v>
      </c>
    </row>
    <row r="14" spans="1:13" x14ac:dyDescent="0.2">
      <c r="A14" t="str">
        <f>raw!A14</f>
        <v>Illinois Power Co.</v>
      </c>
      <c r="B14" s="1">
        <f>VLOOKUP($A14,rawcalc!$A$4:$H$24,$B$2,FALSE)*TransNplant!B14</f>
        <v>22412225.413662001</v>
      </c>
      <c r="C14" s="1">
        <f>VLOOKUP($A14,rawcalc!$A$4:$H$24,$B$2,FALSE)*TransNplant!C14</f>
        <v>22412225.413662001</v>
      </c>
      <c r="D14" s="1">
        <f>VLOOKUP($A14,rawcalc!$A$4:$H$24,$B$2,FALSE)*TransNplant!D14</f>
        <v>22442397.499848504</v>
      </c>
      <c r="E14" s="1">
        <f>VLOOKUP($A14,rawcalc!$A$4:$H$24,$B$2,FALSE)*TransNplant!E14</f>
        <v>22472610.204704862</v>
      </c>
      <c r="F14" s="1">
        <f>VLOOKUP($A14,rawcalc!$A$4:$H$24,$B$2,FALSE)*TransNplant!F14</f>
        <v>22502863.582913283</v>
      </c>
      <c r="G14" s="1">
        <f>VLOOKUP($A14,rawcalc!$A$4:$H$24,$B$2,FALSE)*TransNplant!G14</f>
        <v>22533157.6892296</v>
      </c>
      <c r="H14" s="1">
        <f>VLOOKUP($A14,rawcalc!$A$4:$H$24,$B$2,FALSE)*TransNplant!H14</f>
        <v>22563492.578483343</v>
      </c>
      <c r="I14" s="1">
        <f>VLOOKUP($A14,rawcalc!$A$4:$H$24,$B$2,FALSE)*TransNplant!I14</f>
        <v>22593868.30557787</v>
      </c>
      <c r="J14" s="1">
        <f>VLOOKUP($A14,rawcalc!$A$4:$H$24,$B$2,FALSE)*TransNplant!J14</f>
        <v>22624284.925490446</v>
      </c>
      <c r="K14" s="1">
        <f>VLOOKUP($A14,rawcalc!$A$4:$H$24,$B$2,FALSE)*TransNplant!K14</f>
        <v>22654742.493272349</v>
      </c>
      <c r="L14" s="1">
        <f>VLOOKUP($A14,rawcalc!$A$4:$H$24,$B$2,FALSE)*TransNplant!L14</f>
        <v>22685241.064048965</v>
      </c>
      <c r="M14" s="1">
        <f>VLOOKUP($A14,rawcalc!$A$4:$H$24,$B$2,FALSE)*TransNplant!M14</f>
        <v>22715780.693019893</v>
      </c>
    </row>
    <row r="15" spans="1:13" x14ac:dyDescent="0.2">
      <c r="A15" t="str">
        <f>raw!A15</f>
        <v>Jersey Central Power &amp; Light Co.</v>
      </c>
      <c r="B15" s="1">
        <f>VLOOKUP($A15,rawcalc!$A$4:$H$24,$B$2,FALSE)*TransNplant!B15</f>
        <v>62738270.169756003</v>
      </c>
      <c r="C15" s="1">
        <f>VLOOKUP($A15,rawcalc!$A$4:$H$24,$B$2,FALSE)*TransNplant!C15</f>
        <v>62738270.169756003</v>
      </c>
      <c r="D15" s="1">
        <f>VLOOKUP($A15,rawcalc!$A$4:$H$24,$B$2,FALSE)*TransNplant!D15</f>
        <v>62877613.665396623</v>
      </c>
      <c r="E15" s="1">
        <f>VLOOKUP($A15,rawcalc!$A$4:$H$24,$B$2,FALSE)*TransNplant!E15</f>
        <v>63017266.646933578</v>
      </c>
      <c r="F15" s="1">
        <f>VLOOKUP($A15,rawcalc!$A$4:$H$24,$B$2,FALSE)*TransNplant!F15</f>
        <v>63157229.801743887</v>
      </c>
      <c r="G15" s="1">
        <f>VLOOKUP($A15,rawcalc!$A$4:$H$24,$B$2,FALSE)*TransNplant!G15</f>
        <v>63297503.818731301</v>
      </c>
      <c r="H15" s="1">
        <f>VLOOKUP($A15,rawcalc!$A$4:$H$24,$B$2,FALSE)*TransNplant!H15</f>
        <v>63438089.388329603</v>
      </c>
      <c r="I15" s="1">
        <f>VLOOKUP($A15,rawcalc!$A$4:$H$24,$B$2,FALSE)*TransNplant!I15</f>
        <v>63578987.202506088</v>
      </c>
      <c r="J15" s="1">
        <f>VLOOKUP($A15,rawcalc!$A$4:$H$24,$B$2,FALSE)*TransNplant!J15</f>
        <v>63720197.954764895</v>
      </c>
      <c r="K15" s="1">
        <f>VLOOKUP($A15,rawcalc!$A$4:$H$24,$B$2,FALSE)*TransNplant!K15</f>
        <v>63861722.340150476</v>
      </c>
      <c r="L15" s="1">
        <f>VLOOKUP($A15,rawcalc!$A$4:$H$24,$B$2,FALSE)*TransNplant!L15</f>
        <v>64003561.055250987</v>
      </c>
      <c r="M15" s="1">
        <f>VLOOKUP($A15,rawcalc!$A$4:$H$24,$B$2,FALSE)*TransNplant!M15</f>
        <v>64145714.79820174</v>
      </c>
    </row>
    <row r="16" spans="1:13" x14ac:dyDescent="0.2">
      <c r="A16" t="str">
        <f>raw!A16</f>
        <v>Kentucky Utilities Co.</v>
      </c>
      <c r="B16" s="1">
        <f>VLOOKUP($A16,rawcalc!$A$4:$H$24,$B$2,FALSE)*TransNplant!B16</f>
        <v>31475647.410089999</v>
      </c>
      <c r="C16" s="1">
        <f>VLOOKUP($A16,rawcalc!$A$4:$H$24,$B$2,FALSE)*TransNplant!C16</f>
        <v>31475647.410089999</v>
      </c>
      <c r="D16" s="1">
        <f>VLOOKUP($A16,rawcalc!$A$4:$H$24,$B$2,FALSE)*TransNplant!D16</f>
        <v>31561682.08194188</v>
      </c>
      <c r="E16" s="1">
        <f>VLOOKUP($A16,rawcalc!$A$4:$H$24,$B$2,FALSE)*TransNplant!E16</f>
        <v>31647951.918607507</v>
      </c>
      <c r="F16" s="1">
        <f>VLOOKUP($A16,rawcalc!$A$4:$H$24,$B$2,FALSE)*TransNplant!F16</f>
        <v>31734457.562879931</v>
      </c>
      <c r="G16" s="1">
        <f>VLOOKUP($A16,rawcalc!$A$4:$H$24,$B$2,FALSE)*TransNplant!G16</f>
        <v>31821199.659309208</v>
      </c>
      <c r="H16" s="1">
        <f>VLOOKUP($A16,rawcalc!$A$4:$H$24,$B$2,FALSE)*TransNplant!H16</f>
        <v>31908178.854207173</v>
      </c>
      <c r="I16" s="1">
        <f>VLOOKUP($A16,rawcalc!$A$4:$H$24,$B$2,FALSE)*TransNplant!I16</f>
        <v>31995395.795652285</v>
      </c>
      <c r="J16" s="1">
        <f>VLOOKUP($A16,rawcalc!$A$4:$H$24,$B$2,FALSE)*TransNplant!J16</f>
        <v>32082851.13349444</v>
      </c>
      <c r="K16" s="1">
        <f>VLOOKUP($A16,rawcalc!$A$4:$H$24,$B$2,FALSE)*TransNplant!K16</f>
        <v>32170545.519359812</v>
      </c>
      <c r="L16" s="1">
        <f>VLOOKUP($A16,rawcalc!$A$4:$H$24,$B$2,FALSE)*TransNplant!L16</f>
        <v>32258479.606655728</v>
      </c>
      <c r="M16" s="1">
        <f>VLOOKUP($A16,rawcalc!$A$4:$H$24,$B$2,FALSE)*TransNplant!M16</f>
        <v>32346654.050575491</v>
      </c>
    </row>
    <row r="17" spans="1:13" x14ac:dyDescent="0.2">
      <c r="A17" t="str">
        <f>raw!A17</f>
        <v>Ohio Power Co.</v>
      </c>
      <c r="B17" s="1">
        <f>VLOOKUP($A17,rawcalc!$A$4:$H$24,$B$2,FALSE)*TransNplant!B17</f>
        <v>78269742.508248001</v>
      </c>
      <c r="C17" s="1">
        <f>VLOOKUP($A17,rawcalc!$A$4:$H$24,$B$2,FALSE)*TransNplant!C17</f>
        <v>78269742.508248001</v>
      </c>
      <c r="D17" s="1">
        <f>VLOOKUP($A17,rawcalc!$A$4:$H$24,$B$2,FALSE)*TransNplant!D17</f>
        <v>78567282.008757949</v>
      </c>
      <c r="E17" s="1">
        <f>VLOOKUP($A17,rawcalc!$A$4:$H$24,$B$2,FALSE)*TransNplant!E17</f>
        <v>78865952.594557405</v>
      </c>
      <c r="F17" s="1">
        <f>VLOOKUP($A17,rawcalc!$A$4:$H$24,$B$2,FALSE)*TransNplant!F17</f>
        <v>79165758.5654248</v>
      </c>
      <c r="G17" s="1">
        <f>VLOOKUP($A17,rawcalc!$A$4:$H$24,$B$2,FALSE)*TransNplant!G17</f>
        <v>79466704.237484053</v>
      </c>
      <c r="H17" s="1">
        <f>VLOOKUP($A17,rawcalc!$A$4:$H$24,$B$2,FALSE)*TransNplant!H17</f>
        <v>79768793.943266615</v>
      </c>
      <c r="I17" s="1">
        <f>VLOOKUP($A17,rawcalc!$A$4:$H$24,$B$2,FALSE)*TransNplant!I17</f>
        <v>80072032.03177394</v>
      </c>
      <c r="J17" s="1">
        <f>VLOOKUP($A17,rawcalc!$A$4:$H$24,$B$2,FALSE)*TransNplant!J17</f>
        <v>80376422.868540019</v>
      </c>
      <c r="K17" s="1">
        <f>VLOOKUP($A17,rawcalc!$A$4:$H$24,$B$2,FALSE)*TransNplant!K17</f>
        <v>80681970.835694283</v>
      </c>
      <c r="L17" s="1">
        <f>VLOOKUP($A17,rawcalc!$A$4:$H$24,$B$2,FALSE)*TransNplant!L17</f>
        <v>80988680.332024649</v>
      </c>
      <c r="M17" s="1">
        <f>VLOOKUP($A17,rawcalc!$A$4:$H$24,$B$2,FALSE)*TransNplant!M17</f>
        <v>81296555.773040861</v>
      </c>
    </row>
    <row r="18" spans="1:13" x14ac:dyDescent="0.2">
      <c r="A18" t="str">
        <f>raw!A18</f>
        <v>PPL Electric Utilities Corp.</v>
      </c>
      <c r="B18" s="1">
        <f>VLOOKUP($A18,rawcalc!$A$4:$H$24,$B$2,FALSE)*TransNplant!B18</f>
        <v>36702817.134468004</v>
      </c>
      <c r="C18" s="1">
        <f>VLOOKUP($A18,rawcalc!$A$4:$H$24,$B$2,FALSE)*TransNplant!C18</f>
        <v>36702817.134468004</v>
      </c>
      <c r="D18" s="1">
        <f>VLOOKUP($A18,rawcalc!$A$4:$H$24,$B$2,FALSE)*TransNplant!D18</f>
        <v>36789143.533505432</v>
      </c>
      <c r="E18" s="1">
        <f>VLOOKUP($A18,rawcalc!$A$4:$H$24,$B$2,FALSE)*TransNplant!E18</f>
        <v>36875672.97546307</v>
      </c>
      <c r="F18" s="1">
        <f>VLOOKUP($A18,rawcalc!$A$4:$H$24,$B$2,FALSE)*TransNplant!F18</f>
        <v>36962405.937905453</v>
      </c>
      <c r="G18" s="1">
        <f>VLOOKUP($A18,rawcalc!$A$4:$H$24,$B$2,FALSE)*TransNplant!G18</f>
        <v>37049342.899520382</v>
      </c>
      <c r="H18" s="1">
        <f>VLOOKUP($A18,rawcalc!$A$4:$H$24,$B$2,FALSE)*TransNplant!H18</f>
        <v>37136484.340121545</v>
      </c>
      <c r="I18" s="1">
        <f>VLOOKUP($A18,rawcalc!$A$4:$H$24,$B$2,FALSE)*TransNplant!I18</f>
        <v>37223830.74065116</v>
      </c>
      <c r="J18" s="1">
        <f>VLOOKUP($A18,rawcalc!$A$4:$H$24,$B$2,FALSE)*TransNplant!J18</f>
        <v>37311382.583182655</v>
      </c>
      <c r="K18" s="1">
        <f>VLOOKUP($A18,rawcalc!$A$4:$H$24,$B$2,FALSE)*TransNplant!K18</f>
        <v>37399140.350923307</v>
      </c>
      <c r="L18" s="1">
        <f>VLOOKUP($A18,rawcalc!$A$4:$H$24,$B$2,FALSE)*TransNplant!L18</f>
        <v>37487104.528216898</v>
      </c>
      <c r="M18" s="1">
        <f>VLOOKUP($A18,rawcalc!$A$4:$H$24,$B$2,FALSE)*TransNplant!M18</f>
        <v>37575275.600546427</v>
      </c>
    </row>
    <row r="19" spans="1:13" x14ac:dyDescent="0.2">
      <c r="A19" t="str">
        <f>raw!A19</f>
        <v>Pacific Gas &amp; Electric Co.</v>
      </c>
      <c r="B19" s="1">
        <f>VLOOKUP($A19,rawcalc!$A$4:$H$24,$B$2,FALSE)*TransNplant!B19</f>
        <v>188661723.86144799</v>
      </c>
      <c r="C19" s="1">
        <f>VLOOKUP($A19,rawcalc!$A$4:$H$24,$B$2,FALSE)*TransNplant!C19</f>
        <v>188661723.86144799</v>
      </c>
      <c r="D19" s="1">
        <f>VLOOKUP($A19,rawcalc!$A$4:$H$24,$B$2,FALSE)*TransNplant!D19</f>
        <v>187739770.36716655</v>
      </c>
      <c r="E19" s="1">
        <f>VLOOKUP($A19,rawcalc!$A$4:$H$24,$B$2,FALSE)*TransNplant!E19</f>
        <v>186822322.28197515</v>
      </c>
      <c r="F19" s="1">
        <f>VLOOKUP($A19,rawcalc!$A$4:$H$24,$B$2,FALSE)*TransNplant!F19</f>
        <v>185909357.58880755</v>
      </c>
      <c r="G19" s="1">
        <f>VLOOKUP($A19,rawcalc!$A$4:$H$24,$B$2,FALSE)*TransNplant!G19</f>
        <v>185000854.37819085</v>
      </c>
      <c r="H19" s="1">
        <f>VLOOKUP($A19,rawcalc!$A$4:$H$24,$B$2,FALSE)*TransNplant!H19</f>
        <v>184096790.84771934</v>
      </c>
      <c r="I19" s="1">
        <f>VLOOKUP($A19,rawcalc!$A$4:$H$24,$B$2,FALSE)*TransNplant!I19</f>
        <v>183197145.30153164</v>
      </c>
      <c r="J19" s="1">
        <f>VLOOKUP($A19,rawcalc!$A$4:$H$24,$B$2,FALSE)*TransNplant!J19</f>
        <v>182301896.14978975</v>
      </c>
      <c r="K19" s="1">
        <f>VLOOKUP($A19,rawcalc!$A$4:$H$24,$B$2,FALSE)*TransNplant!K19</f>
        <v>181411021.9081611</v>
      </c>
      <c r="L19" s="1">
        <f>VLOOKUP($A19,rawcalc!$A$4:$H$24,$B$2,FALSE)*TransNplant!L19</f>
        <v>180524501.19730285</v>
      </c>
      <c r="M19" s="1">
        <f>VLOOKUP($A19,rawcalc!$A$4:$H$24,$B$2,FALSE)*TransNplant!M19</f>
        <v>179642312.74234897</v>
      </c>
    </row>
    <row r="20" spans="1:13" x14ac:dyDescent="0.2">
      <c r="A20" t="str">
        <f>raw!A20</f>
        <v>Public Service Electric &amp; Gas Co.</v>
      </c>
      <c r="B20" s="1">
        <f>VLOOKUP($A20,rawcalc!$A$4:$H$24,$B$2,FALSE)*TransNplant!B20</f>
        <v>98027518.892255992</v>
      </c>
      <c r="C20" s="1">
        <f>VLOOKUP($A20,rawcalc!$A$4:$H$24,$B$2,FALSE)*TransNplant!C20</f>
        <v>98027518.892255992</v>
      </c>
      <c r="D20" s="1">
        <f>VLOOKUP($A20,rawcalc!$A$4:$H$24,$B$2,FALSE)*TransNplant!D20</f>
        <v>98100113.686604291</v>
      </c>
      <c r="E20" s="1">
        <f>VLOOKUP($A20,rawcalc!$A$4:$H$24,$B$2,FALSE)*TransNplant!E20</f>
        <v>98172762.241409108</v>
      </c>
      <c r="F20" s="1">
        <f>VLOOKUP($A20,rawcalc!$A$4:$H$24,$B$2,FALSE)*TransNplant!F20</f>
        <v>98245464.596483007</v>
      </c>
      <c r="G20" s="1">
        <f>VLOOKUP($A20,rawcalc!$A$4:$H$24,$B$2,FALSE)*TransNplant!G20</f>
        <v>98318220.791668087</v>
      </c>
      <c r="H20" s="1">
        <f>VLOOKUP($A20,rawcalc!$A$4:$H$24,$B$2,FALSE)*TransNplant!H20</f>
        <v>98391030.866835922</v>
      </c>
      <c r="I20" s="1">
        <f>VLOOKUP($A20,rawcalc!$A$4:$H$24,$B$2,FALSE)*TransNplant!I20</f>
        <v>98463894.861887604</v>
      </c>
      <c r="J20" s="1">
        <f>VLOOKUP($A20,rawcalc!$A$4:$H$24,$B$2,FALSE)*TransNplant!J20</f>
        <v>98536812.816753805</v>
      </c>
      <c r="K20" s="1">
        <f>VLOOKUP($A20,rawcalc!$A$4:$H$24,$B$2,FALSE)*TransNplant!K20</f>
        <v>98609784.771394745</v>
      </c>
      <c r="L20" s="1">
        <f>VLOOKUP($A20,rawcalc!$A$4:$H$24,$B$2,FALSE)*TransNplant!L20</f>
        <v>98682810.765800223</v>
      </c>
      <c r="M20" s="1">
        <f>VLOOKUP($A20,rawcalc!$A$4:$H$24,$B$2,FALSE)*TransNplant!M20</f>
        <v>98755890.839989677</v>
      </c>
    </row>
    <row r="21" spans="1:13" x14ac:dyDescent="0.2">
      <c r="A21" t="str">
        <f>raw!A21</f>
        <v>San Diego Gas &amp; Electric Co.</v>
      </c>
      <c r="B21" s="1">
        <f>VLOOKUP($A21,rawcalc!$A$4:$H$24,$B$2,FALSE)*TransNplant!B21</f>
        <v>62958525.659848005</v>
      </c>
      <c r="C21" s="1">
        <f>VLOOKUP($A21,rawcalc!$A$4:$H$24,$B$2,FALSE)*TransNplant!C21</f>
        <v>62958525.659848005</v>
      </c>
      <c r="D21" s="1">
        <f>VLOOKUP($A21,rawcalc!$A$4:$H$24,$B$2,FALSE)*TransNplant!D21</f>
        <v>62905771.194427863</v>
      </c>
      <c r="E21" s="1">
        <f>VLOOKUP($A21,rawcalc!$A$4:$H$24,$B$2,FALSE)*TransNplant!E21</f>
        <v>62853060.933245234</v>
      </c>
      <c r="F21" s="1">
        <f>VLOOKUP($A21,rawcalc!$A$4:$H$24,$B$2,FALSE)*TransNplant!F21</f>
        <v>62800394.839260325</v>
      </c>
      <c r="G21" s="1">
        <f>VLOOKUP($A21,rawcalc!$A$4:$H$24,$B$2,FALSE)*TransNplant!G21</f>
        <v>62747772.875464365</v>
      </c>
      <c r="H21" s="1">
        <f>VLOOKUP($A21,rawcalc!$A$4:$H$24,$B$2,FALSE)*TransNplant!H21</f>
        <v>62695195.004879616</v>
      </c>
      <c r="I21" s="1">
        <f>VLOOKUP($A21,rawcalc!$A$4:$H$24,$B$2,FALSE)*TransNplant!I21</f>
        <v>62642661.19055932</v>
      </c>
      <c r="J21" s="1">
        <f>VLOOKUP($A21,rawcalc!$A$4:$H$24,$B$2,FALSE)*TransNplant!J21</f>
        <v>62590171.395587668</v>
      </c>
      <c r="K21" s="1">
        <f>VLOOKUP($A21,rawcalc!$A$4:$H$24,$B$2,FALSE)*TransNplant!K21</f>
        <v>62537725.583079778</v>
      </c>
      <c r="L21" s="1">
        <f>VLOOKUP($A21,rawcalc!$A$4:$H$24,$B$2,FALSE)*TransNplant!L21</f>
        <v>62485323.716181688</v>
      </c>
      <c r="M21" s="1">
        <f>VLOOKUP($A21,rawcalc!$A$4:$H$24,$B$2,FALSE)*TransNplant!M21</f>
        <v>62432965.758070327</v>
      </c>
    </row>
    <row r="22" spans="1:13" x14ac:dyDescent="0.2">
      <c r="A22" t="str">
        <f>raw!A22</f>
        <v>Southern California Edison Co.</v>
      </c>
      <c r="B22" s="1">
        <f>VLOOKUP($A22,rawcalc!$A$4:$H$24,$B$2,FALSE)*TransNplant!B22</f>
        <v>261714323.93999803</v>
      </c>
      <c r="C22" s="1">
        <f>VLOOKUP($A22,rawcalc!$A$4:$H$24,$B$2,FALSE)*TransNplant!C22</f>
        <v>261714323.93999803</v>
      </c>
      <c r="D22" s="1">
        <f>VLOOKUP($A22,rawcalc!$A$4:$H$24,$B$2,FALSE)*TransNplant!D22</f>
        <v>260065369.99369785</v>
      </c>
      <c r="E22" s="1">
        <f>VLOOKUP($A22,rawcalc!$A$4:$H$24,$B$2,FALSE)*TransNplant!E22</f>
        <v>258426805.42569414</v>
      </c>
      <c r="F22" s="1">
        <f>VLOOKUP($A22,rawcalc!$A$4:$H$24,$B$2,FALSE)*TransNplant!F22</f>
        <v>256798564.77680191</v>
      </c>
      <c r="G22" s="1">
        <f>VLOOKUP($A22,rawcalc!$A$4:$H$24,$B$2,FALSE)*TransNplant!G22</f>
        <v>255180583.00026754</v>
      </c>
      <c r="H22" s="1">
        <f>VLOOKUP($A22,rawcalc!$A$4:$H$24,$B$2,FALSE)*TransNplant!H22</f>
        <v>253572795.45917004</v>
      </c>
      <c r="I22" s="1">
        <f>VLOOKUP($A22,rawcalc!$A$4:$H$24,$B$2,FALSE)*TransNplant!I22</f>
        <v>251975137.92383915</v>
      </c>
      <c r="J22" s="1">
        <f>VLOOKUP($A22,rawcalc!$A$4:$H$24,$B$2,FALSE)*TransNplant!J22</f>
        <v>250387546.56928915</v>
      </c>
      <c r="K22" s="1">
        <f>VLOOKUP($A22,rawcalc!$A$4:$H$24,$B$2,FALSE)*TransNplant!K22</f>
        <v>248809957.97266915</v>
      </c>
      <c r="L22" s="1">
        <f>VLOOKUP($A22,rawcalc!$A$4:$H$24,$B$2,FALSE)*TransNplant!L22</f>
        <v>247242309.1107296</v>
      </c>
      <c r="M22" s="1">
        <f>VLOOKUP($A22,rawcalc!$A$4:$H$24,$B$2,FALSE)*TransNplant!M22</f>
        <v>245684537.35730439</v>
      </c>
    </row>
    <row r="23" spans="1:13" x14ac:dyDescent="0.2">
      <c r="A23" t="str">
        <f>raw!A23</f>
        <v>Southwestern Public Service Co.</v>
      </c>
      <c r="B23" s="1">
        <f>VLOOKUP($A23,rawcalc!$A$4:$H$24,$B$2,FALSE)*TransNplant!B23</f>
        <v>32564061.708310001</v>
      </c>
      <c r="C23" s="1">
        <f>VLOOKUP($A23,rawcalc!$A$4:$H$24,$B$2,FALSE)*TransNplant!C23</f>
        <v>32564061.708310001</v>
      </c>
      <c r="D23" s="1">
        <f>VLOOKUP($A23,rawcalc!$A$4:$H$24,$B$2,FALSE)*TransNplant!D23</f>
        <v>32597532.204033729</v>
      </c>
      <c r="E23" s="1">
        <f>VLOOKUP($A23,rawcalc!$A$4:$H$24,$B$2,FALSE)*TransNplant!E23</f>
        <v>32631037.101918161</v>
      </c>
      <c r="F23" s="1">
        <f>VLOOKUP($A23,rawcalc!$A$4:$H$24,$B$2,FALSE)*TransNplant!F23</f>
        <v>32664576.437323052</v>
      </c>
      <c r="G23" s="1">
        <f>VLOOKUP($A23,rawcalc!$A$4:$H$24,$B$2,FALSE)*TransNplant!G23</f>
        <v>32698150.24564451</v>
      </c>
      <c r="H23" s="1">
        <f>VLOOKUP($A23,rawcalc!$A$4:$H$24,$B$2,FALSE)*TransNplant!H23</f>
        <v>32731758.562315013</v>
      </c>
      <c r="I23" s="1">
        <f>VLOOKUP($A23,rawcalc!$A$4:$H$24,$B$2,FALSE)*TransNplant!I23</f>
        <v>32765401.422803465</v>
      </c>
      <c r="J23" s="1">
        <f>VLOOKUP($A23,rawcalc!$A$4:$H$24,$B$2,FALSE)*TransNplant!J23</f>
        <v>32799078.862615228</v>
      </c>
      <c r="K23" s="1">
        <f>VLOOKUP($A23,rawcalc!$A$4:$H$24,$B$2,FALSE)*TransNplant!K23</f>
        <v>32832790.917292155</v>
      </c>
      <c r="L23" s="1">
        <f>VLOOKUP($A23,rawcalc!$A$4:$H$24,$B$2,FALSE)*TransNplant!L23</f>
        <v>32866537.622412633</v>
      </c>
      <c r="M23" s="1">
        <f>VLOOKUP($A23,rawcalc!$A$4:$H$24,$B$2,FALSE)*TransNplant!M23</f>
        <v>32900319.01359161</v>
      </c>
    </row>
    <row r="24" spans="1:13" x14ac:dyDescent="0.2">
      <c r="A24" t="str">
        <f>raw!A24</f>
        <v>TXU Electric Co.</v>
      </c>
      <c r="B24" s="1">
        <f>VLOOKUP($A24,rawcalc!$A$4:$H$24,$B$2,FALSE)*TransNplant!B24</f>
        <v>152608699.76805401</v>
      </c>
      <c r="C24" s="1">
        <f>VLOOKUP($A24,rawcalc!$A$4:$H$24,$B$2,FALSE)*TransNplant!C24</f>
        <v>152608699.76805401</v>
      </c>
      <c r="D24" s="1">
        <f>VLOOKUP($A24,rawcalc!$A$4:$H$24,$B$2,FALSE)*TransNplant!D24</f>
        <v>153182387.86736616</v>
      </c>
      <c r="E24" s="1">
        <f>VLOOKUP($A24,rawcalc!$A$4:$H$24,$B$2,FALSE)*TransNplant!E24</f>
        <v>153758232.58052662</v>
      </c>
      <c r="F24" s="1">
        <f>VLOOKUP($A24,rawcalc!$A$4:$H$24,$B$2,FALSE)*TransNplant!F24</f>
        <v>154336242.01469901</v>
      </c>
      <c r="G24" s="1">
        <f>VLOOKUP($A24,rawcalc!$A$4:$H$24,$B$2,FALSE)*TransNplant!G24</f>
        <v>154916424.30752349</v>
      </c>
      <c r="H24" s="1">
        <f>VLOOKUP($A24,rawcalc!$A$4:$H$24,$B$2,FALSE)*TransNplant!H24</f>
        <v>155498787.62723133</v>
      </c>
      <c r="I24" s="1">
        <f>VLOOKUP($A24,rawcalc!$A$4:$H$24,$B$2,FALSE)*TransNplant!I24</f>
        <v>156083340.17275983</v>
      </c>
      <c r="J24" s="1">
        <f>VLOOKUP($A24,rawcalc!$A$4:$H$24,$B$2,FALSE)*TransNplant!J24</f>
        <v>156670090.17386785</v>
      </c>
      <c r="K24" s="1">
        <f>VLOOKUP($A24,rawcalc!$A$4:$H$24,$B$2,FALSE)*TransNplant!K24</f>
        <v>157259045.89125171</v>
      </c>
      <c r="L24" s="1">
        <f>VLOOKUP($A24,rawcalc!$A$4:$H$24,$B$2,FALSE)*TransNplant!L24</f>
        <v>157850215.61666128</v>
      </c>
      <c r="M24" s="1">
        <f>VLOOKUP($A24,rawcalc!$A$4:$H$24,$B$2,FALSE)*TransNplant!M24</f>
        <v>158443607.67301697</v>
      </c>
    </row>
  </sheetData>
  <pageMargins left="0.45" right="0.4" top="1" bottom="1" header="0.5" footer="0.5"/>
  <pageSetup scale="65" orientation="landscape" verticalDpi="0" r:id="rId1"/>
  <headerFooter alignWithMargins="0">
    <oddFooter>Page &amp;P&amp;R&amp;A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workbookViewId="0">
      <selection activeCell="E25" sqref="E25"/>
    </sheetView>
  </sheetViews>
  <sheetFormatPr defaultRowHeight="12.75" x14ac:dyDescent="0.2"/>
  <cols>
    <col min="1" max="1" width="36.140625" bestFit="1" customWidth="1"/>
    <col min="2" max="2" width="13.85546875" bestFit="1" customWidth="1"/>
    <col min="3" max="13" width="12.28515625" bestFit="1" customWidth="1"/>
  </cols>
  <sheetData>
    <row r="1" spans="1:13" x14ac:dyDescent="0.2">
      <c r="A1" t="s">
        <v>537</v>
      </c>
    </row>
    <row r="2" spans="1:13" x14ac:dyDescent="0.2">
      <c r="B2">
        <v>8</v>
      </c>
    </row>
    <row r="3" spans="1:13" x14ac:dyDescent="0.2">
      <c r="A3" s="8" t="s">
        <v>177</v>
      </c>
      <c r="B3" s="8">
        <v>1998</v>
      </c>
      <c r="C3" s="8">
        <v>2000</v>
      </c>
      <c r="D3" s="8">
        <v>2001</v>
      </c>
      <c r="E3" s="8">
        <v>2002</v>
      </c>
      <c r="F3" s="8">
        <v>2003</v>
      </c>
      <c r="G3" s="8">
        <v>2004</v>
      </c>
      <c r="H3" s="8">
        <v>2005</v>
      </c>
      <c r="I3" s="8">
        <v>2006</v>
      </c>
      <c r="J3" s="8">
        <v>2007</v>
      </c>
      <c r="K3" s="8">
        <v>2008</v>
      </c>
      <c r="L3" s="8">
        <v>2009</v>
      </c>
      <c r="M3" s="8">
        <v>2010</v>
      </c>
    </row>
    <row r="4" spans="1:13" x14ac:dyDescent="0.2">
      <c r="A4" t="str">
        <f>raw!A4</f>
        <v>Boston Edison Co.</v>
      </c>
      <c r="B4" s="1">
        <f>VLOOKUP($A4,rawcalc!$A$4:$H$24,$B$2,FALSE)*DistNplant!B4</f>
        <v>250428505.27939996</v>
      </c>
      <c r="C4" s="1">
        <f>VLOOKUP($A4,rawcalc!$A$4:$H$24,$B$2,FALSE)*DistNplant!C4</f>
        <v>250428505.27939996</v>
      </c>
      <c r="D4" s="1">
        <f>VLOOKUP($A4,rawcalc!$A$4:$H$24,$B$2,FALSE)*DistNplant!D4</f>
        <v>253585734.81732103</v>
      </c>
      <c r="E4" s="1">
        <f>VLOOKUP($A4,rawcalc!$A$4:$H$24,$B$2,FALSE)*DistNplant!E4</f>
        <v>256782768.52347758</v>
      </c>
      <c r="F4" s="1">
        <f>VLOOKUP($A4,rawcalc!$A$4:$H$24,$B$2,FALSE)*DistNplant!F4</f>
        <v>260020108.22131652</v>
      </c>
      <c r="G4" s="1">
        <f>VLOOKUP($A4,rawcalc!$A$4:$H$24,$B$2,FALSE)*DistNplant!G4</f>
        <v>263298262.06092775</v>
      </c>
      <c r="H4" s="1">
        <f>VLOOKUP($A4,rawcalc!$A$4:$H$24,$B$2,FALSE)*DistNplant!H4</f>
        <v>266617744.59880644</v>
      </c>
      <c r="I4" s="1">
        <f>VLOOKUP($A4,rawcalc!$A$4:$H$24,$B$2,FALSE)*DistNplant!I4</f>
        <v>269979076.87862056</v>
      </c>
      <c r="J4" s="1">
        <f>VLOOKUP($A4,rawcalc!$A$4:$H$24,$B$2,FALSE)*DistNplant!J4</f>
        <v>273382786.51299638</v>
      </c>
      <c r="K4" s="1">
        <f>VLOOKUP($A4,rawcalc!$A$4:$H$24,$B$2,FALSE)*DistNplant!K4</f>
        <v>276829407.76633579</v>
      </c>
      <c r="L4" s="1">
        <f>VLOOKUP($A4,rawcalc!$A$4:$H$24,$B$2,FALSE)*DistNplant!L4</f>
        <v>280319481.63867688</v>
      </c>
      <c r="M4" s="1">
        <f>VLOOKUP($A4,rawcalc!$A$4:$H$24,$B$2,FALSE)*DistNplant!M4</f>
        <v>283853555.95061243</v>
      </c>
    </row>
    <row r="5" spans="1:13" x14ac:dyDescent="0.2">
      <c r="A5" t="str">
        <f>raw!A5</f>
        <v>Carolina Power &amp; Light Co.</v>
      </c>
      <c r="B5" s="1">
        <f>VLOOKUP($A5,rawcalc!$A$4:$H$24,$B$2,FALSE)*DistNplant!B5</f>
        <v>204130666.82257</v>
      </c>
      <c r="C5" s="1">
        <f>VLOOKUP($A5,rawcalc!$A$4:$H$24,$B$2,FALSE)*DistNplant!C5</f>
        <v>204130666.82257</v>
      </c>
      <c r="D5" s="1">
        <f>VLOOKUP($A5,rawcalc!$A$4:$H$24,$B$2,FALSE)*DistNplant!D5</f>
        <v>207136892.63944688</v>
      </c>
      <c r="E5" s="1">
        <f>VLOOKUP($A5,rawcalc!$A$4:$H$24,$B$2,FALSE)*DistNplant!E5</f>
        <v>210187391.04800594</v>
      </c>
      <c r="F5" s="1">
        <f>VLOOKUP($A5,rawcalc!$A$4:$H$24,$B$2,FALSE)*DistNplant!F5</f>
        <v>213282814.0492923</v>
      </c>
      <c r="G5" s="1">
        <f>VLOOKUP($A5,rawcalc!$A$4:$H$24,$B$2,FALSE)*DistNplant!G5</f>
        <v>216423823.24634957</v>
      </c>
      <c r="H5" s="1">
        <f>VLOOKUP($A5,rawcalc!$A$4:$H$24,$B$2,FALSE)*DistNplant!H5</f>
        <v>219611089.98562834</v>
      </c>
      <c r="I5" s="1">
        <f>VLOOKUP($A5,rawcalc!$A$4:$H$24,$B$2,FALSE)*DistNplant!I5</f>
        <v>222845295.50047684</v>
      </c>
      <c r="J5" s="1">
        <f>VLOOKUP($A5,rawcalc!$A$4:$H$24,$B$2,FALSE)*DistNplant!J5</f>
        <v>226127131.05674523</v>
      </c>
      <c r="K5" s="1">
        <f>VLOOKUP($A5,rawcalc!$A$4:$H$24,$B$2,FALSE)*DistNplant!K5</f>
        <v>229457298.10053369</v>
      </c>
      <c r="L5" s="1">
        <f>VLOOKUP($A5,rawcalc!$A$4:$H$24,$B$2,FALSE)*DistNplant!L5</f>
        <v>232836508.40811676</v>
      </c>
      <c r="M5" s="1">
        <f>VLOOKUP($A5,rawcalc!$A$4:$H$24,$B$2,FALSE)*DistNplant!M5</f>
        <v>236265484.23807549</v>
      </c>
    </row>
    <row r="6" spans="1:13" x14ac:dyDescent="0.2">
      <c r="A6" t="str">
        <f>raw!A6</f>
        <v>Central Hudson Gas &amp; Electric Corp.</v>
      </c>
      <c r="B6" s="1">
        <f>VLOOKUP($A6,rawcalc!$A$4:$H$24,$B$2,FALSE)*DistNplant!B6</f>
        <v>30639931.140000001</v>
      </c>
      <c r="C6" s="1">
        <f>VLOOKUP($A6,rawcalc!$A$4:$H$24,$B$2,FALSE)*DistNplant!C6</f>
        <v>30639931.140000001</v>
      </c>
      <c r="D6" s="1">
        <f>VLOOKUP($A6,rawcalc!$A$4:$H$24,$B$2,FALSE)*DistNplant!D6</f>
        <v>31101924.71821418</v>
      </c>
      <c r="E6" s="1">
        <f>VLOOKUP($A6,rawcalc!$A$4:$H$24,$B$2,FALSE)*DistNplant!E6</f>
        <v>31570884.306414992</v>
      </c>
      <c r="F6" s="1">
        <f>VLOOKUP($A6,rawcalc!$A$4:$H$24,$B$2,FALSE)*DistNplant!F6</f>
        <v>32046914.939168774</v>
      </c>
      <c r="G6" s="1">
        <f>VLOOKUP($A6,rawcalc!$A$4:$H$24,$B$2,FALSE)*DistNplant!G6</f>
        <v>32530123.234769136</v>
      </c>
      <c r="H6" s="1">
        <f>VLOOKUP($A6,rawcalc!$A$4:$H$24,$B$2,FALSE)*DistNplant!H6</f>
        <v>33020617.419116676</v>
      </c>
      <c r="I6" s="1">
        <f>VLOOKUP($A6,rawcalc!$A$4:$H$24,$B$2,FALSE)*DistNplant!I6</f>
        <v>33518507.349958703</v>
      </c>
      <c r="J6" s="1">
        <f>VLOOKUP($A6,rawcalc!$A$4:$H$24,$B$2,FALSE)*DistNplant!J6</f>
        <v>34023904.541494474</v>
      </c>
      <c r="K6" s="1">
        <f>VLOOKUP($A6,rawcalc!$A$4:$H$24,$B$2,FALSE)*DistNplant!K6</f>
        <v>34536922.189351454</v>
      </c>
      <c r="L6" s="1">
        <f>VLOOKUP($A6,rawcalc!$A$4:$H$24,$B$2,FALSE)*DistNplant!L6</f>
        <v>35057675.19593811</v>
      </c>
      <c r="M6" s="1">
        <f>VLOOKUP($A6,rawcalc!$A$4:$H$24,$B$2,FALSE)*DistNplant!M6</f>
        <v>35586280.19617904</v>
      </c>
    </row>
    <row r="7" spans="1:13" x14ac:dyDescent="0.2">
      <c r="A7" t="str">
        <f>raw!A7</f>
        <v>Commonwealth Edison Co.</v>
      </c>
      <c r="B7" s="1">
        <f>VLOOKUP($A7,rawcalc!$A$4:$H$24,$B$2,FALSE)*DistNplant!B7</f>
        <v>342438612.88007402</v>
      </c>
      <c r="C7" s="1">
        <f>VLOOKUP($A7,rawcalc!$A$4:$H$24,$B$2,FALSE)*DistNplant!C7</f>
        <v>342438612.88007402</v>
      </c>
      <c r="D7" s="1">
        <f>VLOOKUP($A7,rawcalc!$A$4:$H$24,$B$2,FALSE)*DistNplant!D7</f>
        <v>348603346.97294641</v>
      </c>
      <c r="E7" s="1">
        <f>VLOOKUP($A7,rawcalc!$A$4:$H$24,$B$2,FALSE)*DistNplant!E7</f>
        <v>354879061.38464493</v>
      </c>
      <c r="F7" s="1">
        <f>VLOOKUP($A7,rawcalc!$A$4:$H$24,$B$2,FALSE)*DistNplant!F7</f>
        <v>361267754.03283828</v>
      </c>
      <c r="G7" s="1">
        <f>VLOOKUP($A7,rawcalc!$A$4:$H$24,$B$2,FALSE)*DistNplant!G7</f>
        <v>367771458.80260855</v>
      </c>
      <c r="H7" s="1">
        <f>VLOOKUP($A7,rawcalc!$A$4:$H$24,$B$2,FALSE)*DistNplant!H7</f>
        <v>374392246.19395298</v>
      </c>
      <c r="I7" s="1">
        <f>VLOOKUP($A7,rawcalc!$A$4:$H$24,$B$2,FALSE)*DistNplant!I7</f>
        <v>381132223.98094171</v>
      </c>
      <c r="J7" s="1">
        <f>VLOOKUP($A7,rawcalc!$A$4:$H$24,$B$2,FALSE)*DistNplant!J7</f>
        <v>387993537.88274294</v>
      </c>
      <c r="K7" s="1">
        <f>VLOOKUP($A7,rawcalc!$A$4:$H$24,$B$2,FALSE)*DistNplant!K7</f>
        <v>394978372.24672747</v>
      </c>
      <c r="L7" s="1">
        <f>VLOOKUP($A7,rawcalc!$A$4:$H$24,$B$2,FALSE)*DistNplant!L7</f>
        <v>402088950.74387079</v>
      </c>
      <c r="M7" s="1">
        <f>VLOOKUP($A7,rawcalc!$A$4:$H$24,$B$2,FALSE)*DistNplant!M7</f>
        <v>409327537.07667464</v>
      </c>
    </row>
    <row r="8" spans="1:13" x14ac:dyDescent="0.2">
      <c r="A8" t="str">
        <f>raw!A8</f>
        <v>Consolidated Edison Co. of New York, Inc.</v>
      </c>
      <c r="B8" s="1">
        <f>VLOOKUP($A8,rawcalc!$A$4:$H$24,$B$2,FALSE)*DistNplant!B8</f>
        <v>694576130.37800002</v>
      </c>
      <c r="C8" s="1">
        <f>VLOOKUP($A8,rawcalc!$A$4:$H$24,$B$2,FALSE)*DistNplant!C8</f>
        <v>694576130.37800002</v>
      </c>
      <c r="D8" s="1">
        <f>VLOOKUP($A8,rawcalc!$A$4:$H$24,$B$2,FALSE)*DistNplant!D8</f>
        <v>702188194.33357513</v>
      </c>
      <c r="E8" s="1">
        <f>VLOOKUP($A8,rawcalc!$A$4:$H$24,$B$2,FALSE)*DistNplant!E8</f>
        <v>709883681.13530004</v>
      </c>
      <c r="F8" s="1">
        <f>VLOOKUP($A8,rawcalc!$A$4:$H$24,$B$2,FALSE)*DistNplant!F8</f>
        <v>717663505.03866422</v>
      </c>
      <c r="G8" s="1">
        <f>VLOOKUP($A8,rawcalc!$A$4:$H$24,$B$2,FALSE)*DistNplant!G8</f>
        <v>725528590.31875241</v>
      </c>
      <c r="H8" s="1">
        <f>VLOOKUP($A8,rawcalc!$A$4:$H$24,$B$2,FALSE)*DistNplant!H8</f>
        <v>733479871.38005114</v>
      </c>
      <c r="I8" s="1">
        <f>VLOOKUP($A8,rawcalc!$A$4:$H$24,$B$2,FALSE)*DistNplant!I8</f>
        <v>741518292.86746013</v>
      </c>
      <c r="J8" s="1">
        <f>VLOOKUP($A8,rawcalc!$A$4:$H$24,$B$2,FALSE)*DistNplant!J8</f>
        <v>749644809.77852118</v>
      </c>
      <c r="K8" s="1">
        <f>VLOOKUP($A8,rawcalc!$A$4:$H$24,$B$2,FALSE)*DistNplant!K8</f>
        <v>757860387.57687366</v>
      </c>
      <c r="L8" s="1">
        <f>VLOOKUP($A8,rawcalc!$A$4:$H$24,$B$2,FALSE)*DistNplant!L8</f>
        <v>766166002.30695736</v>
      </c>
      <c r="M8" s="1">
        <f>VLOOKUP($A8,rawcalc!$A$4:$H$24,$B$2,FALSE)*DistNplant!M8</f>
        <v>774562640.70997024</v>
      </c>
    </row>
    <row r="9" spans="1:13" x14ac:dyDescent="0.2">
      <c r="A9" t="str">
        <f>raw!A9</f>
        <v>Consumers Energy Co.</v>
      </c>
      <c r="B9" s="1">
        <f>VLOOKUP($A9,rawcalc!$A$4:$H$24,$B$2,FALSE)*DistNplant!B9</f>
        <v>178986048.106392</v>
      </c>
      <c r="C9" s="1">
        <f>VLOOKUP($A9,rawcalc!$A$4:$H$24,$B$2,FALSE)*DistNplant!C9</f>
        <v>178986048.106392</v>
      </c>
      <c r="D9" s="1">
        <f>VLOOKUP($A9,rawcalc!$A$4:$H$24,$B$2,FALSE)*DistNplant!D9</f>
        <v>181636065.89488918</v>
      </c>
      <c r="E9" s="1">
        <f>VLOOKUP($A9,rawcalc!$A$4:$H$24,$B$2,FALSE)*DistNplant!E9</f>
        <v>184325319.11181027</v>
      </c>
      <c r="F9" s="1">
        <f>VLOOKUP($A9,rawcalc!$A$4:$H$24,$B$2,FALSE)*DistNplant!F9</f>
        <v>187054388.66602695</v>
      </c>
      <c r="G9" s="1">
        <f>VLOOKUP($A9,rawcalc!$A$4:$H$24,$B$2,FALSE)*DistNplant!G9</f>
        <v>189823864.06718665</v>
      </c>
      <c r="H9" s="1">
        <f>VLOOKUP($A9,rawcalc!$A$4:$H$24,$B$2,FALSE)*DistNplant!H9</f>
        <v>192634343.55305311</v>
      </c>
      <c r="I9" s="1">
        <f>VLOOKUP($A9,rawcalc!$A$4:$H$24,$B$2,FALSE)*DistNplant!I9</f>
        <v>195486434.21873242</v>
      </c>
      <c r="J9" s="1">
        <f>VLOOKUP($A9,rawcalc!$A$4:$H$24,$B$2,FALSE)*DistNplant!J9</f>
        <v>198380752.14781255</v>
      </c>
      <c r="K9" s="1">
        <f>VLOOKUP($A9,rawcalc!$A$4:$H$24,$B$2,FALSE)*DistNplant!K9</f>
        <v>201317922.5454441</v>
      </c>
      <c r="L9" s="1">
        <f>VLOOKUP($A9,rawcalc!$A$4:$H$24,$B$2,FALSE)*DistNplant!L9</f>
        <v>204298579.87339187</v>
      </c>
      <c r="M9" s="1">
        <f>VLOOKUP($A9,rawcalc!$A$4:$H$24,$B$2,FALSE)*DistNplant!M9</f>
        <v>207323367.98708546</v>
      </c>
    </row>
    <row r="10" spans="1:13" x14ac:dyDescent="0.2">
      <c r="A10" t="str">
        <f>raw!A10</f>
        <v>Duke Energy Corp.</v>
      </c>
      <c r="B10" s="1">
        <f>VLOOKUP($A10,rawcalc!$A$4:$H$24,$B$2,FALSE)*DistNplant!B10</f>
        <v>398791692.42886204</v>
      </c>
      <c r="C10" s="1">
        <f>VLOOKUP($A10,rawcalc!$A$4:$H$24,$B$2,FALSE)*DistNplant!C10</f>
        <v>398791692.42886204</v>
      </c>
      <c r="D10" s="1">
        <f>VLOOKUP($A10,rawcalc!$A$4:$H$24,$B$2,FALSE)*DistNplant!D10</f>
        <v>402866286.52846777</v>
      </c>
      <c r="E10" s="1">
        <f>VLOOKUP($A10,rawcalc!$A$4:$H$24,$B$2,FALSE)*DistNplant!E10</f>
        <v>406982512.18006366</v>
      </c>
      <c r="F10" s="1">
        <f>VLOOKUP($A10,rawcalc!$A$4:$H$24,$B$2,FALSE)*DistNplant!F10</f>
        <v>411140794.74776644</v>
      </c>
      <c r="G10" s="1">
        <f>VLOOKUP($A10,rawcalc!$A$4:$H$24,$B$2,FALSE)*DistNplant!G10</f>
        <v>415341563.94178694</v>
      </c>
      <c r="H10" s="1">
        <f>VLOOKUP($A10,rawcalc!$A$4:$H$24,$B$2,FALSE)*DistNplant!H10</f>
        <v>419585253.86283547</v>
      </c>
      <c r="I10" s="1">
        <f>VLOOKUP($A10,rawcalc!$A$4:$H$24,$B$2,FALSE)*DistNplant!I10</f>
        <v>423872303.04698086</v>
      </c>
      <c r="J10" s="1">
        <f>VLOOKUP($A10,rawcalc!$A$4:$H$24,$B$2,FALSE)*DistNplant!J10</f>
        <v>428203154.51096821</v>
      </c>
      <c r="K10" s="1">
        <f>VLOOKUP($A10,rawcalc!$A$4:$H$24,$B$2,FALSE)*DistNplant!K10</f>
        <v>432578255.79799956</v>
      </c>
      <c r="L10" s="1">
        <f>VLOOKUP($A10,rawcalc!$A$4:$H$24,$B$2,FALSE)*DistNplant!L10</f>
        <v>436998059.02398252</v>
      </c>
      <c r="M10" s="1">
        <f>VLOOKUP($A10,rawcalc!$A$4:$H$24,$B$2,FALSE)*DistNplant!M10</f>
        <v>441463020.92425066</v>
      </c>
    </row>
    <row r="11" spans="1:13" x14ac:dyDescent="0.2">
      <c r="A11" t="str">
        <f>raw!A11</f>
        <v>Entergy Mississippi, Inc.</v>
      </c>
      <c r="B11" s="1">
        <f>VLOOKUP($A11,rawcalc!$A$4:$H$24,$B$2,FALSE)*DistNplant!B11</f>
        <v>37362579.513758004</v>
      </c>
      <c r="C11" s="1">
        <f>VLOOKUP($A11,rawcalc!$A$4:$H$24,$B$2,FALSE)*DistNplant!C11</f>
        <v>37362579.513758004</v>
      </c>
      <c r="D11" s="1">
        <f>VLOOKUP($A11,rawcalc!$A$4:$H$24,$B$2,FALSE)*DistNplant!D11</f>
        <v>37848477.388571233</v>
      </c>
      <c r="E11" s="1">
        <f>VLOOKUP($A11,rawcalc!$A$4:$H$24,$B$2,FALSE)*DistNplant!E11</f>
        <v>38340694.333101295</v>
      </c>
      <c r="F11" s="1">
        <f>VLOOKUP($A11,rawcalc!$A$4:$H$24,$B$2,FALSE)*DistNplant!F11</f>
        <v>38839312.526431806</v>
      </c>
      <c r="G11" s="1">
        <f>VLOOKUP($A11,rawcalc!$A$4:$H$24,$B$2,FALSE)*DistNplant!G11</f>
        <v>39344415.216379941</v>
      </c>
      <c r="H11" s="1">
        <f>VLOOKUP($A11,rawcalc!$A$4:$H$24,$B$2,FALSE)*DistNplant!H11</f>
        <v>39856086.733395219</v>
      </c>
      <c r="I11" s="1">
        <f>VLOOKUP($A11,rawcalc!$A$4:$H$24,$B$2,FALSE)*DistNplant!I11</f>
        <v>40374412.504639082</v>
      </c>
      <c r="J11" s="1">
        <f>VLOOKUP($A11,rawcalc!$A$4:$H$24,$B$2,FALSE)*DistNplant!J11</f>
        <v>40899479.068247549</v>
      </c>
      <c r="K11" s="1">
        <f>VLOOKUP($A11,rawcalc!$A$4:$H$24,$B$2,FALSE)*DistNplant!K11</f>
        <v>41431374.087779373</v>
      </c>
      <c r="L11" s="1">
        <f>VLOOKUP($A11,rawcalc!$A$4:$H$24,$B$2,FALSE)*DistNplant!L11</f>
        <v>41970186.366852105</v>
      </c>
      <c r="M11" s="1">
        <f>VLOOKUP($A11,rawcalc!$A$4:$H$24,$B$2,FALSE)*DistNplant!M11</f>
        <v>42516005.863968447</v>
      </c>
    </row>
    <row r="12" spans="1:13" x14ac:dyDescent="0.2">
      <c r="A12" t="str">
        <f>raw!A12</f>
        <v>Florida Power &amp; Light Co.</v>
      </c>
      <c r="B12" s="1">
        <f>VLOOKUP($A12,rawcalc!$A$4:$H$24,$B$2,FALSE)*DistNplant!B12</f>
        <v>489836494.72544998</v>
      </c>
      <c r="C12" s="1">
        <f>VLOOKUP($A12,rawcalc!$A$4:$H$24,$B$2,FALSE)*DistNplant!C12</f>
        <v>489836494.72544998</v>
      </c>
      <c r="D12" s="1">
        <f>VLOOKUP($A12,rawcalc!$A$4:$H$24,$B$2,FALSE)*DistNplant!D12</f>
        <v>494567027.64030582</v>
      </c>
      <c r="E12" s="1">
        <f>VLOOKUP($A12,rawcalc!$A$4:$H$24,$B$2,FALSE)*DistNplant!E12</f>
        <v>499343245.06805414</v>
      </c>
      <c r="F12" s="1">
        <f>VLOOKUP($A12,rawcalc!$A$4:$H$24,$B$2,FALSE)*DistNplant!F12</f>
        <v>504165588.20099956</v>
      </c>
      <c r="G12" s="1">
        <f>VLOOKUP($A12,rawcalc!$A$4:$H$24,$B$2,FALSE)*DistNplant!G12</f>
        <v>509034502.49220443</v>
      </c>
      <c r="H12" s="1">
        <f>VLOOKUP($A12,rawcalc!$A$4:$H$24,$B$2,FALSE)*DistNplant!H12</f>
        <v>513950437.69663692</v>
      </c>
      <c r="I12" s="1">
        <f>VLOOKUP($A12,rawcalc!$A$4:$H$24,$B$2,FALSE)*DistNplant!I12</f>
        <v>518913847.91271561</v>
      </c>
      <c r="J12" s="1">
        <f>VLOOKUP($A12,rawcalc!$A$4:$H$24,$B$2,FALSE)*DistNplant!J12</f>
        <v>523925191.62425643</v>
      </c>
      <c r="K12" s="1">
        <f>VLOOKUP($A12,rawcalc!$A$4:$H$24,$B$2,FALSE)*DistNplant!K12</f>
        <v>528984931.74282366</v>
      </c>
      <c r="L12" s="1">
        <f>VLOOKUP($A12,rawcalc!$A$4:$H$24,$B$2,FALSE)*DistNplant!L12</f>
        <v>534093535.65049034</v>
      </c>
      <c r="M12" s="1">
        <f>VLOOKUP($A12,rawcalc!$A$4:$H$24,$B$2,FALSE)*DistNplant!M12</f>
        <v>539251475.24301183</v>
      </c>
    </row>
    <row r="13" spans="1:13" x14ac:dyDescent="0.2">
      <c r="A13" t="str">
        <f>raw!A13</f>
        <v>Gulf Power Co.</v>
      </c>
      <c r="B13" s="1">
        <f>VLOOKUP($A13,rawcalc!$A$4:$H$24,$B$2,FALSE)*DistNplant!B13</f>
        <v>47536381.048064001</v>
      </c>
      <c r="C13" s="1">
        <f>VLOOKUP($A13,rawcalc!$A$4:$H$24,$B$2,FALSE)*DistNplant!C13</f>
        <v>47536381.048064001</v>
      </c>
      <c r="D13" s="1">
        <f>VLOOKUP($A13,rawcalc!$A$4:$H$24,$B$2,FALSE)*DistNplant!D13</f>
        <v>48167510.259202138</v>
      </c>
      <c r="E13" s="1">
        <f>VLOOKUP($A13,rawcalc!$A$4:$H$24,$B$2,FALSE)*DistNplant!E13</f>
        <v>48807018.822583117</v>
      </c>
      <c r="F13" s="1">
        <f>VLOOKUP($A13,rawcalc!$A$4:$H$24,$B$2,FALSE)*DistNplant!F13</f>
        <v>49455017.988871261</v>
      </c>
      <c r="G13" s="1">
        <f>VLOOKUP($A13,rawcalc!$A$4:$H$24,$B$2,FALSE)*DistNplant!G13</f>
        <v>50111620.485779457</v>
      </c>
      <c r="H13" s="1">
        <f>VLOOKUP($A13,rawcalc!$A$4:$H$24,$B$2,FALSE)*DistNplant!H13</f>
        <v>50776940.537679605</v>
      </c>
      <c r="I13" s="1">
        <f>VLOOKUP($A13,rawcalc!$A$4:$H$24,$B$2,FALSE)*DistNplant!I13</f>
        <v>51451093.885473393</v>
      </c>
      <c r="J13" s="1">
        <f>VLOOKUP($A13,rawcalc!$A$4:$H$24,$B$2,FALSE)*DistNplant!J13</f>
        <v>52134197.806726888</v>
      </c>
      <c r="K13" s="1">
        <f>VLOOKUP($A13,rawcalc!$A$4:$H$24,$B$2,FALSE)*DistNplant!K13</f>
        <v>52826371.136072472</v>
      </c>
      <c r="L13" s="1">
        <f>VLOOKUP($A13,rawcalc!$A$4:$H$24,$B$2,FALSE)*DistNplant!L13</f>
        <v>53527734.285881661</v>
      </c>
      <c r="M13" s="1">
        <f>VLOOKUP($A13,rawcalc!$A$4:$H$24,$B$2,FALSE)*DistNplant!M13</f>
        <v>54238409.267212324</v>
      </c>
    </row>
    <row r="14" spans="1:13" x14ac:dyDescent="0.2">
      <c r="A14" t="str">
        <f>raw!A14</f>
        <v>Illinois Power Co.</v>
      </c>
      <c r="B14" s="1">
        <f>VLOOKUP($A14,rawcalc!$A$4:$H$24,$B$2,FALSE)*DistNplant!B14</f>
        <v>73405614.080894008</v>
      </c>
      <c r="C14" s="1">
        <f>VLOOKUP($A14,rawcalc!$A$4:$H$24,$B$2,FALSE)*DistNplant!C14</f>
        <v>73405614.080894008</v>
      </c>
      <c r="D14" s="1">
        <f>VLOOKUP($A14,rawcalc!$A$4:$H$24,$B$2,FALSE)*DistNplant!D14</f>
        <v>74579392.250576049</v>
      </c>
      <c r="E14" s="1">
        <f>VLOOKUP($A14,rawcalc!$A$4:$H$24,$B$2,FALSE)*DistNplant!E14</f>
        <v>75771939.491382584</v>
      </c>
      <c r="F14" s="1">
        <f>VLOOKUP($A14,rawcalc!$A$4:$H$24,$B$2,FALSE)*DistNplant!F14</f>
        <v>76983555.926488504</v>
      </c>
      <c r="G14" s="1">
        <f>VLOOKUP($A14,rawcalc!$A$4:$H$24,$B$2,FALSE)*DistNplant!G14</f>
        <v>78214546.478129804</v>
      </c>
      <c r="H14" s="1">
        <f>VLOOKUP($A14,rawcalc!$A$4:$H$24,$B$2,FALSE)*DistNplant!H14</f>
        <v>79465220.944342136</v>
      </c>
      <c r="I14" s="1">
        <f>VLOOKUP($A14,rawcalc!$A$4:$H$24,$B$2,FALSE)*DistNplant!I14</f>
        <v>80735894.076926231</v>
      </c>
      <c r="J14" s="1">
        <f>VLOOKUP($A14,rawcalc!$A$4:$H$24,$B$2,FALSE)*DistNplant!J14</f>
        <v>82026885.660660207</v>
      </c>
      <c r="K14" s="1">
        <f>VLOOKUP($A14,rawcalc!$A$4:$H$24,$B$2,FALSE)*DistNplant!K14</f>
        <v>83338520.593778327</v>
      </c>
      <c r="L14" s="1">
        <f>VLOOKUP($A14,rawcalc!$A$4:$H$24,$B$2,FALSE)*DistNplant!L14</f>
        <v>84671128.9697368</v>
      </c>
      <c r="M14" s="1">
        <f>VLOOKUP($A14,rawcalc!$A$4:$H$24,$B$2,FALSE)*DistNplant!M14</f>
        <v>86025046.160286903</v>
      </c>
    </row>
    <row r="15" spans="1:13" x14ac:dyDescent="0.2">
      <c r="A15" t="str">
        <f>raw!A15</f>
        <v>Jersey Central Power &amp; Light Co.</v>
      </c>
      <c r="B15" s="1">
        <f>VLOOKUP($A15,rawcalc!$A$4:$H$24,$B$2,FALSE)*DistNplant!B15</f>
        <v>161697241.03274199</v>
      </c>
      <c r="C15" s="1">
        <f>VLOOKUP($A15,rawcalc!$A$4:$H$24,$B$2,FALSE)*DistNplant!C15</f>
        <v>161697241.03274199</v>
      </c>
      <c r="D15" s="1">
        <f>VLOOKUP($A15,rawcalc!$A$4:$H$24,$B$2,FALSE)*DistNplant!D15</f>
        <v>164461177.5328193</v>
      </c>
      <c r="E15" s="1">
        <f>VLOOKUP($A15,rawcalc!$A$4:$H$24,$B$2,FALSE)*DistNplant!E15</f>
        <v>167272358.77824706</v>
      </c>
      <c r="F15" s="1">
        <f>VLOOKUP($A15,rawcalc!$A$4:$H$24,$B$2,FALSE)*DistNplant!F15</f>
        <v>170131592.33676895</v>
      </c>
      <c r="G15" s="1">
        <f>VLOOKUP($A15,rawcalc!$A$4:$H$24,$B$2,FALSE)*DistNplant!G15</f>
        <v>173039699.58011177</v>
      </c>
      <c r="H15" s="1">
        <f>VLOOKUP($A15,rawcalc!$A$4:$H$24,$B$2,FALSE)*DistNplant!H15</f>
        <v>175997515.91994056</v>
      </c>
      <c r="I15" s="1">
        <f>VLOOKUP($A15,rawcalc!$A$4:$H$24,$B$2,FALSE)*DistNplant!I15</f>
        <v>179005891.04784742</v>
      </c>
      <c r="J15" s="1">
        <f>VLOOKUP($A15,rawcalc!$A$4:$H$24,$B$2,FALSE)*DistNplant!J15</f>
        <v>182065689.17944214</v>
      </c>
      <c r="K15" s="1">
        <f>VLOOKUP($A15,rawcalc!$A$4:$H$24,$B$2,FALSE)*DistNplant!K15</f>
        <v>185177789.30261546</v>
      </c>
      <c r="L15" s="1">
        <f>VLOOKUP($A15,rawcalc!$A$4:$H$24,$B$2,FALSE)*DistNplant!L15</f>
        <v>188343085.4300459</v>
      </c>
      <c r="M15" s="1">
        <f>VLOOKUP($A15,rawcalc!$A$4:$H$24,$B$2,FALSE)*DistNplant!M15</f>
        <v>191562486.85602242</v>
      </c>
    </row>
    <row r="16" spans="1:13" x14ac:dyDescent="0.2">
      <c r="A16" t="str">
        <f>raw!A16</f>
        <v>Kentucky Utilities Co.</v>
      </c>
      <c r="B16" s="1">
        <f>VLOOKUP($A16,rawcalc!$A$4:$H$24,$B$2,FALSE)*DistNplant!B16</f>
        <v>53858342.742265999</v>
      </c>
      <c r="C16" s="1">
        <f>VLOOKUP($A16,rawcalc!$A$4:$H$24,$B$2,FALSE)*DistNplant!C16</f>
        <v>53858342.742265999</v>
      </c>
      <c r="D16" s="1">
        <f>VLOOKUP($A16,rawcalc!$A$4:$H$24,$B$2,FALSE)*DistNplant!D16</f>
        <v>54810029.005956724</v>
      </c>
      <c r="E16" s="1">
        <f>VLOOKUP($A16,rawcalc!$A$4:$H$24,$B$2,FALSE)*DistNplant!E16</f>
        <v>55778531.731097661</v>
      </c>
      <c r="F16" s="1">
        <f>VLOOKUP($A16,rawcalc!$A$4:$H$24,$B$2,FALSE)*DistNplant!F16</f>
        <v>56764148.067481235</v>
      </c>
      <c r="G16" s="1">
        <f>VLOOKUP($A16,rawcalc!$A$4:$H$24,$B$2,FALSE)*DistNplant!G16</f>
        <v>57767180.415588267</v>
      </c>
      <c r="H16" s="1">
        <f>VLOOKUP($A16,rawcalc!$A$4:$H$24,$B$2,FALSE)*DistNplant!H16</f>
        <v>58787936.519368567</v>
      </c>
      <c r="I16" s="1">
        <f>VLOOKUP($A16,rawcalc!$A$4:$H$24,$B$2,FALSE)*DistNplant!I16</f>
        <v>59826729.560660936</v>
      </c>
      <c r="J16" s="1">
        <f>VLOOKUP($A16,rawcalc!$A$4:$H$24,$B$2,FALSE)*DistNplant!J16</f>
        <v>60883878.255281642</v>
      </c>
      <c r="K16" s="1">
        <f>VLOOKUP($A16,rawcalc!$A$4:$H$24,$B$2,FALSE)*DistNplant!K16</f>
        <v>61959706.950810723</v>
      </c>
      <c r="L16" s="1">
        <f>VLOOKUP($A16,rawcalc!$A$4:$H$24,$B$2,FALSE)*DistNplant!L16</f>
        <v>63054545.726106256</v>
      </c>
      <c r="M16" s="1">
        <f>VLOOKUP($A16,rawcalc!$A$4:$H$24,$B$2,FALSE)*DistNplant!M16</f>
        <v>64168730.492577016</v>
      </c>
    </row>
    <row r="17" spans="1:13" x14ac:dyDescent="0.2">
      <c r="A17" t="str">
        <f>raw!A17</f>
        <v>Ohio Power Co.</v>
      </c>
      <c r="B17" s="1">
        <f>VLOOKUP($A17,rawcalc!$A$4:$H$24,$B$2,FALSE)*DistNplant!B17</f>
        <v>91805871.498474002</v>
      </c>
      <c r="C17" s="1">
        <f>VLOOKUP($A17,rawcalc!$A$4:$H$24,$B$2,FALSE)*DistNplant!C17</f>
        <v>91805871.498474002</v>
      </c>
      <c r="D17" s="1">
        <f>VLOOKUP($A17,rawcalc!$A$4:$H$24,$B$2,FALSE)*DistNplant!D17</f>
        <v>93530343.326644838</v>
      </c>
      <c r="E17" s="1">
        <f>VLOOKUP($A17,rawcalc!$A$4:$H$24,$B$2,FALSE)*DistNplant!E17</f>
        <v>95287207.45214498</v>
      </c>
      <c r="F17" s="1">
        <f>VLOOKUP($A17,rawcalc!$A$4:$H$24,$B$2,FALSE)*DistNplant!F17</f>
        <v>97077072.328478351</v>
      </c>
      <c r="G17" s="1">
        <f>VLOOKUP($A17,rawcalc!$A$4:$H$24,$B$2,FALSE)*DistNplant!G17</f>
        <v>98900557.838275477</v>
      </c>
      <c r="H17" s="1">
        <f>VLOOKUP($A17,rawcalc!$A$4:$H$24,$B$2,FALSE)*DistNplant!H17</f>
        <v>100758295.50797693</v>
      </c>
      <c r="I17" s="1">
        <f>VLOOKUP($A17,rawcalc!$A$4:$H$24,$B$2,FALSE)*DistNplant!I17</f>
        <v>102650928.72654954</v>
      </c>
      <c r="J17" s="1">
        <f>VLOOKUP($A17,rawcalc!$A$4:$H$24,$B$2,FALSE)*DistNplant!J17</f>
        <v>104579112.96831067</v>
      </c>
      <c r="K17" s="1">
        <f>VLOOKUP($A17,rawcalc!$A$4:$H$24,$B$2,FALSE)*DistNplant!K17</f>
        <v>106543516.01993839</v>
      </c>
      <c r="L17" s="1">
        <f>VLOOKUP($A17,rawcalc!$A$4:$H$24,$B$2,FALSE)*DistNplant!L17</f>
        <v>108544818.21174544</v>
      </c>
      <c r="M17" s="1">
        <f>VLOOKUP($A17,rawcalc!$A$4:$H$24,$B$2,FALSE)*DistNplant!M17</f>
        <v>110583712.65329747</v>
      </c>
    </row>
    <row r="18" spans="1:13" x14ac:dyDescent="0.2">
      <c r="A18" t="str">
        <f>raw!A18</f>
        <v>PPL Electric Utilities Corp.</v>
      </c>
      <c r="B18" s="1">
        <f>VLOOKUP($A18,rawcalc!$A$4:$H$24,$B$2,FALSE)*DistNplant!B18</f>
        <v>208481114.71344003</v>
      </c>
      <c r="C18" s="1">
        <f>VLOOKUP($A18,rawcalc!$A$4:$H$24,$B$2,FALSE)*DistNplant!C18</f>
        <v>208481114.71344003</v>
      </c>
      <c r="D18" s="1">
        <f>VLOOKUP($A18,rawcalc!$A$4:$H$24,$B$2,FALSE)*DistNplant!D18</f>
        <v>212059595.0136674</v>
      </c>
      <c r="E18" s="1">
        <f>VLOOKUP($A18,rawcalc!$A$4:$H$24,$B$2,FALSE)*DistNplant!E18</f>
        <v>215699498.24554363</v>
      </c>
      <c r="F18" s="1">
        <f>VLOOKUP($A18,rawcalc!$A$4:$H$24,$B$2,FALSE)*DistNplant!F18</f>
        <v>219401878.70480764</v>
      </c>
      <c r="G18" s="1">
        <f>VLOOKUP($A18,rawcalc!$A$4:$H$24,$B$2,FALSE)*DistNplant!G18</f>
        <v>223167808.78368884</v>
      </c>
      <c r="H18" s="1">
        <f>VLOOKUP($A18,rawcalc!$A$4:$H$24,$B$2,FALSE)*DistNplant!H18</f>
        <v>226998379.28152522</v>
      </c>
      <c r="I18" s="1">
        <f>VLOOKUP($A18,rawcalc!$A$4:$H$24,$B$2,FALSE)*DistNplant!I18</f>
        <v>230894699.72071227</v>
      </c>
      <c r="J18" s="1">
        <f>VLOOKUP($A18,rawcalc!$A$4:$H$24,$B$2,FALSE)*DistNplant!J18</f>
        <v>234857898.66807583</v>
      </c>
      <c r="K18" s="1">
        <f>VLOOKUP($A18,rawcalc!$A$4:$H$24,$B$2,FALSE)*DistNplant!K18</f>
        <v>238889124.06176051</v>
      </c>
      <c r="L18" s="1">
        <f>VLOOKUP($A18,rawcalc!$A$4:$H$24,$B$2,FALSE)*DistNplant!L18</f>
        <v>242989543.54372945</v>
      </c>
      <c r="M18" s="1">
        <f>VLOOKUP($A18,rawcalc!$A$4:$H$24,$B$2,FALSE)*DistNplant!M18</f>
        <v>247160344.79797092</v>
      </c>
    </row>
    <row r="19" spans="1:13" x14ac:dyDescent="0.2">
      <c r="A19" t="str">
        <f>raw!A19</f>
        <v>Pacific Gas &amp; Electric Co.</v>
      </c>
      <c r="B19" s="1">
        <f>VLOOKUP($A19,rawcalc!$A$4:$H$24,$B$2,FALSE)*DistNplant!B19</f>
        <v>780000253.88678205</v>
      </c>
      <c r="C19" s="1">
        <f>VLOOKUP($A19,rawcalc!$A$4:$H$24,$B$2,FALSE)*DistNplant!C19</f>
        <v>780000253.88678205</v>
      </c>
      <c r="D19" s="1">
        <f>VLOOKUP($A19,rawcalc!$A$4:$H$24,$B$2,FALSE)*DistNplant!D19</f>
        <v>787683512.72630179</v>
      </c>
      <c r="E19" s="1">
        <f>VLOOKUP($A19,rawcalc!$A$4:$H$24,$B$2,FALSE)*DistNplant!E19</f>
        <v>795442454.19041145</v>
      </c>
      <c r="F19" s="1">
        <f>VLOOKUP($A19,rawcalc!$A$4:$H$24,$B$2,FALSE)*DistNplant!F19</f>
        <v>803277823.77783573</v>
      </c>
      <c r="G19" s="1">
        <f>VLOOKUP($A19,rawcalc!$A$4:$H$24,$B$2,FALSE)*DistNplant!G19</f>
        <v>811190374.33070648</v>
      </c>
      <c r="H19" s="1">
        <f>VLOOKUP($A19,rawcalc!$A$4:$H$24,$B$2,FALSE)*DistNplant!H19</f>
        <v>819180866.10689795</v>
      </c>
      <c r="I19" s="1">
        <f>VLOOKUP($A19,rawcalc!$A$4:$H$24,$B$2,FALSE)*DistNplant!I19</f>
        <v>827250066.85307455</v>
      </c>
      <c r="J19" s="1">
        <f>VLOOKUP($A19,rawcalc!$A$4:$H$24,$B$2,FALSE)*DistNplant!J19</f>
        <v>835398751.87845731</v>
      </c>
      <c r="K19" s="1">
        <f>VLOOKUP($A19,rawcalc!$A$4:$H$24,$B$2,FALSE)*DistNplant!K19</f>
        <v>843627704.12931836</v>
      </c>
      <c r="L19" s="1">
        <f>VLOOKUP($A19,rawcalc!$A$4:$H$24,$B$2,FALSE)*DistNplant!L19</f>
        <v>851937714.26420748</v>
      </c>
      <c r="M19" s="1">
        <f>VLOOKUP($A19,rawcalc!$A$4:$H$24,$B$2,FALSE)*DistNplant!M19</f>
        <v>860329580.7299211</v>
      </c>
    </row>
    <row r="20" spans="1:13" x14ac:dyDescent="0.2">
      <c r="A20" t="str">
        <f>raw!A20</f>
        <v>Public Service Electric &amp; Gas Co.</v>
      </c>
      <c r="B20" s="1">
        <f>VLOOKUP($A20,rawcalc!$A$4:$H$24,$B$2,FALSE)*DistNplant!B20</f>
        <v>250241017.24335203</v>
      </c>
      <c r="C20" s="1">
        <f>VLOOKUP($A20,rawcalc!$A$4:$H$24,$B$2,FALSE)*DistNplant!C20</f>
        <v>250241017.24335203</v>
      </c>
      <c r="D20" s="1">
        <f>VLOOKUP($A20,rawcalc!$A$4:$H$24,$B$2,FALSE)*DistNplant!D20</f>
        <v>254129170.83580765</v>
      </c>
      <c r="E20" s="1">
        <f>VLOOKUP($A20,rawcalc!$A$4:$H$24,$B$2,FALSE)*DistNplant!E20</f>
        <v>258077737.13967672</v>
      </c>
      <c r="F20" s="1">
        <f>VLOOKUP($A20,rawcalc!$A$4:$H$24,$B$2,FALSE)*DistNplant!F20</f>
        <v>262087654.82561958</v>
      </c>
      <c r="G20" s="1">
        <f>VLOOKUP($A20,rawcalc!$A$4:$H$24,$B$2,FALSE)*DistNplant!G20</f>
        <v>266159877.14901882</v>
      </c>
      <c r="H20" s="1">
        <f>VLOOKUP($A20,rawcalc!$A$4:$H$24,$B$2,FALSE)*DistNplant!H20</f>
        <v>270295372.1765911</v>
      </c>
      <c r="I20" s="1">
        <f>VLOOKUP($A20,rawcalc!$A$4:$H$24,$B$2,FALSE)*DistNplant!I20</f>
        <v>274495123.0165205</v>
      </c>
      <c r="J20" s="1">
        <f>VLOOKUP($A20,rawcalc!$A$4:$H$24,$B$2,FALSE)*DistNplant!J20</f>
        <v>278760128.05216718</v>
      </c>
      <c r="K20" s="1">
        <f>VLOOKUP($A20,rawcalc!$A$4:$H$24,$B$2,FALSE)*DistNplant!K20</f>
        <v>283091401.17940754</v>
      </c>
      <c r="L20" s="1">
        <f>VLOOKUP($A20,rawcalc!$A$4:$H$24,$B$2,FALSE)*DistNplant!L20</f>
        <v>287489972.0476622</v>
      </c>
      <c r="M20" s="1">
        <f>VLOOKUP($A20,rawcalc!$A$4:$H$24,$B$2,FALSE)*DistNplant!M20</f>
        <v>291956886.30466849</v>
      </c>
    </row>
    <row r="21" spans="1:13" x14ac:dyDescent="0.2">
      <c r="A21" t="str">
        <f>raw!A21</f>
        <v>San Diego Gas &amp; Electric Co.</v>
      </c>
      <c r="B21" s="1">
        <f>VLOOKUP($A21,rawcalc!$A$4:$H$24,$B$2,FALSE)*DistNplant!B21</f>
        <v>189816420.48159</v>
      </c>
      <c r="C21" s="1">
        <f>VLOOKUP($A21,rawcalc!$A$4:$H$24,$B$2,FALSE)*DistNplant!C21</f>
        <v>189816420.48159</v>
      </c>
      <c r="D21" s="1">
        <f>VLOOKUP($A21,rawcalc!$A$4:$H$24,$B$2,FALSE)*DistNplant!D21</f>
        <v>192471473.8724533</v>
      </c>
      <c r="E21" s="1">
        <f>VLOOKUP($A21,rawcalc!$A$4:$H$24,$B$2,FALSE)*DistNplant!E21</f>
        <v>195163664.76960006</v>
      </c>
      <c r="F21" s="1">
        <f>VLOOKUP($A21,rawcalc!$A$4:$H$24,$B$2,FALSE)*DistNplant!F21</f>
        <v>197893512.63315773</v>
      </c>
      <c r="G21" s="1">
        <f>VLOOKUP($A21,rawcalc!$A$4:$H$24,$B$2,FALSE)*DistNplant!G21</f>
        <v>200661544.18919203</v>
      </c>
      <c r="H21" s="1">
        <f>VLOOKUP($A21,rawcalc!$A$4:$H$24,$B$2,FALSE)*DistNplant!H21</f>
        <v>203468293.5313389</v>
      </c>
      <c r="I21" s="1">
        <f>VLOOKUP($A21,rawcalc!$A$4:$H$24,$B$2,FALSE)*DistNplant!I21</f>
        <v>206314302.22385845</v>
      </c>
      <c r="J21" s="1">
        <f>VLOOKUP($A21,rawcalc!$A$4:$H$24,$B$2,FALSE)*DistNplant!J21</f>
        <v>209200119.40612999</v>
      </c>
      <c r="K21" s="1">
        <f>VLOOKUP($A21,rawcalc!$A$4:$H$24,$B$2,FALSE)*DistNplant!K21</f>
        <v>212126301.89860892</v>
      </c>
      <c r="L21" s="1">
        <f>VLOOKUP($A21,rawcalc!$A$4:$H$24,$B$2,FALSE)*DistNplant!L21</f>
        <v>215093414.31026575</v>
      </c>
      <c r="M21" s="1">
        <f>VLOOKUP($A21,rawcalc!$A$4:$H$24,$B$2,FALSE)*DistNplant!M21</f>
        <v>218102029.14752755</v>
      </c>
    </row>
    <row r="22" spans="1:13" x14ac:dyDescent="0.2">
      <c r="A22" t="str">
        <f>raw!A22</f>
        <v>Southern California Edison Co.</v>
      </c>
      <c r="B22" s="1">
        <f>VLOOKUP($A22,rawcalc!$A$4:$H$24,$B$2,FALSE)*DistNplant!B22</f>
        <v>578300137.04599404</v>
      </c>
      <c r="C22" s="1">
        <f>VLOOKUP($A22,rawcalc!$A$4:$H$24,$B$2,FALSE)*DistNplant!C22</f>
        <v>578300137.04599404</v>
      </c>
      <c r="D22" s="1">
        <f>VLOOKUP($A22,rawcalc!$A$4:$H$24,$B$2,FALSE)*DistNplant!D22</f>
        <v>583058512.69675004</v>
      </c>
      <c r="E22" s="1">
        <f>VLOOKUP($A22,rawcalc!$A$4:$H$24,$B$2,FALSE)*DistNplant!E22</f>
        <v>587856041.26721549</v>
      </c>
      <c r="F22" s="1">
        <f>VLOOKUP($A22,rawcalc!$A$4:$H$24,$B$2,FALSE)*DistNplant!F22</f>
        <v>592693044.91588187</v>
      </c>
      <c r="G22" s="1">
        <f>VLOOKUP($A22,rawcalc!$A$4:$H$24,$B$2,FALSE)*DistNplant!G22</f>
        <v>597569848.45202875</v>
      </c>
      <c r="H22" s="1">
        <f>VLOOKUP($A22,rawcalc!$A$4:$H$24,$B$2,FALSE)*DistNplant!H22</f>
        <v>602486779.35753524</v>
      </c>
      <c r="I22" s="1">
        <f>VLOOKUP($A22,rawcalc!$A$4:$H$24,$B$2,FALSE)*DistNplant!I22</f>
        <v>607444167.80887032</v>
      </c>
      <c r="J22" s="1">
        <f>VLOOKUP($A22,rawcalc!$A$4:$H$24,$B$2,FALSE)*DistNplant!J22</f>
        <v>612442346.69926476</v>
      </c>
      <c r="K22" s="1">
        <f>VLOOKUP($A22,rawcalc!$A$4:$H$24,$B$2,FALSE)*DistNplant!K22</f>
        <v>617481651.66106498</v>
      </c>
      <c r="L22" s="1">
        <f>VLOOKUP($A22,rawcalc!$A$4:$H$24,$B$2,FALSE)*DistNplant!L22</f>
        <v>622562421.0882715</v>
      </c>
      <c r="M22" s="1">
        <f>VLOOKUP($A22,rawcalc!$A$4:$H$24,$B$2,FALSE)*DistNplant!M22</f>
        <v>627684996.15926182</v>
      </c>
    </row>
    <row r="23" spans="1:13" x14ac:dyDescent="0.2">
      <c r="A23" t="str">
        <f>raw!A23</f>
        <v>Southwestern Public Service Co.</v>
      </c>
      <c r="B23" s="1">
        <f>VLOOKUP($A23,rawcalc!$A$4:$H$24,$B$2,FALSE)*DistNplant!B23</f>
        <v>32620094.81921</v>
      </c>
      <c r="C23" s="1">
        <f>VLOOKUP($A23,rawcalc!$A$4:$H$24,$B$2,FALSE)*DistNplant!C23</f>
        <v>32620094.81921</v>
      </c>
      <c r="D23" s="1">
        <f>VLOOKUP($A23,rawcalc!$A$4:$H$24,$B$2,FALSE)*DistNplant!D23</f>
        <v>33125549.200682592</v>
      </c>
      <c r="E23" s="1">
        <f>VLOOKUP($A23,rawcalc!$A$4:$H$24,$B$2,FALSE)*DistNplant!E23</f>
        <v>33638835.69095701</v>
      </c>
      <c r="F23" s="1">
        <f>VLOOKUP($A23,rawcalc!$A$4:$H$24,$B$2,FALSE)*DistNplant!F23</f>
        <v>34160075.650002673</v>
      </c>
      <c r="G23" s="1">
        <f>VLOOKUP($A23,rawcalc!$A$4:$H$24,$B$2,FALSE)*DistNplant!G23</f>
        <v>34689392.318284124</v>
      </c>
      <c r="H23" s="1">
        <f>VLOOKUP($A23,rawcalc!$A$4:$H$24,$B$2,FALSE)*DistNplant!H23</f>
        <v>35226910.845899574</v>
      </c>
      <c r="I23" s="1">
        <f>VLOOKUP($A23,rawcalc!$A$4:$H$24,$B$2,FALSE)*DistNplant!I23</f>
        <v>35772758.322171129</v>
      </c>
      <c r="J23" s="1">
        <f>VLOOKUP($A23,rawcalc!$A$4:$H$24,$B$2,FALSE)*DistNplant!J23</f>
        <v>36327063.805693306</v>
      </c>
      <c r="K23" s="1">
        <f>VLOOKUP($A23,rawcalc!$A$4:$H$24,$B$2,FALSE)*DistNplant!K23</f>
        <v>36889958.354847372</v>
      </c>
      <c r="L23" s="1">
        <f>VLOOKUP($A23,rawcalc!$A$4:$H$24,$B$2,FALSE)*DistNplant!L23</f>
        <v>37461575.058788359</v>
      </c>
      <c r="M23" s="1">
        <f>VLOOKUP($A23,rawcalc!$A$4:$H$24,$B$2,FALSE)*DistNplant!M23</f>
        <v>38042049.06891226</v>
      </c>
    </row>
    <row r="24" spans="1:13" x14ac:dyDescent="0.2">
      <c r="A24" t="str">
        <f>raw!A24</f>
        <v>TXU Electric Co.</v>
      </c>
      <c r="B24" s="1">
        <f>VLOOKUP($A24,rawcalc!$A$4:$H$24,$B$2,FALSE)*DistNplant!B24</f>
        <v>417337623.55437601</v>
      </c>
      <c r="C24" s="1">
        <f>VLOOKUP($A24,rawcalc!$A$4:$H$24,$B$2,FALSE)*DistNplant!C24</f>
        <v>417337623.55437601</v>
      </c>
      <c r="D24" s="1">
        <f>VLOOKUP($A24,rawcalc!$A$4:$H$24,$B$2,FALSE)*DistNplant!D24</f>
        <v>425151635.07636291</v>
      </c>
      <c r="E24" s="1">
        <f>VLOOKUP($A24,rawcalc!$A$4:$H$24,$B$2,FALSE)*DistNplant!E24</f>
        <v>433111952.06572115</v>
      </c>
      <c r="F24" s="1">
        <f>VLOOKUP($A24,rawcalc!$A$4:$H$24,$B$2,FALSE)*DistNplant!F24</f>
        <v>441221313.8695482</v>
      </c>
      <c r="G24" s="1">
        <f>VLOOKUP($A24,rawcalc!$A$4:$H$24,$B$2,FALSE)*DistNplant!G24</f>
        <v>449482511.12504482</v>
      </c>
      <c r="H24" s="1">
        <f>VLOOKUP($A24,rawcalc!$A$4:$H$24,$B$2,FALSE)*DistNplant!H24</f>
        <v>457898386.71984392</v>
      </c>
      <c r="I24" s="1">
        <f>VLOOKUP($A24,rawcalc!$A$4:$H$24,$B$2,FALSE)*DistNplant!I24</f>
        <v>466471836.77032059</v>
      </c>
      <c r="J24" s="1">
        <f>VLOOKUP($A24,rawcalc!$A$4:$H$24,$B$2,FALSE)*DistNplant!J24</f>
        <v>475205811.61821926</v>
      </c>
      <c r="K24" s="1">
        <f>VLOOKUP($A24,rawcalc!$A$4:$H$24,$B$2,FALSE)*DistNplant!K24</f>
        <v>484103316.84594071</v>
      </c>
      <c r="L24" s="1">
        <f>VLOOKUP($A24,rawcalc!$A$4:$H$24,$B$2,FALSE)*DistNplant!L24</f>
        <v>493167414.31083983</v>
      </c>
      <c r="M24" s="1">
        <f>VLOOKUP($A24,rawcalc!$A$4:$H$24,$B$2,FALSE)*DistNplant!M24</f>
        <v>502401223.1988883</v>
      </c>
    </row>
  </sheetData>
  <pageMargins left="0.47" right="0.54" top="1" bottom="1" header="0.5" footer="0.5"/>
  <pageSetup scale="70" orientation="landscape" verticalDpi="0" r:id="rId1"/>
  <headerFooter alignWithMargins="0">
    <oddFooter>Page &amp;P&amp;R&amp;A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workbookViewId="0">
      <selection activeCell="E25" sqref="E25"/>
    </sheetView>
  </sheetViews>
  <sheetFormatPr defaultRowHeight="12.75" x14ac:dyDescent="0.2"/>
  <cols>
    <col min="1" max="1" width="36.140625" bestFit="1" customWidth="1"/>
    <col min="2" max="2" width="12.28515625" bestFit="1" customWidth="1"/>
    <col min="3" max="3" width="12.28515625" customWidth="1"/>
    <col min="4" max="4" width="14.85546875" bestFit="1" customWidth="1"/>
    <col min="5" max="8" width="12.28515625" bestFit="1" customWidth="1"/>
    <col min="9" max="13" width="13.85546875" bestFit="1" customWidth="1"/>
  </cols>
  <sheetData>
    <row r="1" spans="1:13" x14ac:dyDescent="0.2">
      <c r="A1" t="s">
        <v>538</v>
      </c>
    </row>
    <row r="2" spans="1:13" x14ac:dyDescent="0.2">
      <c r="B2">
        <v>45</v>
      </c>
      <c r="D2">
        <v>2</v>
      </c>
    </row>
    <row r="3" spans="1:13" x14ac:dyDescent="0.2">
      <c r="A3" s="8" t="s">
        <v>177</v>
      </c>
      <c r="B3" s="8">
        <v>1998</v>
      </c>
      <c r="C3" s="8">
        <v>2000</v>
      </c>
      <c r="D3" s="8">
        <v>2001</v>
      </c>
      <c r="E3" s="8">
        <v>2002</v>
      </c>
      <c r="F3" s="8">
        <v>2003</v>
      </c>
      <c r="G3" s="8">
        <v>2004</v>
      </c>
      <c r="H3" s="8">
        <v>2005</v>
      </c>
      <c r="I3" s="8">
        <v>2006</v>
      </c>
      <c r="J3" s="8">
        <v>2007</v>
      </c>
      <c r="K3" s="8">
        <v>2008</v>
      </c>
      <c r="L3" s="8">
        <v>2009</v>
      </c>
      <c r="M3" s="8">
        <v>2010</v>
      </c>
    </row>
    <row r="4" spans="1:13" x14ac:dyDescent="0.2">
      <c r="A4" t="str">
        <f>raw!A4</f>
        <v>Boston Edison Co.</v>
      </c>
      <c r="B4" s="1">
        <f>VLOOKUP($A4,raw!$A$4:$AU$24,$B$2,FALSE)</f>
        <v>155512943</v>
      </c>
      <c r="C4" s="1">
        <f>B4</f>
        <v>155512943</v>
      </c>
      <c r="D4" s="4">
        <f>C4*(1+VLOOKUP($A4,criteria!$A$4:$I$24,$D$2,FALSE))</f>
        <v>158623201.86000001</v>
      </c>
      <c r="E4" s="4">
        <f>D4*(1+VLOOKUP($A4,criteria!$A$4:$I$24,$D$2,FALSE))</f>
        <v>161795665.89720002</v>
      </c>
      <c r="F4" s="4">
        <f>E4*(1+VLOOKUP($A4,criteria!$A$4:$I$24,$D$2,FALSE))</f>
        <v>165031579.21514401</v>
      </c>
      <c r="G4" s="4">
        <f>F4*(1+VLOOKUP($A4,criteria!$A$4:$I$24,$D$2,FALSE))</f>
        <v>168332210.79944688</v>
      </c>
      <c r="H4" s="4">
        <f>G4*(1+VLOOKUP($A4,criteria!$A$4:$I$24,$D$2,FALSE))</f>
        <v>171698855.01543581</v>
      </c>
      <c r="I4" s="4">
        <f>H4*(1+VLOOKUP($A4,criteria!$A$4:$I$24,$D$2,FALSE))</f>
        <v>175132832.11574453</v>
      </c>
      <c r="J4" s="4">
        <f>I4*(1+VLOOKUP($A4,criteria!$A$4:$I$24,$D$2,FALSE))</f>
        <v>178635488.75805941</v>
      </c>
      <c r="K4" s="4">
        <f>J4*(1+VLOOKUP($A4,criteria!$A$4:$I$24,$D$2,FALSE))</f>
        <v>182208198.53322059</v>
      </c>
      <c r="L4" s="4">
        <f>K4*(1+VLOOKUP($A4,criteria!$A$4:$I$24,$D$2,FALSE))</f>
        <v>185852362.503885</v>
      </c>
      <c r="M4" s="4">
        <f>L4*(1+VLOOKUP($A4,criteria!$A$4:$I$24,$D$2,FALSE))</f>
        <v>189569409.7539627</v>
      </c>
    </row>
    <row r="5" spans="1:13" x14ac:dyDescent="0.2">
      <c r="A5" t="str">
        <f>raw!A5</f>
        <v>Carolina Power &amp; Light Co.</v>
      </c>
      <c r="B5" s="1">
        <f>VLOOKUP($A5,raw!$A$4:$AU$24,$B$2,FALSE)</f>
        <v>439907564</v>
      </c>
      <c r="C5" s="1">
        <f t="shared" ref="C5:C24" si="0">B5</f>
        <v>439907564</v>
      </c>
      <c r="D5" s="4">
        <f>C5*(1+VLOOKUP($A5,criteria!$A$4:$I$24,$D$2,FALSE))</f>
        <v>448705715.28000003</v>
      </c>
      <c r="E5" s="4">
        <f>D5*(1+VLOOKUP($A5,criteria!$A$4:$I$24,$D$2,FALSE))</f>
        <v>457679829.58560002</v>
      </c>
      <c r="F5" s="4">
        <f>E5*(1+VLOOKUP($A5,criteria!$A$4:$I$24,$D$2,FALSE))</f>
        <v>466833426.17731202</v>
      </c>
      <c r="G5" s="4">
        <f>F5*(1+VLOOKUP($A5,criteria!$A$4:$I$24,$D$2,FALSE))</f>
        <v>476170094.70085824</v>
      </c>
      <c r="H5" s="4">
        <f>G5*(1+VLOOKUP($A5,criteria!$A$4:$I$24,$D$2,FALSE))</f>
        <v>485693496.5948754</v>
      </c>
      <c r="I5" s="4">
        <f>H5*(1+VLOOKUP($A5,criteria!$A$4:$I$24,$D$2,FALSE))</f>
        <v>495407366.52677292</v>
      </c>
      <c r="J5" s="4">
        <f>I5*(1+VLOOKUP($A5,criteria!$A$4:$I$24,$D$2,FALSE))</f>
        <v>505315513.85730839</v>
      </c>
      <c r="K5" s="4">
        <f>J5*(1+VLOOKUP($A5,criteria!$A$4:$I$24,$D$2,FALSE))</f>
        <v>515421824.13445455</v>
      </c>
      <c r="L5" s="4">
        <f>K5*(1+VLOOKUP($A5,criteria!$A$4:$I$24,$D$2,FALSE))</f>
        <v>525730260.61714363</v>
      </c>
      <c r="M5" s="4">
        <f>L5*(1+VLOOKUP($A5,criteria!$A$4:$I$24,$D$2,FALSE))</f>
        <v>536244865.82948649</v>
      </c>
    </row>
    <row r="6" spans="1:13" x14ac:dyDescent="0.2">
      <c r="A6" t="str">
        <f>raw!A6</f>
        <v>Central Hudson Gas &amp; Electric Corp.</v>
      </c>
      <c r="B6" s="1">
        <f>VLOOKUP($A6,raw!$A$4:$AU$24,$B$2,FALSE)</f>
        <v>52528354</v>
      </c>
      <c r="C6" s="1">
        <f t="shared" si="0"/>
        <v>52528354</v>
      </c>
      <c r="D6" s="4">
        <f>C6*(1+VLOOKUP($A6,criteria!$A$4:$I$24,$D$2,FALSE))</f>
        <v>53578921.079999998</v>
      </c>
      <c r="E6" s="4">
        <f>D6*(1+VLOOKUP($A6,criteria!$A$4:$I$24,$D$2,FALSE))</f>
        <v>54650499.501599997</v>
      </c>
      <c r="F6" s="4">
        <f>E6*(1+VLOOKUP($A6,criteria!$A$4:$I$24,$D$2,FALSE))</f>
        <v>55743509.491632</v>
      </c>
      <c r="G6" s="4">
        <f>F6*(1+VLOOKUP($A6,criteria!$A$4:$I$24,$D$2,FALSE))</f>
        <v>56858379.681464642</v>
      </c>
      <c r="H6" s="4">
        <f>G6*(1+VLOOKUP($A6,criteria!$A$4:$I$24,$D$2,FALSE))</f>
        <v>57995547.275093935</v>
      </c>
      <c r="I6" s="4">
        <f>H6*(1+VLOOKUP($A6,criteria!$A$4:$I$24,$D$2,FALSE))</f>
        <v>59155458.220595814</v>
      </c>
      <c r="J6" s="4">
        <f>I6*(1+VLOOKUP($A6,criteria!$A$4:$I$24,$D$2,FALSE))</f>
        <v>60338567.385007732</v>
      </c>
      <c r="K6" s="4">
        <f>J6*(1+VLOOKUP($A6,criteria!$A$4:$I$24,$D$2,FALSE))</f>
        <v>61545338.732707888</v>
      </c>
      <c r="L6" s="4">
        <f>K6*(1+VLOOKUP($A6,criteria!$A$4:$I$24,$D$2,FALSE))</f>
        <v>62776245.507362045</v>
      </c>
      <c r="M6" s="4">
        <f>L6*(1+VLOOKUP($A6,criteria!$A$4:$I$24,$D$2,FALSE))</f>
        <v>64031770.417509288</v>
      </c>
    </row>
    <row r="7" spans="1:13" x14ac:dyDescent="0.2">
      <c r="A7" t="str">
        <f>raw!A7</f>
        <v>Commonwealth Edison Co.</v>
      </c>
      <c r="B7" s="1">
        <f>VLOOKUP($A7,raw!$A$4:$AU$24,$B$2,FALSE)</f>
        <v>844296580</v>
      </c>
      <c r="C7" s="1">
        <f t="shared" si="0"/>
        <v>844296580</v>
      </c>
      <c r="D7" s="4">
        <f>C7*(1+VLOOKUP($A7,criteria!$A$4:$I$24,$D$2,FALSE))</f>
        <v>861182511.60000002</v>
      </c>
      <c r="E7" s="4">
        <f>D7*(1+VLOOKUP($A7,criteria!$A$4:$I$24,$D$2,FALSE))</f>
        <v>878406161.83200002</v>
      </c>
      <c r="F7" s="4">
        <f>E7*(1+VLOOKUP($A7,criteria!$A$4:$I$24,$D$2,FALSE))</f>
        <v>895974285.06863999</v>
      </c>
      <c r="G7" s="4">
        <f>F7*(1+VLOOKUP($A7,criteria!$A$4:$I$24,$D$2,FALSE))</f>
        <v>913893770.77001286</v>
      </c>
      <c r="H7" s="4">
        <f>G7*(1+VLOOKUP($A7,criteria!$A$4:$I$24,$D$2,FALSE))</f>
        <v>932171646.18541312</v>
      </c>
      <c r="I7" s="4">
        <f>H7*(1+VLOOKUP($A7,criteria!$A$4:$I$24,$D$2,FALSE))</f>
        <v>950815079.10912144</v>
      </c>
      <c r="J7" s="4">
        <f>I7*(1+VLOOKUP($A7,criteria!$A$4:$I$24,$D$2,FALSE))</f>
        <v>969831380.69130385</v>
      </c>
      <c r="K7" s="4">
        <f>J7*(1+VLOOKUP($A7,criteria!$A$4:$I$24,$D$2,FALSE))</f>
        <v>989228008.30512989</v>
      </c>
      <c r="L7" s="4">
        <f>K7*(1+VLOOKUP($A7,criteria!$A$4:$I$24,$D$2,FALSE))</f>
        <v>1009012568.4712325</v>
      </c>
      <c r="M7" s="4">
        <f>L7*(1+VLOOKUP($A7,criteria!$A$4:$I$24,$D$2,FALSE))</f>
        <v>1029192819.8406572</v>
      </c>
    </row>
    <row r="8" spans="1:13" x14ac:dyDescent="0.2">
      <c r="A8" t="str">
        <f>raw!A8</f>
        <v>Consolidated Edison Co. of New York, Inc.</v>
      </c>
      <c r="B8" s="1">
        <f>VLOOKUP($A8,raw!$A$4:$AU$24,$B$2,FALSE)</f>
        <v>373091939</v>
      </c>
      <c r="C8" s="1">
        <f t="shared" si="0"/>
        <v>373091939</v>
      </c>
      <c r="D8" s="4">
        <f>C8*(1+VLOOKUP($A8,criteria!$A$4:$I$24,$D$2,FALSE))</f>
        <v>380553777.78000003</v>
      </c>
      <c r="E8" s="4">
        <f>D8*(1+VLOOKUP($A8,criteria!$A$4:$I$24,$D$2,FALSE))</f>
        <v>388164853.33560002</v>
      </c>
      <c r="F8" s="4">
        <f>E8*(1+VLOOKUP($A8,criteria!$A$4:$I$24,$D$2,FALSE))</f>
        <v>395928150.40231204</v>
      </c>
      <c r="G8" s="4">
        <f>F8*(1+VLOOKUP($A8,criteria!$A$4:$I$24,$D$2,FALSE))</f>
        <v>403846713.41035831</v>
      </c>
      <c r="H8" s="4">
        <f>G8*(1+VLOOKUP($A8,criteria!$A$4:$I$24,$D$2,FALSE))</f>
        <v>411923647.6785655</v>
      </c>
      <c r="I8" s="4">
        <f>H8*(1+VLOOKUP($A8,criteria!$A$4:$I$24,$D$2,FALSE))</f>
        <v>420162120.63213682</v>
      </c>
      <c r="J8" s="4">
        <f>I8*(1+VLOOKUP($A8,criteria!$A$4:$I$24,$D$2,FALSE))</f>
        <v>428565363.04477954</v>
      </c>
      <c r="K8" s="4">
        <f>J8*(1+VLOOKUP($A8,criteria!$A$4:$I$24,$D$2,FALSE))</f>
        <v>437136670.30567515</v>
      </c>
      <c r="L8" s="4">
        <f>K8*(1+VLOOKUP($A8,criteria!$A$4:$I$24,$D$2,FALSE))</f>
        <v>445879403.71178865</v>
      </c>
      <c r="M8" s="4">
        <f>L8*(1+VLOOKUP($A8,criteria!$A$4:$I$24,$D$2,FALSE))</f>
        <v>454796991.78602445</v>
      </c>
    </row>
    <row r="9" spans="1:13" x14ac:dyDescent="0.2">
      <c r="A9" t="str">
        <f>raw!A9</f>
        <v>Consumers Energy Co.</v>
      </c>
      <c r="B9" s="1">
        <f>VLOOKUP($A9,raw!$A$4:$AU$24,$B$2,FALSE)</f>
        <v>332733970</v>
      </c>
      <c r="C9" s="1">
        <f t="shared" si="0"/>
        <v>332733970</v>
      </c>
      <c r="D9" s="4">
        <f>C9*(1+VLOOKUP($A9,criteria!$A$4:$I$24,$D$2,FALSE))</f>
        <v>339388649.39999998</v>
      </c>
      <c r="E9" s="4">
        <f>D9*(1+VLOOKUP($A9,criteria!$A$4:$I$24,$D$2,FALSE))</f>
        <v>346176422.38800001</v>
      </c>
      <c r="F9" s="4">
        <f>E9*(1+VLOOKUP($A9,criteria!$A$4:$I$24,$D$2,FALSE))</f>
        <v>353099950.83576</v>
      </c>
      <c r="G9" s="4">
        <f>F9*(1+VLOOKUP($A9,criteria!$A$4:$I$24,$D$2,FALSE))</f>
        <v>360161949.85247523</v>
      </c>
      <c r="H9" s="4">
        <f>G9*(1+VLOOKUP($A9,criteria!$A$4:$I$24,$D$2,FALSE))</f>
        <v>367365188.84952474</v>
      </c>
      <c r="I9" s="4">
        <f>H9*(1+VLOOKUP($A9,criteria!$A$4:$I$24,$D$2,FALSE))</f>
        <v>374712492.62651521</v>
      </c>
      <c r="J9" s="4">
        <f>I9*(1+VLOOKUP($A9,criteria!$A$4:$I$24,$D$2,FALSE))</f>
        <v>382206742.47904551</v>
      </c>
      <c r="K9" s="4">
        <f>J9*(1+VLOOKUP($A9,criteria!$A$4:$I$24,$D$2,FALSE))</f>
        <v>389850877.32862645</v>
      </c>
      <c r="L9" s="4">
        <f>K9*(1+VLOOKUP($A9,criteria!$A$4:$I$24,$D$2,FALSE))</f>
        <v>397647894.87519896</v>
      </c>
      <c r="M9" s="4">
        <f>L9*(1+VLOOKUP($A9,criteria!$A$4:$I$24,$D$2,FALSE))</f>
        <v>405600852.77270293</v>
      </c>
    </row>
    <row r="10" spans="1:13" x14ac:dyDescent="0.2">
      <c r="A10" t="str">
        <f>raw!A10</f>
        <v>Duke Energy Corp.</v>
      </c>
      <c r="B10" s="1">
        <f>VLOOKUP($A10,raw!$A$4:$AU$24,$B$2,FALSE)</f>
        <v>714840485</v>
      </c>
      <c r="C10" s="1">
        <f t="shared" si="0"/>
        <v>714840485</v>
      </c>
      <c r="D10" s="4">
        <f>C10*(1+VLOOKUP($A10,criteria!$A$4:$I$24,$D$2,FALSE))</f>
        <v>729137294.70000005</v>
      </c>
      <c r="E10" s="4">
        <f>D10*(1+VLOOKUP($A10,criteria!$A$4:$I$24,$D$2,FALSE))</f>
        <v>743720040.5940001</v>
      </c>
      <c r="F10" s="4">
        <f>E10*(1+VLOOKUP($A10,criteria!$A$4:$I$24,$D$2,FALSE))</f>
        <v>758594441.40588009</v>
      </c>
      <c r="G10" s="4">
        <f>F10*(1+VLOOKUP($A10,criteria!$A$4:$I$24,$D$2,FALSE))</f>
        <v>773766330.2339977</v>
      </c>
      <c r="H10" s="4">
        <f>G10*(1+VLOOKUP($A10,criteria!$A$4:$I$24,$D$2,FALSE))</f>
        <v>789241656.83867764</v>
      </c>
      <c r="I10" s="4">
        <f>H10*(1+VLOOKUP($A10,criteria!$A$4:$I$24,$D$2,FALSE))</f>
        <v>805026489.97545123</v>
      </c>
      <c r="J10" s="4">
        <f>I10*(1+VLOOKUP($A10,criteria!$A$4:$I$24,$D$2,FALSE))</f>
        <v>821127019.77496028</v>
      </c>
      <c r="K10" s="4">
        <f>J10*(1+VLOOKUP($A10,criteria!$A$4:$I$24,$D$2,FALSE))</f>
        <v>837549560.17045951</v>
      </c>
      <c r="L10" s="4">
        <f>K10*(1+VLOOKUP($A10,criteria!$A$4:$I$24,$D$2,FALSE))</f>
        <v>854300551.3738687</v>
      </c>
      <c r="M10" s="4">
        <f>L10*(1+VLOOKUP($A10,criteria!$A$4:$I$24,$D$2,FALSE))</f>
        <v>871386562.40134609</v>
      </c>
    </row>
    <row r="11" spans="1:13" x14ac:dyDescent="0.2">
      <c r="A11" t="str">
        <f>raw!A11</f>
        <v>Entergy Mississippi, Inc.</v>
      </c>
      <c r="B11" s="1">
        <f>VLOOKUP($A11,raw!$A$4:$AU$24,$B$2,FALSE)</f>
        <v>116621260</v>
      </c>
      <c r="C11" s="1">
        <f t="shared" si="0"/>
        <v>116621260</v>
      </c>
      <c r="D11" s="4">
        <f>C11*(1+VLOOKUP($A11,criteria!$A$4:$I$24,$D$2,FALSE))</f>
        <v>118953685.2</v>
      </c>
      <c r="E11" s="4">
        <f>D11*(1+VLOOKUP($A11,criteria!$A$4:$I$24,$D$2,FALSE))</f>
        <v>121332758.904</v>
      </c>
      <c r="F11" s="4">
        <f>E11*(1+VLOOKUP($A11,criteria!$A$4:$I$24,$D$2,FALSE))</f>
        <v>123759414.08208001</v>
      </c>
      <c r="G11" s="4">
        <f>F11*(1+VLOOKUP($A11,criteria!$A$4:$I$24,$D$2,FALSE))</f>
        <v>126234602.36372161</v>
      </c>
      <c r="H11" s="4">
        <f>G11*(1+VLOOKUP($A11,criteria!$A$4:$I$24,$D$2,FALSE))</f>
        <v>128759294.41099605</v>
      </c>
      <c r="I11" s="4">
        <f>H11*(1+VLOOKUP($A11,criteria!$A$4:$I$24,$D$2,FALSE))</f>
        <v>131334480.29921597</v>
      </c>
      <c r="J11" s="4">
        <f>I11*(1+VLOOKUP($A11,criteria!$A$4:$I$24,$D$2,FALSE))</f>
        <v>133961169.90520029</v>
      </c>
      <c r="K11" s="4">
        <f>J11*(1+VLOOKUP($A11,criteria!$A$4:$I$24,$D$2,FALSE))</f>
        <v>136640393.30330428</v>
      </c>
      <c r="L11" s="4">
        <f>K11*(1+VLOOKUP($A11,criteria!$A$4:$I$24,$D$2,FALSE))</f>
        <v>139373201.16937038</v>
      </c>
      <c r="M11" s="4">
        <f>L11*(1+VLOOKUP($A11,criteria!$A$4:$I$24,$D$2,FALSE))</f>
        <v>142160665.19275779</v>
      </c>
    </row>
    <row r="12" spans="1:13" x14ac:dyDescent="0.2">
      <c r="A12" t="str">
        <f>raw!A12</f>
        <v>Florida Power &amp; Light Co.</v>
      </c>
      <c r="B12" s="1">
        <f>VLOOKUP($A12,raw!$A$4:$AU$24,$B$2,FALSE)</f>
        <v>739166983</v>
      </c>
      <c r="C12" s="1">
        <f t="shared" si="0"/>
        <v>739166983</v>
      </c>
      <c r="D12" s="4">
        <f>C12*(1+VLOOKUP($A12,criteria!$A$4:$I$24,$D$2,FALSE))</f>
        <v>753950322.65999997</v>
      </c>
      <c r="E12" s="4">
        <f>D12*(1+VLOOKUP($A12,criteria!$A$4:$I$24,$D$2,FALSE))</f>
        <v>769029329.11319995</v>
      </c>
      <c r="F12" s="4">
        <f>E12*(1+VLOOKUP($A12,criteria!$A$4:$I$24,$D$2,FALSE))</f>
        <v>784409915.69546402</v>
      </c>
      <c r="G12" s="4">
        <f>F12*(1+VLOOKUP($A12,criteria!$A$4:$I$24,$D$2,FALSE))</f>
        <v>800098114.00937331</v>
      </c>
      <c r="H12" s="4">
        <f>G12*(1+VLOOKUP($A12,criteria!$A$4:$I$24,$D$2,FALSE))</f>
        <v>816100076.28956079</v>
      </c>
      <c r="I12" s="4">
        <f>H12*(1+VLOOKUP($A12,criteria!$A$4:$I$24,$D$2,FALSE))</f>
        <v>832422077.81535208</v>
      </c>
      <c r="J12" s="4">
        <f>I12*(1+VLOOKUP($A12,criteria!$A$4:$I$24,$D$2,FALSE))</f>
        <v>849070519.37165916</v>
      </c>
      <c r="K12" s="4">
        <f>J12*(1+VLOOKUP($A12,criteria!$A$4:$I$24,$D$2,FALSE))</f>
        <v>866051929.75909233</v>
      </c>
      <c r="L12" s="4">
        <f>K12*(1+VLOOKUP($A12,criteria!$A$4:$I$24,$D$2,FALSE))</f>
        <v>883372968.35427415</v>
      </c>
      <c r="M12" s="4">
        <f>L12*(1+VLOOKUP($A12,criteria!$A$4:$I$24,$D$2,FALSE))</f>
        <v>901040427.72135961</v>
      </c>
    </row>
    <row r="13" spans="1:13" x14ac:dyDescent="0.2">
      <c r="A13" t="str">
        <f>raw!A13</f>
        <v>Gulf Power Co.</v>
      </c>
      <c r="B13" s="1">
        <f>VLOOKUP($A13,raw!$A$4:$AU$24,$B$2,FALSE)</f>
        <v>102709692</v>
      </c>
      <c r="C13" s="1">
        <f t="shared" si="0"/>
        <v>102709692</v>
      </c>
      <c r="D13" s="4">
        <f>C13*(1+VLOOKUP($A13,criteria!$A$4:$I$24,$D$2,FALSE))</f>
        <v>104763885.84</v>
      </c>
      <c r="E13" s="4">
        <f>D13*(1+VLOOKUP($A13,criteria!$A$4:$I$24,$D$2,FALSE))</f>
        <v>106859163.55680001</v>
      </c>
      <c r="F13" s="4">
        <f>E13*(1+VLOOKUP($A13,criteria!$A$4:$I$24,$D$2,FALSE))</f>
        <v>108996346.82793601</v>
      </c>
      <c r="G13" s="4">
        <f>F13*(1+VLOOKUP($A13,criteria!$A$4:$I$24,$D$2,FALSE))</f>
        <v>111176273.76449473</v>
      </c>
      <c r="H13" s="4">
        <f>G13*(1+VLOOKUP($A13,criteria!$A$4:$I$24,$D$2,FALSE))</f>
        <v>113399799.23978463</v>
      </c>
      <c r="I13" s="4">
        <f>H13*(1+VLOOKUP($A13,criteria!$A$4:$I$24,$D$2,FALSE))</f>
        <v>115667795.22458032</v>
      </c>
      <c r="J13" s="4">
        <f>I13*(1+VLOOKUP($A13,criteria!$A$4:$I$24,$D$2,FALSE))</f>
        <v>117981151.12907192</v>
      </c>
      <c r="K13" s="4">
        <f>J13*(1+VLOOKUP($A13,criteria!$A$4:$I$24,$D$2,FALSE))</f>
        <v>120340774.15165336</v>
      </c>
      <c r="L13" s="4">
        <f>K13*(1+VLOOKUP($A13,criteria!$A$4:$I$24,$D$2,FALSE))</f>
        <v>122747589.63468644</v>
      </c>
      <c r="M13" s="4">
        <f>L13*(1+VLOOKUP($A13,criteria!$A$4:$I$24,$D$2,FALSE))</f>
        <v>125202541.42738017</v>
      </c>
    </row>
    <row r="14" spans="1:13" x14ac:dyDescent="0.2">
      <c r="A14" t="str">
        <f>raw!A14</f>
        <v>Illinois Power Co.</v>
      </c>
      <c r="B14" s="1">
        <f>VLOOKUP($A14,raw!$A$4:$AU$24,$B$2,FALSE)</f>
        <v>213772504</v>
      </c>
      <c r="C14" s="1">
        <f t="shared" si="0"/>
        <v>213772504</v>
      </c>
      <c r="D14" s="4">
        <f>C14*(1+VLOOKUP($A14,criteria!$A$4:$I$24,$D$2,FALSE))</f>
        <v>218047954.08000001</v>
      </c>
      <c r="E14" s="4">
        <f>D14*(1+VLOOKUP($A14,criteria!$A$4:$I$24,$D$2,FALSE))</f>
        <v>222408913.16160002</v>
      </c>
      <c r="F14" s="4">
        <f>E14*(1+VLOOKUP($A14,criteria!$A$4:$I$24,$D$2,FALSE))</f>
        <v>226857091.42483202</v>
      </c>
      <c r="G14" s="4">
        <f>F14*(1+VLOOKUP($A14,criteria!$A$4:$I$24,$D$2,FALSE))</f>
        <v>231394233.25332865</v>
      </c>
      <c r="H14" s="4">
        <f>G14*(1+VLOOKUP($A14,criteria!$A$4:$I$24,$D$2,FALSE))</f>
        <v>236022117.91839522</v>
      </c>
      <c r="I14" s="4">
        <f>H14*(1+VLOOKUP($A14,criteria!$A$4:$I$24,$D$2,FALSE))</f>
        <v>240742560.27676314</v>
      </c>
      <c r="J14" s="4">
        <f>I14*(1+VLOOKUP($A14,criteria!$A$4:$I$24,$D$2,FALSE))</f>
        <v>245557411.4822984</v>
      </c>
      <c r="K14" s="4">
        <f>J14*(1+VLOOKUP($A14,criteria!$A$4:$I$24,$D$2,FALSE))</f>
        <v>250468559.71194437</v>
      </c>
      <c r="L14" s="4">
        <f>K14*(1+VLOOKUP($A14,criteria!$A$4:$I$24,$D$2,FALSE))</f>
        <v>255477930.90618327</v>
      </c>
      <c r="M14" s="4">
        <f>L14*(1+VLOOKUP($A14,criteria!$A$4:$I$24,$D$2,FALSE))</f>
        <v>260587489.52430695</v>
      </c>
    </row>
    <row r="15" spans="1:13" x14ac:dyDescent="0.2">
      <c r="A15" t="str">
        <f>raw!A15</f>
        <v>Jersey Central Power &amp; Light Co.</v>
      </c>
      <c r="B15" s="1">
        <f>VLOOKUP($A15,raw!$A$4:$AU$24,$B$2,FALSE)</f>
        <v>184742952</v>
      </c>
      <c r="C15" s="1">
        <f t="shared" si="0"/>
        <v>184742952</v>
      </c>
      <c r="D15" s="4">
        <f>C15*(1+VLOOKUP($A15,criteria!$A$4:$I$24,$D$2,FALSE))</f>
        <v>188437811.03999999</v>
      </c>
      <c r="E15" s="4">
        <f>D15*(1+VLOOKUP($A15,criteria!$A$4:$I$24,$D$2,FALSE))</f>
        <v>192206567.2608</v>
      </c>
      <c r="F15" s="4">
        <f>E15*(1+VLOOKUP($A15,criteria!$A$4:$I$24,$D$2,FALSE))</f>
        <v>196050698.60601601</v>
      </c>
      <c r="G15" s="4">
        <f>F15*(1+VLOOKUP($A15,criteria!$A$4:$I$24,$D$2,FALSE))</f>
        <v>199971712.57813632</v>
      </c>
      <c r="H15" s="4">
        <f>G15*(1+VLOOKUP($A15,criteria!$A$4:$I$24,$D$2,FALSE))</f>
        <v>203971146.82969907</v>
      </c>
      <c r="I15" s="4">
        <f>H15*(1+VLOOKUP($A15,criteria!$A$4:$I$24,$D$2,FALSE))</f>
        <v>208050569.76629305</v>
      </c>
      <c r="J15" s="4">
        <f>I15*(1+VLOOKUP($A15,criteria!$A$4:$I$24,$D$2,FALSE))</f>
        <v>212211581.16161892</v>
      </c>
      <c r="K15" s="4">
        <f>J15*(1+VLOOKUP($A15,criteria!$A$4:$I$24,$D$2,FALSE))</f>
        <v>216455812.78485131</v>
      </c>
      <c r="L15" s="4">
        <f>K15*(1+VLOOKUP($A15,criteria!$A$4:$I$24,$D$2,FALSE))</f>
        <v>220784929.04054835</v>
      </c>
      <c r="M15" s="4">
        <f>L15*(1+VLOOKUP($A15,criteria!$A$4:$I$24,$D$2,FALSE))</f>
        <v>225200627.62135932</v>
      </c>
    </row>
    <row r="16" spans="1:13" x14ac:dyDescent="0.2">
      <c r="A16" t="str">
        <f>raw!A16</f>
        <v>Kentucky Utilities Co.</v>
      </c>
      <c r="B16" s="1">
        <f>VLOOKUP($A16,raw!$A$4:$AU$24,$B$2,FALSE)</f>
        <v>163239552</v>
      </c>
      <c r="C16" s="1">
        <f t="shared" si="0"/>
        <v>163239552</v>
      </c>
      <c r="D16" s="4">
        <f>C16*(1+VLOOKUP($A16,criteria!$A$4:$I$24,$D$2,FALSE))</f>
        <v>166504343.03999999</v>
      </c>
      <c r="E16" s="4">
        <f>D16*(1+VLOOKUP($A16,criteria!$A$4:$I$24,$D$2,FALSE))</f>
        <v>169834429.90079999</v>
      </c>
      <c r="F16" s="4">
        <f>E16*(1+VLOOKUP($A16,criteria!$A$4:$I$24,$D$2,FALSE))</f>
        <v>173231118.49881598</v>
      </c>
      <c r="G16" s="4">
        <f>F16*(1+VLOOKUP($A16,criteria!$A$4:$I$24,$D$2,FALSE))</f>
        <v>176695740.8687923</v>
      </c>
      <c r="H16" s="4">
        <f>G16*(1+VLOOKUP($A16,criteria!$A$4:$I$24,$D$2,FALSE))</f>
        <v>180229655.68616813</v>
      </c>
      <c r="I16" s="4">
        <f>H16*(1+VLOOKUP($A16,criteria!$A$4:$I$24,$D$2,FALSE))</f>
        <v>183834248.7998915</v>
      </c>
      <c r="J16" s="4">
        <f>I16*(1+VLOOKUP($A16,criteria!$A$4:$I$24,$D$2,FALSE))</f>
        <v>187510933.77588934</v>
      </c>
      <c r="K16" s="4">
        <f>J16*(1+VLOOKUP($A16,criteria!$A$4:$I$24,$D$2,FALSE))</f>
        <v>191261152.45140713</v>
      </c>
      <c r="L16" s="4">
        <f>K16*(1+VLOOKUP($A16,criteria!$A$4:$I$24,$D$2,FALSE))</f>
        <v>195086375.50043529</v>
      </c>
      <c r="M16" s="4">
        <f>L16*(1+VLOOKUP($A16,criteria!$A$4:$I$24,$D$2,FALSE))</f>
        <v>198988103.01044402</v>
      </c>
    </row>
    <row r="17" spans="1:13" x14ac:dyDescent="0.2">
      <c r="A17" t="str">
        <f>raw!A17</f>
        <v>Ohio Power Co.</v>
      </c>
      <c r="B17" s="1">
        <f>VLOOKUP($A17,raw!$A$4:$AU$24,$B$2,FALSE)</f>
        <v>442930097</v>
      </c>
      <c r="C17" s="1">
        <f t="shared" si="0"/>
        <v>442930097</v>
      </c>
      <c r="D17" s="4">
        <f>C17*(1+VLOOKUP($A17,criteria!$A$4:$I$24,$D$2,FALSE))</f>
        <v>451788698.94</v>
      </c>
      <c r="E17" s="4">
        <f>D17*(1+VLOOKUP($A17,criteria!$A$4:$I$24,$D$2,FALSE))</f>
        <v>460824472.9188</v>
      </c>
      <c r="F17" s="4">
        <f>E17*(1+VLOOKUP($A17,criteria!$A$4:$I$24,$D$2,FALSE))</f>
        <v>470040962.37717599</v>
      </c>
      <c r="G17" s="4">
        <f>F17*(1+VLOOKUP($A17,criteria!$A$4:$I$24,$D$2,FALSE))</f>
        <v>479441781.6247195</v>
      </c>
      <c r="H17" s="4">
        <f>G17*(1+VLOOKUP($A17,criteria!$A$4:$I$24,$D$2,FALSE))</f>
        <v>489030617.25721389</v>
      </c>
      <c r="I17" s="4">
        <f>H17*(1+VLOOKUP($A17,criteria!$A$4:$I$24,$D$2,FALSE))</f>
        <v>498811229.60235816</v>
      </c>
      <c r="J17" s="4">
        <f>I17*(1+VLOOKUP($A17,criteria!$A$4:$I$24,$D$2,FALSE))</f>
        <v>508787454.19440532</v>
      </c>
      <c r="K17" s="4">
        <f>J17*(1+VLOOKUP($A17,criteria!$A$4:$I$24,$D$2,FALSE))</f>
        <v>518963203.27829343</v>
      </c>
      <c r="L17" s="4">
        <f>K17*(1+VLOOKUP($A17,criteria!$A$4:$I$24,$D$2,FALSE))</f>
        <v>529342467.34385931</v>
      </c>
      <c r="M17" s="4">
        <f>L17*(1+VLOOKUP($A17,criteria!$A$4:$I$24,$D$2,FALSE))</f>
        <v>539929316.69073653</v>
      </c>
    </row>
    <row r="18" spans="1:13" x14ac:dyDescent="0.2">
      <c r="A18" t="str">
        <f>raw!A18</f>
        <v>PPL Electric Utilities Corp.</v>
      </c>
      <c r="B18" s="1">
        <f>VLOOKUP($A18,raw!$A$4:$AU$24,$B$2,FALSE)</f>
        <v>436616341</v>
      </c>
      <c r="C18" s="1">
        <f t="shared" si="0"/>
        <v>436616341</v>
      </c>
      <c r="D18" s="4">
        <f>C18*(1+VLOOKUP($A18,criteria!$A$4:$I$24,$D$2,FALSE))</f>
        <v>445348667.81999999</v>
      </c>
      <c r="E18" s="4">
        <f>D18*(1+VLOOKUP($A18,criteria!$A$4:$I$24,$D$2,FALSE))</f>
        <v>454255641.17640001</v>
      </c>
      <c r="F18" s="4">
        <f>E18*(1+VLOOKUP($A18,criteria!$A$4:$I$24,$D$2,FALSE))</f>
        <v>463340753.999928</v>
      </c>
      <c r="G18" s="4">
        <f>F18*(1+VLOOKUP($A18,criteria!$A$4:$I$24,$D$2,FALSE))</f>
        <v>472607569.07992655</v>
      </c>
      <c r="H18" s="4">
        <f>G18*(1+VLOOKUP($A18,criteria!$A$4:$I$24,$D$2,FALSE))</f>
        <v>482059720.46152508</v>
      </c>
      <c r="I18" s="4">
        <f>H18*(1+VLOOKUP($A18,criteria!$A$4:$I$24,$D$2,FALSE))</f>
        <v>491700914.87075561</v>
      </c>
      <c r="J18" s="4">
        <f>I18*(1+VLOOKUP($A18,criteria!$A$4:$I$24,$D$2,FALSE))</f>
        <v>501534933.16817075</v>
      </c>
      <c r="K18" s="4">
        <f>J18*(1+VLOOKUP($A18,criteria!$A$4:$I$24,$D$2,FALSE))</f>
        <v>511565631.83153415</v>
      </c>
      <c r="L18" s="4">
        <f>K18*(1+VLOOKUP($A18,criteria!$A$4:$I$24,$D$2,FALSE))</f>
        <v>521796944.46816486</v>
      </c>
      <c r="M18" s="4">
        <f>L18*(1+VLOOKUP($A18,criteria!$A$4:$I$24,$D$2,FALSE))</f>
        <v>532232883.35752815</v>
      </c>
    </row>
    <row r="19" spans="1:13" x14ac:dyDescent="0.2">
      <c r="A19" t="str">
        <f>raw!A19</f>
        <v>Pacific Gas &amp; Electric Co.</v>
      </c>
      <c r="B19" s="1">
        <f>VLOOKUP($A19,raw!$A$4:$AU$24,$B$2,FALSE)</f>
        <v>740935890</v>
      </c>
      <c r="C19" s="1">
        <f t="shared" si="0"/>
        <v>740935890</v>
      </c>
      <c r="D19" s="4">
        <f>C19*(1+VLOOKUP($A19,criteria!$A$4:$I$24,$D$2,FALSE))</f>
        <v>753531800.12999988</v>
      </c>
      <c r="E19" s="4">
        <f>D19*(1+VLOOKUP($A19,criteria!$A$4:$I$24,$D$2,FALSE))</f>
        <v>766341840.7322098</v>
      </c>
      <c r="F19" s="4">
        <f>E19*(1+VLOOKUP($A19,criteria!$A$4:$I$24,$D$2,FALSE))</f>
        <v>779369652.02465725</v>
      </c>
      <c r="G19" s="4">
        <f>F19*(1+VLOOKUP($A19,criteria!$A$4:$I$24,$D$2,FALSE))</f>
        <v>792618936.10907638</v>
      </c>
      <c r="H19" s="4">
        <f>G19*(1+VLOOKUP($A19,criteria!$A$4:$I$24,$D$2,FALSE))</f>
        <v>806093458.02293062</v>
      </c>
      <c r="I19" s="4">
        <f>H19*(1+VLOOKUP($A19,criteria!$A$4:$I$24,$D$2,FALSE))</f>
        <v>819797046.80932033</v>
      </c>
      <c r="J19" s="4">
        <f>I19*(1+VLOOKUP($A19,criteria!$A$4:$I$24,$D$2,FALSE))</f>
        <v>833733596.6050787</v>
      </c>
      <c r="K19" s="4">
        <f>J19*(1+VLOOKUP($A19,criteria!$A$4:$I$24,$D$2,FALSE))</f>
        <v>847907067.747365</v>
      </c>
      <c r="L19" s="4">
        <f>K19*(1+VLOOKUP($A19,criteria!$A$4:$I$24,$D$2,FALSE))</f>
        <v>862321487.89907014</v>
      </c>
      <c r="M19" s="4">
        <f>L19*(1+VLOOKUP($A19,criteria!$A$4:$I$24,$D$2,FALSE))</f>
        <v>876980953.19335425</v>
      </c>
    </row>
    <row r="20" spans="1:13" x14ac:dyDescent="0.2">
      <c r="A20" t="str">
        <f>raw!A20</f>
        <v>Public Service Electric &amp; Gas Co.</v>
      </c>
      <c r="B20" s="1">
        <f>VLOOKUP($A20,raw!$A$4:$AU$24,$B$2,FALSE)</f>
        <v>401750739</v>
      </c>
      <c r="C20" s="1">
        <f t="shared" si="0"/>
        <v>401750739</v>
      </c>
      <c r="D20" s="4">
        <f>C20*(1+VLOOKUP($A20,criteria!$A$4:$I$24,$D$2,FALSE))</f>
        <v>409785753.78000003</v>
      </c>
      <c r="E20" s="4">
        <f>D20*(1+VLOOKUP($A20,criteria!$A$4:$I$24,$D$2,FALSE))</f>
        <v>417981468.85560006</v>
      </c>
      <c r="F20" s="4">
        <f>E20*(1+VLOOKUP($A20,criteria!$A$4:$I$24,$D$2,FALSE))</f>
        <v>426341098.23271209</v>
      </c>
      <c r="G20" s="4">
        <f>F20*(1+VLOOKUP($A20,criteria!$A$4:$I$24,$D$2,FALSE))</f>
        <v>434867920.19736636</v>
      </c>
      <c r="H20" s="4">
        <f>G20*(1+VLOOKUP($A20,criteria!$A$4:$I$24,$D$2,FALSE))</f>
        <v>443565278.60131371</v>
      </c>
      <c r="I20" s="4">
        <f>H20*(1+VLOOKUP($A20,criteria!$A$4:$I$24,$D$2,FALSE))</f>
        <v>452436584.17333996</v>
      </c>
      <c r="J20" s="4">
        <f>I20*(1+VLOOKUP($A20,criteria!$A$4:$I$24,$D$2,FALSE))</f>
        <v>461485315.85680676</v>
      </c>
      <c r="K20" s="4">
        <f>J20*(1+VLOOKUP($A20,criteria!$A$4:$I$24,$D$2,FALSE))</f>
        <v>470715022.17394292</v>
      </c>
      <c r="L20" s="4">
        <f>K20*(1+VLOOKUP($A20,criteria!$A$4:$I$24,$D$2,FALSE))</f>
        <v>480129322.61742181</v>
      </c>
      <c r="M20" s="4">
        <f>L20*(1+VLOOKUP($A20,criteria!$A$4:$I$24,$D$2,FALSE))</f>
        <v>489731909.06977028</v>
      </c>
    </row>
    <row r="21" spans="1:13" x14ac:dyDescent="0.2">
      <c r="A21" t="str">
        <f>raw!A21</f>
        <v>San Diego Gas &amp; Electric Co.</v>
      </c>
      <c r="B21" s="1">
        <f>VLOOKUP($A21,raw!$A$4:$AU$24,$B$2,FALSE)</f>
        <v>158380426</v>
      </c>
      <c r="C21" s="1">
        <f t="shared" si="0"/>
        <v>158380426</v>
      </c>
      <c r="D21" s="4">
        <f>C21*(1+VLOOKUP($A21,criteria!$A$4:$I$24,$D$2,FALSE))</f>
        <v>161548034.52000001</v>
      </c>
      <c r="E21" s="4">
        <f>D21*(1+VLOOKUP($A21,criteria!$A$4:$I$24,$D$2,FALSE))</f>
        <v>164778995.21040002</v>
      </c>
      <c r="F21" s="4">
        <f>E21*(1+VLOOKUP($A21,criteria!$A$4:$I$24,$D$2,FALSE))</f>
        <v>168074575.11460802</v>
      </c>
      <c r="G21" s="4">
        <f>F21*(1+VLOOKUP($A21,criteria!$A$4:$I$24,$D$2,FALSE))</f>
        <v>171436066.61690018</v>
      </c>
      <c r="H21" s="4">
        <f>G21*(1+VLOOKUP($A21,criteria!$A$4:$I$24,$D$2,FALSE))</f>
        <v>174864787.94923818</v>
      </c>
      <c r="I21" s="4">
        <f>H21*(1+VLOOKUP($A21,criteria!$A$4:$I$24,$D$2,FALSE))</f>
        <v>178362083.70822296</v>
      </c>
      <c r="J21" s="4">
        <f>I21*(1+VLOOKUP($A21,criteria!$A$4:$I$24,$D$2,FALSE))</f>
        <v>181929325.38238743</v>
      </c>
      <c r="K21" s="4">
        <f>J21*(1+VLOOKUP($A21,criteria!$A$4:$I$24,$D$2,FALSE))</f>
        <v>185567911.89003518</v>
      </c>
      <c r="L21" s="4">
        <f>K21*(1+VLOOKUP($A21,criteria!$A$4:$I$24,$D$2,FALSE))</f>
        <v>189279270.1278359</v>
      </c>
      <c r="M21" s="4">
        <f>L21*(1+VLOOKUP($A21,criteria!$A$4:$I$24,$D$2,FALSE))</f>
        <v>193064855.53039262</v>
      </c>
    </row>
    <row r="22" spans="1:13" x14ac:dyDescent="0.2">
      <c r="A22" t="str">
        <f>raw!A22</f>
        <v>Southern California Edison Co.</v>
      </c>
      <c r="B22" s="1">
        <f>VLOOKUP($A22,raw!$A$4:$AU$24,$B$2,FALSE)</f>
        <v>743409028</v>
      </c>
      <c r="C22" s="1">
        <f t="shared" si="0"/>
        <v>743409028</v>
      </c>
      <c r="D22" s="4">
        <f>C22*(1+VLOOKUP($A22,criteria!$A$4:$I$24,$D$2,FALSE))</f>
        <v>758277208.56000006</v>
      </c>
      <c r="E22" s="4">
        <f>D22*(1+VLOOKUP($A22,criteria!$A$4:$I$24,$D$2,FALSE))</f>
        <v>773442752.7312001</v>
      </c>
      <c r="F22" s="4">
        <f>E22*(1+VLOOKUP($A22,criteria!$A$4:$I$24,$D$2,FALSE))</f>
        <v>788911607.78582406</v>
      </c>
      <c r="G22" s="4">
        <f>F22*(1+VLOOKUP($A22,criteria!$A$4:$I$24,$D$2,FALSE))</f>
        <v>804689839.9415406</v>
      </c>
      <c r="H22" s="4">
        <f>G22*(1+VLOOKUP($A22,criteria!$A$4:$I$24,$D$2,FALSE))</f>
        <v>820783636.74037147</v>
      </c>
      <c r="I22" s="4">
        <f>H22*(1+VLOOKUP($A22,criteria!$A$4:$I$24,$D$2,FALSE))</f>
        <v>837199309.47517896</v>
      </c>
      <c r="J22" s="4">
        <f>I22*(1+VLOOKUP($A22,criteria!$A$4:$I$24,$D$2,FALSE))</f>
        <v>853943295.66468251</v>
      </c>
      <c r="K22" s="4">
        <f>J22*(1+VLOOKUP($A22,criteria!$A$4:$I$24,$D$2,FALSE))</f>
        <v>871022161.57797623</v>
      </c>
      <c r="L22" s="4">
        <f>K22*(1+VLOOKUP($A22,criteria!$A$4:$I$24,$D$2,FALSE))</f>
        <v>888442604.80953574</v>
      </c>
      <c r="M22" s="4">
        <f>L22*(1+VLOOKUP($A22,criteria!$A$4:$I$24,$D$2,FALSE))</f>
        <v>906211456.90572643</v>
      </c>
    </row>
    <row r="23" spans="1:13" x14ac:dyDescent="0.2">
      <c r="A23" t="str">
        <f>raw!A23</f>
        <v>Southwestern Public Service Co.</v>
      </c>
      <c r="B23" s="1">
        <f>VLOOKUP($A23,raw!$A$4:$AU$24,$B$2,FALSE)</f>
        <v>192549941</v>
      </c>
      <c r="C23" s="1">
        <f t="shared" si="0"/>
        <v>192549941</v>
      </c>
      <c r="D23" s="4">
        <f>C23*(1+VLOOKUP($A23,criteria!$A$4:$I$24,$D$2,FALSE))</f>
        <v>196400939.81999999</v>
      </c>
      <c r="E23" s="4">
        <f>D23*(1+VLOOKUP($A23,criteria!$A$4:$I$24,$D$2,FALSE))</f>
        <v>200328958.6164</v>
      </c>
      <c r="F23" s="4">
        <f>E23*(1+VLOOKUP($A23,criteria!$A$4:$I$24,$D$2,FALSE))</f>
        <v>204335537.788728</v>
      </c>
      <c r="G23" s="4">
        <f>F23*(1+VLOOKUP($A23,criteria!$A$4:$I$24,$D$2,FALSE))</f>
        <v>208422248.54450256</v>
      </c>
      <c r="H23" s="4">
        <f>G23*(1+VLOOKUP($A23,criteria!$A$4:$I$24,$D$2,FALSE))</f>
        <v>212590693.5153926</v>
      </c>
      <c r="I23" s="4">
        <f>H23*(1+VLOOKUP($A23,criteria!$A$4:$I$24,$D$2,FALSE))</f>
        <v>216842507.38570046</v>
      </c>
      <c r="J23" s="4">
        <f>I23*(1+VLOOKUP($A23,criteria!$A$4:$I$24,$D$2,FALSE))</f>
        <v>221179357.53341448</v>
      </c>
      <c r="K23" s="4">
        <f>J23*(1+VLOOKUP($A23,criteria!$A$4:$I$24,$D$2,FALSE))</f>
        <v>225602944.68408278</v>
      </c>
      <c r="L23" s="4">
        <f>K23*(1+VLOOKUP($A23,criteria!$A$4:$I$24,$D$2,FALSE))</f>
        <v>230115003.57776442</v>
      </c>
      <c r="M23" s="4">
        <f>L23*(1+VLOOKUP($A23,criteria!$A$4:$I$24,$D$2,FALSE))</f>
        <v>234717303.64931971</v>
      </c>
    </row>
    <row r="24" spans="1:13" x14ac:dyDescent="0.2">
      <c r="A24" t="str">
        <f>raw!A24</f>
        <v>TXU Electric Co.</v>
      </c>
      <c r="B24" s="1">
        <f>VLOOKUP($A24,raw!$A$4:$AU$24,$B$2,FALSE)</f>
        <v>852877807</v>
      </c>
      <c r="C24" s="1">
        <f t="shared" si="0"/>
        <v>852877807</v>
      </c>
      <c r="D24" s="4">
        <f>C24*(1+VLOOKUP($A24,criteria!$A$4:$I$24,$D$2,FALSE))</f>
        <v>869935363.13999999</v>
      </c>
      <c r="E24" s="4">
        <f>D24*(1+VLOOKUP($A24,criteria!$A$4:$I$24,$D$2,FALSE))</f>
        <v>887334070.40279996</v>
      </c>
      <c r="F24" s="4">
        <f>E24*(1+VLOOKUP($A24,criteria!$A$4:$I$24,$D$2,FALSE))</f>
        <v>905080751.81085598</v>
      </c>
      <c r="G24" s="4">
        <f>F24*(1+VLOOKUP($A24,criteria!$A$4:$I$24,$D$2,FALSE))</f>
        <v>923182366.84707308</v>
      </c>
      <c r="H24" s="4">
        <f>G24*(1+VLOOKUP($A24,criteria!$A$4:$I$24,$D$2,FALSE))</f>
        <v>941646014.18401456</v>
      </c>
      <c r="I24" s="4">
        <f>H24*(1+VLOOKUP($A24,criteria!$A$4:$I$24,$D$2,FALSE))</f>
        <v>960478934.46769488</v>
      </c>
      <c r="J24" s="4">
        <f>I24*(1+VLOOKUP($A24,criteria!$A$4:$I$24,$D$2,FALSE))</f>
        <v>979688513.15704882</v>
      </c>
      <c r="K24" s="4">
        <f>J24*(1+VLOOKUP($A24,criteria!$A$4:$I$24,$D$2,FALSE))</f>
        <v>999282283.42018986</v>
      </c>
      <c r="L24" s="4">
        <f>K24*(1+VLOOKUP($A24,criteria!$A$4:$I$24,$D$2,FALSE))</f>
        <v>1019267929.0885937</v>
      </c>
      <c r="M24" s="4">
        <f>L24*(1+VLOOKUP($A24,criteria!$A$4:$I$24,$D$2,FALSE))</f>
        <v>1039653287.6703656</v>
      </c>
    </row>
  </sheetData>
  <pageMargins left="0.75" right="0.75" top="1" bottom="1" header="0.5" footer="0.5"/>
  <pageSetup scale="63" orientation="landscape" verticalDpi="0" r:id="rId1"/>
  <headerFooter alignWithMargins="0">
    <oddFooter>Page &amp;P&amp;R&amp;A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H25"/>
  <sheetViews>
    <sheetView workbookViewId="0">
      <selection activeCell="E25" sqref="E25"/>
    </sheetView>
  </sheetViews>
  <sheetFormatPr defaultRowHeight="12.75" x14ac:dyDescent="0.2"/>
  <cols>
    <col min="1" max="1" width="36.140625" bestFit="1" customWidth="1"/>
    <col min="3" max="3" width="13.85546875" customWidth="1"/>
    <col min="4" max="5" width="12.42578125" customWidth="1"/>
    <col min="6" max="6" width="11.28515625" customWidth="1"/>
    <col min="7" max="7" width="13.7109375" customWidth="1"/>
    <col min="8" max="8" width="12.42578125" customWidth="1"/>
  </cols>
  <sheetData>
    <row r="2" spans="1:8" x14ac:dyDescent="0.2">
      <c r="A2">
        <v>1</v>
      </c>
      <c r="B2">
        <v>2</v>
      </c>
      <c r="C2" s="57">
        <v>3</v>
      </c>
      <c r="D2">
        <v>4</v>
      </c>
      <c r="E2" s="57">
        <v>5</v>
      </c>
      <c r="F2">
        <v>6</v>
      </c>
      <c r="G2" s="57">
        <v>7</v>
      </c>
      <c r="H2">
        <v>8</v>
      </c>
    </row>
    <row r="3" spans="1:8" ht="38.25" x14ac:dyDescent="0.2">
      <c r="A3" s="60" t="str">
        <f>raw!A3</f>
        <v>Company Name</v>
      </c>
      <c r="B3" s="60" t="str">
        <f>raw!B3</f>
        <v>Company ID</v>
      </c>
      <c r="C3" s="62" t="s">
        <v>319</v>
      </c>
      <c r="D3" s="41" t="s">
        <v>453</v>
      </c>
      <c r="E3" s="41" t="s">
        <v>487</v>
      </c>
      <c r="F3" s="41" t="s">
        <v>488</v>
      </c>
      <c r="G3" s="41" t="s">
        <v>489</v>
      </c>
      <c r="H3" s="41" t="s">
        <v>490</v>
      </c>
    </row>
    <row r="4" spans="1:8" x14ac:dyDescent="0.2">
      <c r="A4" s="59" t="str">
        <f>raw!A4</f>
        <v>Boston Edison Co.</v>
      </c>
      <c r="B4" s="59" t="str">
        <f>raw!B4</f>
        <v>01998</v>
      </c>
      <c r="C4" s="58">
        <f>SUM(raw!V4:Z4)/(raw!AB4-raw!AA4)</f>
        <v>0.20395566504150811</v>
      </c>
      <c r="D4" s="9">
        <f>SUM(raw!AV4:BA4)/SUM(raw!V4:AA4)</f>
        <v>0.34245554823437641</v>
      </c>
      <c r="E4" s="9">
        <f>SUM(raw!BC4)/raw!BF4</f>
        <v>9.7599680126855215E-2</v>
      </c>
      <c r="F4" s="9">
        <f>raw!BD4/raw!BF4</f>
        <v>0.37946617774832986</v>
      </c>
      <c r="G4" s="15">
        <f>raw!BI4/raw!BC4</f>
        <v>3.3062682887651497E-2</v>
      </c>
      <c r="H4" s="15">
        <f>raw!BJ4/raw!BD4</f>
        <v>3.4003259088977215E-2</v>
      </c>
    </row>
    <row r="5" spans="1:8" x14ac:dyDescent="0.2">
      <c r="A5" s="59" t="str">
        <f>raw!A5</f>
        <v>Carolina Power &amp; Light Co.</v>
      </c>
      <c r="B5" s="59" t="str">
        <f>raw!B5</f>
        <v>03046</v>
      </c>
      <c r="C5" s="58">
        <f>SUM(raw!V5:Z5)/(raw!AB5-raw!AA5)</f>
        <v>0.11220013090799724</v>
      </c>
      <c r="D5" s="9">
        <f>SUM(raw!AV5:BA5)/SUM(raw!V5:AA5)</f>
        <v>0.28716465124845347</v>
      </c>
      <c r="E5" s="9">
        <f>SUM(raw!BC5)/raw!BF5</f>
        <v>9.9150787724743047E-2</v>
      </c>
      <c r="F5" s="9">
        <f>raw!BD5/raw!BF5</f>
        <v>0.22573566985522417</v>
      </c>
      <c r="G5" s="15">
        <v>0.02</v>
      </c>
      <c r="H5" s="15">
        <v>0.02</v>
      </c>
    </row>
    <row r="6" spans="1:8" x14ac:dyDescent="0.2">
      <c r="A6" s="59" t="str">
        <f>raw!A6</f>
        <v>Central Hudson Gas &amp; Electric Corp.</v>
      </c>
      <c r="B6" s="59" t="str">
        <f>raw!B6</f>
        <v>03249</v>
      </c>
      <c r="C6" s="58">
        <f>SUM(raw!V6:Z6)/(raw!AB6-raw!AA6)</f>
        <v>0.21789689005260524</v>
      </c>
      <c r="D6" s="9">
        <f>SUM(raw!AV6:BA6)/SUM(raw!V6:AA6)</f>
        <v>0.39269614499555833</v>
      </c>
      <c r="E6" s="9">
        <f>SUM(raw!BC6)/raw!BF6</f>
        <v>8.5971076789000372E-2</v>
      </c>
      <c r="F6" s="9">
        <f>raw!BD6/raw!BF6</f>
        <v>0.24745163816887536</v>
      </c>
      <c r="G6" s="15">
        <v>0.02</v>
      </c>
      <c r="H6" s="15">
        <v>0.02</v>
      </c>
    </row>
    <row r="7" spans="1:8" x14ac:dyDescent="0.2">
      <c r="A7" s="59" t="str">
        <f>raw!A7</f>
        <v>Commonwealth Edison Co.</v>
      </c>
      <c r="B7" s="59" t="str">
        <f>raw!B7</f>
        <v>04110</v>
      </c>
      <c r="C7" s="58">
        <f>SUM(raw!V7:Z7)/(raw!AB7-raw!AA7)</f>
        <v>0.15052429875939047</v>
      </c>
      <c r="D7" s="9">
        <f>SUM(raw!AV7:BA7)/SUM(raw!V7:AA7)</f>
        <v>0.32524368524089881</v>
      </c>
      <c r="E7" s="9">
        <f>SUM(raw!BC7)/raw!BF7</f>
        <v>8.7341094924198767E-2</v>
      </c>
      <c r="F7" s="9">
        <f>raw!BD7/raw!BF7</f>
        <v>0.14500221754121428</v>
      </c>
      <c r="G7" s="15">
        <v>0.02</v>
      </c>
      <c r="H7" s="15">
        <v>0.02</v>
      </c>
    </row>
    <row r="8" spans="1:8" x14ac:dyDescent="0.2">
      <c r="A8" s="59" t="str">
        <f>raw!A8</f>
        <v>Consolidated Edison Co. of New York, Inc.</v>
      </c>
      <c r="B8" s="59" t="str">
        <f>raw!B8</f>
        <v>04226</v>
      </c>
      <c r="C8" s="58">
        <f>SUM(raw!V8:Z8)/(raw!AB8-raw!AA8)</f>
        <v>0.2484952133198669</v>
      </c>
      <c r="D8" s="9">
        <f>SUM(raw!AV8:BA8)/SUM(raw!V8:AA8)</f>
        <v>0.19920443667400095</v>
      </c>
      <c r="E8" s="9">
        <f>SUM(raw!BC8)/raw!BF8</f>
        <v>0.13269584522135722</v>
      </c>
      <c r="F8" s="9">
        <f>raw!BD8/raw!BF8</f>
        <v>0.54403876359473125</v>
      </c>
      <c r="G8" s="15">
        <v>0.02</v>
      </c>
      <c r="H8" s="15">
        <v>0.02</v>
      </c>
    </row>
    <row r="9" spans="1:8" x14ac:dyDescent="0.2">
      <c r="A9" s="59" t="str">
        <f>raw!A9</f>
        <v>Consumers Energy Co.</v>
      </c>
      <c r="B9" s="59" t="str">
        <f>raw!B9</f>
        <v>04254</v>
      </c>
      <c r="C9" s="58">
        <f>SUM(raw!V9:Z9)/(raw!AB9-raw!AA9)</f>
        <v>0.12516507428469625</v>
      </c>
      <c r="D9" s="9">
        <f>SUM(raw!AV9:BA9)/SUM(raw!V9:AA9)</f>
        <v>0.27389740936605761</v>
      </c>
      <c r="E9" s="9">
        <f>SUM(raw!BC9)/raw!BF9</f>
        <v>0.14764242426110361</v>
      </c>
      <c r="F9" s="9">
        <f>raw!BD9/raw!BF9</f>
        <v>0.36893129924180651</v>
      </c>
      <c r="G9" s="15">
        <v>0.02</v>
      </c>
      <c r="H9" s="15">
        <v>0.02</v>
      </c>
    </row>
    <row r="10" spans="1:8" x14ac:dyDescent="0.2">
      <c r="A10" s="59" t="str">
        <f>raw!A10</f>
        <v>Duke Energy Corp.</v>
      </c>
      <c r="B10" s="59" t="str">
        <f>raw!B10</f>
        <v>05416</v>
      </c>
      <c r="C10" s="58">
        <f>SUM(raw!V10:Z10)/(raw!AB10-raw!AA10)</f>
        <v>0.13931530915390125</v>
      </c>
      <c r="D10" s="9">
        <f>SUM(raw!AV10:BA10)/SUM(raw!V10:AA10)</f>
        <v>0.38958929877716275</v>
      </c>
      <c r="E10" s="9">
        <f>SUM(raw!BC10)/raw!BF10</f>
        <v>8.8968122499805888E-2</v>
      </c>
      <c r="F10" s="9">
        <f>raw!BD10/raw!BF10</f>
        <v>0.29546453424017088</v>
      </c>
      <c r="G10" s="15">
        <v>0.02</v>
      </c>
      <c r="H10" s="15">
        <v>0.02</v>
      </c>
    </row>
    <row r="11" spans="1:8" x14ac:dyDescent="0.2">
      <c r="A11" s="59" t="str">
        <f>raw!A11</f>
        <v>Entergy Mississippi, Inc.</v>
      </c>
      <c r="B11" s="59" t="str">
        <f>raw!B11</f>
        <v>12685</v>
      </c>
      <c r="C11" s="58">
        <f>SUM(raw!V11:Z11)/(raw!AB11-raw!AA11)</f>
        <v>0.1210699174559184</v>
      </c>
      <c r="D11" s="9">
        <f>SUM(raw!AV11:BA11)/SUM(raw!V11:AA11)</f>
        <v>0.28055888598679612</v>
      </c>
      <c r="E11" s="9">
        <f>SUM(raw!BC11)/raw!BF11</f>
        <v>0.29173150605439574</v>
      </c>
      <c r="F11" s="9">
        <f>raw!BD11/raw!BF11</f>
        <v>0.37772379118246757</v>
      </c>
      <c r="G11" s="15">
        <v>0.02</v>
      </c>
      <c r="H11" s="15">
        <v>0.02</v>
      </c>
    </row>
    <row r="12" spans="1:8" x14ac:dyDescent="0.2">
      <c r="A12" s="59" t="str">
        <f>raw!A12</f>
        <v>Florida Power &amp; Light Co.</v>
      </c>
      <c r="B12" s="59" t="str">
        <f>raw!B12</f>
        <v>06452</v>
      </c>
      <c r="C12" s="58">
        <f>SUM(raw!V12:Z12)/(raw!AB12-raw!AA12)</f>
        <v>0.1573745031412134</v>
      </c>
      <c r="D12" s="9">
        <f>SUM(raw!AV12:BA12)/SUM(raw!V12:AA12)</f>
        <v>0.36240184655888613</v>
      </c>
      <c r="E12" s="9">
        <f>SUM(raw!BC12)/raw!BF12</f>
        <v>0.11138650483677728</v>
      </c>
      <c r="F12" s="9">
        <f>raw!BD12/raw!BF12</f>
        <v>0.33896623772234602</v>
      </c>
      <c r="G12" s="15">
        <v>0.02</v>
      </c>
      <c r="H12" s="15">
        <v>0.02</v>
      </c>
    </row>
    <row r="13" spans="1:8" x14ac:dyDescent="0.2">
      <c r="A13" s="59" t="str">
        <f>raw!A13</f>
        <v>Gulf Power Co.</v>
      </c>
      <c r="B13" s="59" t="str">
        <f>raw!B13</f>
        <v>07801</v>
      </c>
      <c r="C13" s="58">
        <f>SUM(raw!V13:Z13)/(raw!AB13-raw!AA13)</f>
        <v>0.13000502611639775</v>
      </c>
      <c r="D13" s="9">
        <f>SUM(raw!AV13:BA13)/SUM(raw!V13:AA13)</f>
        <v>0.3235754844698116</v>
      </c>
      <c r="E13" s="9">
        <f>SUM(raw!BC13)/raw!BF13</f>
        <v>9.2348538341819011E-2</v>
      </c>
      <c r="F13" s="9">
        <f>raw!BD13/raw!BF13</f>
        <v>0.31487299465985713</v>
      </c>
      <c r="G13" s="15">
        <v>0.02</v>
      </c>
      <c r="H13" s="15">
        <v>0.02</v>
      </c>
    </row>
    <row r="14" spans="1:8" x14ac:dyDescent="0.2">
      <c r="A14" s="59" t="str">
        <f>raw!A14</f>
        <v>Illinois Power Co.</v>
      </c>
      <c r="B14" s="59" t="str">
        <f>raw!B14</f>
        <v>09208</v>
      </c>
      <c r="C14" s="58">
        <f>SUM(raw!V14:Z14)/(raw!AB14-raw!AA14)</f>
        <v>0.11962956035968443</v>
      </c>
      <c r="D14" s="9">
        <f>SUM(raw!AV14:BA14)/SUM(raw!V14:AA14)</f>
        <v>0.2902902273102248</v>
      </c>
      <c r="E14" s="9">
        <f>SUM(raw!BC14)/raw!BF14</f>
        <v>3.9697347406749232E-2</v>
      </c>
      <c r="F14" s="9">
        <f>raw!BD14/raw!BF14</f>
        <v>0.13001868890711304</v>
      </c>
      <c r="G14" s="15">
        <v>0.02</v>
      </c>
      <c r="H14" s="15">
        <v>0.02</v>
      </c>
    </row>
    <row r="15" spans="1:8" x14ac:dyDescent="0.2">
      <c r="A15" s="59" t="str">
        <f>raw!A15</f>
        <v>Jersey Central Power &amp; Light Co.</v>
      </c>
      <c r="B15" s="59" t="str">
        <f>raw!B15</f>
        <v>09726</v>
      </c>
      <c r="C15" s="58">
        <f>SUM(raw!V15:Z15)/(raw!AB15-raw!AA15)</f>
        <v>0.14602122768611797</v>
      </c>
      <c r="D15" s="9">
        <f>SUM(raw!AV15:BA15)/SUM(raw!V15:AA15)</f>
        <v>0.26639719530621603</v>
      </c>
      <c r="E15" s="9">
        <f>SUM(raw!BC15)/raw!BF15</f>
        <v>0.14904263778709742</v>
      </c>
      <c r="F15" s="9">
        <f>raw!BD15/raw!BF15</f>
        <v>0.38413209770060958</v>
      </c>
      <c r="G15" s="15">
        <v>0.02</v>
      </c>
      <c r="H15" s="15">
        <v>0.02</v>
      </c>
    </row>
    <row r="16" spans="1:8" x14ac:dyDescent="0.2">
      <c r="A16" s="59" t="str">
        <f>raw!A16</f>
        <v>Kentucky Utilities Co.</v>
      </c>
      <c r="B16" s="59" t="str">
        <f>raw!B16</f>
        <v>10171</v>
      </c>
      <c r="C16" s="58">
        <f>SUM(raw!V16:Z16)/(raw!AB16-raw!AA16)</f>
        <v>0.17775988210133661</v>
      </c>
      <c r="D16" s="9">
        <f>SUM(raw!AV16:BA16)/SUM(raw!V16:AA16)</f>
        <v>0.32872991560987214</v>
      </c>
      <c r="E16" s="9">
        <f>SUM(raw!BC16)/raw!BF16</f>
        <v>0.17399893070173947</v>
      </c>
      <c r="F16" s="9">
        <f>raw!BD16/raw!BF16</f>
        <v>0.29773157401420003</v>
      </c>
      <c r="G16" s="15">
        <v>0.02</v>
      </c>
      <c r="H16" s="15">
        <v>0.02</v>
      </c>
    </row>
    <row r="17" spans="1:8" x14ac:dyDescent="0.2">
      <c r="A17" s="59" t="str">
        <f>raw!A17</f>
        <v>Ohio Power Co.</v>
      </c>
      <c r="B17" s="59" t="str">
        <f>raw!B17</f>
        <v>14006</v>
      </c>
      <c r="C17" s="58">
        <f>SUM(raw!V17:Z17)/(raw!AB17-raw!AA17)</f>
        <v>0.11688133644540193</v>
      </c>
      <c r="D17" s="9">
        <f>SUM(raw!AV17:BA17)/SUM(raw!V17:AA17)</f>
        <v>0.28663217739387098</v>
      </c>
      <c r="E17" s="9">
        <f>SUM(raw!BC17)/raw!BF17</f>
        <v>0.21031339992210671</v>
      </c>
      <c r="F17" s="9">
        <f>raw!BD17/raw!BF17</f>
        <v>0.24668542847986807</v>
      </c>
      <c r="G17" s="15">
        <v>0.02</v>
      </c>
      <c r="H17" s="15">
        <v>0.02</v>
      </c>
    </row>
    <row r="18" spans="1:8" x14ac:dyDescent="0.2">
      <c r="A18" s="59" t="str">
        <f>raw!A18</f>
        <v>PPL Electric Utilities Corp.</v>
      </c>
      <c r="B18" s="59" t="str">
        <f>raw!B18</f>
        <v>14715</v>
      </c>
      <c r="C18" s="58">
        <f>SUM(raw!V18:Z18)/(raw!AB18-raw!AA18)</f>
        <v>0.13268692270572258</v>
      </c>
      <c r="D18" s="9">
        <f>SUM(raw!AV18:BA18)/SUM(raw!V18:AA18)</f>
        <v>0.3220021226508491</v>
      </c>
      <c r="E18" s="9">
        <f>SUM(raw!BC18)/raw!BF18</f>
        <v>4.1779929776461416E-2</v>
      </c>
      <c r="F18" s="9">
        <f>raw!BD18/raw!BF18</f>
        <v>0.23732037517812116</v>
      </c>
      <c r="G18" s="15">
        <v>0.02</v>
      </c>
      <c r="H18" s="15">
        <v>0.02</v>
      </c>
    </row>
    <row r="19" spans="1:8" x14ac:dyDescent="0.2">
      <c r="A19" s="59" t="str">
        <f>raw!A19</f>
        <v>Pacific Gas &amp; Electric Co.</v>
      </c>
      <c r="B19" s="59" t="str">
        <f>raw!B19</f>
        <v>14328</v>
      </c>
      <c r="C19" s="58">
        <f>SUM(raw!V19:Z19)/(raw!AB19-raw!AA19)</f>
        <v>0.18476003808795546</v>
      </c>
      <c r="D19" s="9">
        <f>SUM(raw!AV19:BA19)/SUM(raw!V19:AA19)</f>
        <v>0.31481129768415683</v>
      </c>
      <c r="E19" s="9">
        <f>SUM(raw!BC19)/raw!BF19</f>
        <v>7.9816521887067754E-2</v>
      </c>
      <c r="F19" s="9">
        <f>raw!BD19/raw!BF19</f>
        <v>0.32999225312917124</v>
      </c>
      <c r="G19" s="15">
        <v>0.02</v>
      </c>
      <c r="H19" s="15">
        <v>0.02</v>
      </c>
    </row>
    <row r="20" spans="1:8" x14ac:dyDescent="0.2">
      <c r="A20" s="59" t="str">
        <f>raw!A20</f>
        <v>Public Service Electric &amp; Gas Co.</v>
      </c>
      <c r="B20" s="59" t="str">
        <f>raw!B20</f>
        <v>15477</v>
      </c>
      <c r="C20" s="58">
        <f>SUM(raw!V20:Z20)/(raw!AB20-raw!AA20)</f>
        <v>0.13311126204788298</v>
      </c>
      <c r="D20" s="9">
        <f>SUM(raw!AV20:BA20)/SUM(raw!V20:AA20)</f>
        <v>0.36106217499250703</v>
      </c>
      <c r="E20" s="9">
        <f>SUM(raw!BC20)/raw!BF20</f>
        <v>7.5881892001346887E-2</v>
      </c>
      <c r="F20" s="9">
        <f>raw!BD20/raw!BF20</f>
        <v>0.19370848165236282</v>
      </c>
      <c r="G20" s="15">
        <v>0.02</v>
      </c>
      <c r="H20" s="15">
        <v>0.02</v>
      </c>
    </row>
    <row r="21" spans="1:8" x14ac:dyDescent="0.2">
      <c r="A21" s="59" t="str">
        <f>raw!A21</f>
        <v>San Diego Gas &amp; Electric Co.</v>
      </c>
      <c r="B21" s="59" t="str">
        <f>raw!B21</f>
        <v>16609</v>
      </c>
      <c r="C21" s="58">
        <f>SUM(raw!V21:Z21)/(raw!AB21-raw!AA21)</f>
        <v>0.1781289571699142</v>
      </c>
      <c r="D21" s="9">
        <f>SUM(raw!AV21:BA21)/SUM(raw!V21:AA21)</f>
        <v>0.22033766112359929</v>
      </c>
      <c r="E21" s="9">
        <f>SUM(raw!BC21)/raw!BF21</f>
        <v>0.14745579362770991</v>
      </c>
      <c r="F21" s="9">
        <f>raw!BD21/raw!BF21</f>
        <v>0.4445709398740631</v>
      </c>
      <c r="G21" s="15">
        <v>0.02</v>
      </c>
      <c r="H21" s="15">
        <v>0.02</v>
      </c>
    </row>
    <row r="22" spans="1:8" x14ac:dyDescent="0.2">
      <c r="A22" s="59" t="str">
        <f>raw!A22</f>
        <v>Southern California Edison Co.</v>
      </c>
      <c r="B22" s="59" t="str">
        <f>raw!B22</f>
        <v>17609</v>
      </c>
      <c r="C22" s="58">
        <f>SUM(raw!V22:Z22)/(raw!AB22-raw!AA22)</f>
        <v>0.1268473927546874</v>
      </c>
      <c r="D22" s="9">
        <f>SUM(raw!AV22:BA22)/SUM(raw!V22:AA22)</f>
        <v>0.3049900568899741</v>
      </c>
      <c r="E22" s="9">
        <f>SUM(raw!BC22)/raw!BF22</f>
        <v>0.14894397271702131</v>
      </c>
      <c r="F22" s="9">
        <f>raw!BD22/raw!BF22</f>
        <v>0.32911580282543429</v>
      </c>
      <c r="G22" s="15">
        <v>0.02</v>
      </c>
      <c r="H22" s="15">
        <v>0.02</v>
      </c>
    </row>
    <row r="23" spans="1:8" x14ac:dyDescent="0.2">
      <c r="A23" s="59" t="str">
        <f>raw!A23</f>
        <v>Southwestern Public Service Co.</v>
      </c>
      <c r="B23" s="59" t="str">
        <f>raw!B23</f>
        <v>17718</v>
      </c>
      <c r="C23" s="58">
        <f>SUM(raw!V23:Z23)/(raw!AB23-raw!AA23)</f>
        <v>9.1764879768966162E-2</v>
      </c>
      <c r="D23" s="9">
        <f>SUM(raw!AV23:BA23)/SUM(raw!V23:AA23)</f>
        <v>0.3978180374909242</v>
      </c>
      <c r="E23" s="9">
        <f>SUM(raw!BC23)/raw!BF23</f>
        <v>0.22581100690691014</v>
      </c>
      <c r="F23" s="9">
        <f>raw!BD23/raw!BF23</f>
        <v>0.22619956080739692</v>
      </c>
      <c r="G23" s="15">
        <v>0.02</v>
      </c>
      <c r="H23" s="15">
        <v>0.02</v>
      </c>
    </row>
    <row r="24" spans="1:8" x14ac:dyDescent="0.2">
      <c r="A24" s="59" t="str">
        <f>raw!A24</f>
        <v>TXU Electric Co.</v>
      </c>
      <c r="B24" s="59" t="str">
        <f>raw!B24</f>
        <v>44372</v>
      </c>
      <c r="C24" s="58">
        <f>SUM(raw!V24:Z24)/(raw!AB24-raw!AA24)</f>
        <v>0.13524290320456483</v>
      </c>
      <c r="D24" s="9">
        <f>SUM(raw!AV24:BA24)/SUM(raw!V24:AA24)</f>
        <v>0.25741238583762788</v>
      </c>
      <c r="E24" s="9">
        <f>SUM(raw!BC24)/raw!BF24</f>
        <v>6.7506434424913803E-2</v>
      </c>
      <c r="F24" s="9">
        <f>raw!BD24/raw!BF24</f>
        <v>0.18460923237234977</v>
      </c>
      <c r="G24" s="15">
        <v>0.02</v>
      </c>
      <c r="H24" s="15">
        <v>0.02</v>
      </c>
    </row>
    <row r="25" spans="1:8" x14ac:dyDescent="0.2">
      <c r="A25" s="59"/>
      <c r="B25" s="59"/>
    </row>
  </sheetData>
  <pageMargins left="0.75" right="0.75" top="1" bottom="1" header="0.5" footer="0.5"/>
  <pageSetup orientation="landscape" verticalDpi="0" r:id="rId1"/>
  <headerFooter alignWithMargins="0">
    <oddFooter>Page &amp;P&amp;R&amp;A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Y1:BD70"/>
  <sheetViews>
    <sheetView workbookViewId="0"/>
  </sheetViews>
  <sheetFormatPr defaultRowHeight="12.75" x14ac:dyDescent="0.2"/>
  <cols>
    <col min="1" max="1" width="29.28515625" bestFit="1" customWidth="1"/>
    <col min="20" max="21" width="7.28515625" bestFit="1" customWidth="1"/>
    <col min="22" max="33" width="8.7109375" customWidth="1"/>
  </cols>
  <sheetData>
    <row r="1" spans="25:56" x14ac:dyDescent="0.2">
      <c r="Y1" t="s">
        <v>542</v>
      </c>
    </row>
    <row r="2" spans="25:56" x14ac:dyDescent="0.2">
      <c r="AA2" s="35" t="s">
        <v>333</v>
      </c>
      <c r="AM2" t="s">
        <v>546</v>
      </c>
      <c r="AW2" t="s">
        <v>546</v>
      </c>
    </row>
    <row r="3" spans="25:56" x14ac:dyDescent="0.2">
      <c r="Y3" s="8" t="s">
        <v>442</v>
      </c>
      <c r="Z3" s="8" t="s">
        <v>332</v>
      </c>
      <c r="AA3" s="8">
        <v>2000</v>
      </c>
      <c r="AB3" s="8">
        <v>2001</v>
      </c>
      <c r="AC3" s="8">
        <v>2002</v>
      </c>
      <c r="AD3" s="8">
        <v>2003</v>
      </c>
      <c r="AE3" s="8">
        <v>2004</v>
      </c>
      <c r="AF3" s="8">
        <v>2005</v>
      </c>
      <c r="AG3" s="8">
        <v>2006</v>
      </c>
      <c r="AH3" s="8">
        <v>2007</v>
      </c>
      <c r="AI3" s="8">
        <v>2008</v>
      </c>
      <c r="AJ3" s="8">
        <v>2009</v>
      </c>
      <c r="AK3" s="8">
        <v>2010</v>
      </c>
      <c r="AN3" s="63">
        <v>4.4999999999999998E-2</v>
      </c>
      <c r="AO3" s="63">
        <v>0.05</v>
      </c>
      <c r="AP3" s="63">
        <v>5.5E-2</v>
      </c>
      <c r="AQ3" s="63">
        <v>0.06</v>
      </c>
      <c r="AR3" s="63">
        <v>6.5000000000000002E-2</v>
      </c>
      <c r="AS3" s="63">
        <v>7.0000000000000007E-2</v>
      </c>
      <c r="AT3" s="11">
        <v>7.4999999999999997E-2</v>
      </c>
      <c r="AX3" s="63">
        <v>4.4999999999999998E-2</v>
      </c>
      <c r="AY3" s="63">
        <v>0.05</v>
      </c>
      <c r="AZ3" s="63">
        <v>5.5E-2</v>
      </c>
      <c r="BA3" s="63">
        <v>0.06</v>
      </c>
      <c r="BB3" s="63">
        <v>6.5000000000000002E-2</v>
      </c>
      <c r="BC3" s="63">
        <v>7.0000000000000007E-2</v>
      </c>
      <c r="BD3" s="11">
        <v>7.4999999999999997E-2</v>
      </c>
    </row>
    <row r="4" spans="25:56" x14ac:dyDescent="0.2">
      <c r="Y4" t="s">
        <v>318</v>
      </c>
      <c r="Z4" s="56" t="s">
        <v>333</v>
      </c>
      <c r="AA4" s="17">
        <f>Assumptions!$C$5</f>
        <v>6.0900000000000003E-2</v>
      </c>
      <c r="AB4" s="17">
        <f>VLOOKUP($Z4,Assumptions!$B$5:$M$7,(Assumptions!E$4-Assumptions!$C$4+1),FALSE)</f>
        <v>6.0699999999999997E-2</v>
      </c>
      <c r="AC4" s="17">
        <f>VLOOKUP($Z$4,Assumptions!$B$5:$M$7,(Assumptions!F4-Assumptions!$C$4+1),FALSE)</f>
        <v>6.0100000000000001E-2</v>
      </c>
      <c r="AD4" s="17">
        <f>VLOOKUP($Z$4,Assumptions!$B$5:$M$7,(Assumptions!G4-Assumptions!$C$4+1),FALSE)</f>
        <v>5.9900000000000002E-2</v>
      </c>
      <c r="AE4" s="17">
        <f>VLOOKUP($Z$4,Assumptions!$B$5:$M$7,(Assumptions!H4-Assumptions!$C$4+1),FALSE)</f>
        <v>5.9900000000000002E-2</v>
      </c>
      <c r="AF4" s="17">
        <f>VLOOKUP($Z$4,Assumptions!$B$5:$M$7,(Assumptions!I4-Assumptions!$C$4+1),FALSE)</f>
        <v>5.96E-2</v>
      </c>
      <c r="AG4" s="17">
        <f>VLOOKUP($Z$4,Assumptions!$B$5:$M$7,(Assumptions!J4-Assumptions!$C$4+1),FALSE)</f>
        <v>5.9400000000000001E-2</v>
      </c>
      <c r="AH4" s="17">
        <f>VLOOKUP($Z$4,Assumptions!$B$5:$M$7,(Assumptions!K4-Assumptions!$C$4+1),FALSE)</f>
        <v>5.9200000000000003E-2</v>
      </c>
      <c r="AI4" s="17">
        <f>VLOOKUP($Z$4,Assumptions!$B$5:$M$7,(Assumptions!L4-Assumptions!$C$4+1),FALSE)</f>
        <v>5.91E-2</v>
      </c>
      <c r="AJ4" s="17">
        <f>VLOOKUP($Z$4,Assumptions!$B$5:$M$7,(Assumptions!M4-Assumptions!$C$4+1),FALSE)</f>
        <v>5.8999999999999997E-2</v>
      </c>
      <c r="AK4" s="17">
        <f>VLOOKUP($Z$4,Assumptions!$B$5:$M$7,(Assumptions!N4-Assumptions!$C$4+1),FALSE)</f>
        <v>5.8900000000000001E-2</v>
      </c>
      <c r="AM4" s="60">
        <v>2000</v>
      </c>
      <c r="AN4" s="16">
        <v>0</v>
      </c>
      <c r="AO4" s="16">
        <v>0</v>
      </c>
      <c r="AP4" s="16">
        <v>0</v>
      </c>
      <c r="AQ4" s="4">
        <v>0</v>
      </c>
      <c r="AR4" s="4">
        <v>0</v>
      </c>
      <c r="AS4" s="4">
        <v>0</v>
      </c>
      <c r="AT4" s="4">
        <v>0</v>
      </c>
      <c r="AW4" s="60">
        <v>2000</v>
      </c>
      <c r="AX4" s="4">
        <f t="shared" ref="AX4:AX14" si="0">AN4-$AQ4</f>
        <v>0</v>
      </c>
      <c r="AY4" s="4">
        <f t="shared" ref="AY4:AY14" si="1">AO4-$AQ4</f>
        <v>0</v>
      </c>
      <c r="AZ4" s="4">
        <f t="shared" ref="AZ4:AZ14" si="2">AP4-$AQ4</f>
        <v>0</v>
      </c>
      <c r="BA4" s="4">
        <f>AQ4-$AQ4</f>
        <v>0</v>
      </c>
      <c r="BB4" s="4">
        <f t="shared" ref="BB4:BB14" si="3">AR4-$AQ4</f>
        <v>0</v>
      </c>
      <c r="BC4" s="4">
        <f t="shared" ref="BC4:BC14" si="4">AS4-$AQ4</f>
        <v>0</v>
      </c>
      <c r="BD4" s="4">
        <f t="shared" ref="BD4:BD14" si="5">AT4-$AQ4</f>
        <v>0</v>
      </c>
    </row>
    <row r="5" spans="25:56" x14ac:dyDescent="0.2">
      <c r="Y5" t="s">
        <v>316</v>
      </c>
      <c r="Z5" t="str">
        <f>Z4</f>
        <v>Base</v>
      </c>
      <c r="AA5" s="17">
        <f>Assumptions!$C$13</f>
        <v>3.5700000000000003E-2</v>
      </c>
      <c r="AB5" s="17">
        <f>VLOOKUP($Z5,Assumptions!$B$13:$M$15,Assumptions!E$4-Assumptions!$C$4+1,FALSE)</f>
        <v>3.1E-2</v>
      </c>
      <c r="AC5" s="17">
        <f>VLOOKUP($Z$5,Assumptions!$B$13:$M$15,Assumptions!F4-Assumptions!$C$4+1,FALSE)</f>
        <v>0.03</v>
      </c>
      <c r="AD5" s="17">
        <f>VLOOKUP($Z$5,Assumptions!$B$13:$M$15,Assumptions!G4-Assumptions!$C$4+1,FALSE)</f>
        <v>2.9000000000000001E-2</v>
      </c>
      <c r="AE5" s="17">
        <f>VLOOKUP($Z$5,Assumptions!$B$13:$M$15,Assumptions!H4-Assumptions!$C$4+1,FALSE)</f>
        <v>2.8500000000000001E-2</v>
      </c>
      <c r="AF5" s="17">
        <f>VLOOKUP($Z$5,Assumptions!$B$13:$M$15,Assumptions!I4-Assumptions!$C$4+1,FALSE)</f>
        <v>2.8000000000000001E-2</v>
      </c>
      <c r="AG5" s="17">
        <f>VLOOKUP($Z$5,Assumptions!$B$13:$M$15,Assumptions!J4-Assumptions!$C$4+1,FALSE)</f>
        <v>2.7199999999999998E-2</v>
      </c>
      <c r="AH5" s="17">
        <f>VLOOKUP($Z$5,Assumptions!$B$13:$M$15,Assumptions!K4-Assumptions!$C$4+1,FALSE)</f>
        <v>2.6700000000000002E-2</v>
      </c>
      <c r="AI5" s="17">
        <f>VLOOKUP($Z$5,Assumptions!$B$13:$M$15,Assumptions!L4-Assumptions!$C$4+1,FALSE)</f>
        <v>2.6200000000000001E-2</v>
      </c>
      <c r="AJ5" s="17">
        <f>VLOOKUP($Z$5,Assumptions!$B$13:$M$15,Assumptions!M4-Assumptions!$C$4+1,FALSE)</f>
        <v>2.58E-2</v>
      </c>
      <c r="AK5" s="17">
        <f>VLOOKUP($Z$5,Assumptions!$B$13:$M$15,Assumptions!N4-Assumptions!$C$4+1,FALSE)</f>
        <v>2.5399999999999999E-2</v>
      </c>
      <c r="AM5" s="60">
        <v>2001</v>
      </c>
      <c r="AN5" s="16">
        <v>-26.738331025424262</v>
      </c>
      <c r="AO5" s="16">
        <v>-13.74662213157643</v>
      </c>
      <c r="AP5" s="16">
        <v>-0.75491323772877883</v>
      </c>
      <c r="AQ5" s="4">
        <v>12.236795656119003</v>
      </c>
      <c r="AR5" s="4">
        <v>25.228504549966885</v>
      </c>
      <c r="AS5" s="4">
        <v>38.2202134438147</v>
      </c>
      <c r="AT5" s="4">
        <v>51.211922337662244</v>
      </c>
      <c r="AW5" s="60">
        <v>2001</v>
      </c>
      <c r="AX5" s="4">
        <f t="shared" si="0"/>
        <v>-38.975126681543266</v>
      </c>
      <c r="AY5" s="4">
        <f t="shared" si="1"/>
        <v>-25.983417787695434</v>
      </c>
      <c r="AZ5" s="4">
        <f t="shared" si="2"/>
        <v>-12.991708893847782</v>
      </c>
      <c r="BA5" s="4">
        <f t="shared" ref="BA5:BA14" si="6">AQ5-$AQ5</f>
        <v>0</v>
      </c>
      <c r="BB5" s="4">
        <f t="shared" si="3"/>
        <v>12.991708893847882</v>
      </c>
      <c r="BC5" s="4">
        <f t="shared" si="4"/>
        <v>25.983417787695696</v>
      </c>
      <c r="BD5" s="4">
        <f t="shared" si="5"/>
        <v>38.975126681543244</v>
      </c>
    </row>
    <row r="6" spans="25:56" x14ac:dyDescent="0.2">
      <c r="Y6" t="s">
        <v>317</v>
      </c>
      <c r="Z6" t="str">
        <f>Z4</f>
        <v>Base</v>
      </c>
      <c r="AA6" s="17">
        <f>Assumptions!$C$17</f>
        <v>4.6300000000000001E-2</v>
      </c>
      <c r="AB6" s="17">
        <f>VLOOKUP($Z6,Assumptions!$B$17:$M$19,Assumptions!E$4-Assumptions!$C$4+1,FALSE)</f>
        <v>3.2000000000000001E-2</v>
      </c>
      <c r="AC6" s="17">
        <f>VLOOKUP($Z$6,Assumptions!$B$17:$M$19,Assumptions!F4-Assumptions!$C$4+1,FALSE)</f>
        <v>2.9000000000000001E-2</v>
      </c>
      <c r="AD6" s="17">
        <f>VLOOKUP($Z$6,Assumptions!$B$17:$M$19,Assumptions!G4-Assumptions!$C$4+1,FALSE)</f>
        <v>2.7E-2</v>
      </c>
      <c r="AE6" s="17">
        <f>VLOOKUP($Z$6,Assumptions!$B$17:$M$19,Assumptions!H4-Assumptions!$C$4+1,FALSE)</f>
        <v>2.53E-2</v>
      </c>
      <c r="AF6" s="17">
        <f>VLOOKUP($Z$6,Assumptions!$B$17:$M$19,Assumptions!I4-Assumptions!$C$4+1,FALSE)</f>
        <v>2.4E-2</v>
      </c>
      <c r="AG6" s="17">
        <f>VLOOKUP($Z$6,Assumptions!$B$17:$M$19,Assumptions!J4-Assumptions!$C$4+1,FALSE)</f>
        <v>2.2499999999999999E-2</v>
      </c>
      <c r="AH6" s="17">
        <f>VLOOKUP($Z$6,Assumptions!$B$17:$M$19,Assumptions!K4-Assumptions!$C$4+1,FALSE)</f>
        <v>2.1000000000000001E-2</v>
      </c>
      <c r="AI6" s="17">
        <f>VLOOKUP($Z$6,Assumptions!$B$17:$M$19,Assumptions!L4-Assumptions!$C$4+1,FALSE)</f>
        <v>0.02</v>
      </c>
      <c r="AJ6" s="17">
        <f>VLOOKUP($Z$6,Assumptions!$B$17:$M$19,Assumptions!M4-Assumptions!$C$4+1,FALSE)</f>
        <v>1.9199999999999998E-2</v>
      </c>
      <c r="AK6" s="17">
        <f>VLOOKUP($Z$6,Assumptions!$B$17:$M$19,Assumptions!N4-Assumptions!$C$4+1,FALSE)</f>
        <v>1.7999999999999999E-2</v>
      </c>
      <c r="AM6" s="60">
        <v>2002</v>
      </c>
      <c r="AN6" s="16">
        <v>-52.061145204722024</v>
      </c>
      <c r="AO6" s="16">
        <v>-20.253010261092982</v>
      </c>
      <c r="AP6" s="16">
        <v>11.555124682535832</v>
      </c>
      <c r="AQ6" s="4">
        <v>43.36325962616479</v>
      </c>
      <c r="AR6" s="4">
        <v>75.171394569793847</v>
      </c>
      <c r="AS6" s="4">
        <v>106.97952951342285</v>
      </c>
      <c r="AT6" s="4">
        <v>138.78766445705156</v>
      </c>
      <c r="AW6" s="60">
        <v>2002</v>
      </c>
      <c r="AX6" s="4">
        <f t="shared" si="0"/>
        <v>-95.424404830886814</v>
      </c>
      <c r="AY6" s="4">
        <f t="shared" si="1"/>
        <v>-63.616269887257772</v>
      </c>
      <c r="AZ6" s="4">
        <f t="shared" si="2"/>
        <v>-31.808134943628957</v>
      </c>
      <c r="BA6" s="4">
        <f t="shared" si="6"/>
        <v>0</v>
      </c>
      <c r="BB6" s="4">
        <f t="shared" si="3"/>
        <v>31.808134943629057</v>
      </c>
      <c r="BC6" s="4">
        <f t="shared" si="4"/>
        <v>63.616269887258056</v>
      </c>
      <c r="BD6" s="4">
        <f t="shared" si="5"/>
        <v>95.424404830886772</v>
      </c>
    </row>
    <row r="7" spans="25:56" x14ac:dyDescent="0.2">
      <c r="Y7" t="s">
        <v>322</v>
      </c>
      <c r="Z7" s="56" t="s">
        <v>333</v>
      </c>
      <c r="AA7" s="75">
        <f>VLOOKUP(Z7,Assumptions!$B$21:$M$23,Assumptions!D$4-Assumptions!$C$4+1,FALSE)</f>
        <v>0.01</v>
      </c>
      <c r="AB7" s="75">
        <f>VLOOKUP($Z$7,Assumptions!$B$21:$M$23,Assumptions!E$4-Assumptions!$C$4+1,FALSE)</f>
        <v>0.01</v>
      </c>
      <c r="AC7" s="75">
        <f>VLOOKUP($Z$7,Assumptions!$B$21:$M$23,Assumptions!F4-Assumptions!$C$4+1,FALSE)</f>
        <v>0.01</v>
      </c>
      <c r="AD7" s="75">
        <f>VLOOKUP($Z$7,Assumptions!$B$21:$M$23,Assumptions!G4-Assumptions!$C$4+1,FALSE)</f>
        <v>0.01</v>
      </c>
      <c r="AE7" s="75">
        <f>VLOOKUP($Z$7,Assumptions!$B$21:$M$23,Assumptions!H4-Assumptions!$C$4+1,FALSE)</f>
        <v>0.01</v>
      </c>
      <c r="AF7" s="75">
        <f>VLOOKUP($Z$7,Assumptions!$B$21:$M$23,Assumptions!I4-Assumptions!$C$4+1,FALSE)</f>
        <v>0.01</v>
      </c>
      <c r="AG7" s="75">
        <f>VLOOKUP($Z$7,Assumptions!$B$21:$M$23,Assumptions!J4-Assumptions!$C$4+1,FALSE)</f>
        <v>0.01</v>
      </c>
      <c r="AH7" s="75">
        <f>VLOOKUP($Z$7,Assumptions!$B$21:$M$23,Assumptions!K4-Assumptions!$C$4+1,FALSE)</f>
        <v>0.01</v>
      </c>
      <c r="AI7" s="75">
        <f>VLOOKUP($Z$7,Assumptions!$B$21:$M$23,Assumptions!L4-Assumptions!$C$4+1,FALSE)</f>
        <v>0.01</v>
      </c>
      <c r="AJ7" s="75">
        <f>VLOOKUP($Z$7,Assumptions!$B$21:$M$23,Assumptions!M4-Assumptions!$C$4+1,FALSE)</f>
        <v>0.01</v>
      </c>
      <c r="AK7" s="75">
        <f>VLOOKUP($Z$7,Assumptions!$B$21:$M$23,Assumptions!N4-Assumptions!$C$4+1,FALSE)</f>
        <v>0.01</v>
      </c>
      <c r="AM7" s="60">
        <v>2003</v>
      </c>
      <c r="AN7" s="16">
        <v>-48.013533114898635</v>
      </c>
      <c r="AO7" s="16">
        <v>-16.205398171269593</v>
      </c>
      <c r="AP7" s="16">
        <v>15.602736772359215</v>
      </c>
      <c r="AQ7" s="4">
        <v>47.410871715988179</v>
      </c>
      <c r="AR7" s="4">
        <v>79.219006659617236</v>
      </c>
      <c r="AS7" s="4">
        <v>111.02714160324624</v>
      </c>
      <c r="AT7" s="4">
        <v>142.83527654687498</v>
      </c>
      <c r="AW7" s="60">
        <v>2003</v>
      </c>
      <c r="AX7" s="4">
        <f t="shared" si="0"/>
        <v>-95.424404830886814</v>
      </c>
      <c r="AY7" s="4">
        <f t="shared" si="1"/>
        <v>-63.616269887257772</v>
      </c>
      <c r="AZ7" s="4">
        <f t="shared" si="2"/>
        <v>-31.808134943628964</v>
      </c>
      <c r="BA7" s="4">
        <f t="shared" si="6"/>
        <v>0</v>
      </c>
      <c r="BB7" s="4">
        <f t="shared" si="3"/>
        <v>31.808134943629057</v>
      </c>
      <c r="BC7" s="4">
        <f t="shared" si="4"/>
        <v>63.616269887258056</v>
      </c>
      <c r="BD7" s="4">
        <f t="shared" si="5"/>
        <v>95.4244048308868</v>
      </c>
    </row>
    <row r="8" spans="25:56" x14ac:dyDescent="0.2">
      <c r="Y8" t="s">
        <v>462</v>
      </c>
      <c r="Z8" s="56" t="s">
        <v>335</v>
      </c>
      <c r="AA8" s="75">
        <f>VLOOKUP(Z8,Assumptions!$B$29:$M$31,Assumptions!D$4-Assumptions!$C$4+1,FALSE)</f>
        <v>0</v>
      </c>
      <c r="AB8" s="75">
        <f>VLOOKUP($Z$8,Assumptions!$B$29:$M$31,Assumptions!E$4-Assumptions!$C$4+1,FALSE)</f>
        <v>0</v>
      </c>
      <c r="AC8" s="75">
        <f>VLOOKUP($Z$8,Assumptions!$B$29:$M$31,Assumptions!F4-Assumptions!$C$4+1,FALSE)</f>
        <v>0</v>
      </c>
      <c r="AD8" s="75">
        <f>VLOOKUP($Z$8,Assumptions!$B$29:$M$31,Assumptions!G4-Assumptions!$C$4+1,FALSE)</f>
        <v>0</v>
      </c>
      <c r="AE8" s="75">
        <f>VLOOKUP($Z$8,Assumptions!$B$29:$M$31,Assumptions!H4-Assumptions!$C$4+1,FALSE)</f>
        <v>0</v>
      </c>
      <c r="AF8" s="75">
        <f>VLOOKUP($Z$8,Assumptions!$B$29:$M$31,Assumptions!I4-Assumptions!$C$4+1,FALSE)</f>
        <v>0</v>
      </c>
      <c r="AG8" s="75">
        <f>VLOOKUP($Z$8,Assumptions!$B$29:$M$31,Assumptions!J4-Assumptions!$C$4+1,FALSE)</f>
        <v>0</v>
      </c>
      <c r="AH8" s="75">
        <f>VLOOKUP($Z$8,Assumptions!$B$29:$M$31,Assumptions!K4-Assumptions!$C$4+1,FALSE)</f>
        <v>0</v>
      </c>
      <c r="AI8" s="75">
        <f>VLOOKUP($Z$8,Assumptions!$B$29:$M$31,Assumptions!L4-Assumptions!$C$4+1,FALSE)</f>
        <v>0</v>
      </c>
      <c r="AJ8" s="75">
        <f>VLOOKUP($Z$8,Assumptions!$B$29:$M$31,Assumptions!M4-Assumptions!$C$4+1,FALSE)</f>
        <v>0</v>
      </c>
      <c r="AK8" s="75">
        <f>VLOOKUP($Z$8,Assumptions!$B$29:$M$31,Assumptions!N4-Assumptions!$C$4+1,FALSE)</f>
        <v>0</v>
      </c>
      <c r="AM8" s="60">
        <v>2004</v>
      </c>
      <c r="AN8" s="16">
        <v>-43.821421273468559</v>
      </c>
      <c r="AO8" s="16">
        <v>-12.01328632983952</v>
      </c>
      <c r="AP8" s="16">
        <v>19.794848613789291</v>
      </c>
      <c r="AQ8" s="4">
        <v>51.602983557418248</v>
      </c>
      <c r="AR8" s="4">
        <v>83.411118501047298</v>
      </c>
      <c r="AS8" s="4">
        <v>115.21925344467631</v>
      </c>
      <c r="AT8" s="4">
        <v>147.02738838830504</v>
      </c>
      <c r="AW8" s="60">
        <v>2004</v>
      </c>
      <c r="AX8" s="4">
        <f t="shared" si="0"/>
        <v>-95.4244048308868</v>
      </c>
      <c r="AY8" s="4">
        <f t="shared" si="1"/>
        <v>-63.616269887257772</v>
      </c>
      <c r="AZ8" s="4">
        <f t="shared" si="2"/>
        <v>-31.808134943628957</v>
      </c>
      <c r="BA8" s="4">
        <f t="shared" si="6"/>
        <v>0</v>
      </c>
      <c r="BB8" s="4">
        <f t="shared" si="3"/>
        <v>31.808134943629049</v>
      </c>
      <c r="BC8" s="4">
        <f t="shared" si="4"/>
        <v>63.616269887258063</v>
      </c>
      <c r="BD8" s="4">
        <f t="shared" si="5"/>
        <v>95.4244048308868</v>
      </c>
    </row>
    <row r="9" spans="25:56" x14ac:dyDescent="0.2">
      <c r="Y9" t="s">
        <v>470</v>
      </c>
      <c r="Z9" s="56" t="s">
        <v>335</v>
      </c>
      <c r="AA9" s="75">
        <f>VLOOKUP(Z9,Assumptions!$B$33:$M$35,Assumptions!D$4-Assumptions!$C$4+1,FALSE)</f>
        <v>0</v>
      </c>
      <c r="AB9" s="75">
        <f>VLOOKUP($Z$9,Assumptions!$B$33:$M$35,Assumptions!E$4-Assumptions!$C$4+1,FALSE)</f>
        <v>0</v>
      </c>
      <c r="AC9" s="75">
        <f>VLOOKUP($Z$9,Assumptions!$B$33:$M$35,Assumptions!F4-Assumptions!$C$4+1,FALSE)</f>
        <v>0</v>
      </c>
      <c r="AD9" s="75">
        <f>VLOOKUP($Z$9,Assumptions!$B$33:$M$35,Assumptions!G4-Assumptions!$C$4+1,FALSE)</f>
        <v>0</v>
      </c>
      <c r="AE9" s="75">
        <f>VLOOKUP($Z$9,Assumptions!$B$33:$M$35,Assumptions!H4-Assumptions!$C$4+1,FALSE)</f>
        <v>0</v>
      </c>
      <c r="AF9" s="75">
        <f>VLOOKUP($Z$9,Assumptions!$B$33:$M$35,Assumptions!I4-Assumptions!$C$4+1,FALSE)</f>
        <v>0</v>
      </c>
      <c r="AG9" s="75">
        <f>VLOOKUP($Z$9,Assumptions!$B$33:$M$35,Assumptions!J4-Assumptions!$C$4+1,FALSE)</f>
        <v>0</v>
      </c>
      <c r="AH9" s="75">
        <f>VLOOKUP($Z$9,Assumptions!$B$33:$M$35,Assumptions!K4-Assumptions!$C$4+1,FALSE)</f>
        <v>0</v>
      </c>
      <c r="AI9" s="75">
        <f>VLOOKUP($Z$9,Assumptions!$B$33:$M$35,Assumptions!L4-Assumptions!$C$4+1,FALSE)</f>
        <v>0</v>
      </c>
      <c r="AJ9" s="75">
        <f>VLOOKUP($Z$9,Assumptions!$B$33:$M$35,Assumptions!M4-Assumptions!$C$4+1,FALSE)</f>
        <v>0</v>
      </c>
      <c r="AK9" s="75">
        <f>VLOOKUP($Z$9,Assumptions!$B$33:$M$35,Assumptions!N4-Assumptions!$C$4+1,FALSE)</f>
        <v>0</v>
      </c>
      <c r="AM9" s="60">
        <v>2005</v>
      </c>
      <c r="AN9" s="16">
        <v>9.7772624762141493</v>
      </c>
      <c r="AO9" s="16">
        <v>41.013803101741061</v>
      </c>
      <c r="AP9" s="16">
        <v>72.250343727267946</v>
      </c>
      <c r="AQ9" s="4">
        <v>103.48688435279468</v>
      </c>
      <c r="AR9" s="4">
        <v>134.72342497832156</v>
      </c>
      <c r="AS9" s="4">
        <v>165.9599656038483</v>
      </c>
      <c r="AT9" s="4">
        <v>197.19650622937553</v>
      </c>
      <c r="AW9" s="60">
        <v>2005</v>
      </c>
      <c r="AX9" s="4">
        <f t="shared" si="0"/>
        <v>-93.709621876580528</v>
      </c>
      <c r="AY9" s="4">
        <f t="shared" si="1"/>
        <v>-62.473081251053614</v>
      </c>
      <c r="AZ9" s="4">
        <f t="shared" si="2"/>
        <v>-31.236540625526729</v>
      </c>
      <c r="BA9" s="4">
        <f t="shared" si="6"/>
        <v>0</v>
      </c>
      <c r="BB9" s="4">
        <f t="shared" si="3"/>
        <v>31.236540625526885</v>
      </c>
      <c r="BC9" s="4">
        <f t="shared" si="4"/>
        <v>62.473081251053628</v>
      </c>
      <c r="BD9" s="4">
        <f t="shared" si="5"/>
        <v>93.709621876580854</v>
      </c>
    </row>
    <row r="10" spans="25:56" x14ac:dyDescent="0.2">
      <c r="AM10" s="60">
        <v>2006</v>
      </c>
      <c r="AN10" s="16">
        <v>85.208346056519176</v>
      </c>
      <c r="AO10" s="16">
        <v>115.55344589673501</v>
      </c>
      <c r="AP10" s="16">
        <v>145.89854573695106</v>
      </c>
      <c r="AQ10" s="4">
        <v>176.2436455771666</v>
      </c>
      <c r="AR10" s="4">
        <v>206.58874541738254</v>
      </c>
      <c r="AS10" s="4">
        <v>236.93384525759842</v>
      </c>
      <c r="AT10" s="4">
        <v>267.27894509781459</v>
      </c>
      <c r="AW10" s="60">
        <v>2006</v>
      </c>
      <c r="AX10" s="4">
        <f t="shared" si="0"/>
        <v>-91.035299520647428</v>
      </c>
      <c r="AY10" s="4">
        <f t="shared" si="1"/>
        <v>-60.69019968043159</v>
      </c>
      <c r="AZ10" s="4">
        <f t="shared" si="2"/>
        <v>-30.345099840215539</v>
      </c>
      <c r="BA10" s="4">
        <f t="shared" si="6"/>
        <v>0</v>
      </c>
      <c r="BB10" s="4">
        <f t="shared" si="3"/>
        <v>30.345099840215937</v>
      </c>
      <c r="BC10" s="4">
        <f t="shared" si="4"/>
        <v>60.690199680431817</v>
      </c>
      <c r="BD10" s="4">
        <f t="shared" si="5"/>
        <v>91.035299520647982</v>
      </c>
    </row>
    <row r="11" spans="25:56" x14ac:dyDescent="0.2">
      <c r="Y11" s="24" t="s">
        <v>330</v>
      </c>
      <c r="AM11" s="60">
        <v>2007</v>
      </c>
      <c r="AN11" s="16">
        <v>89.865652228153721</v>
      </c>
      <c r="AO11" s="16">
        <v>120.21075206836957</v>
      </c>
      <c r="AP11" s="16">
        <v>150.55585190858559</v>
      </c>
      <c r="AQ11" s="4">
        <v>180.90095174880122</v>
      </c>
      <c r="AR11" s="4">
        <v>211.24605158901713</v>
      </c>
      <c r="AS11" s="4">
        <v>241.59115142923301</v>
      </c>
      <c r="AT11" s="4">
        <v>271.93625126944909</v>
      </c>
      <c r="AW11" s="60">
        <v>2007</v>
      </c>
      <c r="AX11" s="4">
        <f t="shared" si="0"/>
        <v>-91.035299520647499</v>
      </c>
      <c r="AY11" s="4">
        <f t="shared" si="1"/>
        <v>-60.690199680431647</v>
      </c>
      <c r="AZ11" s="4">
        <f t="shared" si="2"/>
        <v>-30.345099840215624</v>
      </c>
      <c r="BA11" s="4">
        <f t="shared" si="6"/>
        <v>0</v>
      </c>
      <c r="BB11" s="4">
        <f t="shared" si="3"/>
        <v>30.345099840215909</v>
      </c>
      <c r="BC11" s="4">
        <f t="shared" si="4"/>
        <v>60.690199680431789</v>
      </c>
      <c r="BD11" s="4">
        <f t="shared" si="5"/>
        <v>91.035299520647868</v>
      </c>
    </row>
    <row r="12" spans="25:56" x14ac:dyDescent="0.2">
      <c r="Y12" t="s">
        <v>345</v>
      </c>
      <c r="AA12" s="1">
        <v>0</v>
      </c>
      <c r="AB12" s="1">
        <v>-0.4339428464006011</v>
      </c>
      <c r="AC12" s="1">
        <v>-5.8833624673087499</v>
      </c>
      <c r="AD12" s="1">
        <v>-5.3406378858769257</v>
      </c>
      <c r="AE12" s="1">
        <v>-4.8021551255157631</v>
      </c>
      <c r="AF12" s="1">
        <v>-9.668720936615383</v>
      </c>
      <c r="AG12" s="1">
        <v>-23.350988789975393</v>
      </c>
      <c r="AH12" s="1">
        <v>-22.838326103012648</v>
      </c>
      <c r="AI12" s="1">
        <v>-22.332707462765491</v>
      </c>
      <c r="AJ12" s="1">
        <v>-21.831584458872729</v>
      </c>
      <c r="AK12" s="1">
        <v>-21.335430819046422</v>
      </c>
      <c r="AM12" s="60">
        <v>2008</v>
      </c>
      <c r="AN12" s="16">
        <v>94.689224230115641</v>
      </c>
      <c r="AO12" s="16">
        <v>125.03432407033148</v>
      </c>
      <c r="AP12" s="16">
        <v>155.3794239105475</v>
      </c>
      <c r="AQ12" s="4">
        <v>185.72452375076313</v>
      </c>
      <c r="AR12" s="4">
        <v>216.06962359097903</v>
      </c>
      <c r="AS12" s="4">
        <v>246.41472343119489</v>
      </c>
      <c r="AT12" s="4">
        <v>276.75982327141105</v>
      </c>
      <c r="AW12" s="60">
        <v>2008</v>
      </c>
      <c r="AX12" s="4">
        <f t="shared" si="0"/>
        <v>-91.035299520647484</v>
      </c>
      <c r="AY12" s="4">
        <f t="shared" si="1"/>
        <v>-60.690199680431647</v>
      </c>
      <c r="AZ12" s="4">
        <f t="shared" si="2"/>
        <v>-30.345099840215624</v>
      </c>
      <c r="BA12" s="4">
        <f t="shared" si="6"/>
        <v>0</v>
      </c>
      <c r="BB12" s="4">
        <f t="shared" si="3"/>
        <v>30.345099840215909</v>
      </c>
      <c r="BC12" s="4">
        <f t="shared" si="4"/>
        <v>60.69019968043176</v>
      </c>
      <c r="BD12" s="4">
        <f t="shared" si="5"/>
        <v>91.035299520647925</v>
      </c>
    </row>
    <row r="13" spans="25:56" x14ac:dyDescent="0.2">
      <c r="Y13" t="s">
        <v>346</v>
      </c>
      <c r="AA13" s="1">
        <v>0</v>
      </c>
      <c r="AB13" s="1">
        <v>1.1940852516328451</v>
      </c>
      <c r="AC13" s="1">
        <v>-4.690293645766908</v>
      </c>
      <c r="AD13" s="1">
        <v>-3.1415935375899382</v>
      </c>
      <c r="AE13" s="1">
        <v>-1.6049977434163483</v>
      </c>
      <c r="AF13" s="1">
        <v>-10.689542044004874</v>
      </c>
      <c r="AG13" s="1">
        <v>-34.101610113266922</v>
      </c>
      <c r="AH13" s="1">
        <v>-32.638693588161551</v>
      </c>
      <c r="AI13" s="1">
        <v>-31.195877711310704</v>
      </c>
      <c r="AJ13" s="1">
        <v>-29.765890426984647</v>
      </c>
      <c r="AK13" s="1">
        <v>-28.350083548209749</v>
      </c>
      <c r="AM13" s="60">
        <v>2009</v>
      </c>
      <c r="AN13" s="16">
        <v>99.684997752547588</v>
      </c>
      <c r="AO13" s="16">
        <v>130.03009759276344</v>
      </c>
      <c r="AP13" s="16">
        <v>160.37519743297946</v>
      </c>
      <c r="AQ13" s="4">
        <v>190.720297273195</v>
      </c>
      <c r="AR13" s="4">
        <v>221.065397113411</v>
      </c>
      <c r="AS13" s="4">
        <v>251.41049695362682</v>
      </c>
      <c r="AT13" s="4">
        <v>281.75559679384298</v>
      </c>
      <c r="AW13" s="60">
        <v>2009</v>
      </c>
      <c r="AX13" s="4">
        <f t="shared" si="0"/>
        <v>-91.035299520647413</v>
      </c>
      <c r="AY13" s="4">
        <f t="shared" si="1"/>
        <v>-60.690199680431562</v>
      </c>
      <c r="AZ13" s="4">
        <f t="shared" si="2"/>
        <v>-30.345099840215539</v>
      </c>
      <c r="BA13" s="4">
        <f t="shared" si="6"/>
        <v>0</v>
      </c>
      <c r="BB13" s="4">
        <f t="shared" si="3"/>
        <v>30.345099840215994</v>
      </c>
      <c r="BC13" s="4">
        <f t="shared" si="4"/>
        <v>60.690199680431817</v>
      </c>
      <c r="BD13" s="4">
        <f t="shared" si="5"/>
        <v>91.035299520647982</v>
      </c>
    </row>
    <row r="14" spans="25:56" x14ac:dyDescent="0.2">
      <c r="AM14" s="60">
        <v>2010</v>
      </c>
      <c r="AN14" s="16">
        <v>104.85912038973036</v>
      </c>
      <c r="AO14" s="16">
        <v>135.2042202299462</v>
      </c>
      <c r="AP14" s="16">
        <v>165.54932007016222</v>
      </c>
      <c r="AQ14" s="4">
        <v>195.89441991037782</v>
      </c>
      <c r="AR14" s="4">
        <v>226.23951975059376</v>
      </c>
      <c r="AS14" s="4">
        <v>256.58461959080967</v>
      </c>
      <c r="AT14" s="4">
        <v>286.92971943102577</v>
      </c>
      <c r="AW14" s="60">
        <v>2010</v>
      </c>
      <c r="AX14" s="4">
        <f t="shared" si="0"/>
        <v>-91.035299520647456</v>
      </c>
      <c r="AY14" s="4">
        <f t="shared" si="1"/>
        <v>-60.690199680431618</v>
      </c>
      <c r="AZ14" s="4">
        <f t="shared" si="2"/>
        <v>-30.345099840215596</v>
      </c>
      <c r="BA14" s="4">
        <f t="shared" si="6"/>
        <v>0</v>
      </c>
      <c r="BB14" s="4">
        <f t="shared" si="3"/>
        <v>30.345099840215937</v>
      </c>
      <c r="BC14" s="4">
        <f t="shared" si="4"/>
        <v>60.690199680431846</v>
      </c>
      <c r="BD14" s="4">
        <f t="shared" si="5"/>
        <v>91.035299520647953</v>
      </c>
    </row>
    <row r="15" spans="25:56" ht="13.5" thickBot="1" x14ac:dyDescent="0.25">
      <c r="Y15" s="36" t="s">
        <v>344</v>
      </c>
      <c r="Z15" s="27"/>
      <c r="AA15" s="29">
        <f t="shared" ref="AA15:AI15" si="7">SUM(AA12:AA13)</f>
        <v>0</v>
      </c>
      <c r="AB15" s="29">
        <f t="shared" si="7"/>
        <v>0.76014240523224397</v>
      </c>
      <c r="AC15" s="29">
        <f t="shared" si="7"/>
        <v>-10.573656113075657</v>
      </c>
      <c r="AD15" s="29">
        <f t="shared" si="7"/>
        <v>-8.4822314234668639</v>
      </c>
      <c r="AE15" s="29">
        <f t="shared" si="7"/>
        <v>-6.4071528689321111</v>
      </c>
      <c r="AF15" s="29">
        <f t="shared" si="7"/>
        <v>-20.358262980620257</v>
      </c>
      <c r="AG15" s="29">
        <f t="shared" si="7"/>
        <v>-57.452598903242318</v>
      </c>
      <c r="AH15" s="29">
        <f t="shared" si="7"/>
        <v>-55.477019691174199</v>
      </c>
      <c r="AI15" s="29">
        <f t="shared" si="7"/>
        <v>-53.528585174076198</v>
      </c>
      <c r="AJ15" s="29">
        <f>SUM(AJ12:AJ13)</f>
        <v>-51.59747488585738</v>
      </c>
      <c r="AK15" s="29">
        <f>SUM(AK12:AK13)</f>
        <v>-49.685514367256175</v>
      </c>
    </row>
    <row r="16" spans="25:56" ht="13.5" thickTop="1" x14ac:dyDescent="0.2"/>
    <row r="17" spans="25:56" x14ac:dyDescent="0.2">
      <c r="AM17" t="s">
        <v>547</v>
      </c>
      <c r="AW17" t="s">
        <v>547</v>
      </c>
    </row>
    <row r="18" spans="25:56" x14ac:dyDescent="0.2">
      <c r="Y18" t="s">
        <v>541</v>
      </c>
      <c r="AN18" s="63">
        <v>0</v>
      </c>
      <c r="AO18" s="63">
        <v>0.01</v>
      </c>
      <c r="AP18" s="63">
        <v>0.02</v>
      </c>
      <c r="AQ18" s="63">
        <v>0.03</v>
      </c>
      <c r="AR18" s="63">
        <v>0.04</v>
      </c>
      <c r="AS18" s="63">
        <v>0.05</v>
      </c>
      <c r="AT18" s="11">
        <v>0.06</v>
      </c>
      <c r="AX18" s="63">
        <v>0</v>
      </c>
      <c r="AY18" s="63">
        <v>0.01</v>
      </c>
      <c r="AZ18" s="63">
        <v>0.02</v>
      </c>
      <c r="BA18" s="63">
        <v>0.03</v>
      </c>
      <c r="BB18" s="63">
        <v>0.04</v>
      </c>
      <c r="BC18" s="63">
        <v>0.05</v>
      </c>
      <c r="BD18" s="11">
        <v>0.06</v>
      </c>
    </row>
    <row r="19" spans="25:56" x14ac:dyDescent="0.2">
      <c r="AA19" s="35" t="s">
        <v>333</v>
      </c>
      <c r="AM19" s="60">
        <v>2000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W19" s="60">
        <v>2000</v>
      </c>
      <c r="AX19" s="4">
        <f t="shared" ref="AX19:AX29" si="8">AN19-$AR19</f>
        <v>0</v>
      </c>
      <c r="AY19" s="4">
        <f t="shared" ref="AY19:AY29" si="9">AO19-$AR19</f>
        <v>0</v>
      </c>
      <c r="AZ19" s="4">
        <f t="shared" ref="AZ19:AZ29" si="10">AP19-$AR19</f>
        <v>0</v>
      </c>
      <c r="BA19" s="4">
        <f t="shared" ref="BA19:BA29" si="11">AQ19-$AR19</f>
        <v>0</v>
      </c>
      <c r="BB19" s="4">
        <f>AR19-$AR19</f>
        <v>0</v>
      </c>
      <c r="BC19" s="4">
        <f t="shared" ref="BC19:BC29" si="12">AS19-$AR19</f>
        <v>0</v>
      </c>
      <c r="BD19" s="4">
        <f t="shared" ref="BD19:BD29" si="13">AT19-$AR19</f>
        <v>0</v>
      </c>
    </row>
    <row r="20" spans="25:56" x14ac:dyDescent="0.2">
      <c r="Y20" s="8" t="s">
        <v>442</v>
      </c>
      <c r="Z20" s="8" t="s">
        <v>332</v>
      </c>
      <c r="AA20" s="8">
        <v>2000</v>
      </c>
      <c r="AB20" s="8">
        <v>2001</v>
      </c>
      <c r="AC20" s="8">
        <v>2002</v>
      </c>
      <c r="AD20" s="8">
        <v>2003</v>
      </c>
      <c r="AE20" s="8">
        <v>2004</v>
      </c>
      <c r="AF20" s="8">
        <v>2005</v>
      </c>
      <c r="AG20" s="8">
        <v>2006</v>
      </c>
      <c r="AH20" s="8">
        <v>2007</v>
      </c>
      <c r="AI20" s="8">
        <v>2008</v>
      </c>
      <c r="AJ20" s="8">
        <v>2009</v>
      </c>
      <c r="AK20" s="8">
        <v>2010</v>
      </c>
      <c r="AM20" s="60">
        <v>2001</v>
      </c>
      <c r="AN20" s="4">
        <v>-12.954674306513159</v>
      </c>
      <c r="AO20" s="4">
        <v>-6.3545906172690323</v>
      </c>
      <c r="AP20" s="4">
        <v>0.24549307197476744</v>
      </c>
      <c r="AQ20" s="4">
        <v>6.845576761218501</v>
      </c>
      <c r="AR20" s="4">
        <v>13.44566045046246</v>
      </c>
      <c r="AS20" s="4">
        <v>20.045744139706279</v>
      </c>
      <c r="AT20" s="4">
        <v>26.645827828950146</v>
      </c>
      <c r="AW20" s="60">
        <v>2001</v>
      </c>
      <c r="AX20" s="4">
        <f t="shared" si="8"/>
        <v>-26.400334756975617</v>
      </c>
      <c r="AY20" s="4">
        <f t="shared" si="9"/>
        <v>-19.800251067731494</v>
      </c>
      <c r="AZ20" s="4">
        <f t="shared" si="10"/>
        <v>-13.200167378487693</v>
      </c>
      <c r="BA20" s="4">
        <f t="shared" si="11"/>
        <v>-6.6000836892439594</v>
      </c>
      <c r="BB20" s="4">
        <f t="shared" ref="BB20:BB29" si="14">AR20-$AR20</f>
        <v>0</v>
      </c>
      <c r="BC20" s="4">
        <f t="shared" si="12"/>
        <v>6.6000836892438191</v>
      </c>
      <c r="BD20" s="4">
        <f t="shared" si="13"/>
        <v>13.200167378487686</v>
      </c>
    </row>
    <row r="21" spans="25:56" x14ac:dyDescent="0.2">
      <c r="Y21" t="s">
        <v>318</v>
      </c>
      <c r="Z21" s="56" t="s">
        <v>334</v>
      </c>
      <c r="AA21" s="17">
        <f>Assumptions!C$5</f>
        <v>6.0900000000000003E-2</v>
      </c>
      <c r="AB21" s="17">
        <f>VLOOKUP($Z21,Assumptions!$B$5:$M$7,(Assumptions!E$4-Assumptions!$C$4+1),FALSE)</f>
        <v>7.569999999999999E-2</v>
      </c>
      <c r="AC21" s="17">
        <f>VLOOKUP($Z21,Assumptions!$B$5:$M$7,(Assumptions!F$4-Assumptions!$C$4+1),FALSE)</f>
        <v>7.51E-2</v>
      </c>
      <c r="AD21" s="17">
        <f>VLOOKUP($Z21,Assumptions!$B$5:$M$7,(Assumptions!G$4-Assumptions!$C$4+1),FALSE)</f>
        <v>7.4899999999999994E-2</v>
      </c>
      <c r="AE21" s="17">
        <f>VLOOKUP($Z21,Assumptions!$B$5:$M$7,(Assumptions!H$4-Assumptions!$C$4+1),FALSE)</f>
        <v>7.4899999999999994E-2</v>
      </c>
      <c r="AF21" s="17">
        <f>VLOOKUP($Z21,Assumptions!$B$5:$M$7,(Assumptions!I$4-Assumptions!$C$4+1),FALSE)</f>
        <v>7.46E-2</v>
      </c>
      <c r="AG21" s="17">
        <f>VLOOKUP($Z21,Assumptions!$B$5:$M$7,(Assumptions!J$4-Assumptions!$C$4+1),FALSE)</f>
        <v>7.4399999999999994E-2</v>
      </c>
      <c r="AH21" s="17">
        <f>VLOOKUP($Z21,Assumptions!$B$5:$M$7,(Assumptions!K$4-Assumptions!$C$4+1),FALSE)</f>
        <v>7.4200000000000002E-2</v>
      </c>
      <c r="AI21" s="17">
        <f>VLOOKUP($Z21,Assumptions!$B$5:$M$7,(Assumptions!L$4-Assumptions!$C$4+1),FALSE)</f>
        <v>7.4099999999999999E-2</v>
      </c>
      <c r="AJ21" s="17">
        <f>VLOOKUP($Z21,Assumptions!$B$5:$M$7,(Assumptions!M$4-Assumptions!$C$4+1),FALSE)</f>
        <v>7.3999999999999996E-2</v>
      </c>
      <c r="AK21" s="17">
        <f>VLOOKUP($Z21,Assumptions!$B$5:$M$7,(Assumptions!N$4-Assumptions!$C$4+1),FALSE)</f>
        <v>7.3899999999999993E-2</v>
      </c>
      <c r="AM21" s="60">
        <v>2002</v>
      </c>
      <c r="AN21" s="4">
        <v>-60.454699673245273</v>
      </c>
      <c r="AO21" s="4">
        <v>-34.822506271193973</v>
      </c>
      <c r="AP21" s="4">
        <v>-8.9904215273867791</v>
      </c>
      <c r="AQ21" s="4">
        <v>17.041554558176678</v>
      </c>
      <c r="AR21" s="4">
        <v>43.273421985496562</v>
      </c>
      <c r="AS21" s="4">
        <v>69.705180754572567</v>
      </c>
      <c r="AT21" s="4">
        <v>96.336830865404991</v>
      </c>
      <c r="AW21" s="60">
        <v>2002</v>
      </c>
      <c r="AX21" s="4">
        <f t="shared" si="8"/>
        <v>-103.72812165874183</v>
      </c>
      <c r="AY21" s="4">
        <f t="shared" si="9"/>
        <v>-78.095928256690542</v>
      </c>
      <c r="AZ21" s="4">
        <f t="shared" si="10"/>
        <v>-52.263843512883341</v>
      </c>
      <c r="BA21" s="4">
        <f t="shared" si="11"/>
        <v>-26.231867427319884</v>
      </c>
      <c r="BB21" s="4">
        <f t="shared" si="14"/>
        <v>0</v>
      </c>
      <c r="BC21" s="4">
        <f t="shared" si="12"/>
        <v>26.431758769076005</v>
      </c>
      <c r="BD21" s="4">
        <f t="shared" si="13"/>
        <v>53.06340887990843</v>
      </c>
    </row>
    <row r="22" spans="25:56" x14ac:dyDescent="0.2">
      <c r="Y22" t="s">
        <v>316</v>
      </c>
      <c r="Z22" t="str">
        <f>Z21</f>
        <v>High</v>
      </c>
      <c r="AA22" s="17">
        <f>Assumptions!C$13</f>
        <v>3.5700000000000003E-2</v>
      </c>
      <c r="AB22" s="17">
        <f>VLOOKUP($Z22,Assumptions!$B$13:$M$15,Assumptions!E$4-Assumptions!$C$4+1,FALSE)</f>
        <v>5.3499999999999999E-2</v>
      </c>
      <c r="AC22" s="17">
        <f>VLOOKUP($Z22,Assumptions!$B$13:$M$15,Assumptions!F$4-Assumptions!$C$4+1,FALSE)</f>
        <v>5.2499999999999998E-2</v>
      </c>
      <c r="AD22" s="17">
        <f>VLOOKUP($Z22,Assumptions!$B$13:$M$15,Assumptions!G$4-Assumptions!$C$4+1,FALSE)</f>
        <v>5.1500000000000004E-2</v>
      </c>
      <c r="AE22" s="17">
        <f>VLOOKUP($Z22,Assumptions!$B$13:$M$15,Assumptions!H$4-Assumptions!$C$4+1,FALSE)</f>
        <v>5.1000000000000004E-2</v>
      </c>
      <c r="AF22" s="17">
        <f>VLOOKUP($Z22,Assumptions!$B$13:$M$15,Assumptions!I$4-Assumptions!$C$4+1,FALSE)</f>
        <v>5.0500000000000003E-2</v>
      </c>
      <c r="AG22" s="17">
        <f>VLOOKUP($Z22,Assumptions!$B$13:$M$15,Assumptions!J$4-Assumptions!$C$4+1,FALSE)</f>
        <v>4.9699999999999994E-2</v>
      </c>
      <c r="AH22" s="17">
        <f>VLOOKUP($Z22,Assumptions!$B$13:$M$15,Assumptions!K$4-Assumptions!$C$4+1,FALSE)</f>
        <v>4.9200000000000001E-2</v>
      </c>
      <c r="AI22" s="17">
        <f>VLOOKUP($Z22,Assumptions!$B$13:$M$15,Assumptions!L$4-Assumptions!$C$4+1,FALSE)</f>
        <v>4.87E-2</v>
      </c>
      <c r="AJ22" s="17">
        <f>VLOOKUP($Z22,Assumptions!$B$13:$M$15,Assumptions!M$4-Assumptions!$C$4+1,FALSE)</f>
        <v>4.8299999999999996E-2</v>
      </c>
      <c r="AK22" s="17">
        <f>VLOOKUP($Z22,Assumptions!$B$13:$M$15,Assumptions!N$4-Assumptions!$C$4+1,FALSE)</f>
        <v>4.7899999999999998E-2</v>
      </c>
      <c r="AM22" s="60">
        <v>2003</v>
      </c>
      <c r="AN22" s="4">
        <v>-60.454699673245273</v>
      </c>
      <c r="AO22" s="4">
        <v>-33.744291037808203</v>
      </c>
      <c r="AP22" s="4">
        <v>-6.7910780731870979</v>
      </c>
      <c r="AQ22" s="4">
        <v>20.405573402698661</v>
      </c>
      <c r="AR22" s="4">
        <v>47.846297571929426</v>
      </c>
      <c r="AS22" s="4">
        <v>75.531728616585156</v>
      </c>
      <c r="AT22" s="4">
        <v>103.46250071874628</v>
      </c>
      <c r="AW22" s="60">
        <v>2003</v>
      </c>
      <c r="AX22" s="4">
        <f t="shared" si="8"/>
        <v>-108.3009972451747</v>
      </c>
      <c r="AY22" s="4">
        <f t="shared" si="9"/>
        <v>-81.590588609737637</v>
      </c>
      <c r="AZ22" s="4">
        <f t="shared" si="10"/>
        <v>-54.637375645116521</v>
      </c>
      <c r="BA22" s="4">
        <f t="shared" si="11"/>
        <v>-27.440724169230766</v>
      </c>
      <c r="BB22" s="4">
        <f t="shared" si="14"/>
        <v>0</v>
      </c>
      <c r="BC22" s="4">
        <f t="shared" si="12"/>
        <v>27.685431044655729</v>
      </c>
      <c r="BD22" s="4">
        <f t="shared" si="13"/>
        <v>55.616203146816858</v>
      </c>
    </row>
    <row r="23" spans="25:56" x14ac:dyDescent="0.2">
      <c r="Y23" t="s">
        <v>317</v>
      </c>
      <c r="Z23" t="str">
        <f>Z21</f>
        <v>High</v>
      </c>
      <c r="AA23" s="17">
        <f>Assumptions!C$17</f>
        <v>4.6300000000000001E-2</v>
      </c>
      <c r="AB23" s="17">
        <f>VLOOKUP($Z23,Assumptions!$B$17:$M$19,Assumptions!E$4-Assumptions!$C$4+1,FALSE)</f>
        <v>5.45E-2</v>
      </c>
      <c r="AC23" s="17">
        <f>VLOOKUP($Z23,Assumptions!$B$17:$M$19,Assumptions!F$4-Assumptions!$C$4+1,FALSE)</f>
        <v>5.1500000000000004E-2</v>
      </c>
      <c r="AD23" s="17">
        <f>VLOOKUP($Z23,Assumptions!$B$17:$M$19,Assumptions!G$4-Assumptions!$C$4+1,FALSE)</f>
        <v>4.9500000000000002E-2</v>
      </c>
      <c r="AE23" s="17">
        <f>VLOOKUP($Z23,Assumptions!$B$17:$M$19,Assumptions!H$4-Assumptions!$C$4+1,FALSE)</f>
        <v>4.7799999999999995E-2</v>
      </c>
      <c r="AF23" s="17">
        <f>VLOOKUP($Z23,Assumptions!$B$17:$M$19,Assumptions!I$4-Assumptions!$C$4+1,FALSE)</f>
        <v>4.65E-2</v>
      </c>
      <c r="AG23" s="17">
        <f>VLOOKUP($Z23,Assumptions!$B$17:$M$19,Assumptions!J$4-Assumptions!$C$4+1,FALSE)</f>
        <v>4.4999999999999998E-2</v>
      </c>
      <c r="AH23" s="17">
        <f>VLOOKUP($Z23,Assumptions!$B$17:$M$19,Assumptions!K$4-Assumptions!$C$4+1,FALSE)</f>
        <v>4.3499999999999997E-2</v>
      </c>
      <c r="AI23" s="17">
        <f>VLOOKUP($Z23,Assumptions!$B$17:$M$19,Assumptions!L$4-Assumptions!$C$4+1,FALSE)</f>
        <v>4.2499999999999996E-2</v>
      </c>
      <c r="AJ23" s="17">
        <f>VLOOKUP($Z23,Assumptions!$B$17:$M$19,Assumptions!M$4-Assumptions!$C$4+1,FALSE)</f>
        <v>4.1700000000000001E-2</v>
      </c>
      <c r="AK23" s="17">
        <f>VLOOKUP($Z23,Assumptions!$B$17:$M$19,Assumptions!N$4-Assumptions!$C$4+1,FALSE)</f>
        <v>4.0499999999999994E-2</v>
      </c>
      <c r="AM23" s="60">
        <v>2004</v>
      </c>
      <c r="AN23" s="4">
        <v>-60.454699673245273</v>
      </c>
      <c r="AO23" s="4">
        <v>-32.655293652088588</v>
      </c>
      <c r="AP23" s="4">
        <v>-4.5477477499034107</v>
      </c>
      <c r="AQ23" s="4">
        <v>23.870512812556292</v>
      </c>
      <c r="AR23" s="4">
        <v>52.60208818181961</v>
      </c>
      <c r="AS23" s="4">
        <v>81.649603871698361</v>
      </c>
      <c r="AT23" s="4">
        <v>111.01571076328806</v>
      </c>
      <c r="AW23" s="60">
        <v>2004</v>
      </c>
      <c r="AX23" s="4">
        <f t="shared" si="8"/>
        <v>-113.05678785506488</v>
      </c>
      <c r="AY23" s="4">
        <f t="shared" si="9"/>
        <v>-85.257381833908198</v>
      </c>
      <c r="AZ23" s="4">
        <f t="shared" si="10"/>
        <v>-57.149835931723018</v>
      </c>
      <c r="BA23" s="4">
        <f t="shared" si="11"/>
        <v>-28.731575369263318</v>
      </c>
      <c r="BB23" s="4">
        <f t="shared" si="14"/>
        <v>0</v>
      </c>
      <c r="BC23" s="4">
        <f t="shared" si="12"/>
        <v>29.04751568987875</v>
      </c>
      <c r="BD23" s="4">
        <f t="shared" si="13"/>
        <v>58.413622581468445</v>
      </c>
    </row>
    <row r="24" spans="25:56" x14ac:dyDescent="0.2">
      <c r="Y24" t="s">
        <v>322</v>
      </c>
      <c r="Z24" s="56" t="s">
        <v>335</v>
      </c>
      <c r="AA24" s="75">
        <f>VLOOKUP($Z24,Assumptions!$B$21:$M$23,Assumptions!D$4-Assumptions!$C$4+1,FALSE)</f>
        <v>5.0000000000000001E-3</v>
      </c>
      <c r="AB24" s="75">
        <f>VLOOKUP($Z24,Assumptions!$B$21:$M$23,Assumptions!E$4-Assumptions!$C$4+1,FALSE)</f>
        <v>5.0000000000000001E-3</v>
      </c>
      <c r="AC24" s="75">
        <f>VLOOKUP($Z24,Assumptions!$B$21:$M$23,Assumptions!F$4-Assumptions!$C$4+1,FALSE)</f>
        <v>5.0000000000000001E-3</v>
      </c>
      <c r="AD24" s="75">
        <f>VLOOKUP($Z24,Assumptions!$B$21:$M$23,Assumptions!G$4-Assumptions!$C$4+1,FALSE)</f>
        <v>5.0000000000000001E-3</v>
      </c>
      <c r="AE24" s="75">
        <f>VLOOKUP($Z24,Assumptions!$B$21:$M$23,Assumptions!H$4-Assumptions!$C$4+1,FALSE)</f>
        <v>5.0000000000000001E-3</v>
      </c>
      <c r="AF24" s="75">
        <f>VLOOKUP($Z24,Assumptions!$B$21:$M$23,Assumptions!I$4-Assumptions!$C$4+1,FALSE)</f>
        <v>5.0000000000000001E-3</v>
      </c>
      <c r="AG24" s="75">
        <f>VLOOKUP($Z24,Assumptions!$B$21:$M$23,Assumptions!J$4-Assumptions!$C$4+1,FALSE)</f>
        <v>5.0000000000000001E-3</v>
      </c>
      <c r="AH24" s="75">
        <f>VLOOKUP($Z24,Assumptions!$B$21:$M$23,Assumptions!K$4-Assumptions!$C$4+1,FALSE)</f>
        <v>5.0000000000000001E-3</v>
      </c>
      <c r="AI24" s="75">
        <f>VLOOKUP($Z24,Assumptions!$B$21:$M$23,Assumptions!L$4-Assumptions!$C$4+1,FALSE)</f>
        <v>5.0000000000000001E-3</v>
      </c>
      <c r="AJ24" s="75">
        <f>VLOOKUP($Z24,Assumptions!$B$21:$M$23,Assumptions!M$4-Assumptions!$C$4+1,FALSE)</f>
        <v>5.0000000000000001E-3</v>
      </c>
      <c r="AK24" s="75">
        <f>VLOOKUP($Z24,Assumptions!$B$21:$M$23,Assumptions!N$4-Assumptions!$C$4+1,FALSE)</f>
        <v>5.0000000000000001E-3</v>
      </c>
      <c r="AM24" s="60">
        <v>2005</v>
      </c>
      <c r="AN24" s="4">
        <v>-110.23532907192347</v>
      </c>
      <c r="AO24" s="4">
        <v>-60.447411661762033</v>
      </c>
      <c r="AP24" s="4">
        <v>-9.195143345227244</v>
      </c>
      <c r="AQ24" s="4">
        <v>43.560040047366492</v>
      </c>
      <c r="AR24" s="4">
        <v>97.857466295568159</v>
      </c>
      <c r="AS24" s="4">
        <v>153.73723427515995</v>
      </c>
      <c r="AT24" s="4">
        <v>211.24022144453093</v>
      </c>
      <c r="AW24" s="60">
        <v>2005</v>
      </c>
      <c r="AX24" s="4">
        <f t="shared" si="8"/>
        <v>-208.09279536749165</v>
      </c>
      <c r="AY24" s="4">
        <f t="shared" si="9"/>
        <v>-158.30487795733018</v>
      </c>
      <c r="AZ24" s="4">
        <f t="shared" si="10"/>
        <v>-107.0526096407954</v>
      </c>
      <c r="BA24" s="4">
        <f t="shared" si="11"/>
        <v>-54.297426248201667</v>
      </c>
      <c r="BB24" s="4">
        <f t="shared" si="14"/>
        <v>0</v>
      </c>
      <c r="BC24" s="4">
        <f t="shared" si="12"/>
        <v>55.87976797959179</v>
      </c>
      <c r="BD24" s="4">
        <f t="shared" si="13"/>
        <v>113.38275514896277</v>
      </c>
    </row>
    <row r="25" spans="25:56" x14ac:dyDescent="0.2">
      <c r="Y25" t="s">
        <v>462</v>
      </c>
      <c r="Z25" s="56" t="s">
        <v>335</v>
      </c>
      <c r="AA25" s="75">
        <f>VLOOKUP($Z25,Assumptions!$B$29:$M$31,Assumptions!D$4-Assumptions!$C$4+1,FALSE)</f>
        <v>0</v>
      </c>
      <c r="AB25" s="75">
        <f>VLOOKUP($Z25,Assumptions!$B$29:$M$31,Assumptions!E$4-Assumptions!$C$4+1,FALSE)</f>
        <v>0</v>
      </c>
      <c r="AC25" s="75">
        <f>VLOOKUP($Z25,Assumptions!$B$29:$M$31,Assumptions!F$4-Assumptions!$C$4+1,FALSE)</f>
        <v>0</v>
      </c>
      <c r="AD25" s="75">
        <f>VLOOKUP($Z25,Assumptions!$B$29:$M$31,Assumptions!G$4-Assumptions!$C$4+1,FALSE)</f>
        <v>0</v>
      </c>
      <c r="AE25" s="75">
        <f>VLOOKUP($Z25,Assumptions!$B$29:$M$31,Assumptions!H$4-Assumptions!$C$4+1,FALSE)</f>
        <v>0</v>
      </c>
      <c r="AF25" s="75">
        <f>VLOOKUP($Z25,Assumptions!$B$29:$M$31,Assumptions!I$4-Assumptions!$C$4+1,FALSE)</f>
        <v>0</v>
      </c>
      <c r="AG25" s="75">
        <f>VLOOKUP($Z25,Assumptions!$B$29:$M$31,Assumptions!J$4-Assumptions!$C$4+1,FALSE)</f>
        <v>0</v>
      </c>
      <c r="AH25" s="75">
        <f>VLOOKUP($Z25,Assumptions!$B$29:$M$31,Assumptions!K$4-Assumptions!$C$4+1,FALSE)</f>
        <v>0</v>
      </c>
      <c r="AI25" s="75">
        <f>VLOOKUP($Z25,Assumptions!$B$29:$M$31,Assumptions!L$4-Assumptions!$C$4+1,FALSE)</f>
        <v>0</v>
      </c>
      <c r="AJ25" s="75">
        <f>VLOOKUP($Z25,Assumptions!$B$29:$M$31,Assumptions!M$4-Assumptions!$C$4+1,FALSE)</f>
        <v>0</v>
      </c>
      <c r="AK25" s="75">
        <f>VLOOKUP($Z25,Assumptions!$B$29:$M$31,Assumptions!N$4-Assumptions!$C$4+1,FALSE)</f>
        <v>0</v>
      </c>
      <c r="AM25" s="60">
        <v>2006</v>
      </c>
      <c r="AN25" s="4">
        <v>-199.98396096961488</v>
      </c>
      <c r="AO25" s="4">
        <v>-116.25279683308042</v>
      </c>
      <c r="AP25" s="4">
        <v>-28.545925535837021</v>
      </c>
      <c r="AQ25" s="4">
        <v>63.285564418845937</v>
      </c>
      <c r="AR25" s="4">
        <v>159.39470735210921</v>
      </c>
      <c r="AS25" s="4">
        <v>259.93873536429868</v>
      </c>
      <c r="AT25" s="4">
        <v>365.07915396036827</v>
      </c>
      <c r="AW25" s="60">
        <v>2006</v>
      </c>
      <c r="AX25" s="4">
        <f t="shared" si="8"/>
        <v>-359.37866832172409</v>
      </c>
      <c r="AY25" s="4">
        <f t="shared" si="9"/>
        <v>-275.64750418518963</v>
      </c>
      <c r="AZ25" s="4">
        <f t="shared" si="10"/>
        <v>-187.94063288794624</v>
      </c>
      <c r="BA25" s="4">
        <f t="shared" si="11"/>
        <v>-96.109142933263271</v>
      </c>
      <c r="BB25" s="4">
        <f t="shared" si="14"/>
        <v>0</v>
      </c>
      <c r="BC25" s="4">
        <f t="shared" si="12"/>
        <v>100.54402801218947</v>
      </c>
      <c r="BD25" s="4">
        <f t="shared" si="13"/>
        <v>205.68444660825907</v>
      </c>
    </row>
    <row r="26" spans="25:56" x14ac:dyDescent="0.2">
      <c r="Y26" t="s">
        <v>470</v>
      </c>
      <c r="Z26" s="56" t="s">
        <v>335</v>
      </c>
      <c r="AA26" s="75">
        <f>VLOOKUP($Z26,Assumptions!$B$33:$M$35,Assumptions!D$4-Assumptions!$C$4+1,FALSE)</f>
        <v>0</v>
      </c>
      <c r="AB26" s="75">
        <f>VLOOKUP($Z26,Assumptions!$B$33:$M$35,Assumptions!E$4-Assumptions!$C$4+1,FALSE)</f>
        <v>0</v>
      </c>
      <c r="AC26" s="75">
        <f>VLOOKUP($Z26,Assumptions!$B$33:$M$35,Assumptions!F$4-Assumptions!$C$4+1,FALSE)</f>
        <v>0</v>
      </c>
      <c r="AD26" s="75">
        <f>VLOOKUP($Z26,Assumptions!$B$33:$M$35,Assumptions!G$4-Assumptions!$C$4+1,FALSE)</f>
        <v>0</v>
      </c>
      <c r="AE26" s="75">
        <f>VLOOKUP($Z26,Assumptions!$B$33:$M$35,Assumptions!H$4-Assumptions!$C$4+1,FALSE)</f>
        <v>0</v>
      </c>
      <c r="AF26" s="75">
        <f>VLOOKUP($Z26,Assumptions!$B$33:$M$35,Assumptions!I$4-Assumptions!$C$4+1,FALSE)</f>
        <v>0</v>
      </c>
      <c r="AG26" s="75">
        <f>VLOOKUP($Z26,Assumptions!$B$33:$M$35,Assumptions!J$4-Assumptions!$C$4+1,FALSE)</f>
        <v>0</v>
      </c>
      <c r="AH26" s="75">
        <f>VLOOKUP($Z26,Assumptions!$B$33:$M$35,Assumptions!K$4-Assumptions!$C$4+1,FALSE)</f>
        <v>0</v>
      </c>
      <c r="AI26" s="75">
        <f>VLOOKUP($Z26,Assumptions!$B$33:$M$35,Assumptions!L$4-Assumptions!$C$4+1,FALSE)</f>
        <v>0</v>
      </c>
      <c r="AJ26" s="75">
        <f>VLOOKUP($Z26,Assumptions!$B$33:$M$35,Assumptions!M$4-Assumptions!$C$4+1,FALSE)</f>
        <v>0</v>
      </c>
      <c r="AK26" s="75">
        <f>VLOOKUP($Z26,Assumptions!$B$33:$M$35,Assumptions!N$4-Assumptions!$C$4+1,FALSE)</f>
        <v>0</v>
      </c>
      <c r="AM26" s="60">
        <v>2007</v>
      </c>
      <c r="AN26" s="4">
        <v>-199.98396096961488</v>
      </c>
      <c r="AO26" s="4">
        <v>-115.13080173757609</v>
      </c>
      <c r="AP26" s="4">
        <v>-26.165285450125804</v>
      </c>
      <c r="AQ26" s="4">
        <v>67.071797265361454</v>
      </c>
      <c r="AR26" s="4">
        <v>164.74432500071271</v>
      </c>
      <c r="AS26" s="4">
        <v>267.02094070649906</v>
      </c>
      <c r="AT26" s="4">
        <v>374.07514797477836</v>
      </c>
      <c r="AW26" s="60">
        <v>2007</v>
      </c>
      <c r="AX26" s="4">
        <f t="shared" si="8"/>
        <v>-364.72828597032759</v>
      </c>
      <c r="AY26" s="4">
        <f t="shared" si="9"/>
        <v>-279.87512673828883</v>
      </c>
      <c r="AZ26" s="4">
        <f t="shared" si="10"/>
        <v>-190.9096104508385</v>
      </c>
      <c r="BA26" s="4">
        <f t="shared" si="11"/>
        <v>-97.672527735351252</v>
      </c>
      <c r="BB26" s="4">
        <f t="shared" si="14"/>
        <v>0</v>
      </c>
      <c r="BC26" s="4">
        <f t="shared" si="12"/>
        <v>102.27661570578636</v>
      </c>
      <c r="BD26" s="4">
        <f t="shared" si="13"/>
        <v>209.33082297406565</v>
      </c>
    </row>
    <row r="27" spans="25:56" x14ac:dyDescent="0.2">
      <c r="AM27" s="60">
        <v>2008</v>
      </c>
      <c r="AN27" s="4">
        <v>-199.98396096961488</v>
      </c>
      <c r="AO27" s="4">
        <v>-113.99758669111672</v>
      </c>
      <c r="AP27" s="4">
        <v>-23.737032562700346</v>
      </c>
      <c r="AQ27" s="4">
        <v>70.971617097272429</v>
      </c>
      <c r="AR27" s="4">
        <v>170.30792735526035</v>
      </c>
      <c r="AS27" s="4">
        <v>274.4572563158095</v>
      </c>
      <c r="AT27" s="4">
        <v>383.61090163005281</v>
      </c>
      <c r="AW27" s="60">
        <v>2008</v>
      </c>
      <c r="AX27" s="4">
        <f t="shared" si="8"/>
        <v>-370.29188832487523</v>
      </c>
      <c r="AY27" s="4">
        <f t="shared" si="9"/>
        <v>-284.30551404637708</v>
      </c>
      <c r="AZ27" s="4">
        <f t="shared" si="10"/>
        <v>-194.04495991796068</v>
      </c>
      <c r="BA27" s="4">
        <f t="shared" si="11"/>
        <v>-99.336310257987918</v>
      </c>
      <c r="BB27" s="4">
        <f t="shared" si="14"/>
        <v>0</v>
      </c>
      <c r="BC27" s="4">
        <f t="shared" si="12"/>
        <v>104.14932896054916</v>
      </c>
      <c r="BD27" s="4">
        <f t="shared" si="13"/>
        <v>213.30297427479246</v>
      </c>
    </row>
    <row r="28" spans="25:56" x14ac:dyDescent="0.2">
      <c r="Y28" s="24" t="s">
        <v>330</v>
      </c>
      <c r="AM28" s="60">
        <v>2009</v>
      </c>
      <c r="AN28" s="4">
        <v>-199.98396096961488</v>
      </c>
      <c r="AO28" s="4">
        <v>-112.85303949419277</v>
      </c>
      <c r="AP28" s="4">
        <v>-21.26021461752638</v>
      </c>
      <c r="AQ28" s="4">
        <v>74.988431524140722</v>
      </c>
      <c r="AR28" s="4">
        <v>176.09407380398991</v>
      </c>
      <c r="AS28" s="4">
        <v>282.26538770558545</v>
      </c>
      <c r="AT28" s="4">
        <v>393.71880050464387</v>
      </c>
      <c r="AW28" s="60">
        <v>2009</v>
      </c>
      <c r="AX28" s="4">
        <f t="shared" si="8"/>
        <v>-376.07803477360483</v>
      </c>
      <c r="AY28" s="4">
        <f t="shared" si="9"/>
        <v>-288.94711329818267</v>
      </c>
      <c r="AZ28" s="4">
        <f t="shared" si="10"/>
        <v>-197.35428842151629</v>
      </c>
      <c r="BA28" s="4">
        <f t="shared" si="11"/>
        <v>-101.10564227984919</v>
      </c>
      <c r="BB28" s="4">
        <f t="shared" si="14"/>
        <v>0</v>
      </c>
      <c r="BC28" s="4">
        <f t="shared" si="12"/>
        <v>106.17131390159554</v>
      </c>
      <c r="BD28" s="4">
        <f t="shared" si="13"/>
        <v>217.62472670065395</v>
      </c>
    </row>
    <row r="29" spans="25:56" x14ac:dyDescent="0.2">
      <c r="Y29" t="s">
        <v>345</v>
      </c>
      <c r="AA29" s="1">
        <v>0</v>
      </c>
      <c r="AB29" s="1">
        <v>9.6835258623703115</v>
      </c>
      <c r="AC29" s="1">
        <v>29.632862144383886</v>
      </c>
      <c r="AD29" s="1">
        <v>30.871135680135822</v>
      </c>
      <c r="AE29" s="1">
        <v>32.145259472591512</v>
      </c>
      <c r="AF29" s="1">
        <v>35.540907015876094</v>
      </c>
      <c r="AG29" s="1">
        <v>41.521632218500457</v>
      </c>
      <c r="AH29" s="1">
        <v>42.893507698737558</v>
      </c>
      <c r="AI29" s="1">
        <v>44.300976348322131</v>
      </c>
      <c r="AJ29" s="1">
        <v>45.747803567603512</v>
      </c>
      <c r="AK29" s="1">
        <v>47.234355071453564</v>
      </c>
      <c r="AM29" s="60">
        <v>2010</v>
      </c>
      <c r="AN29" s="4">
        <v>-199.98396096961488</v>
      </c>
      <c r="AO29" s="4">
        <v>-111.69704682529959</v>
      </c>
      <c r="AP29" s="4">
        <v>-18.73386031344894</v>
      </c>
      <c r="AQ29" s="4">
        <v>79.125750383815102</v>
      </c>
      <c r="AR29" s="4">
        <v>182.11166611066864</v>
      </c>
      <c r="AS29" s="4">
        <v>290.46392566485025</v>
      </c>
      <c r="AT29" s="4">
        <v>404.43317331171045</v>
      </c>
      <c r="AW29" s="60">
        <v>2010</v>
      </c>
      <c r="AX29" s="4">
        <f t="shared" si="8"/>
        <v>-382.09562708028352</v>
      </c>
      <c r="AY29" s="4">
        <f t="shared" si="9"/>
        <v>-293.80871293596823</v>
      </c>
      <c r="AZ29" s="4">
        <f t="shared" si="10"/>
        <v>-200.84552642411757</v>
      </c>
      <c r="BA29" s="4">
        <f t="shared" si="11"/>
        <v>-102.98591572685353</v>
      </c>
      <c r="BB29" s="4">
        <f t="shared" si="14"/>
        <v>0</v>
      </c>
      <c r="BC29" s="4">
        <f t="shared" si="12"/>
        <v>108.35225955418161</v>
      </c>
      <c r="BD29" s="4">
        <f t="shared" si="13"/>
        <v>222.32150720104181</v>
      </c>
    </row>
    <row r="30" spans="25:56" x14ac:dyDescent="0.2">
      <c r="Y30" t="s">
        <v>346</v>
      </c>
      <c r="AA30" s="1">
        <v>0</v>
      </c>
      <c r="AB30" s="1">
        <v>44.901931525203949</v>
      </c>
      <c r="AC30" s="1">
        <v>114.09341774123753</v>
      </c>
      <c r="AD30" s="1">
        <v>117.62691230621995</v>
      </c>
      <c r="AE30" s="1">
        <v>121.26270792469215</v>
      </c>
      <c r="AF30" s="1">
        <v>158.17081397087017</v>
      </c>
      <c r="AG30" s="1">
        <v>202.50441808187503</v>
      </c>
      <c r="AH30" s="1">
        <v>206.41915453815147</v>
      </c>
      <c r="AI30" s="1">
        <v>210.43545843232314</v>
      </c>
      <c r="AJ30" s="1">
        <v>214.5640745806889</v>
      </c>
      <c r="AK30" s="1">
        <v>218.8060465745674</v>
      </c>
    </row>
    <row r="32" spans="25:56" ht="13.5" thickBot="1" x14ac:dyDescent="0.25">
      <c r="Y32" s="36" t="s">
        <v>344</v>
      </c>
      <c r="Z32" s="27"/>
      <c r="AA32" s="29">
        <f t="shared" ref="AA32:AI32" si="15">SUM(AA29:AA30)</f>
        <v>0</v>
      </c>
      <c r="AB32" s="29">
        <f t="shared" si="15"/>
        <v>54.585457387574259</v>
      </c>
      <c r="AC32" s="29">
        <f t="shared" si="15"/>
        <v>143.72627988562141</v>
      </c>
      <c r="AD32" s="29">
        <f t="shared" si="15"/>
        <v>148.49804798635577</v>
      </c>
      <c r="AE32" s="29">
        <f t="shared" si="15"/>
        <v>153.40796739728367</v>
      </c>
      <c r="AF32" s="29">
        <f t="shared" si="15"/>
        <v>193.71172098674626</v>
      </c>
      <c r="AG32" s="29">
        <f t="shared" si="15"/>
        <v>244.02605030037549</v>
      </c>
      <c r="AH32" s="29">
        <f t="shared" si="15"/>
        <v>249.31266223688903</v>
      </c>
      <c r="AI32" s="29">
        <f t="shared" si="15"/>
        <v>254.73643478064528</v>
      </c>
      <c r="AJ32" s="29">
        <f>SUM(AJ29:AJ30)</f>
        <v>260.31187814829241</v>
      </c>
      <c r="AK32" s="29">
        <f>SUM(AK29:AK30)</f>
        <v>266.040401646021</v>
      </c>
      <c r="AM32" t="s">
        <v>548</v>
      </c>
      <c r="AW32" t="s">
        <v>548</v>
      </c>
    </row>
    <row r="33" spans="25:53" ht="13.5" thickTop="1" x14ac:dyDescent="0.2">
      <c r="AN33" s="9">
        <v>0</v>
      </c>
      <c r="AO33" s="63">
        <v>5.0000000000000001E-3</v>
      </c>
      <c r="AP33" s="63">
        <v>0.01</v>
      </c>
      <c r="AQ33" s="63">
        <v>1.4999999999999999E-2</v>
      </c>
      <c r="AR33" s="63"/>
      <c r="AS33" s="63"/>
      <c r="AT33" s="11"/>
      <c r="AX33" s="9">
        <v>0</v>
      </c>
      <c r="AY33" s="63">
        <v>5.0000000000000001E-3</v>
      </c>
      <c r="AZ33" s="63">
        <v>0.01</v>
      </c>
      <c r="BA33" s="63">
        <v>1.4999999999999999E-2</v>
      </c>
    </row>
    <row r="34" spans="25:53" x14ac:dyDescent="0.2">
      <c r="Y34" t="s">
        <v>543</v>
      </c>
      <c r="AM34" s="60">
        <v>2000</v>
      </c>
      <c r="AO34" s="4">
        <v>0</v>
      </c>
      <c r="AP34" s="4">
        <v>0</v>
      </c>
      <c r="AQ34" s="4">
        <v>0</v>
      </c>
      <c r="AR34" s="4"/>
      <c r="AS34" s="4"/>
      <c r="AT34" s="4"/>
      <c r="AW34" s="60">
        <v>2000</v>
      </c>
      <c r="AX34" s="16">
        <f t="shared" ref="AX34:AX44" si="16">AN50-AN50</f>
        <v>0</v>
      </c>
      <c r="AY34" s="4">
        <f t="shared" ref="AY34:AY44" si="17">AO34-AN50</f>
        <v>0</v>
      </c>
      <c r="AZ34" s="4">
        <f t="shared" ref="AZ34:AZ44" si="18">AP34-AN50</f>
        <v>0</v>
      </c>
      <c r="BA34" s="4">
        <f t="shared" ref="BA34:BA44" si="19">AQ34-AN50</f>
        <v>0</v>
      </c>
    </row>
    <row r="35" spans="25:53" x14ac:dyDescent="0.2">
      <c r="AA35" s="35" t="s">
        <v>333</v>
      </c>
      <c r="AM35" s="60">
        <v>2001</v>
      </c>
      <c r="AO35" s="4">
        <v>11.275261412389673</v>
      </c>
      <c r="AP35" s="4">
        <v>7.9752195677676729</v>
      </c>
      <c r="AQ35" s="4">
        <v>4.6751777231458425</v>
      </c>
      <c r="AR35" s="4"/>
      <c r="AS35" s="4"/>
      <c r="AT35" s="4"/>
      <c r="AW35" s="60">
        <v>2001</v>
      </c>
      <c r="AX35" s="16">
        <f t="shared" si="16"/>
        <v>0</v>
      </c>
      <c r="AY35" s="4">
        <f t="shared" si="17"/>
        <v>-3.3000418446219957</v>
      </c>
      <c r="AZ35" s="4">
        <f t="shared" si="18"/>
        <v>-6.6000836892439958</v>
      </c>
      <c r="BA35" s="4">
        <f t="shared" si="19"/>
        <v>-9.9001255338658254</v>
      </c>
    </row>
    <row r="36" spans="25:53" x14ac:dyDescent="0.2">
      <c r="Y36" s="8" t="s">
        <v>442</v>
      </c>
      <c r="Z36" s="8" t="s">
        <v>332</v>
      </c>
      <c r="AA36" s="8">
        <v>2000</v>
      </c>
      <c r="AB36" s="8">
        <v>2001</v>
      </c>
      <c r="AC36" s="8">
        <v>2002</v>
      </c>
      <c r="AD36" s="8">
        <v>2003</v>
      </c>
      <c r="AE36" s="8">
        <v>2004</v>
      </c>
      <c r="AF36" s="8">
        <v>2005</v>
      </c>
      <c r="AG36" s="8">
        <v>2006</v>
      </c>
      <c r="AH36" s="8">
        <v>2007</v>
      </c>
      <c r="AI36" s="8">
        <v>2008</v>
      </c>
      <c r="AJ36" s="8">
        <v>2009</v>
      </c>
      <c r="AK36" s="8">
        <v>2010</v>
      </c>
      <c r="AM36" s="60">
        <v>2002</v>
      </c>
      <c r="AO36" s="4">
        <v>35.927509129722118</v>
      </c>
      <c r="AP36" s="4">
        <v>22.816267178865626</v>
      </c>
      <c r="AQ36" s="4">
        <v>9.7549980634480136</v>
      </c>
      <c r="AR36" s="4"/>
      <c r="AS36" s="4"/>
      <c r="AT36" s="4"/>
      <c r="AW36" s="60">
        <v>2002</v>
      </c>
      <c r="AX36" s="16">
        <f t="shared" si="16"/>
        <v>0</v>
      </c>
      <c r="AY36" s="4">
        <f t="shared" si="17"/>
        <v>-13.161214786295901</v>
      </c>
      <c r="AZ36" s="4">
        <f t="shared" si="18"/>
        <v>-26.272456737152392</v>
      </c>
      <c r="BA36" s="4">
        <f t="shared" si="19"/>
        <v>-39.333725852570005</v>
      </c>
    </row>
    <row r="37" spans="25:53" x14ac:dyDescent="0.2">
      <c r="Y37" t="s">
        <v>318</v>
      </c>
      <c r="Z37" s="56" t="s">
        <v>335</v>
      </c>
      <c r="AA37" s="17">
        <f>Assumptions!C$5</f>
        <v>6.0900000000000003E-2</v>
      </c>
      <c r="AB37" s="17">
        <f>VLOOKUP($Z37,Assumptions!$B$5:$M$7,(Assumptions!E$4-Assumptions!$C$4+1),FALSE)</f>
        <v>4.5699999999999998E-2</v>
      </c>
      <c r="AC37" s="17">
        <f>VLOOKUP($Z37,Assumptions!$B$5:$M$7,(Assumptions!F$4-Assumptions!$C$4+1),FALSE)</f>
        <v>4.5100000000000001E-2</v>
      </c>
      <c r="AD37" s="17">
        <f>VLOOKUP($Z37,Assumptions!$B$5:$M$7,(Assumptions!G$4-Assumptions!$C$4+1),FALSE)</f>
        <v>4.4900000000000002E-2</v>
      </c>
      <c r="AE37" s="17">
        <f>VLOOKUP($Z37,Assumptions!$B$5:$M$7,(Assumptions!H$4-Assumptions!$C$4+1),FALSE)</f>
        <v>4.4900000000000002E-2</v>
      </c>
      <c r="AF37" s="17">
        <f>VLOOKUP($Z37,Assumptions!$B$5:$M$7,(Assumptions!I$4-Assumptions!$C$4+1),FALSE)</f>
        <v>4.4600000000000001E-2</v>
      </c>
      <c r="AG37" s="17">
        <f>VLOOKUP($Z37,Assumptions!$B$5:$M$7,(Assumptions!J$4-Assumptions!$C$4+1),FALSE)</f>
        <v>4.4400000000000002E-2</v>
      </c>
      <c r="AH37" s="17">
        <f>VLOOKUP($Z37,Assumptions!$B$5:$M$7,(Assumptions!K$4-Assumptions!$C$4+1),FALSE)</f>
        <v>4.4200000000000003E-2</v>
      </c>
      <c r="AI37" s="17">
        <f>VLOOKUP($Z37,Assumptions!$B$5:$M$7,(Assumptions!L$4-Assumptions!$C$4+1),FALSE)</f>
        <v>4.41E-2</v>
      </c>
      <c r="AJ37" s="17">
        <f>VLOOKUP($Z37,Assumptions!$B$5:$M$7,(Assumptions!M$4-Assumptions!$C$4+1),FALSE)</f>
        <v>4.3999999999999997E-2</v>
      </c>
      <c r="AK37" s="17">
        <f>VLOOKUP($Z37,Assumptions!$B$5:$M$7,(Assumptions!N$4-Assumptions!$C$4+1),FALSE)</f>
        <v>4.3900000000000002E-2</v>
      </c>
      <c r="AM37" s="60">
        <v>2003</v>
      </c>
      <c r="AO37" s="4">
        <v>39.374702480646796</v>
      </c>
      <c r="AP37" s="4">
        <v>25.674098226975136</v>
      </c>
      <c r="AQ37" s="4">
        <v>12.034443972065915</v>
      </c>
      <c r="AR37" s="4"/>
      <c r="AS37" s="4"/>
      <c r="AT37" s="4"/>
      <c r="AW37" s="60">
        <v>2003</v>
      </c>
      <c r="AX37" s="16">
        <f t="shared" si="16"/>
        <v>0</v>
      </c>
      <c r="AY37" s="4">
        <f t="shared" si="17"/>
        <v>-13.761633525194611</v>
      </c>
      <c r="AZ37" s="4">
        <f t="shared" si="18"/>
        <v>-27.462237778866271</v>
      </c>
      <c r="BA37" s="4">
        <f t="shared" si="19"/>
        <v>-41.101892033775492</v>
      </c>
    </row>
    <row r="38" spans="25:53" x14ac:dyDescent="0.2">
      <c r="Y38" t="s">
        <v>316</v>
      </c>
      <c r="Z38" t="str">
        <f>Z37</f>
        <v>Low</v>
      </c>
      <c r="AA38" s="17">
        <f>Assumptions!C$13</f>
        <v>3.5700000000000003E-2</v>
      </c>
      <c r="AB38" s="17">
        <f>VLOOKUP($Z38,Assumptions!$B$13:$M$15,Assumptions!E$4-Assumptions!$C$4+1,FALSE)</f>
        <v>8.5000000000000006E-3</v>
      </c>
      <c r="AC38" s="17">
        <f>VLOOKUP($Z38,Assumptions!$B$13:$M$15,Assumptions!F$4-Assumptions!$C$4+1,FALSE)</f>
        <v>7.4999999999999997E-3</v>
      </c>
      <c r="AD38" s="17">
        <f>VLOOKUP($Z38,Assumptions!$B$13:$M$15,Assumptions!G$4-Assumptions!$C$4+1,FALSE)</f>
        <v>6.5000000000000023E-3</v>
      </c>
      <c r="AE38" s="17">
        <f>VLOOKUP($Z38,Assumptions!$B$13:$M$15,Assumptions!H$4-Assumptions!$C$4+1,FALSE)</f>
        <v>6.0000000000000019E-3</v>
      </c>
      <c r="AF38" s="17">
        <f>VLOOKUP($Z38,Assumptions!$B$13:$M$15,Assumptions!I$4-Assumptions!$C$4+1,FALSE)</f>
        <v>5.5000000000000014E-3</v>
      </c>
      <c r="AG38" s="17">
        <f>VLOOKUP($Z38,Assumptions!$B$13:$M$15,Assumptions!J$4-Assumptions!$C$4+1,FALSE)</f>
        <v>4.6999999999999993E-3</v>
      </c>
      <c r="AH38" s="17">
        <f>VLOOKUP($Z38,Assumptions!$B$13:$M$15,Assumptions!K$4-Assumptions!$C$4+1,FALSE)</f>
        <v>4.2000000000000023E-3</v>
      </c>
      <c r="AI38" s="17">
        <f>VLOOKUP($Z38,Assumptions!$B$13:$M$15,Assumptions!L$4-Assumptions!$C$4+1,FALSE)</f>
        <v>3.7000000000000019E-3</v>
      </c>
      <c r="AJ38" s="17">
        <f>VLOOKUP($Z38,Assumptions!$B$13:$M$15,Assumptions!M$4-Assumptions!$C$4+1,FALSE)</f>
        <v>3.3000000000000008E-3</v>
      </c>
      <c r="AK38" s="17">
        <f>VLOOKUP($Z38,Assumptions!$B$13:$M$15,Assumptions!N$4-Assumptions!$C$4+1,FALSE)</f>
        <v>2.8999999999999998E-3</v>
      </c>
      <c r="AM38" s="60">
        <v>2004</v>
      </c>
      <c r="AO38" s="4">
        <v>42.92772466744487</v>
      </c>
      <c r="AP38" s="4">
        <v>28.605375533021075</v>
      </c>
      <c r="AQ38" s="4">
        <v>14.361074410992208</v>
      </c>
      <c r="AR38" s="4"/>
      <c r="AS38" s="4"/>
      <c r="AT38" s="4"/>
      <c r="AW38" s="60">
        <v>2004</v>
      </c>
      <c r="AX38" s="16">
        <f t="shared" si="16"/>
        <v>0</v>
      </c>
      <c r="AY38" s="4">
        <f t="shared" si="17"/>
        <v>-14.400723179826613</v>
      </c>
      <c r="AZ38" s="4">
        <f t="shared" si="18"/>
        <v>-28.723072314250409</v>
      </c>
      <c r="BA38" s="4">
        <f t="shared" si="19"/>
        <v>-42.967373436279274</v>
      </c>
    </row>
    <row r="39" spans="25:53" x14ac:dyDescent="0.2">
      <c r="Y39" t="s">
        <v>317</v>
      </c>
      <c r="Z39" t="str">
        <f>Z37</f>
        <v>Low</v>
      </c>
      <c r="AA39" s="17">
        <f>Assumptions!C$17</f>
        <v>4.6300000000000001E-2</v>
      </c>
      <c r="AB39" s="17">
        <f>VLOOKUP($Z39,Assumptions!$B$17:$M$19,Assumptions!E$4-Assumptions!$C$4+1,FALSE)</f>
        <v>9.5000000000000015E-3</v>
      </c>
      <c r="AC39" s="17">
        <f>VLOOKUP($Z39,Assumptions!$B$17:$M$19,Assumptions!F$4-Assumptions!$C$4+1,FALSE)</f>
        <v>6.5000000000000023E-3</v>
      </c>
      <c r="AD39" s="17">
        <f>VLOOKUP($Z39,Assumptions!$B$17:$M$19,Assumptions!G$4-Assumptions!$C$4+1,FALSE)</f>
        <v>4.5000000000000005E-3</v>
      </c>
      <c r="AE39" s="17">
        <f>VLOOKUP($Z39,Assumptions!$B$17:$M$19,Assumptions!H$4-Assumptions!$C$4+1,FALSE)</f>
        <v>2.8000000000000004E-3</v>
      </c>
      <c r="AF39" s="17">
        <f>VLOOKUP($Z39,Assumptions!$B$17:$M$19,Assumptions!I$4-Assumptions!$C$4+1,FALSE)</f>
        <v>1.5000000000000013E-3</v>
      </c>
      <c r="AG39" s="17">
        <f>VLOOKUP($Z39,Assumptions!$B$17:$M$19,Assumptions!J$4-Assumptions!$C$4+1,FALSE)</f>
        <v>0</v>
      </c>
      <c r="AH39" s="17">
        <f>VLOOKUP($Z39,Assumptions!$B$17:$M$19,Assumptions!K$4-Assumptions!$C$4+1,FALSE)</f>
        <v>0</v>
      </c>
      <c r="AI39" s="17">
        <f>VLOOKUP($Z39,Assumptions!$B$17:$M$19,Assumptions!L$4-Assumptions!$C$4+1,FALSE)</f>
        <v>0</v>
      </c>
      <c r="AJ39" s="17">
        <f>VLOOKUP($Z39,Assumptions!$B$17:$M$19,Assumptions!M$4-Assumptions!$C$4+1,FALSE)</f>
        <v>0</v>
      </c>
      <c r="AK39" s="17">
        <f>VLOOKUP($Z39,Assumptions!$B$17:$M$19,Assumptions!N$4-Assumptions!$C$4+1,FALSE)</f>
        <v>0</v>
      </c>
      <c r="AM39" s="60">
        <v>2005</v>
      </c>
      <c r="AO39" s="4">
        <v>81.624957946398311</v>
      </c>
      <c r="AP39" s="4">
        <v>54.532650373491578</v>
      </c>
      <c r="AQ39" s="4">
        <v>27.827534914522094</v>
      </c>
      <c r="AR39" s="4"/>
      <c r="AS39" s="4"/>
      <c r="AT39" s="4"/>
      <c r="AW39" s="60">
        <v>2005</v>
      </c>
      <c r="AX39" s="16">
        <f t="shared" si="16"/>
        <v>0</v>
      </c>
      <c r="AY39" s="4">
        <f t="shared" si="17"/>
        <v>-27.484503718991149</v>
      </c>
      <c r="AZ39" s="4">
        <f t="shared" si="18"/>
        <v>-54.576811291897883</v>
      </c>
      <c r="BA39" s="4">
        <f t="shared" si="19"/>
        <v>-81.28192675086737</v>
      </c>
    </row>
    <row r="40" spans="25:53" x14ac:dyDescent="0.2">
      <c r="Y40" t="s">
        <v>322</v>
      </c>
      <c r="Z40" s="56" t="s">
        <v>334</v>
      </c>
      <c r="AA40" s="75">
        <f>VLOOKUP($Z40,Assumptions!$B$21:$M$23,Assumptions!D$4-Assumptions!$C$4+1,FALSE)</f>
        <v>1.4999999999999999E-2</v>
      </c>
      <c r="AB40" s="75">
        <f>VLOOKUP($Z40,Assumptions!$B$21:$M$23,Assumptions!E$4-Assumptions!$C$4+1,FALSE)</f>
        <v>1.4999999999999999E-2</v>
      </c>
      <c r="AC40" s="75">
        <f>VLOOKUP($Z40,Assumptions!$B$21:$M$23,Assumptions!F$4-Assumptions!$C$4+1,FALSE)</f>
        <v>1.4999999999999999E-2</v>
      </c>
      <c r="AD40" s="75">
        <f>VLOOKUP($Z40,Assumptions!$B$21:$M$23,Assumptions!G$4-Assumptions!$C$4+1,FALSE)</f>
        <v>1.4999999999999999E-2</v>
      </c>
      <c r="AE40" s="75">
        <f>VLOOKUP($Z40,Assumptions!$B$21:$M$23,Assumptions!H$4-Assumptions!$C$4+1,FALSE)</f>
        <v>1.4999999999999999E-2</v>
      </c>
      <c r="AF40" s="75">
        <f>VLOOKUP($Z40,Assumptions!$B$21:$M$23,Assumptions!I$4-Assumptions!$C$4+1,FALSE)</f>
        <v>1.4999999999999999E-2</v>
      </c>
      <c r="AG40" s="75">
        <f>VLOOKUP($Z40,Assumptions!$B$21:$M$23,Assumptions!J$4-Assumptions!$C$4+1,FALSE)</f>
        <v>1.4999999999999999E-2</v>
      </c>
      <c r="AH40" s="75">
        <f>VLOOKUP($Z40,Assumptions!$B$21:$M$23,Assumptions!K$4-Assumptions!$C$4+1,FALSE)</f>
        <v>1.4999999999999999E-2</v>
      </c>
      <c r="AI40" s="75">
        <f>VLOOKUP($Z40,Assumptions!$B$21:$M$23,Assumptions!L$4-Assumptions!$C$4+1,FALSE)</f>
        <v>1.4999999999999999E-2</v>
      </c>
      <c r="AJ40" s="75">
        <f>VLOOKUP($Z40,Assumptions!$B$21:$M$23,Assumptions!M$4-Assumptions!$C$4+1,FALSE)</f>
        <v>1.4999999999999999E-2</v>
      </c>
      <c r="AK40" s="75">
        <f>VLOOKUP($Z40,Assumptions!$B$21:$M$23,Assumptions!N$4-Assumptions!$C$4+1,FALSE)</f>
        <v>1.4999999999999999E-2</v>
      </c>
      <c r="AM40" s="60">
        <v>2006</v>
      </c>
      <c r="AO40" s="4">
        <v>132.61767875188244</v>
      </c>
      <c r="AP40" s="4">
        <v>84.627015269947705</v>
      </c>
      <c r="AQ40" s="4">
        <v>37.714140353303193</v>
      </c>
      <c r="AR40" s="4"/>
      <c r="AS40" s="4"/>
      <c r="AT40" s="4"/>
      <c r="AW40" s="60">
        <v>2006</v>
      </c>
      <c r="AX40" s="16">
        <f t="shared" si="16"/>
        <v>0</v>
      </c>
      <c r="AY40" s="4">
        <f t="shared" si="17"/>
        <v>-49.088084796523134</v>
      </c>
      <c r="AZ40" s="4">
        <f t="shared" si="18"/>
        <v>-97.078748278457866</v>
      </c>
      <c r="BA40" s="4">
        <f t="shared" si="19"/>
        <v>-143.99162319510236</v>
      </c>
    </row>
    <row r="41" spans="25:53" x14ac:dyDescent="0.2">
      <c r="Y41" t="s">
        <v>462</v>
      </c>
      <c r="Z41" s="56" t="s">
        <v>335</v>
      </c>
      <c r="AA41" s="75">
        <f>VLOOKUP($Z41,Assumptions!$B$29:$M$31,Assumptions!D$4-Assumptions!$C$4+1,FALSE)</f>
        <v>0</v>
      </c>
      <c r="AB41" s="75">
        <f>VLOOKUP($Z41,Assumptions!$B$29:$M$31,Assumptions!E$4-Assumptions!$C$4+1,FALSE)</f>
        <v>0</v>
      </c>
      <c r="AC41" s="75">
        <f>VLOOKUP($Z41,Assumptions!$B$29:$M$31,Assumptions!F$4-Assumptions!$C$4+1,FALSE)</f>
        <v>0</v>
      </c>
      <c r="AD41" s="75">
        <f>VLOOKUP($Z41,Assumptions!$B$29:$M$31,Assumptions!G$4-Assumptions!$C$4+1,FALSE)</f>
        <v>0</v>
      </c>
      <c r="AE41" s="75">
        <f>VLOOKUP($Z41,Assumptions!$B$29:$M$31,Assumptions!H$4-Assumptions!$C$4+1,FALSE)</f>
        <v>0</v>
      </c>
      <c r="AF41" s="75">
        <f>VLOOKUP($Z41,Assumptions!$B$29:$M$31,Assumptions!I$4-Assumptions!$C$4+1,FALSE)</f>
        <v>0</v>
      </c>
      <c r="AG41" s="75">
        <f>VLOOKUP($Z41,Assumptions!$B$29:$M$31,Assumptions!J$4-Assumptions!$C$4+1,FALSE)</f>
        <v>0</v>
      </c>
      <c r="AH41" s="75">
        <f>VLOOKUP($Z41,Assumptions!$B$29:$M$31,Assumptions!K$4-Assumptions!$C$4+1,FALSE)</f>
        <v>0</v>
      </c>
      <c r="AI41" s="75">
        <f>VLOOKUP($Z41,Assumptions!$B$29:$M$31,Assumptions!L$4-Assumptions!$C$4+1,FALSE)</f>
        <v>0</v>
      </c>
      <c r="AJ41" s="75">
        <f>VLOOKUP($Z41,Assumptions!$B$29:$M$31,Assumptions!M$4-Assumptions!$C$4+1,FALSE)</f>
        <v>0</v>
      </c>
      <c r="AK41" s="75">
        <f>VLOOKUP($Z41,Assumptions!$B$29:$M$31,Assumptions!N$4-Assumptions!$C$4+1,FALSE)</f>
        <v>0</v>
      </c>
      <c r="AM41" s="60">
        <v>2007</v>
      </c>
      <c r="AO41" s="4">
        <v>136.50808315044506</v>
      </c>
      <c r="AP41" s="4">
        <v>87.790152051572633</v>
      </c>
      <c r="AQ41" s="4">
        <v>40.188265992731196</v>
      </c>
      <c r="AR41" s="4"/>
      <c r="AS41" s="4"/>
      <c r="AT41" s="4"/>
      <c r="AW41" s="60">
        <v>2007</v>
      </c>
      <c r="AX41" s="16">
        <f t="shared" si="16"/>
        <v>0</v>
      </c>
      <c r="AY41" s="4">
        <f t="shared" si="17"/>
        <v>-49.85498656959507</v>
      </c>
      <c r="AZ41" s="4">
        <f t="shared" si="18"/>
        <v>-98.572917668467497</v>
      </c>
      <c r="BA41" s="4">
        <f t="shared" si="19"/>
        <v>-146.17480372730893</v>
      </c>
    </row>
    <row r="42" spans="25:53" x14ac:dyDescent="0.2">
      <c r="Y42" t="s">
        <v>470</v>
      </c>
      <c r="Z42" s="56" t="s">
        <v>335</v>
      </c>
      <c r="AA42" s="75">
        <f>VLOOKUP($Z42,Assumptions!$B$33:$M$35,Assumptions!D$4-Assumptions!$C$4+1,FALSE)</f>
        <v>0</v>
      </c>
      <c r="AB42" s="75">
        <f>VLOOKUP($Z42,Assumptions!$B$33:$M$35,Assumptions!E$4-Assumptions!$C$4+1,FALSE)</f>
        <v>0</v>
      </c>
      <c r="AC42" s="75">
        <f>VLOOKUP($Z42,Assumptions!$B$33:$M$35,Assumptions!F$4-Assumptions!$C$4+1,FALSE)</f>
        <v>0</v>
      </c>
      <c r="AD42" s="75">
        <f>VLOOKUP($Z42,Assumptions!$B$33:$M$35,Assumptions!G$4-Assumptions!$C$4+1,FALSE)</f>
        <v>0</v>
      </c>
      <c r="AE42" s="75">
        <f>VLOOKUP($Z42,Assumptions!$B$33:$M$35,Assumptions!H$4-Assumptions!$C$4+1,FALSE)</f>
        <v>0</v>
      </c>
      <c r="AF42" s="75">
        <f>VLOOKUP($Z42,Assumptions!$B$33:$M$35,Assumptions!I$4-Assumptions!$C$4+1,FALSE)</f>
        <v>0</v>
      </c>
      <c r="AG42" s="75">
        <f>VLOOKUP($Z42,Assumptions!$B$33:$M$35,Assumptions!J$4-Assumptions!$C$4+1,FALSE)</f>
        <v>0</v>
      </c>
      <c r="AH42" s="75">
        <f>VLOOKUP($Z42,Assumptions!$B$33:$M$35,Assumptions!K$4-Assumptions!$C$4+1,FALSE)</f>
        <v>0</v>
      </c>
      <c r="AI42" s="75">
        <f>VLOOKUP($Z42,Assumptions!$B$33:$M$35,Assumptions!L$4-Assumptions!$C$4+1,FALSE)</f>
        <v>0</v>
      </c>
      <c r="AJ42" s="75">
        <f>VLOOKUP($Z42,Assumptions!$B$33:$M$35,Assumptions!M$4-Assumptions!$C$4+1,FALSE)</f>
        <v>0</v>
      </c>
      <c r="AK42" s="75">
        <f>VLOOKUP($Z42,Assumptions!$B$33:$M$35,Assumptions!N$4-Assumptions!$C$4+1,FALSE)</f>
        <v>0</v>
      </c>
      <c r="AM42" s="60">
        <v>2008</v>
      </c>
      <c r="AO42" s="4">
        <v>140.51792296404358</v>
      </c>
      <c r="AP42" s="4">
        <v>91.034581448485341</v>
      </c>
      <c r="AQ42" s="4">
        <v>42.713606032895349</v>
      </c>
      <c r="AR42" s="4"/>
      <c r="AS42" s="4"/>
      <c r="AT42" s="4"/>
      <c r="AW42" s="60">
        <v>2008</v>
      </c>
      <c r="AX42" s="16">
        <f t="shared" si="16"/>
        <v>0</v>
      </c>
      <c r="AY42" s="4">
        <f t="shared" si="17"/>
        <v>-50.668718757958487</v>
      </c>
      <c r="AZ42" s="4">
        <f t="shared" si="18"/>
        <v>-100.15206027351672</v>
      </c>
      <c r="BA42" s="4">
        <f t="shared" si="19"/>
        <v>-148.47303568910672</v>
      </c>
    </row>
    <row r="43" spans="25:53" x14ac:dyDescent="0.2">
      <c r="AM43" s="60">
        <v>2009</v>
      </c>
      <c r="AO43" s="4">
        <v>144.65086485991955</v>
      </c>
      <c r="AP43" s="4">
        <v>94.362392680898679</v>
      </c>
      <c r="AQ43" s="4">
        <v>45.2912206118909</v>
      </c>
      <c r="AR43" s="4"/>
      <c r="AS43" s="4"/>
      <c r="AT43" s="4"/>
      <c r="AW43" s="60">
        <v>2009</v>
      </c>
      <c r="AX43" s="16">
        <f t="shared" si="16"/>
        <v>0</v>
      </c>
      <c r="AY43" s="4">
        <f t="shared" si="17"/>
        <v>-51.531550384514446</v>
      </c>
      <c r="AZ43" s="4">
        <f t="shared" si="18"/>
        <v>-101.82002256353532</v>
      </c>
      <c r="BA43" s="4">
        <f t="shared" si="19"/>
        <v>-150.89119463254309</v>
      </c>
    </row>
    <row r="44" spans="25:53" x14ac:dyDescent="0.2">
      <c r="Y44" s="24" t="s">
        <v>330</v>
      </c>
      <c r="AM44" s="60">
        <v>2010</v>
      </c>
      <c r="AO44" s="4">
        <v>148.91068807199892</v>
      </c>
      <c r="AP44" s="4">
        <v>97.775728661985028</v>
      </c>
      <c r="AQ44" s="4">
        <v>47.922191812671663</v>
      </c>
      <c r="AR44" s="4"/>
      <c r="AS44" s="4"/>
      <c r="AT44" s="4"/>
      <c r="AW44" s="60">
        <v>2010</v>
      </c>
      <c r="AX44" s="16">
        <f t="shared" si="16"/>
        <v>0</v>
      </c>
      <c r="AY44" s="4">
        <f t="shared" si="17"/>
        <v>-52.44584980961784</v>
      </c>
      <c r="AZ44" s="4">
        <f t="shared" si="18"/>
        <v>-103.58080921963173</v>
      </c>
      <c r="BA44" s="4">
        <f t="shared" si="19"/>
        <v>-153.4343460689451</v>
      </c>
    </row>
    <row r="45" spans="25:53" x14ac:dyDescent="0.2">
      <c r="Y45" t="s">
        <v>345</v>
      </c>
      <c r="AA45" s="1">
        <v>0</v>
      </c>
      <c r="AB45" s="1">
        <v>-11.111729180924161</v>
      </c>
      <c r="AC45" s="1">
        <v>-43.913951644252357</v>
      </c>
      <c r="AD45" s="1">
        <v>-44.143840167335654</v>
      </c>
      <c r="AE45" s="1">
        <v>-44.385182548010206</v>
      </c>
      <c r="AF45" s="1">
        <v>-58.178455238983474</v>
      </c>
      <c r="AG45" s="1">
        <v>-92.053027948709442</v>
      </c>
      <c r="AH45" s="1">
        <v>-92.334377704874015</v>
      </c>
      <c r="AI45" s="1">
        <v>-92.62557366046822</v>
      </c>
      <c r="AJ45" s="1">
        <v>-92.92367044481891</v>
      </c>
      <c r="AK45" s="1">
        <v>-93.228351601133724</v>
      </c>
    </row>
    <row r="46" spans="25:53" x14ac:dyDescent="0.2">
      <c r="Y46" t="s">
        <v>346</v>
      </c>
      <c r="AA46" s="1">
        <v>0</v>
      </c>
      <c r="AB46" s="1">
        <v>-45.253485240807493</v>
      </c>
      <c r="AC46" s="1">
        <v>-132.66883886357044</v>
      </c>
      <c r="AD46" s="1">
        <v>-133.32484080773972</v>
      </c>
      <c r="AE46" s="1">
        <v>-134.0135270840685</v>
      </c>
      <c r="AF46" s="1">
        <v>-192.75241759760732</v>
      </c>
      <c r="AG46" s="1">
        <v>-285.68580468651805</v>
      </c>
      <c r="AH46" s="1">
        <v>-286.48865462682863</v>
      </c>
      <c r="AI46" s="1">
        <v>-287.31960134153189</v>
      </c>
      <c r="AJ46" s="1">
        <v>-288.17024002267135</v>
      </c>
      <c r="AK46" s="1">
        <v>-289.03966764008157</v>
      </c>
      <c r="AO46" s="16"/>
    </row>
    <row r="47" spans="25:53" x14ac:dyDescent="0.2">
      <c r="AO47" s="16"/>
    </row>
    <row r="48" spans="25:53" ht="13.5" thickBot="1" x14ac:dyDescent="0.25">
      <c r="Y48" s="36" t="s">
        <v>344</v>
      </c>
      <c r="Z48" s="27"/>
      <c r="AA48" s="29">
        <f t="shared" ref="AA48:AI48" si="20">SUM(AA45:AA46)</f>
        <v>0</v>
      </c>
      <c r="AB48" s="29">
        <f t="shared" si="20"/>
        <v>-56.36521442173165</v>
      </c>
      <c r="AC48" s="29">
        <f t="shared" si="20"/>
        <v>-176.58279050782281</v>
      </c>
      <c r="AD48" s="29">
        <f t="shared" si="20"/>
        <v>-177.46868097507536</v>
      </c>
      <c r="AE48" s="29">
        <f t="shared" si="20"/>
        <v>-178.39870963207869</v>
      </c>
      <c r="AF48" s="29">
        <f t="shared" si="20"/>
        <v>-250.93087283659079</v>
      </c>
      <c r="AG48" s="29">
        <f t="shared" si="20"/>
        <v>-377.73883263522748</v>
      </c>
      <c r="AH48" s="29">
        <f t="shared" si="20"/>
        <v>-378.82303233170262</v>
      </c>
      <c r="AI48" s="29">
        <f t="shared" si="20"/>
        <v>-379.9451750020001</v>
      </c>
      <c r="AJ48" s="29">
        <f>SUM(AJ45:AJ46)</f>
        <v>-381.09391046749028</v>
      </c>
      <c r="AK48" s="29">
        <f>SUM(AK45:AK46)</f>
        <v>-382.26801924121531</v>
      </c>
      <c r="AO48" s="16"/>
    </row>
    <row r="49" spans="25:41" ht="13.5" thickTop="1" x14ac:dyDescent="0.2">
      <c r="AN49" t="s">
        <v>554</v>
      </c>
      <c r="AO49" s="16"/>
    </row>
    <row r="50" spans="25:41" x14ac:dyDescent="0.2">
      <c r="AA50">
        <f t="shared" ref="AA50:AK50" si="21">AA36</f>
        <v>2000</v>
      </c>
      <c r="AB50">
        <f t="shared" si="21"/>
        <v>2001</v>
      </c>
      <c r="AC50">
        <f t="shared" si="21"/>
        <v>2002</v>
      </c>
      <c r="AD50">
        <f t="shared" si="21"/>
        <v>2003</v>
      </c>
      <c r="AE50">
        <f t="shared" si="21"/>
        <v>2004</v>
      </c>
      <c r="AF50">
        <f t="shared" si="21"/>
        <v>2005</v>
      </c>
      <c r="AG50">
        <f t="shared" si="21"/>
        <v>2006</v>
      </c>
      <c r="AH50">
        <f t="shared" si="21"/>
        <v>2007</v>
      </c>
      <c r="AI50">
        <f t="shared" si="21"/>
        <v>2008</v>
      </c>
      <c r="AJ50">
        <f t="shared" si="21"/>
        <v>2009</v>
      </c>
      <c r="AK50">
        <f t="shared" si="21"/>
        <v>2010</v>
      </c>
      <c r="AM50" s="60">
        <v>2000</v>
      </c>
      <c r="AN50" s="4">
        <v>0</v>
      </c>
      <c r="AO50" s="16"/>
    </row>
    <row r="51" spans="25:41" x14ac:dyDescent="0.2">
      <c r="Y51" t="s">
        <v>541</v>
      </c>
      <c r="AA51" s="16">
        <f t="shared" ref="AA51:AK51" si="22">AA32</f>
        <v>0</v>
      </c>
      <c r="AB51" s="16">
        <f t="shared" si="22"/>
        <v>54.585457387574259</v>
      </c>
      <c r="AC51" s="16">
        <f t="shared" si="22"/>
        <v>143.72627988562141</v>
      </c>
      <c r="AD51" s="16">
        <f t="shared" si="22"/>
        <v>148.49804798635577</v>
      </c>
      <c r="AE51" s="16">
        <f t="shared" si="22"/>
        <v>153.40796739728367</v>
      </c>
      <c r="AF51" s="16">
        <f t="shared" si="22"/>
        <v>193.71172098674626</v>
      </c>
      <c r="AG51" s="16">
        <f t="shared" si="22"/>
        <v>244.02605030037549</v>
      </c>
      <c r="AH51" s="16">
        <f t="shared" si="22"/>
        <v>249.31266223688903</v>
      </c>
      <c r="AI51" s="16">
        <f t="shared" si="22"/>
        <v>254.73643478064528</v>
      </c>
      <c r="AJ51" s="16">
        <f t="shared" si="22"/>
        <v>260.31187814829241</v>
      </c>
      <c r="AK51" s="16">
        <f t="shared" si="22"/>
        <v>266.040401646021</v>
      </c>
      <c r="AM51" s="60">
        <v>2001</v>
      </c>
      <c r="AN51" s="4">
        <v>14.575303257011669</v>
      </c>
      <c r="AO51" s="16"/>
    </row>
    <row r="52" spans="25:41" x14ac:dyDescent="0.2">
      <c r="Y52" t="s">
        <v>542</v>
      </c>
      <c r="AA52" s="16">
        <f t="shared" ref="AA52:AK52" si="23">AA15</f>
        <v>0</v>
      </c>
      <c r="AB52" s="16">
        <f t="shared" si="23"/>
        <v>0.76014240523224397</v>
      </c>
      <c r="AC52" s="16">
        <f t="shared" si="23"/>
        <v>-10.573656113075657</v>
      </c>
      <c r="AD52" s="16">
        <f t="shared" si="23"/>
        <v>-8.4822314234668639</v>
      </c>
      <c r="AE52" s="16">
        <f t="shared" si="23"/>
        <v>-6.4071528689321111</v>
      </c>
      <c r="AF52" s="16">
        <f t="shared" si="23"/>
        <v>-20.358262980620257</v>
      </c>
      <c r="AG52" s="16">
        <f t="shared" si="23"/>
        <v>-57.452598903242318</v>
      </c>
      <c r="AH52" s="16">
        <f t="shared" si="23"/>
        <v>-55.477019691174199</v>
      </c>
      <c r="AI52" s="16">
        <f t="shared" si="23"/>
        <v>-53.528585174076198</v>
      </c>
      <c r="AJ52" s="16">
        <f t="shared" si="23"/>
        <v>-51.59747488585738</v>
      </c>
      <c r="AK52" s="16">
        <f t="shared" si="23"/>
        <v>-49.685514367256175</v>
      </c>
      <c r="AM52" s="60">
        <v>2002</v>
      </c>
      <c r="AN52" s="4">
        <v>49.088723916018019</v>
      </c>
      <c r="AO52" s="16"/>
    </row>
    <row r="53" spans="25:41" x14ac:dyDescent="0.2">
      <c r="Y53" t="s">
        <v>543</v>
      </c>
      <c r="AA53" s="16">
        <f t="shared" ref="AA53:AK53" si="24">AA48</f>
        <v>0</v>
      </c>
      <c r="AB53" s="16">
        <f t="shared" si="24"/>
        <v>-56.36521442173165</v>
      </c>
      <c r="AC53" s="16">
        <f t="shared" si="24"/>
        <v>-176.58279050782281</v>
      </c>
      <c r="AD53" s="16">
        <f t="shared" si="24"/>
        <v>-177.46868097507536</v>
      </c>
      <c r="AE53" s="16">
        <f t="shared" si="24"/>
        <v>-178.39870963207869</v>
      </c>
      <c r="AF53" s="16">
        <f t="shared" si="24"/>
        <v>-250.93087283659079</v>
      </c>
      <c r="AG53" s="16">
        <f t="shared" si="24"/>
        <v>-377.73883263522748</v>
      </c>
      <c r="AH53" s="16">
        <f t="shared" si="24"/>
        <v>-378.82303233170262</v>
      </c>
      <c r="AI53" s="16">
        <f t="shared" si="24"/>
        <v>-379.9451750020001</v>
      </c>
      <c r="AJ53" s="16">
        <f t="shared" si="24"/>
        <v>-381.09391046749028</v>
      </c>
      <c r="AK53" s="16">
        <f t="shared" si="24"/>
        <v>-382.26801924121531</v>
      </c>
      <c r="AM53" s="60">
        <v>2003</v>
      </c>
      <c r="AN53" s="4">
        <v>53.136336005841407</v>
      </c>
      <c r="AO53" s="16"/>
    </row>
    <row r="54" spans="25:41" x14ac:dyDescent="0.2">
      <c r="AM54" s="60">
        <v>2004</v>
      </c>
      <c r="AN54" s="4">
        <v>57.328447847271484</v>
      </c>
      <c r="AO54" s="16"/>
    </row>
    <row r="55" spans="25:41" x14ac:dyDescent="0.2">
      <c r="AM55" s="60">
        <v>2005</v>
      </c>
      <c r="AN55" s="4">
        <v>109.10946166538946</v>
      </c>
      <c r="AO55" s="16"/>
    </row>
    <row r="56" spans="25:41" x14ac:dyDescent="0.2">
      <c r="AA56">
        <v>2000</v>
      </c>
      <c r="AB56">
        <v>2001</v>
      </c>
      <c r="AC56">
        <v>2002</v>
      </c>
      <c r="AD56">
        <v>2003</v>
      </c>
      <c r="AE56">
        <v>2004</v>
      </c>
      <c r="AF56">
        <v>2005</v>
      </c>
      <c r="AG56">
        <v>2006</v>
      </c>
      <c r="AH56">
        <v>2007</v>
      </c>
      <c r="AI56">
        <v>2008</v>
      </c>
      <c r="AJ56">
        <v>2009</v>
      </c>
      <c r="AK56">
        <v>2010</v>
      </c>
      <c r="AM56" s="60">
        <v>2006</v>
      </c>
      <c r="AN56" s="4">
        <v>181.70576354840557</v>
      </c>
      <c r="AO56" s="16"/>
    </row>
    <row r="57" spans="25:41" x14ac:dyDescent="0.2">
      <c r="Z57" t="s">
        <v>550</v>
      </c>
      <c r="AA57" s="76">
        <f t="shared" ref="AA57:AJ57" si="25">$AN$60/$AK$32*AA32</f>
        <v>0</v>
      </c>
      <c r="AB57" s="76">
        <f t="shared" si="25"/>
        <v>41.313795386877707</v>
      </c>
      <c r="AC57" s="76">
        <f t="shared" si="25"/>
        <v>108.78132021045167</v>
      </c>
      <c r="AD57" s="76">
        <f t="shared" si="25"/>
        <v>112.3929021295627</v>
      </c>
      <c r="AE57" s="76">
        <f t="shared" si="25"/>
        <v>116.10904587218728</v>
      </c>
      <c r="AF57" s="76">
        <f t="shared" si="25"/>
        <v>146.61352653075249</v>
      </c>
      <c r="AG57" s="76">
        <f t="shared" si="25"/>
        <v>184.69465666642208</v>
      </c>
      <c r="AH57" s="76">
        <f t="shared" si="25"/>
        <v>188.69590561234853</v>
      </c>
      <c r="AI57" s="76">
        <f t="shared" si="25"/>
        <v>192.80096655388641</v>
      </c>
      <c r="AJ57" s="76">
        <f t="shared" si="25"/>
        <v>197.02082175902999</v>
      </c>
      <c r="AK57" s="76">
        <f>$AN$60/$AK$32*AK32</f>
        <v>201.35653788161676</v>
      </c>
      <c r="AL57" s="9">
        <f>$AN$60/$AK$32</f>
        <v>0.7568645086828989</v>
      </c>
      <c r="AM57" s="60">
        <v>2007</v>
      </c>
      <c r="AN57" s="4">
        <v>186.36306972004013</v>
      </c>
      <c r="AO57" s="16"/>
    </row>
    <row r="58" spans="25:41" x14ac:dyDescent="0.2">
      <c r="Z58" t="s">
        <v>551</v>
      </c>
      <c r="AA58" s="76">
        <f t="shared" ref="AA58:AJ58" si="26">$BD$14/$AK$32*AA32</f>
        <v>0</v>
      </c>
      <c r="AB58" s="76">
        <f t="shared" si="26"/>
        <v>18.678379043199396</v>
      </c>
      <c r="AC58" s="76">
        <f t="shared" si="26"/>
        <v>49.181120075833853</v>
      </c>
      <c r="AD58" s="76">
        <f t="shared" si="26"/>
        <v>50.813952290812296</v>
      </c>
      <c r="AE58" s="76">
        <f t="shared" si="26"/>
        <v>52.494057949315945</v>
      </c>
      <c r="AF58" s="76">
        <f t="shared" si="26"/>
        <v>66.285437969501658</v>
      </c>
      <c r="AG58" s="76">
        <f t="shared" si="26"/>
        <v>83.502296803375927</v>
      </c>
      <c r="AH58" s="76">
        <f t="shared" si="26"/>
        <v>85.31130136851823</v>
      </c>
      <c r="AI58" s="76">
        <f t="shared" si="26"/>
        <v>87.167240372510861</v>
      </c>
      <c r="AJ58" s="76">
        <f t="shared" si="26"/>
        <v>89.075079008273789</v>
      </c>
      <c r="AK58" s="76">
        <f>$BD$14/$AK$32*AK32</f>
        <v>91.035299520647953</v>
      </c>
      <c r="AL58" s="9">
        <f>$BD$14/$AK$32</f>
        <v>0.34218599489928081</v>
      </c>
      <c r="AM58" s="60">
        <v>2008</v>
      </c>
      <c r="AN58" s="4">
        <v>191.18664172200207</v>
      </c>
    </row>
    <row r="59" spans="25:41" x14ac:dyDescent="0.2">
      <c r="Z59" t="s">
        <v>552</v>
      </c>
      <c r="AA59" s="76">
        <f t="shared" ref="AA59:AJ59" si="27">0.1*AA32</f>
        <v>0</v>
      </c>
      <c r="AB59" s="76">
        <f t="shared" si="27"/>
        <v>5.4585457387574259</v>
      </c>
      <c r="AC59" s="76">
        <f t="shared" si="27"/>
        <v>14.372627988562142</v>
      </c>
      <c r="AD59" s="76">
        <f t="shared" si="27"/>
        <v>14.849804798635578</v>
      </c>
      <c r="AE59" s="76">
        <f t="shared" si="27"/>
        <v>15.340796739728368</v>
      </c>
      <c r="AF59" s="76">
        <f t="shared" si="27"/>
        <v>19.371172098674627</v>
      </c>
      <c r="AG59" s="76">
        <f t="shared" si="27"/>
        <v>24.402605030037549</v>
      </c>
      <c r="AH59" s="76">
        <f t="shared" si="27"/>
        <v>24.931266223688905</v>
      </c>
      <c r="AI59" s="76">
        <f t="shared" si="27"/>
        <v>25.473643478064531</v>
      </c>
      <c r="AJ59" s="76">
        <f t="shared" si="27"/>
        <v>26.031187814829241</v>
      </c>
      <c r="AK59" s="76">
        <f>0.1*AK32</f>
        <v>26.6040401646021</v>
      </c>
      <c r="AL59" s="9">
        <f>0.1</f>
        <v>0.1</v>
      </c>
      <c r="AM59" s="60">
        <v>2009</v>
      </c>
      <c r="AN59" s="4">
        <v>196.182415244434</v>
      </c>
    </row>
    <row r="60" spans="25:41" x14ac:dyDescent="0.2">
      <c r="Z60" t="s">
        <v>322</v>
      </c>
      <c r="AA60" s="76">
        <f t="shared" ref="AA60:AJ60" si="28">$AY$44/$AK$32*AA32</f>
        <v>0</v>
      </c>
      <c r="AB60" s="76">
        <f t="shared" si="28"/>
        <v>-10.760699060088911</v>
      </c>
      <c r="AC60" s="76">
        <f t="shared" si="28"/>
        <v>-28.333466804060272</v>
      </c>
      <c r="AD60" s="76">
        <f t="shared" si="28"/>
        <v>-29.2741488643378</v>
      </c>
      <c r="AE60" s="76">
        <f t="shared" si="28"/>
        <v>-30.242065370288177</v>
      </c>
      <c r="AF60" s="76">
        <f t="shared" si="28"/>
        <v>-38.187342081790298</v>
      </c>
      <c r="AG60" s="76">
        <f t="shared" si="28"/>
        <v>-48.106052706672251</v>
      </c>
      <c r="AH60" s="76">
        <f t="shared" si="28"/>
        <v>-49.148228458583162</v>
      </c>
      <c r="AI60" s="76">
        <f t="shared" si="28"/>
        <v>-50.217443354032945</v>
      </c>
      <c r="AJ60" s="76">
        <f t="shared" si="28"/>
        <v>-51.316557863229619</v>
      </c>
      <c r="AK60" s="76">
        <f>$AY$44/$AK$32*AK32</f>
        <v>-52.44584980961784</v>
      </c>
      <c r="AL60" s="9">
        <f>$AY$44/$AK$32</f>
        <v>-0.19713490689808633</v>
      </c>
      <c r="AM60" s="60">
        <v>2010</v>
      </c>
      <c r="AN60" s="4">
        <v>201.35653788161676</v>
      </c>
    </row>
    <row r="61" spans="25:41" x14ac:dyDescent="0.2">
      <c r="AA61" s="37">
        <f>SUM(AA57:AA60)</f>
        <v>0</v>
      </c>
      <c r="AB61" s="37">
        <f t="shared" ref="AB61:AK61" si="29">SUM(AB57:AB60)</f>
        <v>54.690021108745611</v>
      </c>
      <c r="AC61" s="37">
        <f t="shared" si="29"/>
        <v>144.00160147078739</v>
      </c>
      <c r="AD61" s="37">
        <f t="shared" si="29"/>
        <v>148.78251035467278</v>
      </c>
      <c r="AE61" s="37">
        <f t="shared" si="29"/>
        <v>153.70183519094343</v>
      </c>
      <c r="AF61" s="37">
        <f t="shared" si="29"/>
        <v>194.0827945171385</v>
      </c>
      <c r="AG61" s="37">
        <f t="shared" si="29"/>
        <v>244.49350579316331</v>
      </c>
      <c r="AH61" s="37">
        <f t="shared" si="29"/>
        <v>249.79024474597247</v>
      </c>
      <c r="AI61" s="37">
        <f t="shared" si="29"/>
        <v>255.22440705042882</v>
      </c>
      <c r="AJ61" s="37">
        <f t="shared" si="29"/>
        <v>260.81053071890341</v>
      </c>
      <c r="AK61" s="37">
        <f t="shared" si="29"/>
        <v>266.55002775724904</v>
      </c>
    </row>
    <row r="64" spans="25:41" x14ac:dyDescent="0.2">
      <c r="AA64">
        <v>2000</v>
      </c>
      <c r="AB64">
        <v>2001</v>
      </c>
      <c r="AC64">
        <v>2002</v>
      </c>
      <c r="AD64">
        <v>2003</v>
      </c>
      <c r="AE64">
        <v>2004</v>
      </c>
      <c r="AF64">
        <v>2005</v>
      </c>
      <c r="AG64">
        <v>2006</v>
      </c>
      <c r="AH64">
        <v>2007</v>
      </c>
      <c r="AI64">
        <v>2008</v>
      </c>
      <c r="AJ64">
        <v>2009</v>
      </c>
      <c r="AK64">
        <v>2010</v>
      </c>
    </row>
    <row r="65" spans="26:37" x14ac:dyDescent="0.2">
      <c r="Z65" t="s">
        <v>322</v>
      </c>
      <c r="AA65" s="76">
        <f>AA60</f>
        <v>0</v>
      </c>
      <c r="AB65" s="76">
        <f t="shared" ref="AB65:AK65" si="30">AB60</f>
        <v>-10.760699060088911</v>
      </c>
      <c r="AC65" s="76">
        <f t="shared" si="30"/>
        <v>-28.333466804060272</v>
      </c>
      <c r="AD65" s="76">
        <f t="shared" si="30"/>
        <v>-29.2741488643378</v>
      </c>
      <c r="AE65" s="76">
        <f t="shared" si="30"/>
        <v>-30.242065370288177</v>
      </c>
      <c r="AF65" s="76">
        <f t="shared" si="30"/>
        <v>-38.187342081790298</v>
      </c>
      <c r="AG65" s="76">
        <f t="shared" si="30"/>
        <v>-48.106052706672251</v>
      </c>
      <c r="AH65" s="76">
        <f t="shared" si="30"/>
        <v>-49.148228458583162</v>
      </c>
      <c r="AI65" s="76">
        <f t="shared" si="30"/>
        <v>-50.217443354032945</v>
      </c>
      <c r="AJ65" s="76">
        <f t="shared" si="30"/>
        <v>-51.316557863229619</v>
      </c>
      <c r="AK65" s="76">
        <f t="shared" si="30"/>
        <v>-52.44584980961784</v>
      </c>
    </row>
    <row r="66" spans="26:37" x14ac:dyDescent="0.2">
      <c r="Z66" t="s">
        <v>550</v>
      </c>
      <c r="AA66" s="76">
        <f>AA65+AA57</f>
        <v>0</v>
      </c>
      <c r="AB66" s="76">
        <f t="shared" ref="AB66:AK66" si="31">AB65+AB57</f>
        <v>30.553096326788797</v>
      </c>
      <c r="AC66" s="76">
        <f t="shared" si="31"/>
        <v>80.447853406391403</v>
      </c>
      <c r="AD66" s="76">
        <f t="shared" si="31"/>
        <v>83.118753265224896</v>
      </c>
      <c r="AE66" s="76">
        <f t="shared" si="31"/>
        <v>85.866980501899107</v>
      </c>
      <c r="AF66" s="76">
        <f t="shared" si="31"/>
        <v>108.4261844489622</v>
      </c>
      <c r="AG66" s="76">
        <f t="shared" si="31"/>
        <v>136.58860395974983</v>
      </c>
      <c r="AH66" s="76">
        <f t="shared" si="31"/>
        <v>139.54767715376536</v>
      </c>
      <c r="AI66" s="76">
        <f t="shared" si="31"/>
        <v>142.58352319985346</v>
      </c>
      <c r="AJ66" s="76">
        <f t="shared" si="31"/>
        <v>145.70426389580035</v>
      </c>
      <c r="AK66" s="76">
        <f t="shared" si="31"/>
        <v>148.91068807199892</v>
      </c>
    </row>
    <row r="67" spans="26:37" x14ac:dyDescent="0.2">
      <c r="Z67" t="s">
        <v>559</v>
      </c>
      <c r="AA67" s="76">
        <f>AA66+AA58</f>
        <v>0</v>
      </c>
      <c r="AB67" s="76">
        <f t="shared" ref="AB67:AK67" si="32">AB66+AB58</f>
        <v>49.231475369988189</v>
      </c>
      <c r="AC67" s="76">
        <f t="shared" si="32"/>
        <v>129.62897348222526</v>
      </c>
      <c r="AD67" s="76">
        <f t="shared" si="32"/>
        <v>133.93270555603721</v>
      </c>
      <c r="AE67" s="76">
        <f t="shared" si="32"/>
        <v>138.36103845121505</v>
      </c>
      <c r="AF67" s="76">
        <f t="shared" si="32"/>
        <v>174.71162241846386</v>
      </c>
      <c r="AG67" s="76">
        <f t="shared" si="32"/>
        <v>220.09090076312577</v>
      </c>
      <c r="AH67" s="76">
        <f t="shared" si="32"/>
        <v>224.85897852228359</v>
      </c>
      <c r="AI67" s="76">
        <f t="shared" si="32"/>
        <v>229.75076357236432</v>
      </c>
      <c r="AJ67" s="76">
        <f t="shared" si="32"/>
        <v>234.77934290407416</v>
      </c>
      <c r="AK67" s="76">
        <f t="shared" si="32"/>
        <v>239.94598759264687</v>
      </c>
    </row>
    <row r="68" spans="26:37" x14ac:dyDescent="0.2">
      <c r="Z68" t="s">
        <v>560</v>
      </c>
      <c r="AA68" s="76" t="s">
        <v>348</v>
      </c>
      <c r="AB68" s="76">
        <f t="shared" ref="AB68:AK68" si="33">AB67+AB59</f>
        <v>54.690021108745611</v>
      </c>
      <c r="AC68" s="76">
        <f t="shared" si="33"/>
        <v>144.00160147078739</v>
      </c>
      <c r="AD68" s="76">
        <f t="shared" si="33"/>
        <v>148.78251035467278</v>
      </c>
      <c r="AE68" s="76">
        <f t="shared" si="33"/>
        <v>153.70183519094343</v>
      </c>
      <c r="AF68" s="76">
        <f t="shared" si="33"/>
        <v>194.0827945171385</v>
      </c>
      <c r="AG68" s="76">
        <f t="shared" si="33"/>
        <v>244.49350579316331</v>
      </c>
      <c r="AH68" s="76">
        <f t="shared" si="33"/>
        <v>249.7902447459725</v>
      </c>
      <c r="AI68" s="76">
        <f t="shared" si="33"/>
        <v>255.22440705042885</v>
      </c>
      <c r="AJ68" s="76">
        <f t="shared" si="33"/>
        <v>260.81053071890341</v>
      </c>
      <c r="AK68" s="76">
        <f t="shared" si="33"/>
        <v>266.55002775724898</v>
      </c>
    </row>
    <row r="70" spans="26:37" x14ac:dyDescent="0.2">
      <c r="AA70" s="37" t="s">
        <v>348</v>
      </c>
      <c r="AB70" s="37"/>
      <c r="AC70" s="37"/>
      <c r="AD70" s="37"/>
      <c r="AE70" s="37"/>
      <c r="AF70" s="37"/>
      <c r="AG70" s="37"/>
      <c r="AH70" s="37"/>
      <c r="AI70" s="37"/>
      <c r="AJ70" s="37"/>
      <c r="AK70" s="37"/>
    </row>
  </sheetData>
  <pageMargins left="0.75" right="0.75" top="0.56000000000000005" bottom="0.68" header="0.5" footer="0.5"/>
  <pageSetup scale="53" orientation="landscape" verticalDpi="0" r:id="rId1"/>
  <headerFooter alignWithMargins="0">
    <oddFooter>Page &amp;P&amp;R&amp;A</oddFooter>
  </headerFooter>
  <drawing r:id="rId2"/>
  <legacy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7"/>
  <sheetViews>
    <sheetView workbookViewId="0">
      <pane xSplit="1" ySplit="3" topLeftCell="B4" activePane="bottomRight" state="frozen"/>
      <selection activeCell="E25" sqref="E25"/>
      <selection pane="topRight" activeCell="E25" sqref="E25"/>
      <selection pane="bottomLeft" activeCell="E25" sqref="E25"/>
      <selection pane="bottomRight" activeCell="E25" sqref="E25"/>
    </sheetView>
  </sheetViews>
  <sheetFormatPr defaultRowHeight="12.75" x14ac:dyDescent="0.2"/>
  <cols>
    <col min="1" max="1" width="36.140625" bestFit="1" customWidth="1"/>
    <col min="2" max="2" width="11.140625" bestFit="1" customWidth="1"/>
    <col min="3" max="3" width="5.42578125" bestFit="1" customWidth="1"/>
    <col min="4" max="4" width="7.28515625" bestFit="1" customWidth="1"/>
    <col min="5" max="5" width="15.5703125" bestFit="1" customWidth="1"/>
    <col min="6" max="6" width="17.42578125" style="1" bestFit="1" customWidth="1"/>
    <col min="7" max="7" width="23" style="1" bestFit="1" customWidth="1"/>
    <col min="8" max="8" width="24.85546875" style="1" bestFit="1" customWidth="1"/>
    <col min="9" max="9" width="23.85546875" style="1" bestFit="1" customWidth="1"/>
    <col min="10" max="10" width="17.42578125" style="1" bestFit="1" customWidth="1"/>
    <col min="11" max="11" width="19.7109375" style="1" bestFit="1" customWidth="1"/>
    <col min="12" max="12" width="20.5703125" style="1" bestFit="1" customWidth="1"/>
    <col min="13" max="13" width="19.140625" style="1" bestFit="1" customWidth="1"/>
    <col min="14" max="14" width="16.42578125" style="1" bestFit="1" customWidth="1"/>
    <col min="15" max="15" width="18.85546875" style="1" bestFit="1" customWidth="1"/>
    <col min="16" max="16" width="16.42578125" style="1" bestFit="1" customWidth="1"/>
    <col min="17" max="17" width="17.5703125" style="1" bestFit="1" customWidth="1"/>
    <col min="18" max="18" width="17.42578125" style="1" bestFit="1" customWidth="1"/>
    <col min="19" max="19" width="23.140625" style="1" bestFit="1" customWidth="1"/>
    <col min="20" max="20" width="17.42578125" style="1" bestFit="1" customWidth="1"/>
    <col min="21" max="21" width="27.42578125" style="1" bestFit="1" customWidth="1"/>
    <col min="22" max="22" width="17.42578125" style="1" bestFit="1" customWidth="1"/>
    <col min="23" max="23" width="16.42578125" style="1" bestFit="1" customWidth="1"/>
    <col min="24" max="24" width="16.85546875" style="1" bestFit="1" customWidth="1"/>
    <col min="25" max="25" width="19.5703125" style="1" bestFit="1" customWidth="1"/>
    <col min="26" max="27" width="16.42578125" style="1" bestFit="1" customWidth="1"/>
    <col min="28" max="28" width="17.42578125" style="1" bestFit="1" customWidth="1"/>
    <col min="29" max="29" width="21.85546875" style="1" bestFit="1" customWidth="1"/>
    <col min="30" max="30" width="21" style="1" bestFit="1" customWidth="1"/>
    <col min="31" max="31" width="23.42578125" style="1" bestFit="1" customWidth="1"/>
    <col min="32" max="32" width="22.5703125" style="1" bestFit="1" customWidth="1"/>
    <col min="33" max="33" width="16.42578125" style="1" customWidth="1"/>
    <col min="34" max="34" width="19.28515625" style="1" bestFit="1" customWidth="1"/>
    <col min="35" max="35" width="19.7109375" style="1" bestFit="1" customWidth="1"/>
    <col min="36" max="36" width="15.7109375" style="1" bestFit="1" customWidth="1"/>
    <col min="37" max="37" width="20.28515625" style="1" bestFit="1" customWidth="1"/>
    <col min="38" max="38" width="20.5703125" style="1" bestFit="1" customWidth="1"/>
    <col min="39" max="39" width="14.85546875" style="4" bestFit="1" customWidth="1"/>
    <col min="40" max="40" width="13.85546875" style="4" bestFit="1" customWidth="1"/>
    <col min="41" max="42" width="14.85546875" style="4" bestFit="1" customWidth="1"/>
    <col min="43" max="43" width="13.42578125" style="4" bestFit="1" customWidth="1"/>
    <col min="44" max="44" width="14" style="4" customWidth="1"/>
    <col min="45" max="45" width="19.7109375" style="4" bestFit="1" customWidth="1"/>
    <col min="46" max="46" width="18.85546875" bestFit="1" customWidth="1"/>
    <col min="47" max="47" width="22.7109375" bestFit="1" customWidth="1"/>
    <col min="48" max="48" width="18.28515625" bestFit="1" customWidth="1"/>
    <col min="49" max="49" width="19.85546875" bestFit="1" customWidth="1"/>
    <col min="50" max="51" width="18.28515625" bestFit="1" customWidth="1"/>
    <col min="52" max="52" width="17.28515625" bestFit="1" customWidth="1"/>
    <col min="53" max="54" width="19.85546875" bestFit="1" customWidth="1"/>
    <col min="55" max="55" width="20.5703125" bestFit="1" customWidth="1"/>
    <col min="56" max="56" width="18.85546875" bestFit="1" customWidth="1"/>
    <col min="57" max="57" width="19.5703125" bestFit="1" customWidth="1"/>
    <col min="58" max="58" width="20.140625" bestFit="1" customWidth="1"/>
    <col min="59" max="59" width="21.28515625" bestFit="1" customWidth="1"/>
    <col min="60" max="60" width="17.140625" bestFit="1" customWidth="1"/>
    <col min="61" max="61" width="15.42578125" bestFit="1" customWidth="1"/>
    <col min="62" max="63" width="16.140625" bestFit="1" customWidth="1"/>
  </cols>
  <sheetData>
    <row r="1" spans="1:63" x14ac:dyDescent="0.2">
      <c r="A1">
        <v>1</v>
      </c>
      <c r="B1">
        <v>2</v>
      </c>
      <c r="C1">
        <v>3</v>
      </c>
      <c r="D1">
        <v>4</v>
      </c>
      <c r="E1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4">
        <v>18</v>
      </c>
      <c r="S1" s="4">
        <v>19</v>
      </c>
      <c r="T1" s="4">
        <v>20</v>
      </c>
      <c r="U1" s="4">
        <v>21</v>
      </c>
      <c r="V1" s="4">
        <v>22</v>
      </c>
      <c r="W1" s="4">
        <v>23</v>
      </c>
      <c r="X1" s="4">
        <v>24</v>
      </c>
      <c r="Y1" s="4">
        <v>25</v>
      </c>
      <c r="Z1" s="4">
        <v>26</v>
      </c>
      <c r="AA1" s="4">
        <v>27</v>
      </c>
      <c r="AB1" s="4">
        <v>28</v>
      </c>
      <c r="AC1" s="4">
        <v>29</v>
      </c>
      <c r="AD1" s="4">
        <v>30</v>
      </c>
      <c r="AE1" s="4">
        <v>31</v>
      </c>
      <c r="AF1" s="4">
        <v>32</v>
      </c>
      <c r="AG1" s="4">
        <v>33</v>
      </c>
      <c r="AH1" s="4">
        <v>34</v>
      </c>
      <c r="AI1" s="4">
        <v>35</v>
      </c>
      <c r="AJ1" s="4">
        <v>36</v>
      </c>
      <c r="AK1" s="4">
        <v>37</v>
      </c>
      <c r="AL1" s="4">
        <v>38</v>
      </c>
      <c r="AM1" s="4">
        <v>39</v>
      </c>
      <c r="AN1" s="4">
        <v>40</v>
      </c>
      <c r="AO1" s="4">
        <v>41</v>
      </c>
      <c r="AP1" s="4">
        <v>42</v>
      </c>
      <c r="AQ1" s="4">
        <v>43</v>
      </c>
      <c r="AR1" s="4">
        <v>44</v>
      </c>
      <c r="AS1" s="4">
        <v>45</v>
      </c>
      <c r="AT1" s="4">
        <v>46</v>
      </c>
      <c r="AU1" s="4">
        <v>47</v>
      </c>
      <c r="AV1" s="4">
        <v>48</v>
      </c>
      <c r="AW1" s="4">
        <v>49</v>
      </c>
      <c r="AX1" s="4">
        <v>50</v>
      </c>
      <c r="AY1" s="4">
        <v>51</v>
      </c>
      <c r="AZ1" s="4">
        <v>52</v>
      </c>
      <c r="BA1" s="4">
        <v>53</v>
      </c>
      <c r="BB1" s="4">
        <v>54</v>
      </c>
      <c r="BC1" s="4">
        <v>55</v>
      </c>
      <c r="BD1" s="4">
        <v>56</v>
      </c>
      <c r="BE1" s="4">
        <v>57</v>
      </c>
      <c r="BF1" s="4">
        <v>58</v>
      </c>
      <c r="BG1" s="4">
        <v>59</v>
      </c>
      <c r="BH1" s="4">
        <v>60</v>
      </c>
      <c r="BI1" s="4">
        <v>61</v>
      </c>
      <c r="BJ1" s="4">
        <v>62</v>
      </c>
      <c r="BK1" s="4">
        <v>63</v>
      </c>
    </row>
    <row r="2" spans="1:63" x14ac:dyDescent="0.2"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</row>
    <row r="3" spans="1:63" s="3" customFormat="1" x14ac:dyDescent="0.2">
      <c r="A3" s="3" t="s">
        <v>177</v>
      </c>
      <c r="B3" s="3" t="s">
        <v>178</v>
      </c>
      <c r="C3" s="3" t="s">
        <v>179</v>
      </c>
      <c r="D3" s="3" t="s">
        <v>180</v>
      </c>
      <c r="E3" s="3" t="s">
        <v>181</v>
      </c>
      <c r="F3" s="71" t="s">
        <v>182</v>
      </c>
      <c r="G3" s="5" t="s">
        <v>183</v>
      </c>
      <c r="H3" s="5" t="s">
        <v>184</v>
      </c>
      <c r="I3" s="5" t="s">
        <v>185</v>
      </c>
      <c r="J3" s="5" t="s">
        <v>186</v>
      </c>
      <c r="K3" s="5" t="s">
        <v>187</v>
      </c>
      <c r="L3" s="5" t="s">
        <v>188</v>
      </c>
      <c r="M3" s="5" t="s">
        <v>189</v>
      </c>
      <c r="N3" s="5" t="s">
        <v>190</v>
      </c>
      <c r="O3" s="5" t="s">
        <v>191</v>
      </c>
      <c r="P3" s="5" t="s">
        <v>192</v>
      </c>
      <c r="Q3" s="5" t="s">
        <v>193</v>
      </c>
      <c r="R3" s="71" t="s">
        <v>194</v>
      </c>
      <c r="S3" s="5" t="s">
        <v>195</v>
      </c>
      <c r="T3" s="5" t="s">
        <v>196</v>
      </c>
      <c r="U3" s="5" t="s">
        <v>197</v>
      </c>
      <c r="V3" s="5" t="s">
        <v>198</v>
      </c>
      <c r="W3" s="5" t="s">
        <v>199</v>
      </c>
      <c r="X3" s="5" t="s">
        <v>200</v>
      </c>
      <c r="Y3" s="5" t="s">
        <v>201</v>
      </c>
      <c r="Z3" s="5" t="s">
        <v>202</v>
      </c>
      <c r="AA3" s="5" t="s">
        <v>203</v>
      </c>
      <c r="AB3" s="5" t="s">
        <v>204</v>
      </c>
      <c r="AC3" s="5" t="s">
        <v>291</v>
      </c>
      <c r="AD3" s="5" t="s">
        <v>292</v>
      </c>
      <c r="AE3" s="5" t="s">
        <v>293</v>
      </c>
      <c r="AF3" s="5" t="s">
        <v>294</v>
      </c>
      <c r="AG3" s="5" t="s">
        <v>205</v>
      </c>
      <c r="AH3" s="5" t="s">
        <v>206</v>
      </c>
      <c r="AI3" s="5" t="s">
        <v>207</v>
      </c>
      <c r="AJ3" s="71" t="s">
        <v>295</v>
      </c>
      <c r="AK3" s="5" t="s">
        <v>296</v>
      </c>
      <c r="AL3" s="5" t="s">
        <v>297</v>
      </c>
      <c r="AM3" s="5" t="s">
        <v>298</v>
      </c>
      <c r="AN3" s="5" t="s">
        <v>299</v>
      </c>
      <c r="AO3" s="5" t="s">
        <v>300</v>
      </c>
      <c r="AP3" s="5" t="s">
        <v>301</v>
      </c>
      <c r="AQ3" s="5" t="s">
        <v>302</v>
      </c>
      <c r="AR3" s="5" t="s">
        <v>303</v>
      </c>
      <c r="AS3" s="5" t="s">
        <v>304</v>
      </c>
      <c r="AT3" s="3" t="s">
        <v>305</v>
      </c>
      <c r="AU3" s="3" t="s">
        <v>306</v>
      </c>
      <c r="AV3" s="69" t="s">
        <v>446</v>
      </c>
      <c r="AW3" s="3" t="s">
        <v>447</v>
      </c>
      <c r="AX3" s="3" t="s">
        <v>448</v>
      </c>
      <c r="AY3" s="3" t="s">
        <v>449</v>
      </c>
      <c r="AZ3" s="3" t="s">
        <v>450</v>
      </c>
      <c r="BA3" s="3" t="s">
        <v>451</v>
      </c>
      <c r="BB3" s="3" t="s">
        <v>452</v>
      </c>
      <c r="BC3" s="69" t="s">
        <v>478</v>
      </c>
      <c r="BD3" s="3" t="s">
        <v>479</v>
      </c>
      <c r="BE3" s="3" t="s">
        <v>480</v>
      </c>
      <c r="BF3" s="3" t="s">
        <v>481</v>
      </c>
      <c r="BG3" s="69" t="s">
        <v>486</v>
      </c>
      <c r="BH3" s="3" t="s">
        <v>482</v>
      </c>
      <c r="BI3" s="3" t="s">
        <v>483</v>
      </c>
      <c r="BJ3" s="3" t="s">
        <v>484</v>
      </c>
      <c r="BK3" s="3" t="s">
        <v>485</v>
      </c>
    </row>
    <row r="4" spans="1:63" x14ac:dyDescent="0.2">
      <c r="A4" t="s">
        <v>208</v>
      </c>
      <c r="B4" t="s">
        <v>209</v>
      </c>
      <c r="C4" t="s">
        <v>210</v>
      </c>
      <c r="D4" t="s">
        <v>211</v>
      </c>
      <c r="E4" t="s">
        <v>212</v>
      </c>
      <c r="F4" s="72">
        <v>3885314558</v>
      </c>
      <c r="G4" s="4">
        <v>6621905562</v>
      </c>
      <c r="H4" s="4">
        <v>0</v>
      </c>
      <c r="I4" s="4">
        <v>2371539498</v>
      </c>
      <c r="J4" s="4">
        <v>2147594397</v>
      </c>
      <c r="K4" s="4">
        <v>9161898261</v>
      </c>
      <c r="L4" s="4">
        <v>8270510598</v>
      </c>
      <c r="M4" s="4">
        <v>1229406877</v>
      </c>
      <c r="N4" s="7">
        <v>9.5588999999999995</v>
      </c>
      <c r="O4" s="7">
        <v>9.61</v>
      </c>
      <c r="P4" s="7">
        <v>5.3377999999999997</v>
      </c>
      <c r="Q4" s="7">
        <v>5.3844000000000003</v>
      </c>
      <c r="R4" s="72">
        <v>3097413917</v>
      </c>
      <c r="S4" s="4">
        <v>1365147940</v>
      </c>
      <c r="T4" s="4">
        <v>2965419784</v>
      </c>
      <c r="U4" s="4">
        <v>3049936816</v>
      </c>
      <c r="V4" s="4">
        <v>227759338</v>
      </c>
      <c r="W4" s="4">
        <v>675869910</v>
      </c>
      <c r="X4" s="4">
        <v>347272989</v>
      </c>
      <c r="Y4" s="4">
        <v>274194862</v>
      </c>
      <c r="Z4" s="4">
        <v>49924482</v>
      </c>
      <c r="AA4" s="4">
        <v>1139390902</v>
      </c>
      <c r="AB4" s="4">
        <v>8861763216</v>
      </c>
      <c r="AC4" s="4">
        <v>2261278</v>
      </c>
      <c r="AD4" s="4">
        <v>49190652</v>
      </c>
      <c r="AE4" s="4">
        <v>13414583.91667966</v>
      </c>
      <c r="AF4" s="4">
        <v>53378406.095517144</v>
      </c>
      <c r="AG4" s="4">
        <v>35414</v>
      </c>
      <c r="AH4" s="4">
        <v>313</v>
      </c>
      <c r="AI4" s="4">
        <v>35570.5</v>
      </c>
      <c r="AJ4" s="72">
        <v>95016714</v>
      </c>
      <c r="AK4" s="4">
        <v>61214002</v>
      </c>
      <c r="AL4" s="4">
        <v>2824142</v>
      </c>
      <c r="AM4" s="4">
        <v>3541915</v>
      </c>
      <c r="AN4" s="4">
        <v>-717773</v>
      </c>
      <c r="AO4" s="4">
        <v>43649796</v>
      </c>
      <c r="AP4" s="4">
        <v>43620348</v>
      </c>
      <c r="AQ4" s="4">
        <v>29448</v>
      </c>
      <c r="AR4" s="4">
        <v>-29448</v>
      </c>
      <c r="AS4" s="4">
        <v>155512943</v>
      </c>
      <c r="AT4">
        <v>1.02</v>
      </c>
      <c r="AU4">
        <v>33.17</v>
      </c>
      <c r="AV4" s="70">
        <v>19915405</v>
      </c>
      <c r="AW4" s="61">
        <v>431866180</v>
      </c>
      <c r="AX4" s="61">
        <v>162775061</v>
      </c>
      <c r="AY4" s="61">
        <v>12422368</v>
      </c>
      <c r="AZ4" s="61">
        <v>24094858</v>
      </c>
      <c r="BA4" s="61">
        <v>278491743</v>
      </c>
      <c r="BB4" s="61">
        <v>1705912160</v>
      </c>
      <c r="BC4" s="70">
        <v>1894255418.8241999</v>
      </c>
      <c r="BD4" s="61">
        <v>7364838312.2363997</v>
      </c>
      <c r="BE4" s="61">
        <v>1018125746.1871001</v>
      </c>
      <c r="BF4" s="61">
        <v>19408418310</v>
      </c>
      <c r="BG4" s="70">
        <v>1578476521</v>
      </c>
      <c r="BH4" s="73">
        <v>41.18</v>
      </c>
      <c r="BI4" s="61">
        <v>62629166.220799997</v>
      </c>
      <c r="BJ4" s="61">
        <v>250428505.27939999</v>
      </c>
      <c r="BK4" s="61">
        <v>33873233.563500002</v>
      </c>
    </row>
    <row r="5" spans="1:63" x14ac:dyDescent="0.2">
      <c r="A5" t="s">
        <v>213</v>
      </c>
      <c r="B5" t="s">
        <v>214</v>
      </c>
      <c r="C5" t="s">
        <v>215</v>
      </c>
      <c r="D5" t="s">
        <v>216</v>
      </c>
      <c r="E5" t="s">
        <v>217</v>
      </c>
      <c r="F5" s="72">
        <v>6871403623</v>
      </c>
      <c r="G5" s="4">
        <v>25837178223</v>
      </c>
      <c r="H5" s="4">
        <v>271651895</v>
      </c>
      <c r="I5" s="4">
        <v>5883225956</v>
      </c>
      <c r="J5" s="4">
        <v>5053237507</v>
      </c>
      <c r="K5" s="4">
        <v>13551902572</v>
      </c>
      <c r="L5" s="4">
        <v>11579944582</v>
      </c>
      <c r="M5" s="4">
        <v>2665317117</v>
      </c>
      <c r="N5" s="7">
        <v>9.8922000000000008</v>
      </c>
      <c r="O5" s="7">
        <v>9.8821999999999992</v>
      </c>
      <c r="P5" s="7">
        <v>5.9778000000000002</v>
      </c>
      <c r="Q5" s="7">
        <v>6.4043999999999999</v>
      </c>
      <c r="R5" s="72">
        <v>7861920777</v>
      </c>
      <c r="S5" s="4">
        <v>3196056326</v>
      </c>
      <c r="T5" s="4">
        <v>3256652280</v>
      </c>
      <c r="U5" s="4">
        <v>3187033258</v>
      </c>
      <c r="V5" s="4">
        <v>180710103</v>
      </c>
      <c r="W5" s="4">
        <v>607234922</v>
      </c>
      <c r="X5" s="4">
        <v>392862046</v>
      </c>
      <c r="Y5" s="4">
        <v>154898868</v>
      </c>
      <c r="Z5" s="4">
        <v>60660666</v>
      </c>
      <c r="AA5" s="4">
        <v>1611773489</v>
      </c>
      <c r="AB5" s="4">
        <v>14057094129</v>
      </c>
      <c r="AC5" s="4">
        <v>6570490</v>
      </c>
      <c r="AD5" s="4">
        <v>26790861</v>
      </c>
      <c r="AE5" s="4">
        <v>22205861.30835842</v>
      </c>
      <c r="AF5" s="4">
        <v>52764094.096791409</v>
      </c>
      <c r="AG5" s="4">
        <v>67255</v>
      </c>
      <c r="AH5" s="4">
        <v>1654</v>
      </c>
      <c r="AI5" s="4">
        <v>68082</v>
      </c>
      <c r="AJ5" s="72">
        <v>381313221</v>
      </c>
      <c r="AK5" s="4">
        <v>58628053</v>
      </c>
      <c r="AL5" s="4">
        <v>13650</v>
      </c>
      <c r="AM5" s="4">
        <v>16325</v>
      </c>
      <c r="AN5" s="4">
        <v>-2675</v>
      </c>
      <c r="AO5" s="4">
        <v>11187012</v>
      </c>
      <c r="AP5" s="4">
        <v>11056704</v>
      </c>
      <c r="AQ5" s="4">
        <v>130308</v>
      </c>
      <c r="AR5" s="4">
        <v>-161343</v>
      </c>
      <c r="AS5" s="4">
        <v>439907564</v>
      </c>
      <c r="AT5">
        <v>0.89</v>
      </c>
      <c r="AU5">
        <v>39.76</v>
      </c>
      <c r="AV5" s="70">
        <v>57611261</v>
      </c>
      <c r="AW5" s="61">
        <v>235970281</v>
      </c>
      <c r="AX5" s="61">
        <v>144166410</v>
      </c>
      <c r="AY5" s="61">
        <v>63692404</v>
      </c>
      <c r="AZ5" s="61">
        <v>18976781</v>
      </c>
      <c r="BA5" s="61">
        <v>343414364</v>
      </c>
      <c r="BB5" s="61">
        <v>2378052833</v>
      </c>
      <c r="BC5" s="70">
        <v>4483056759.9741001</v>
      </c>
      <c r="BD5" s="61">
        <v>10206533341.1285</v>
      </c>
      <c r="BE5" s="61">
        <v>2029147544.0644</v>
      </c>
      <c r="BF5" s="61">
        <v>45214534981</v>
      </c>
      <c r="BG5" s="70">
        <v>4854618846</v>
      </c>
      <c r="BH5" s="73">
        <v>39.549999999999997</v>
      </c>
      <c r="BI5" s="61">
        <v>103829036.8811</v>
      </c>
      <c r="BJ5" s="61">
        <v>238467870.33700001</v>
      </c>
      <c r="BK5" s="61">
        <v>48388836.833999999</v>
      </c>
    </row>
    <row r="6" spans="1:63" x14ac:dyDescent="0.2">
      <c r="A6" t="s">
        <v>218</v>
      </c>
      <c r="B6" t="s">
        <v>219</v>
      </c>
      <c r="C6" t="s">
        <v>220</v>
      </c>
      <c r="D6" t="s">
        <v>211</v>
      </c>
      <c r="E6" t="s">
        <v>221</v>
      </c>
      <c r="F6" s="72">
        <v>1914782379</v>
      </c>
      <c r="G6" s="4">
        <v>2435733972</v>
      </c>
      <c r="H6" s="4">
        <v>115544814</v>
      </c>
      <c r="I6" s="4">
        <v>638349588</v>
      </c>
      <c r="J6" s="4">
        <v>625204761</v>
      </c>
      <c r="K6" s="4">
        <v>1834005239</v>
      </c>
      <c r="L6" s="4">
        <v>1825659661</v>
      </c>
      <c r="M6" s="4">
        <v>555174940</v>
      </c>
      <c r="N6" s="7">
        <v>9.7655999999999992</v>
      </c>
      <c r="O6" s="7">
        <v>8.9421999999999997</v>
      </c>
      <c r="P6" s="7">
        <v>6.0411000000000001</v>
      </c>
      <c r="Q6" s="7">
        <v>5.6622000000000003</v>
      </c>
      <c r="R6" s="72">
        <v>1050286494</v>
      </c>
      <c r="S6" s="4">
        <v>278323066</v>
      </c>
      <c r="T6" s="4">
        <v>341207484</v>
      </c>
      <c r="U6" s="4">
        <v>366052914</v>
      </c>
      <c r="V6" s="4">
        <v>73046257</v>
      </c>
      <c r="W6" s="4">
        <v>176851406</v>
      </c>
      <c r="X6" s="4">
        <v>94135981</v>
      </c>
      <c r="Y6" s="4">
        <v>48786873</v>
      </c>
      <c r="Z6" s="4">
        <v>1777009</v>
      </c>
      <c r="AA6" s="4">
        <v>334069650</v>
      </c>
      <c r="AB6" s="4">
        <v>2145006584</v>
      </c>
      <c r="AC6" s="4">
        <v>2095835</v>
      </c>
      <c r="AD6" s="4">
        <v>12364482</v>
      </c>
      <c r="AE6" s="4">
        <v>2557809.76269597</v>
      </c>
      <c r="AF6" s="4">
        <v>7392404.1463639904</v>
      </c>
      <c r="AG6" s="4">
        <v>9812</v>
      </c>
      <c r="AH6" s="4">
        <v>281</v>
      </c>
      <c r="AI6" s="4">
        <v>9952.5</v>
      </c>
      <c r="AJ6" s="72">
        <v>39330073</v>
      </c>
      <c r="AK6" s="4">
        <v>12867518</v>
      </c>
      <c r="AL6" s="4">
        <v>387406</v>
      </c>
      <c r="AM6" s="4">
        <v>56643</v>
      </c>
      <c r="AN6" s="4">
        <v>330763</v>
      </c>
      <c r="AO6" s="4">
        <v>10043660</v>
      </c>
      <c r="AP6" s="4">
        <v>10043660</v>
      </c>
      <c r="AQ6" s="4">
        <v>0</v>
      </c>
      <c r="AR6" s="4">
        <v>0</v>
      </c>
      <c r="AS6" s="4">
        <v>52528354</v>
      </c>
      <c r="AT6">
        <v>0.8</v>
      </c>
      <c r="AU6">
        <v>36.06</v>
      </c>
      <c r="AV6" s="70">
        <v>17537852</v>
      </c>
      <c r="AW6" s="61">
        <v>103441810</v>
      </c>
      <c r="AX6" s="61">
        <v>47419803</v>
      </c>
      <c r="AY6" s="61">
        <v>11776010</v>
      </c>
      <c r="AZ6" s="61">
        <v>0</v>
      </c>
      <c r="BA6" s="61">
        <v>105969316</v>
      </c>
      <c r="BB6" s="61">
        <v>394646123</v>
      </c>
      <c r="BC6" s="70">
        <v>532255088.77999997</v>
      </c>
      <c r="BD6" s="61">
        <v>1531996557</v>
      </c>
      <c r="BE6" s="61">
        <v>418725391.61500001</v>
      </c>
      <c r="BF6" s="61">
        <v>6191094827</v>
      </c>
      <c r="BG6" s="70">
        <v>602934655</v>
      </c>
      <c r="BH6" s="73">
        <v>40.85</v>
      </c>
      <c r="BI6" s="61">
        <v>39947975.141000003</v>
      </c>
      <c r="BJ6" s="61">
        <v>115055445.02770001</v>
      </c>
      <c r="BK6" s="61">
        <v>32342603.726199999</v>
      </c>
    </row>
    <row r="7" spans="1:63" x14ac:dyDescent="0.2">
      <c r="A7" t="s">
        <v>307</v>
      </c>
      <c r="B7" t="s">
        <v>308</v>
      </c>
      <c r="C7" t="s">
        <v>222</v>
      </c>
      <c r="D7" t="s">
        <v>223</v>
      </c>
      <c r="E7" t="s">
        <v>224</v>
      </c>
      <c r="F7" s="72">
        <v>13751586422</v>
      </c>
      <c r="G7" s="4">
        <v>85692622702</v>
      </c>
      <c r="H7" s="4">
        <v>5189829</v>
      </c>
      <c r="I7" s="4">
        <v>13561652760</v>
      </c>
      <c r="J7" s="4">
        <v>11410762151</v>
      </c>
      <c r="K7" s="4">
        <v>22821958876</v>
      </c>
      <c r="L7" s="4">
        <v>19529193194</v>
      </c>
      <c r="M7" s="4">
        <v>3956267612</v>
      </c>
      <c r="N7" s="7">
        <v>9.5667000000000009</v>
      </c>
      <c r="O7" s="7">
        <v>6.8311000000000002</v>
      </c>
      <c r="P7" s="7">
        <v>5.0978000000000003</v>
      </c>
      <c r="Q7" s="7">
        <v>2.4689000000000001</v>
      </c>
      <c r="R7" s="72">
        <v>19565719088</v>
      </c>
      <c r="S7" s="4">
        <v>10579706416</v>
      </c>
      <c r="T7" s="4">
        <v>2330645844</v>
      </c>
      <c r="U7" s="4">
        <v>2400633734</v>
      </c>
      <c r="V7" s="4">
        <v>445164562</v>
      </c>
      <c r="W7" s="4">
        <v>1878732271</v>
      </c>
      <c r="X7" s="4">
        <v>1322367263</v>
      </c>
      <c r="Y7" s="4">
        <v>95930531</v>
      </c>
      <c r="Z7" s="4">
        <v>150170805</v>
      </c>
      <c r="AA7" s="4">
        <v>4348436381</v>
      </c>
      <c r="AB7" s="4">
        <v>30207154635</v>
      </c>
      <c r="AC7" s="4">
        <v>23508436</v>
      </c>
      <c r="AD7" s="4">
        <v>89828990</v>
      </c>
      <c r="AE7" s="4">
        <v>19813400.440015599</v>
      </c>
      <c r="AF7" s="4">
        <v>33531282.584758438</v>
      </c>
      <c r="AG7" s="4">
        <v>161582</v>
      </c>
      <c r="AH7" s="4">
        <v>654</v>
      </c>
      <c r="AI7" s="4">
        <v>161909</v>
      </c>
      <c r="AJ7" s="72">
        <v>776588894</v>
      </c>
      <c r="AK7" s="4">
        <v>67596480</v>
      </c>
      <c r="AL7" s="4">
        <v>97040</v>
      </c>
      <c r="AM7" s="4">
        <v>78065</v>
      </c>
      <c r="AN7" s="4">
        <v>18975</v>
      </c>
      <c r="AO7" s="4">
        <v>12822317</v>
      </c>
      <c r="AP7" s="4">
        <v>12730086</v>
      </c>
      <c r="AQ7" s="4">
        <v>92231</v>
      </c>
      <c r="AR7" s="4">
        <v>0</v>
      </c>
      <c r="AS7" s="4">
        <v>844296580</v>
      </c>
      <c r="AT7">
        <v>1.24</v>
      </c>
      <c r="AU7">
        <v>47.53</v>
      </c>
      <c r="AV7" s="70">
        <v>212062968</v>
      </c>
      <c r="AW7" s="61">
        <v>811703398</v>
      </c>
      <c r="AX7" s="61">
        <v>701509240</v>
      </c>
      <c r="AY7" s="61">
        <v>46166077</v>
      </c>
      <c r="AZ7" s="61">
        <v>73586182</v>
      </c>
      <c r="BA7" s="61">
        <v>835240886</v>
      </c>
      <c r="BB7" s="61">
        <v>7819035326</v>
      </c>
      <c r="BC7" s="70">
        <v>10313277927.8939</v>
      </c>
      <c r="BD7" s="61">
        <v>17121930644.0037</v>
      </c>
      <c r="BE7" s="61">
        <v>3023913553.6799002</v>
      </c>
      <c r="BF7" s="61">
        <v>118080474453</v>
      </c>
      <c r="BG7" s="70">
        <v>6341982661</v>
      </c>
      <c r="BH7" s="73">
        <v>38.119999999999997</v>
      </c>
      <c r="BI7" s="61">
        <v>547369176.38370001</v>
      </c>
      <c r="BJ7" s="61">
        <v>913191650.67780006</v>
      </c>
      <c r="BK7" s="61">
        <v>164009909.0909</v>
      </c>
    </row>
    <row r="8" spans="1:63" x14ac:dyDescent="0.2">
      <c r="A8" t="s">
        <v>225</v>
      </c>
      <c r="B8" t="s">
        <v>226</v>
      </c>
      <c r="C8" t="s">
        <v>220</v>
      </c>
      <c r="D8" t="s">
        <v>211</v>
      </c>
      <c r="E8" t="s">
        <v>227</v>
      </c>
      <c r="F8" s="72">
        <v>12628031721</v>
      </c>
      <c r="G8" s="4">
        <v>5849170354</v>
      </c>
      <c r="H8" s="4">
        <v>0</v>
      </c>
      <c r="I8" s="4">
        <v>10635285460</v>
      </c>
      <c r="J8" s="4">
        <v>10515836698</v>
      </c>
      <c r="K8" s="4">
        <v>43748379382</v>
      </c>
      <c r="L8" s="4">
        <v>42479545965</v>
      </c>
      <c r="M8" s="4">
        <v>6705467073</v>
      </c>
      <c r="N8" s="7">
        <v>10.0222</v>
      </c>
      <c r="O8" s="7">
        <v>9.9756</v>
      </c>
      <c r="P8" s="7">
        <v>6.7156000000000002</v>
      </c>
      <c r="Q8" s="7">
        <v>6.97</v>
      </c>
      <c r="R8" s="72">
        <v>7833899827</v>
      </c>
      <c r="S8" s="4">
        <v>3220467028</v>
      </c>
      <c r="T8" s="4">
        <v>8122868731</v>
      </c>
      <c r="U8" s="4">
        <v>8253912997</v>
      </c>
      <c r="V8" s="4">
        <v>846703733</v>
      </c>
      <c r="W8" s="4">
        <v>2514943251</v>
      </c>
      <c r="X8" s="4">
        <v>1399767665</v>
      </c>
      <c r="Y8" s="4">
        <v>549651695</v>
      </c>
      <c r="Z8" s="4">
        <v>8586372</v>
      </c>
      <c r="AA8" s="4">
        <v>3274931243</v>
      </c>
      <c r="AB8" s="4">
        <v>24682396783</v>
      </c>
      <c r="AC8" s="4">
        <v>2128621</v>
      </c>
      <c r="AD8" s="4">
        <v>11385374</v>
      </c>
      <c r="AE8" s="4">
        <v>73148709.82078591</v>
      </c>
      <c r="AF8" s="4">
        <v>307816600.5874933</v>
      </c>
      <c r="AG8" s="4">
        <v>124306</v>
      </c>
      <c r="AH8" s="4">
        <v>1157</v>
      </c>
      <c r="AI8" s="4">
        <v>124884.5</v>
      </c>
      <c r="AJ8" s="72">
        <v>185957514</v>
      </c>
      <c r="AK8" s="4">
        <v>188001460</v>
      </c>
      <c r="AL8" s="4">
        <v>2102324</v>
      </c>
      <c r="AM8" s="4">
        <v>2969359</v>
      </c>
      <c r="AN8" s="4">
        <v>-867035</v>
      </c>
      <c r="AO8" s="4">
        <v>124150552</v>
      </c>
      <c r="AP8" s="4">
        <v>124150552</v>
      </c>
      <c r="AQ8" s="4">
        <v>0</v>
      </c>
      <c r="AR8" s="4">
        <v>0</v>
      </c>
      <c r="AS8" s="4">
        <v>373091939</v>
      </c>
      <c r="AT8">
        <v>0.69</v>
      </c>
      <c r="AU8">
        <v>36.39</v>
      </c>
      <c r="AV8" s="70">
        <v>14873856</v>
      </c>
      <c r="AW8" s="61">
        <v>79174301</v>
      </c>
      <c r="AX8" s="61">
        <v>803368095</v>
      </c>
      <c r="AY8" s="61">
        <v>22622119</v>
      </c>
      <c r="AZ8" s="61">
        <v>0</v>
      </c>
      <c r="BA8" s="61">
        <v>792040885</v>
      </c>
      <c r="BB8" s="61">
        <v>5245535696</v>
      </c>
      <c r="BC8" s="70">
        <v>8470661730.25</v>
      </c>
      <c r="BD8" s="61">
        <v>34728806518.900002</v>
      </c>
      <c r="BE8" s="61">
        <v>5511856110.1999998</v>
      </c>
      <c r="BF8" s="61">
        <v>63835169188</v>
      </c>
      <c r="BG8" s="70">
        <v>8724503282</v>
      </c>
      <c r="BH8" s="73">
        <v>40.85</v>
      </c>
      <c r="BI8" s="61">
        <v>1141223811.4309001</v>
      </c>
      <c r="BJ8" s="61">
        <v>4653880981.2125998</v>
      </c>
      <c r="BK8" s="61">
        <v>740425286.63189995</v>
      </c>
    </row>
    <row r="9" spans="1:63" x14ac:dyDescent="0.2">
      <c r="A9" t="s">
        <v>228</v>
      </c>
      <c r="B9" t="s">
        <v>229</v>
      </c>
      <c r="C9" t="s">
        <v>230</v>
      </c>
      <c r="D9" t="s">
        <v>231</v>
      </c>
      <c r="E9" t="s">
        <v>232</v>
      </c>
      <c r="F9" s="72">
        <v>6739986075</v>
      </c>
      <c r="G9" s="4">
        <v>4585789096</v>
      </c>
      <c r="H9" s="4">
        <v>1067451495</v>
      </c>
      <c r="I9" s="4">
        <v>4356025832</v>
      </c>
      <c r="J9" s="4">
        <v>4214416059</v>
      </c>
      <c r="K9" s="4">
        <v>10988859856</v>
      </c>
      <c r="L9" s="4">
        <v>10777024080</v>
      </c>
      <c r="M9" s="4">
        <v>2412287914</v>
      </c>
      <c r="N9" s="7">
        <v>9.5289000000000001</v>
      </c>
      <c r="O9" s="7">
        <v>6.2689000000000004</v>
      </c>
      <c r="P9" s="7">
        <v>4.9889000000000001</v>
      </c>
      <c r="Q9" s="7">
        <v>2.2610999999999999</v>
      </c>
      <c r="R9" s="72">
        <v>4433693666</v>
      </c>
      <c r="S9" s="4">
        <v>1668023371</v>
      </c>
      <c r="T9" s="4">
        <v>6039376699</v>
      </c>
      <c r="U9" s="4">
        <v>6117677401</v>
      </c>
      <c r="V9" s="4">
        <v>162794268</v>
      </c>
      <c r="W9" s="4">
        <v>746312104</v>
      </c>
      <c r="X9" s="4">
        <v>413714800</v>
      </c>
      <c r="Y9" s="4">
        <v>159690516</v>
      </c>
      <c r="Z9" s="4">
        <v>27102417</v>
      </c>
      <c r="AA9" s="4">
        <v>1128885294</v>
      </c>
      <c r="AB9" s="4">
        <v>13189870466</v>
      </c>
      <c r="AC9" s="4">
        <v>4167857</v>
      </c>
      <c r="AD9" s="4">
        <v>37253391</v>
      </c>
      <c r="AE9" s="4">
        <v>17290163.08195639</v>
      </c>
      <c r="AF9" s="4">
        <v>45573684.98189453</v>
      </c>
      <c r="AG9" s="4">
        <v>53714</v>
      </c>
      <c r="AH9" s="4">
        <v>1255</v>
      </c>
      <c r="AI9" s="4">
        <v>54341.5</v>
      </c>
      <c r="AJ9" s="72">
        <v>200302730</v>
      </c>
      <c r="AK9" s="4">
        <v>122303620</v>
      </c>
      <c r="AL9" s="4">
        <v>13342181</v>
      </c>
      <c r="AM9" s="4">
        <v>3214561</v>
      </c>
      <c r="AN9" s="4">
        <v>10127620</v>
      </c>
      <c r="AO9" s="4">
        <v>13386036</v>
      </c>
      <c r="AP9" s="4">
        <v>13386036</v>
      </c>
      <c r="AQ9" s="4">
        <v>0</v>
      </c>
      <c r="AR9" s="4">
        <v>0</v>
      </c>
      <c r="AS9" s="4">
        <v>332733970</v>
      </c>
      <c r="AT9">
        <v>1.2</v>
      </c>
      <c r="AU9">
        <v>47.03</v>
      </c>
      <c r="AV9" s="70">
        <v>31943269</v>
      </c>
      <c r="AW9" s="61">
        <v>285816550</v>
      </c>
      <c r="AX9" s="61">
        <v>152657513</v>
      </c>
      <c r="AY9" s="61">
        <v>30477874</v>
      </c>
      <c r="AZ9" s="61">
        <v>16282820</v>
      </c>
      <c r="BA9" s="61">
        <v>205500124</v>
      </c>
      <c r="BB9" s="61">
        <v>2008119656</v>
      </c>
      <c r="BC9" s="70">
        <v>3581416662.8923001</v>
      </c>
      <c r="BD9" s="61">
        <v>8949302405.3195992</v>
      </c>
      <c r="BE9" s="61">
        <v>2010975982.5718</v>
      </c>
      <c r="BF9" s="61">
        <v>24257368306</v>
      </c>
      <c r="BG9" s="70">
        <v>2124566674</v>
      </c>
      <c r="BH9" s="73">
        <v>36.53</v>
      </c>
      <c r="BI9" s="61">
        <v>145704661.17840001</v>
      </c>
      <c r="BJ9" s="61">
        <v>361784345.97100002</v>
      </c>
      <c r="BK9" s="61">
        <v>80493139.896599993</v>
      </c>
    </row>
    <row r="10" spans="1:63" x14ac:dyDescent="0.2">
      <c r="A10" t="s">
        <v>233</v>
      </c>
      <c r="B10" t="s">
        <v>234</v>
      </c>
      <c r="C10" t="s">
        <v>215</v>
      </c>
      <c r="D10" t="s">
        <v>216</v>
      </c>
      <c r="E10" t="s">
        <v>235</v>
      </c>
      <c r="F10" s="72">
        <v>8185318360</v>
      </c>
      <c r="G10" s="4">
        <v>25441682888</v>
      </c>
      <c r="H10" s="4">
        <v>8762134324</v>
      </c>
      <c r="I10" s="4">
        <v>7358771083</v>
      </c>
      <c r="J10" s="4">
        <v>7336991744</v>
      </c>
      <c r="K10" s="4">
        <v>23784168667</v>
      </c>
      <c r="L10" s="4">
        <v>23145067899</v>
      </c>
      <c r="M10" s="4">
        <v>6140074747</v>
      </c>
      <c r="N10" s="7">
        <v>9.9955999999999996</v>
      </c>
      <c r="O10" s="7">
        <v>10.9078</v>
      </c>
      <c r="P10" s="7">
        <v>6.8343999999999996</v>
      </c>
      <c r="Q10" s="7">
        <v>7.9633000000000003</v>
      </c>
      <c r="R10" s="72">
        <v>11197233807</v>
      </c>
      <c r="S10" s="4">
        <v>4701894425</v>
      </c>
      <c r="T10" s="4">
        <v>3973762582</v>
      </c>
      <c r="U10" s="4">
        <v>3986503613</v>
      </c>
      <c r="V10" s="4">
        <v>371510828</v>
      </c>
      <c r="W10" s="4">
        <v>1064836061</v>
      </c>
      <c r="X10" s="4">
        <v>627453521</v>
      </c>
      <c r="Y10" s="4">
        <v>389960171</v>
      </c>
      <c r="Z10" s="4">
        <v>3965338</v>
      </c>
      <c r="AA10" s="4">
        <v>3048228615</v>
      </c>
      <c r="AB10" s="4">
        <v>20689691954</v>
      </c>
      <c r="AC10" s="4">
        <v>22426600</v>
      </c>
      <c r="AD10" s="4">
        <v>62715137</v>
      </c>
      <c r="AE10" s="4">
        <v>54513707.611353159</v>
      </c>
      <c r="AF10" s="4">
        <v>191237242.59664109</v>
      </c>
      <c r="AG10" s="4">
        <v>145517</v>
      </c>
      <c r="AH10" s="4">
        <v>4475</v>
      </c>
      <c r="AI10" s="4">
        <v>147754.5</v>
      </c>
      <c r="AJ10" s="72">
        <v>640667659</v>
      </c>
      <c r="AK10" s="4">
        <v>68540700</v>
      </c>
      <c r="AL10" s="4">
        <v>46745878</v>
      </c>
      <c r="AM10" s="4">
        <v>42065485</v>
      </c>
      <c r="AN10" s="4">
        <v>4680393</v>
      </c>
      <c r="AO10" s="4">
        <v>17441761</v>
      </c>
      <c r="AP10" s="4">
        <v>16489984</v>
      </c>
      <c r="AQ10" s="4">
        <v>951777</v>
      </c>
      <c r="AR10" s="4">
        <v>-44</v>
      </c>
      <c r="AS10" s="4">
        <v>714840485</v>
      </c>
      <c r="AT10">
        <v>0.6</v>
      </c>
      <c r="AU10">
        <v>35.47</v>
      </c>
      <c r="AV10" s="70">
        <v>206756935</v>
      </c>
      <c r="AW10" s="61">
        <v>578099411</v>
      </c>
      <c r="AX10" s="61">
        <v>341047773</v>
      </c>
      <c r="AY10" s="61">
        <v>212847734</v>
      </c>
      <c r="AZ10" s="61">
        <v>0</v>
      </c>
      <c r="BA10" s="61">
        <v>806309113</v>
      </c>
      <c r="BB10" s="61">
        <v>5814974562</v>
      </c>
      <c r="BC10" s="70">
        <v>6004062083.9920998</v>
      </c>
      <c r="BD10" s="61">
        <v>19939584621.4431</v>
      </c>
      <c r="BE10" s="61">
        <v>5283259330.1315002</v>
      </c>
      <c r="BF10" s="61">
        <v>67485543308</v>
      </c>
      <c r="BG10" s="70">
        <v>8009728498</v>
      </c>
      <c r="BH10" s="73">
        <v>39.549999999999997</v>
      </c>
      <c r="BI10" s="61">
        <v>146317224.06079999</v>
      </c>
      <c r="BJ10" s="61">
        <v>486745620.98049998</v>
      </c>
      <c r="BK10" s="61">
        <v>128894786.61409999</v>
      </c>
    </row>
    <row r="11" spans="1:63" x14ac:dyDescent="0.2">
      <c r="A11" t="s">
        <v>236</v>
      </c>
      <c r="B11" t="s">
        <v>237</v>
      </c>
      <c r="C11" t="s">
        <v>238</v>
      </c>
      <c r="D11" t="s">
        <v>216</v>
      </c>
      <c r="E11" t="s">
        <v>239</v>
      </c>
      <c r="F11" s="72">
        <v>1825721129</v>
      </c>
      <c r="G11" s="4">
        <v>0</v>
      </c>
      <c r="H11" s="4">
        <v>0</v>
      </c>
      <c r="I11" s="4">
        <v>2374724669</v>
      </c>
      <c r="J11" s="4">
        <v>1808641748</v>
      </c>
      <c r="K11" s="4">
        <v>3073099070</v>
      </c>
      <c r="L11" s="4">
        <v>2425588514</v>
      </c>
      <c r="M11" s="4">
        <v>564360232</v>
      </c>
      <c r="N11" s="7">
        <v>9.5233000000000008</v>
      </c>
      <c r="O11" s="7">
        <v>11.3111</v>
      </c>
      <c r="P11" s="7">
        <v>5.24</v>
      </c>
      <c r="Q11" s="7">
        <v>6.5189000000000004</v>
      </c>
      <c r="R11" s="72">
        <v>1702774693</v>
      </c>
      <c r="S11" s="4">
        <v>251823592</v>
      </c>
      <c r="T11" s="4">
        <v>2515592455</v>
      </c>
      <c r="U11" s="4">
        <v>2519380878</v>
      </c>
      <c r="V11" s="4">
        <v>59798801</v>
      </c>
      <c r="W11" s="4">
        <v>289073887</v>
      </c>
      <c r="X11" s="4">
        <v>148433157</v>
      </c>
      <c r="Y11" s="4">
        <v>34674854</v>
      </c>
      <c r="Z11" s="4">
        <v>49608254</v>
      </c>
      <c r="AA11" s="4">
        <v>409096899</v>
      </c>
      <c r="AB11" s="4">
        <v>5212841423</v>
      </c>
      <c r="AC11" s="4">
        <v>1669386</v>
      </c>
      <c r="AD11" s="4">
        <v>15403216</v>
      </c>
      <c r="AE11" s="4">
        <v>9470420.3224911094</v>
      </c>
      <c r="AF11" s="4">
        <v>12811456.64029046</v>
      </c>
      <c r="AG11" s="4">
        <v>10046</v>
      </c>
      <c r="AH11" s="4">
        <v>237</v>
      </c>
      <c r="AI11" s="4">
        <v>10164.5</v>
      </c>
      <c r="AJ11" s="72">
        <v>67758151</v>
      </c>
      <c r="AK11" s="4">
        <v>48871597</v>
      </c>
      <c r="AL11" s="4">
        <v>0</v>
      </c>
      <c r="AM11" s="4">
        <v>0</v>
      </c>
      <c r="AN11" s="4">
        <v>0</v>
      </c>
      <c r="AO11" s="4">
        <v>16315159</v>
      </c>
      <c r="AP11" s="4">
        <v>16323647</v>
      </c>
      <c r="AQ11" s="4">
        <v>-8488</v>
      </c>
      <c r="AR11" s="4">
        <v>0</v>
      </c>
      <c r="AS11" s="4">
        <v>116621260</v>
      </c>
      <c r="AT11">
        <v>1.06</v>
      </c>
      <c r="AU11">
        <v>34.04</v>
      </c>
      <c r="AV11" s="70">
        <v>13961363</v>
      </c>
      <c r="AW11" s="61">
        <v>128858820</v>
      </c>
      <c r="AX11" s="61">
        <v>52192719</v>
      </c>
      <c r="AY11" s="61">
        <v>16610377</v>
      </c>
      <c r="AZ11" s="61">
        <v>9698489</v>
      </c>
      <c r="BA11" s="61">
        <v>56623951</v>
      </c>
      <c r="BB11" s="61">
        <v>362530276</v>
      </c>
      <c r="BC11" s="70">
        <v>1442832281.9570999</v>
      </c>
      <c r="BD11" s="61">
        <v>1868128975.6879001</v>
      </c>
      <c r="BE11" s="61">
        <v>356555054.71270001</v>
      </c>
      <c r="BF11" s="61">
        <v>4945754065</v>
      </c>
      <c r="BG11" s="70">
        <v>882767286</v>
      </c>
      <c r="BH11" s="73">
        <v>38.25</v>
      </c>
      <c r="BI11" s="61">
        <v>100093383.2984</v>
      </c>
      <c r="BJ11" s="61">
        <v>127828397.76369999</v>
      </c>
      <c r="BK11" s="61">
        <v>24216320.012400001</v>
      </c>
    </row>
    <row r="12" spans="1:63" x14ac:dyDescent="0.2">
      <c r="A12" t="s">
        <v>240</v>
      </c>
      <c r="B12" t="s">
        <v>241</v>
      </c>
      <c r="C12" t="s">
        <v>242</v>
      </c>
      <c r="D12" t="s">
        <v>243</v>
      </c>
      <c r="E12" t="s">
        <v>244</v>
      </c>
      <c r="F12" s="72">
        <v>13370113013</v>
      </c>
      <c r="G12" s="4">
        <v>20720295310</v>
      </c>
      <c r="H12" s="4">
        <v>0</v>
      </c>
      <c r="I12" s="4">
        <v>9653005863</v>
      </c>
      <c r="J12" s="4">
        <v>9175499492</v>
      </c>
      <c r="K12" s="4">
        <v>29450429616</v>
      </c>
      <c r="L12" s="4">
        <v>27458476707</v>
      </c>
      <c r="M12" s="4">
        <v>6940853531</v>
      </c>
      <c r="N12" s="7">
        <v>9.9688999999999997</v>
      </c>
      <c r="O12" s="7">
        <v>10.2767</v>
      </c>
      <c r="P12" s="7">
        <v>6.5289000000000001</v>
      </c>
      <c r="Q12" s="7">
        <v>7.0766999999999998</v>
      </c>
      <c r="R12" s="72">
        <v>14370525546</v>
      </c>
      <c r="S12" s="4">
        <v>4239074648</v>
      </c>
      <c r="T12" s="4">
        <v>7295576881</v>
      </c>
      <c r="U12" s="4">
        <v>7292368986</v>
      </c>
      <c r="V12" s="4">
        <v>387970828</v>
      </c>
      <c r="W12" s="4">
        <v>1896474331</v>
      </c>
      <c r="X12" s="4">
        <v>1038784359</v>
      </c>
      <c r="Y12" s="4">
        <v>720676377</v>
      </c>
      <c r="Z12" s="4">
        <v>2004508</v>
      </c>
      <c r="AA12" s="4">
        <v>2662236352</v>
      </c>
      <c r="AB12" s="4">
        <v>28371041287</v>
      </c>
      <c r="AC12" s="4">
        <v>16578760</v>
      </c>
      <c r="AD12" s="4">
        <v>111477050</v>
      </c>
      <c r="AE12" s="4">
        <v>81941848.488236681</v>
      </c>
      <c r="AF12" s="4">
        <v>248342989.19868511</v>
      </c>
      <c r="AG12" s="4">
        <v>108916</v>
      </c>
      <c r="AH12" s="4">
        <v>1339</v>
      </c>
      <c r="AI12" s="4">
        <v>109585.5</v>
      </c>
      <c r="AJ12" s="72">
        <v>565748717</v>
      </c>
      <c r="AK12" s="4">
        <v>171536563</v>
      </c>
      <c r="AL12" s="4">
        <v>462000</v>
      </c>
      <c r="AM12" s="4">
        <v>379497</v>
      </c>
      <c r="AN12" s="4">
        <v>82503</v>
      </c>
      <c r="AO12" s="4">
        <v>59143158</v>
      </c>
      <c r="AP12" s="4">
        <v>57358885</v>
      </c>
      <c r="AQ12" s="4">
        <v>1784273</v>
      </c>
      <c r="AR12" s="4">
        <v>14927</v>
      </c>
      <c r="AS12" s="4">
        <v>739166983</v>
      </c>
      <c r="AT12">
        <v>0.68</v>
      </c>
      <c r="AU12">
        <v>37.130000000000003</v>
      </c>
      <c r="AV12" s="70">
        <v>145588625</v>
      </c>
      <c r="AW12" s="61">
        <v>979412677</v>
      </c>
      <c r="AX12" s="61">
        <v>570595399</v>
      </c>
      <c r="AY12" s="61">
        <v>205987332</v>
      </c>
      <c r="AZ12" s="61">
        <v>1355138</v>
      </c>
      <c r="BA12" s="61">
        <v>528105600</v>
      </c>
      <c r="BB12" s="61">
        <v>4394930042</v>
      </c>
      <c r="BC12" s="70">
        <v>8048172504.6696997</v>
      </c>
      <c r="BD12" s="61">
        <v>24491824736.272499</v>
      </c>
      <c r="BE12" s="61">
        <v>5986606989.6099005</v>
      </c>
      <c r="BF12" s="61">
        <v>72254466701</v>
      </c>
      <c r="BG12" s="70">
        <v>7274192176</v>
      </c>
      <c r="BH12" s="73">
        <v>38.58</v>
      </c>
      <c r="BI12" s="61">
        <v>502805075.45349997</v>
      </c>
      <c r="BJ12" s="61">
        <v>1530810578.9695001</v>
      </c>
      <c r="BK12" s="61">
        <v>373154533.15890002</v>
      </c>
    </row>
    <row r="13" spans="1:63" x14ac:dyDescent="0.2">
      <c r="A13" t="s">
        <v>245</v>
      </c>
      <c r="B13" t="s">
        <v>246</v>
      </c>
      <c r="C13" t="s">
        <v>242</v>
      </c>
      <c r="D13" t="s">
        <v>216</v>
      </c>
      <c r="E13" t="s">
        <v>247</v>
      </c>
      <c r="F13" s="72">
        <v>4778289881</v>
      </c>
      <c r="G13" s="4">
        <v>0</v>
      </c>
      <c r="H13" s="4">
        <v>0</v>
      </c>
      <c r="I13" s="4">
        <v>870155761</v>
      </c>
      <c r="J13" s="4">
        <v>780218652</v>
      </c>
      <c r="K13" s="4">
        <v>2973043096</v>
      </c>
      <c r="L13" s="4">
        <v>2641744857</v>
      </c>
      <c r="M13" s="4">
        <v>819950093</v>
      </c>
      <c r="N13" s="7">
        <v>9.7455999999999996</v>
      </c>
      <c r="O13" s="7">
        <v>10.1411</v>
      </c>
      <c r="P13" s="7">
        <v>5.9089</v>
      </c>
      <c r="Q13" s="7">
        <v>6.64</v>
      </c>
      <c r="R13" s="72">
        <v>2206703541</v>
      </c>
      <c r="S13" s="4">
        <v>611466881</v>
      </c>
      <c r="T13" s="4">
        <v>362693370</v>
      </c>
      <c r="U13" s="4">
        <v>374566812</v>
      </c>
      <c r="V13" s="4">
        <v>54761613</v>
      </c>
      <c r="W13" s="4">
        <v>181833804</v>
      </c>
      <c r="X13" s="4">
        <v>75290316</v>
      </c>
      <c r="Y13" s="4">
        <v>69742323</v>
      </c>
      <c r="Z13" s="4">
        <v>4096149</v>
      </c>
      <c r="AA13" s="4">
        <v>383958892</v>
      </c>
      <c r="AB13" s="4">
        <v>3350953450</v>
      </c>
      <c r="AC13" s="4">
        <v>1487340</v>
      </c>
      <c r="AD13" s="4">
        <v>8292907</v>
      </c>
      <c r="AE13" s="4">
        <v>4624451.0827929201</v>
      </c>
      <c r="AF13" s="4">
        <v>15666588.71682086</v>
      </c>
      <c r="AG13" s="4">
        <v>13103</v>
      </c>
      <c r="AH13" s="4">
        <v>314</v>
      </c>
      <c r="AI13" s="4">
        <v>13260</v>
      </c>
      <c r="AJ13" s="72">
        <v>88706807</v>
      </c>
      <c r="AK13" s="4">
        <v>14070242</v>
      </c>
      <c r="AL13" s="4">
        <v>1762178</v>
      </c>
      <c r="AM13" s="4">
        <v>1838958</v>
      </c>
      <c r="AN13" s="4">
        <v>-76780</v>
      </c>
      <c r="AO13" s="4">
        <v>1496908</v>
      </c>
      <c r="AP13" s="4">
        <v>1487485</v>
      </c>
      <c r="AQ13" s="4">
        <v>9423</v>
      </c>
      <c r="AR13" s="4">
        <v>0</v>
      </c>
      <c r="AS13" s="4">
        <v>102709692</v>
      </c>
      <c r="AT13">
        <v>0.86</v>
      </c>
      <c r="AU13">
        <v>35.549999999999997</v>
      </c>
      <c r="AV13" s="70">
        <v>12118309</v>
      </c>
      <c r="AW13" s="61">
        <v>67630800</v>
      </c>
      <c r="AX13" s="61">
        <v>44611205</v>
      </c>
      <c r="AY13" s="61">
        <v>34462406</v>
      </c>
      <c r="AZ13" s="61">
        <v>689672</v>
      </c>
      <c r="BA13" s="61">
        <v>89538189</v>
      </c>
      <c r="BB13" s="61">
        <v>412613870</v>
      </c>
      <c r="BC13" s="70">
        <v>697093015.6444</v>
      </c>
      <c r="BD13" s="61">
        <v>2376819052.4032001</v>
      </c>
      <c r="BE13" s="61">
        <v>674611655.87119997</v>
      </c>
      <c r="BF13" s="61">
        <v>7548500801</v>
      </c>
      <c r="BG13" s="70">
        <v>800081879</v>
      </c>
      <c r="BH13" s="73">
        <v>38.58</v>
      </c>
      <c r="BI13" s="61">
        <v>33689755.801600002</v>
      </c>
      <c r="BJ13" s="61">
        <v>115726043.7517</v>
      </c>
      <c r="BK13" s="61">
        <v>32512977.218400002</v>
      </c>
    </row>
    <row r="14" spans="1:63" x14ac:dyDescent="0.2">
      <c r="A14" t="s">
        <v>248</v>
      </c>
      <c r="B14" t="s">
        <v>249</v>
      </c>
      <c r="C14" t="s">
        <v>222</v>
      </c>
      <c r="D14" t="s">
        <v>223</v>
      </c>
      <c r="E14" t="s">
        <v>250</v>
      </c>
      <c r="F14" s="72">
        <v>3758162899</v>
      </c>
      <c r="G14" s="4">
        <v>21092005721</v>
      </c>
      <c r="H14" s="4">
        <v>0</v>
      </c>
      <c r="I14" s="4">
        <v>1469631131</v>
      </c>
      <c r="J14" s="4">
        <v>1302568484</v>
      </c>
      <c r="K14" s="4">
        <v>4948793646</v>
      </c>
      <c r="L14" s="4">
        <v>4360832682</v>
      </c>
      <c r="M14" s="4">
        <v>1717627023</v>
      </c>
      <c r="N14" s="7">
        <v>9.5155999999999992</v>
      </c>
      <c r="O14" s="7">
        <v>2.2578</v>
      </c>
      <c r="P14" s="7">
        <v>5.2732999999999999</v>
      </c>
      <c r="Q14" s="7">
        <v>-1.6567000000000001</v>
      </c>
      <c r="R14" s="72">
        <v>3719419077</v>
      </c>
      <c r="S14" s="4">
        <v>1543516331</v>
      </c>
      <c r="T14" s="4">
        <v>1309512621</v>
      </c>
      <c r="U14" s="4">
        <v>1332280410</v>
      </c>
      <c r="V14" s="4">
        <v>76658992</v>
      </c>
      <c r="W14" s="4">
        <v>380388066</v>
      </c>
      <c r="X14" s="4">
        <v>162387126</v>
      </c>
      <c r="Y14" s="4">
        <v>15009328</v>
      </c>
      <c r="Z14" s="4">
        <v>52009101</v>
      </c>
      <c r="AA14" s="4">
        <v>829145246</v>
      </c>
      <c r="AB14" s="4">
        <v>6567297346</v>
      </c>
      <c r="AC14" s="4">
        <v>2572163</v>
      </c>
      <c r="AD14" s="4">
        <v>13794788</v>
      </c>
      <c r="AE14" s="4">
        <v>4074081.6359108202</v>
      </c>
      <c r="AF14" s="4">
        <v>14428142.741952751</v>
      </c>
      <c r="AG14" s="4">
        <v>27551</v>
      </c>
      <c r="AH14" s="4">
        <v>4725</v>
      </c>
      <c r="AI14" s="4">
        <v>29913.5</v>
      </c>
      <c r="AJ14" s="72">
        <v>164434159</v>
      </c>
      <c r="AK14" s="4">
        <v>48254345</v>
      </c>
      <c r="AL14" s="4">
        <v>1084000</v>
      </c>
      <c r="AM14" s="4">
        <v>0</v>
      </c>
      <c r="AN14" s="4">
        <v>1084000</v>
      </c>
      <c r="AO14" s="4">
        <v>9413905</v>
      </c>
      <c r="AP14" s="4">
        <v>9413905</v>
      </c>
      <c r="AQ14" s="4">
        <v>0</v>
      </c>
      <c r="AR14" s="4">
        <v>0</v>
      </c>
      <c r="AS14" s="4">
        <v>213772504</v>
      </c>
      <c r="AT14">
        <v>1.1000000000000001</v>
      </c>
      <c r="AU14">
        <v>36.520000000000003</v>
      </c>
      <c r="AV14" s="70">
        <v>22355134</v>
      </c>
      <c r="AW14" s="61">
        <v>119631481</v>
      </c>
      <c r="AX14" s="61">
        <v>54869501</v>
      </c>
      <c r="AY14" s="61">
        <v>5048785</v>
      </c>
      <c r="AZ14" s="61">
        <v>24637830</v>
      </c>
      <c r="BA14" s="61">
        <v>213420516</v>
      </c>
      <c r="BB14" s="61">
        <v>1307337470</v>
      </c>
      <c r="BC14" s="70">
        <v>1120611270.6831</v>
      </c>
      <c r="BD14" s="61">
        <v>3670280704.0447001</v>
      </c>
      <c r="BE14" s="61">
        <v>1336800997.3952</v>
      </c>
      <c r="BF14" s="61">
        <v>28228870287</v>
      </c>
      <c r="BG14" s="70">
        <v>2649895549</v>
      </c>
      <c r="BH14" s="73">
        <v>38.119999999999997</v>
      </c>
      <c r="BI14" s="61">
        <v>35535896.565099999</v>
      </c>
      <c r="BJ14" s="61">
        <v>117375505.87</v>
      </c>
      <c r="BK14" s="61">
        <v>43349729.9274</v>
      </c>
    </row>
    <row r="15" spans="1:63" x14ac:dyDescent="0.2">
      <c r="A15" t="s">
        <v>251</v>
      </c>
      <c r="B15" t="s">
        <v>252</v>
      </c>
      <c r="C15" t="s">
        <v>253</v>
      </c>
      <c r="D15" t="s">
        <v>254</v>
      </c>
      <c r="E15" t="s">
        <v>255</v>
      </c>
      <c r="F15" s="72">
        <v>1100412563</v>
      </c>
      <c r="G15" s="4">
        <v>8333543623</v>
      </c>
      <c r="H15" s="4">
        <v>145897793</v>
      </c>
      <c r="I15" s="4">
        <v>3801732560</v>
      </c>
      <c r="J15" s="4">
        <v>3670810341</v>
      </c>
      <c r="K15" s="4">
        <v>9833379593</v>
      </c>
      <c r="L15" s="4">
        <v>9589634295</v>
      </c>
      <c r="M15" s="4">
        <v>1512117655</v>
      </c>
      <c r="N15" s="7">
        <v>9.7866999999999997</v>
      </c>
      <c r="O15" s="7">
        <v>9.0411000000000001</v>
      </c>
      <c r="P15" s="7">
        <v>5.9832999999999998</v>
      </c>
      <c r="Q15" s="7">
        <v>5.7933000000000003</v>
      </c>
      <c r="R15" s="72">
        <v>2514599561</v>
      </c>
      <c r="S15" s="4">
        <v>1630628414</v>
      </c>
      <c r="T15" s="4">
        <v>5553059857</v>
      </c>
      <c r="U15" s="4">
        <v>5627170192</v>
      </c>
      <c r="V15" s="4">
        <v>262415162</v>
      </c>
      <c r="W15" s="4">
        <v>609336447</v>
      </c>
      <c r="X15" s="4">
        <v>282599557</v>
      </c>
      <c r="Y15" s="4">
        <v>210396883</v>
      </c>
      <c r="Z15" s="4">
        <v>27407416</v>
      </c>
      <c r="AA15" s="4">
        <v>1135856413</v>
      </c>
      <c r="AB15" s="4">
        <v>10669781631</v>
      </c>
      <c r="AC15" s="4">
        <v>7704913</v>
      </c>
      <c r="AD15" s="4">
        <v>40310878</v>
      </c>
      <c r="AE15" s="4">
        <v>8674022.6471718103</v>
      </c>
      <c r="AF15" s="4">
        <v>23039623.557723079</v>
      </c>
      <c r="AG15" s="4">
        <v>27010</v>
      </c>
      <c r="AH15" s="4">
        <v>309</v>
      </c>
      <c r="AI15" s="4">
        <v>27164.5</v>
      </c>
      <c r="AJ15" s="72">
        <v>77500872</v>
      </c>
      <c r="AK15" s="4">
        <v>106834519</v>
      </c>
      <c r="AL15" s="4">
        <v>1359573</v>
      </c>
      <c r="AM15" s="4">
        <v>956529</v>
      </c>
      <c r="AN15" s="4">
        <v>403044</v>
      </c>
      <c r="AO15" s="4">
        <v>3976097</v>
      </c>
      <c r="AP15" s="4">
        <v>3971580</v>
      </c>
      <c r="AQ15" s="4">
        <v>4517</v>
      </c>
      <c r="AR15" s="4">
        <v>0</v>
      </c>
      <c r="AS15" s="4">
        <v>184742952</v>
      </c>
      <c r="AT15">
        <v>0.86</v>
      </c>
      <c r="AU15">
        <v>36.5</v>
      </c>
      <c r="AV15" s="70">
        <v>60765768</v>
      </c>
      <c r="AW15" s="61">
        <v>317390238</v>
      </c>
      <c r="AX15" s="61">
        <v>138346690</v>
      </c>
      <c r="AY15" s="61">
        <v>27600601</v>
      </c>
      <c r="AZ15" s="61">
        <v>8390707</v>
      </c>
      <c r="BA15" s="61">
        <v>120961270</v>
      </c>
      <c r="BB15" s="61">
        <v>833543719</v>
      </c>
      <c r="BC15" s="70">
        <v>3136913508.4878001</v>
      </c>
      <c r="BD15" s="61">
        <v>8084862051.6371002</v>
      </c>
      <c r="BE15" s="61">
        <v>1272199597.4960001</v>
      </c>
      <c r="BF15" s="61">
        <v>21047087968</v>
      </c>
      <c r="BG15" s="70">
        <v>2092515624</v>
      </c>
      <c r="BH15" s="73">
        <v>41.12</v>
      </c>
      <c r="BI15" s="61">
        <v>277839928.61589998</v>
      </c>
      <c r="BJ15" s="61">
        <v>704191901.40499997</v>
      </c>
      <c r="BK15" s="61">
        <v>108144186.7859</v>
      </c>
    </row>
    <row r="16" spans="1:63" x14ac:dyDescent="0.2">
      <c r="A16" t="s">
        <v>256</v>
      </c>
      <c r="B16" t="s">
        <v>257</v>
      </c>
      <c r="C16" t="s">
        <v>258</v>
      </c>
      <c r="D16" t="s">
        <v>231</v>
      </c>
      <c r="E16" t="s">
        <v>259</v>
      </c>
      <c r="F16" s="72">
        <v>4575039432</v>
      </c>
      <c r="G16" s="4">
        <v>0</v>
      </c>
      <c r="H16" s="4">
        <v>28165405</v>
      </c>
      <c r="I16" s="4">
        <v>1998399281</v>
      </c>
      <c r="J16" s="4">
        <v>1617620333</v>
      </c>
      <c r="K16" s="4">
        <v>3444908003</v>
      </c>
      <c r="L16" s="4">
        <v>2795251451</v>
      </c>
      <c r="M16" s="4">
        <v>351480616</v>
      </c>
      <c r="N16" s="7">
        <v>9.9822000000000006</v>
      </c>
      <c r="O16" s="7">
        <v>10.6289</v>
      </c>
      <c r="P16" s="7">
        <v>6.4132999999999996</v>
      </c>
      <c r="Q16" s="7">
        <v>7.3788999999999998</v>
      </c>
      <c r="R16" s="72">
        <v>2132774427</v>
      </c>
      <c r="S16" s="4">
        <v>462248699</v>
      </c>
      <c r="T16" s="4">
        <v>514366243</v>
      </c>
      <c r="U16" s="4">
        <v>532176317</v>
      </c>
      <c r="V16" s="4">
        <v>76678438</v>
      </c>
      <c r="W16" s="4">
        <v>268582848</v>
      </c>
      <c r="X16" s="4">
        <v>160597873</v>
      </c>
      <c r="Y16" s="4">
        <v>39210906</v>
      </c>
      <c r="Z16" s="4">
        <v>31064959</v>
      </c>
      <c r="AA16" s="4">
        <v>473724151</v>
      </c>
      <c r="AB16" s="4">
        <v>3714809919</v>
      </c>
      <c r="AC16" s="4">
        <v>2455529</v>
      </c>
      <c r="AD16" s="4">
        <v>13845844</v>
      </c>
      <c r="AE16" s="4">
        <v>3549431.1044062902</v>
      </c>
      <c r="AF16" s="4">
        <v>6151009.3703233097</v>
      </c>
      <c r="AG16" s="4">
        <v>18291</v>
      </c>
      <c r="AH16" s="4">
        <v>909</v>
      </c>
      <c r="AI16" s="4">
        <v>18745.5</v>
      </c>
      <c r="AJ16" s="72">
        <v>136866542</v>
      </c>
      <c r="AK16" s="4">
        <v>26383455</v>
      </c>
      <c r="AL16" s="4">
        <v>11139967</v>
      </c>
      <c r="AM16" s="4">
        <v>11248160</v>
      </c>
      <c r="AN16" s="4">
        <v>-108193</v>
      </c>
      <c r="AO16" s="4">
        <v>12651344</v>
      </c>
      <c r="AP16" s="4">
        <v>12553596</v>
      </c>
      <c r="AQ16" s="4">
        <v>97748</v>
      </c>
      <c r="AR16" s="4">
        <v>0</v>
      </c>
      <c r="AS16" s="4">
        <v>163239552</v>
      </c>
      <c r="AT16">
        <v>0.79</v>
      </c>
      <c r="AU16">
        <v>37.65</v>
      </c>
      <c r="AV16" s="70">
        <v>20244386</v>
      </c>
      <c r="AW16" s="61">
        <v>114076671</v>
      </c>
      <c r="AX16" s="61">
        <v>84661042</v>
      </c>
      <c r="AY16" s="61">
        <v>15873022</v>
      </c>
      <c r="AZ16" s="61">
        <v>10669165</v>
      </c>
      <c r="BA16" s="61">
        <v>99595832</v>
      </c>
      <c r="BB16" s="61">
        <v>631745187</v>
      </c>
      <c r="BC16" s="70">
        <v>1573782370.5044999</v>
      </c>
      <c r="BD16" s="61">
        <v>2692917137.1132998</v>
      </c>
      <c r="BE16" s="61">
        <v>284611467.41229999</v>
      </c>
      <c r="BF16" s="61">
        <v>9044781851</v>
      </c>
      <c r="BG16" s="70">
        <v>1078070379</v>
      </c>
      <c r="BH16" s="73">
        <v>40.36</v>
      </c>
      <c r="BI16" s="61">
        <v>11925482.1929</v>
      </c>
      <c r="BJ16" s="61">
        <v>20127552.682100002</v>
      </c>
      <c r="BK16" s="61">
        <v>2109588.8308999999</v>
      </c>
    </row>
    <row r="17" spans="1:63" x14ac:dyDescent="0.2">
      <c r="A17" t="s">
        <v>260</v>
      </c>
      <c r="B17" t="s">
        <v>261</v>
      </c>
      <c r="C17" t="s">
        <v>262</v>
      </c>
      <c r="D17" t="s">
        <v>231</v>
      </c>
      <c r="E17" t="s">
        <v>263</v>
      </c>
      <c r="F17" s="72">
        <v>12682878048</v>
      </c>
      <c r="G17" s="4">
        <v>0</v>
      </c>
      <c r="H17" s="4">
        <v>756328694</v>
      </c>
      <c r="I17" s="4">
        <v>4633028476</v>
      </c>
      <c r="J17" s="4">
        <v>4582551998</v>
      </c>
      <c r="K17" s="4">
        <v>5446015741</v>
      </c>
      <c r="L17" s="4">
        <v>5370332356</v>
      </c>
      <c r="M17" s="4">
        <v>555115356</v>
      </c>
      <c r="N17" s="7">
        <v>9.8878000000000004</v>
      </c>
      <c r="O17" s="7">
        <v>10.646699999999999</v>
      </c>
      <c r="P17" s="7">
        <v>6.3856000000000002</v>
      </c>
      <c r="Q17" s="7">
        <v>7.3867000000000003</v>
      </c>
      <c r="R17" s="72">
        <v>8032644862</v>
      </c>
      <c r="S17" s="4">
        <v>1744572976</v>
      </c>
      <c r="T17" s="4">
        <v>811455208</v>
      </c>
      <c r="U17" s="4">
        <v>858616953</v>
      </c>
      <c r="V17" s="4">
        <v>358176814</v>
      </c>
      <c r="W17" s="4">
        <v>467558425</v>
      </c>
      <c r="X17" s="4">
        <v>240514309</v>
      </c>
      <c r="Y17" s="4">
        <v>96575338</v>
      </c>
      <c r="Z17" s="4">
        <v>13939468</v>
      </c>
      <c r="AA17" s="4">
        <v>730041096</v>
      </c>
      <c r="AB17" s="4">
        <v>10798067265</v>
      </c>
      <c r="AC17" s="4">
        <v>9214327</v>
      </c>
      <c r="AD17" s="4">
        <v>25424787</v>
      </c>
      <c r="AE17" s="4">
        <v>4667124.9766800199</v>
      </c>
      <c r="AF17" s="4">
        <v>5472823.6175807202</v>
      </c>
      <c r="AG17" s="4">
        <v>35387</v>
      </c>
      <c r="AH17" s="4">
        <v>326</v>
      </c>
      <c r="AI17" s="4">
        <v>35550</v>
      </c>
      <c r="AJ17" s="72">
        <v>410405872</v>
      </c>
      <c r="AK17" s="4">
        <v>38211660</v>
      </c>
      <c r="AL17" s="4">
        <v>24134365</v>
      </c>
      <c r="AM17" s="4">
        <v>29821800</v>
      </c>
      <c r="AN17" s="4">
        <v>-5687435</v>
      </c>
      <c r="AO17" s="4">
        <v>76053784</v>
      </c>
      <c r="AP17" s="4">
        <v>76053784</v>
      </c>
      <c r="AQ17" s="4">
        <v>0</v>
      </c>
      <c r="AR17" s="4">
        <v>0</v>
      </c>
      <c r="AS17" s="4">
        <v>442930097</v>
      </c>
      <c r="AT17">
        <v>0.74</v>
      </c>
      <c r="AU17">
        <v>31.72</v>
      </c>
      <c r="AV17" s="70">
        <v>84526654</v>
      </c>
      <c r="AW17" s="61">
        <v>233205909</v>
      </c>
      <c r="AX17" s="61">
        <v>100352630</v>
      </c>
      <c r="AY17" s="61">
        <v>20589092</v>
      </c>
      <c r="AZ17" s="61">
        <v>5368153</v>
      </c>
      <c r="BA17" s="61">
        <v>102509360</v>
      </c>
      <c r="BB17" s="61">
        <v>1230310666</v>
      </c>
      <c r="BC17" s="70">
        <v>3913487125.4123998</v>
      </c>
      <c r="BD17" s="61">
        <v>4590293574.9237003</v>
      </c>
      <c r="BE17" s="61">
        <v>484563456.42460001</v>
      </c>
      <c r="BF17" s="61">
        <v>18607882935</v>
      </c>
      <c r="BG17" s="70">
        <v>2273056221</v>
      </c>
      <c r="BH17" s="73">
        <v>40.79</v>
      </c>
      <c r="BI17" s="61">
        <v>284810722.8175</v>
      </c>
      <c r="BJ17" s="61">
        <v>334783690.48909998</v>
      </c>
      <c r="BK17" s="61">
        <v>35359874.335600004</v>
      </c>
    </row>
    <row r="18" spans="1:63" x14ac:dyDescent="0.2">
      <c r="A18" t="s">
        <v>264</v>
      </c>
      <c r="B18" t="s">
        <v>265</v>
      </c>
      <c r="C18" t="s">
        <v>266</v>
      </c>
      <c r="D18" t="s">
        <v>254</v>
      </c>
      <c r="E18" t="s">
        <v>267</v>
      </c>
      <c r="F18" s="72">
        <v>9697171940</v>
      </c>
      <c r="G18" s="4">
        <v>27148681084</v>
      </c>
      <c r="H18" s="4">
        <v>530607819</v>
      </c>
      <c r="I18" s="4">
        <v>2494659105</v>
      </c>
      <c r="J18" s="4">
        <v>2169715621</v>
      </c>
      <c r="K18" s="4">
        <v>14388627667</v>
      </c>
      <c r="L18" s="4">
        <v>12488509038</v>
      </c>
      <c r="M18" s="4">
        <v>1830332521</v>
      </c>
      <c r="N18" s="7">
        <v>9.6189</v>
      </c>
      <c r="O18" s="7">
        <v>10.0289</v>
      </c>
      <c r="P18" s="7">
        <v>5.6333000000000002</v>
      </c>
      <c r="Q18" s="7">
        <v>6.07</v>
      </c>
      <c r="R18" s="72">
        <v>7523568547</v>
      </c>
      <c r="S18" s="4">
        <v>2725732456</v>
      </c>
      <c r="T18" s="4">
        <v>3254262881</v>
      </c>
      <c r="U18" s="4">
        <v>3347568538</v>
      </c>
      <c r="V18" s="4">
        <v>126122905</v>
      </c>
      <c r="W18" s="4">
        <v>809940972</v>
      </c>
      <c r="X18" s="4">
        <v>505987789</v>
      </c>
      <c r="Y18" s="4">
        <v>115458939</v>
      </c>
      <c r="Z18" s="4">
        <v>105623232</v>
      </c>
      <c r="AA18" s="4">
        <v>1602754193</v>
      </c>
      <c r="AB18" s="4">
        <v>14137025115</v>
      </c>
      <c r="AC18" s="4">
        <v>5153938</v>
      </c>
      <c r="AD18" s="4">
        <v>40614347</v>
      </c>
      <c r="AE18" s="4">
        <v>4835208.2902939003</v>
      </c>
      <c r="AF18" s="4">
        <v>28977548.727519929</v>
      </c>
      <c r="AG18" s="4">
        <v>64801</v>
      </c>
      <c r="AH18" s="4">
        <v>1001</v>
      </c>
      <c r="AI18" s="4">
        <v>65301.5</v>
      </c>
      <c r="AJ18" s="72">
        <v>360763055</v>
      </c>
      <c r="AK18" s="4">
        <v>85585739</v>
      </c>
      <c r="AL18" s="4">
        <v>336125</v>
      </c>
      <c r="AM18" s="4">
        <v>10068578</v>
      </c>
      <c r="AN18" s="4">
        <v>-9732453</v>
      </c>
      <c r="AO18" s="4">
        <v>14507436</v>
      </c>
      <c r="AP18" s="4">
        <v>14507436</v>
      </c>
      <c r="AQ18" s="4">
        <v>0</v>
      </c>
      <c r="AR18" s="4">
        <v>0</v>
      </c>
      <c r="AS18" s="4">
        <v>436616341</v>
      </c>
      <c r="AT18">
        <v>0.95</v>
      </c>
      <c r="AU18">
        <v>42.02</v>
      </c>
      <c r="AV18" s="70">
        <v>43555642</v>
      </c>
      <c r="AW18" s="61">
        <v>344342624</v>
      </c>
      <c r="AX18" s="61">
        <v>185977029</v>
      </c>
      <c r="AY18" s="61">
        <v>38825938</v>
      </c>
      <c r="AZ18" s="61">
        <v>52128914</v>
      </c>
      <c r="BA18" s="61">
        <v>386792731</v>
      </c>
      <c r="BB18" s="61">
        <v>2649906002</v>
      </c>
      <c r="BC18" s="70">
        <v>1835140856.7234001</v>
      </c>
      <c r="BD18" s="61">
        <v>10424055735.672001</v>
      </c>
      <c r="BE18" s="61">
        <v>1344906840.7413001</v>
      </c>
      <c r="BF18" s="61">
        <v>43923981360</v>
      </c>
      <c r="BG18" s="70">
        <v>5092901845</v>
      </c>
      <c r="BH18" s="73">
        <v>40.53</v>
      </c>
      <c r="BI18" s="61">
        <v>64762708.4111</v>
      </c>
      <c r="BJ18" s="61">
        <v>375424678.12029999</v>
      </c>
      <c r="BK18" s="61">
        <v>48393874.936700001</v>
      </c>
    </row>
    <row r="19" spans="1:63" x14ac:dyDescent="0.2">
      <c r="A19" t="s">
        <v>268</v>
      </c>
      <c r="B19" t="s">
        <v>269</v>
      </c>
      <c r="C19" t="s">
        <v>270</v>
      </c>
      <c r="D19" t="s">
        <v>271</v>
      </c>
      <c r="E19" t="s">
        <v>272</v>
      </c>
      <c r="F19" s="72">
        <v>12497673191</v>
      </c>
      <c r="G19" s="4">
        <v>41379833254</v>
      </c>
      <c r="H19" s="4">
        <v>13973436196</v>
      </c>
      <c r="I19" s="4">
        <v>11236966764</v>
      </c>
      <c r="J19" s="4">
        <v>12009868234</v>
      </c>
      <c r="K19" s="4">
        <v>46329204502</v>
      </c>
      <c r="L19" s="4">
        <v>49037934715</v>
      </c>
      <c r="M19" s="4">
        <v>17967331260</v>
      </c>
      <c r="N19" s="7">
        <v>9.7833000000000006</v>
      </c>
      <c r="O19" s="7">
        <v>9.1044</v>
      </c>
      <c r="P19" s="7">
        <v>5.7544000000000004</v>
      </c>
      <c r="Q19" s="7">
        <v>5.7422000000000004</v>
      </c>
      <c r="R19" s="72">
        <v>10215788054</v>
      </c>
      <c r="S19" s="4">
        <v>4842718937</v>
      </c>
      <c r="T19" s="4">
        <v>15398870926</v>
      </c>
      <c r="U19" s="4">
        <v>15868577914</v>
      </c>
      <c r="V19" s="4">
        <v>633150231</v>
      </c>
      <c r="W19" s="4">
        <v>2702395933</v>
      </c>
      <c r="X19" s="4">
        <v>1410426481</v>
      </c>
      <c r="Y19" s="4">
        <v>1099257415</v>
      </c>
      <c r="Z19" s="4">
        <v>66340367</v>
      </c>
      <c r="AA19" s="4">
        <v>5861041637</v>
      </c>
      <c r="AB19" s="4">
        <v>37856978032</v>
      </c>
      <c r="AC19" s="4">
        <v>38675582</v>
      </c>
      <c r="AD19" s="4">
        <v>150912384</v>
      </c>
      <c r="AE19" s="4">
        <v>92799110.128786713</v>
      </c>
      <c r="AF19" s="4">
        <v>388075795.9909817</v>
      </c>
      <c r="AG19" s="4">
        <v>147515</v>
      </c>
      <c r="AH19" s="4">
        <v>4045</v>
      </c>
      <c r="AI19" s="4">
        <v>149537.5</v>
      </c>
      <c r="AJ19" s="72">
        <v>474493854</v>
      </c>
      <c r="AK19" s="4">
        <v>265754966</v>
      </c>
      <c r="AL19" s="4">
        <v>22799558</v>
      </c>
      <c r="AM19" s="4">
        <v>27463441</v>
      </c>
      <c r="AN19" s="4">
        <v>-4663883</v>
      </c>
      <c r="AO19" s="4">
        <v>153790628</v>
      </c>
      <c r="AP19" s="4">
        <v>148439675</v>
      </c>
      <c r="AQ19" s="4">
        <v>5350953</v>
      </c>
      <c r="AR19" s="4">
        <v>0</v>
      </c>
      <c r="AS19" s="4">
        <v>740935890</v>
      </c>
      <c r="AT19">
        <v>0.97</v>
      </c>
      <c r="AU19">
        <v>45.17</v>
      </c>
      <c r="AV19" s="70">
        <v>300926672</v>
      </c>
      <c r="AW19" s="61">
        <v>1174506454</v>
      </c>
      <c r="AX19" s="61">
        <v>774074610</v>
      </c>
      <c r="AY19" s="61">
        <v>183322986</v>
      </c>
      <c r="AZ19" s="61">
        <v>36716327</v>
      </c>
      <c r="BA19" s="61">
        <v>1236604232</v>
      </c>
      <c r="BB19" s="61">
        <v>6345305190</v>
      </c>
      <c r="BC19" s="70">
        <v>9433086193.0723991</v>
      </c>
      <c r="BD19" s="61">
        <v>39000012694.339104</v>
      </c>
      <c r="BE19" s="61">
        <v>15411214452.100901</v>
      </c>
      <c r="BF19" s="61">
        <v>118184631077</v>
      </c>
      <c r="BG19" s="70">
        <v>14234743430</v>
      </c>
      <c r="BH19" s="73">
        <v>41.05</v>
      </c>
      <c r="BI19" s="61">
        <v>104153421.38940001</v>
      </c>
      <c r="BJ19" s="61">
        <v>430285933.39090002</v>
      </c>
      <c r="BK19" s="61">
        <v>170389099.42289999</v>
      </c>
    </row>
    <row r="20" spans="1:63" x14ac:dyDescent="0.2">
      <c r="A20" t="s">
        <v>273</v>
      </c>
      <c r="B20" t="s">
        <v>274</v>
      </c>
      <c r="C20" t="s">
        <v>253</v>
      </c>
      <c r="D20" t="s">
        <v>254</v>
      </c>
      <c r="E20" t="s">
        <v>275</v>
      </c>
      <c r="F20" s="72">
        <v>10791993284</v>
      </c>
      <c r="G20" s="4">
        <v>37638325191</v>
      </c>
      <c r="H20" s="4">
        <v>124865513</v>
      </c>
      <c r="I20" s="4">
        <v>6268872555</v>
      </c>
      <c r="J20" s="4">
        <v>5625597771</v>
      </c>
      <c r="K20" s="4">
        <v>16142876420</v>
      </c>
      <c r="L20" s="4">
        <v>14537769071</v>
      </c>
      <c r="M20" s="4">
        <v>4549797986</v>
      </c>
      <c r="N20" s="7">
        <v>9.7611000000000008</v>
      </c>
      <c r="O20" s="7">
        <v>10.0489</v>
      </c>
      <c r="P20" s="7">
        <v>5.6767000000000003</v>
      </c>
      <c r="Q20" s="7">
        <v>6.2477999999999998</v>
      </c>
      <c r="R20" s="72">
        <v>7506563785</v>
      </c>
      <c r="S20" s="4">
        <v>4166372774</v>
      </c>
      <c r="T20" s="4">
        <v>6164822248</v>
      </c>
      <c r="U20" s="4">
        <v>6224406162</v>
      </c>
      <c r="V20" s="4">
        <v>251484711</v>
      </c>
      <c r="W20" s="4">
        <v>857486889</v>
      </c>
      <c r="X20" s="4">
        <v>559754849</v>
      </c>
      <c r="Y20" s="4">
        <v>434305653</v>
      </c>
      <c r="Z20" s="4">
        <v>5366195</v>
      </c>
      <c r="AA20" s="4">
        <v>2261382495</v>
      </c>
      <c r="AB20" s="4">
        <v>18100750739</v>
      </c>
      <c r="AC20" s="4">
        <v>14885144</v>
      </c>
      <c r="AD20" s="4">
        <v>62626363</v>
      </c>
      <c r="AE20" s="4">
        <v>20773273.637461551</v>
      </c>
      <c r="AF20" s="4">
        <v>54738566.294676162</v>
      </c>
      <c r="AG20" s="4">
        <v>78260</v>
      </c>
      <c r="AH20" s="4">
        <v>1491</v>
      </c>
      <c r="AI20" s="4">
        <v>79005.5</v>
      </c>
      <c r="AJ20" s="72">
        <v>265291455</v>
      </c>
      <c r="AK20" s="4">
        <v>118996035</v>
      </c>
      <c r="AL20" s="4">
        <v>19060737</v>
      </c>
      <c r="AM20" s="4">
        <v>1597488</v>
      </c>
      <c r="AN20" s="4">
        <v>17463249</v>
      </c>
      <c r="AO20" s="4">
        <v>22404795</v>
      </c>
      <c r="AP20" s="4">
        <v>22404795</v>
      </c>
      <c r="AQ20" s="4">
        <v>0</v>
      </c>
      <c r="AR20" s="4">
        <v>0</v>
      </c>
      <c r="AS20" s="4">
        <v>401750739</v>
      </c>
      <c r="AT20">
        <v>0.99</v>
      </c>
      <c r="AU20">
        <v>36.06</v>
      </c>
      <c r="AV20" s="70">
        <v>138754503</v>
      </c>
      <c r="AW20" s="61">
        <v>582848311</v>
      </c>
      <c r="AX20" s="61">
        <v>295479737</v>
      </c>
      <c r="AY20" s="61">
        <v>66282284</v>
      </c>
      <c r="AZ20" s="61">
        <v>3282275</v>
      </c>
      <c r="BA20" s="61">
        <v>491115447</v>
      </c>
      <c r="BB20" s="61">
        <v>3532031816</v>
      </c>
      <c r="BC20" s="70">
        <v>4901375944.6127996</v>
      </c>
      <c r="BD20" s="61">
        <v>12512050862.167601</v>
      </c>
      <c r="BE20" s="61">
        <v>3592230243.5370002</v>
      </c>
      <c r="BF20" s="61">
        <v>64592168373</v>
      </c>
      <c r="BG20" s="70">
        <v>7194427645</v>
      </c>
      <c r="BH20" s="73">
        <v>41.12</v>
      </c>
      <c r="BI20" s="61">
        <v>282378468.56529999</v>
      </c>
      <c r="BJ20" s="61">
        <v>715648031.63639998</v>
      </c>
      <c r="BK20" s="61">
        <v>205006993.73649999</v>
      </c>
    </row>
    <row r="21" spans="1:63" x14ac:dyDescent="0.2">
      <c r="A21" t="s">
        <v>276</v>
      </c>
      <c r="B21" t="s">
        <v>277</v>
      </c>
      <c r="C21" t="s">
        <v>270</v>
      </c>
      <c r="D21" t="s">
        <v>271</v>
      </c>
      <c r="E21" t="s">
        <v>278</v>
      </c>
      <c r="F21" s="72">
        <v>1476868255</v>
      </c>
      <c r="G21" s="4">
        <v>6981749417</v>
      </c>
      <c r="H21" s="4">
        <v>0</v>
      </c>
      <c r="I21" s="4">
        <v>3655749015</v>
      </c>
      <c r="J21" s="4">
        <v>3708048015</v>
      </c>
      <c r="K21" s="4">
        <v>11008343341</v>
      </c>
      <c r="L21" s="4">
        <v>11174199323</v>
      </c>
      <c r="M21" s="4">
        <v>1959072344</v>
      </c>
      <c r="N21" s="7">
        <v>9.9656000000000002</v>
      </c>
      <c r="O21" s="7">
        <v>10.81</v>
      </c>
      <c r="P21" s="7">
        <v>6.3655999999999997</v>
      </c>
      <c r="Q21" s="7">
        <v>7.7411000000000003</v>
      </c>
      <c r="R21" s="72">
        <v>2402651715</v>
      </c>
      <c r="S21" s="4">
        <v>1015717116</v>
      </c>
      <c r="T21" s="4">
        <v>2954828272</v>
      </c>
      <c r="U21" s="4">
        <v>2985757522</v>
      </c>
      <c r="V21" s="4">
        <v>196185209</v>
      </c>
      <c r="W21" s="4">
        <v>359238219</v>
      </c>
      <c r="X21" s="4">
        <v>296206106</v>
      </c>
      <c r="Y21" s="4">
        <v>303596243</v>
      </c>
      <c r="Z21" s="4">
        <v>12635929</v>
      </c>
      <c r="AA21" s="4">
        <v>1058535849</v>
      </c>
      <c r="AB21" s="4">
        <v>7614806792</v>
      </c>
      <c r="AC21" s="4">
        <v>4640653</v>
      </c>
      <c r="AD21" s="4">
        <v>17495608</v>
      </c>
      <c r="AE21" s="4">
        <v>18285925.060665719</v>
      </c>
      <c r="AF21" s="4">
        <v>55944853.861200549</v>
      </c>
      <c r="AG21" s="4">
        <v>25455</v>
      </c>
      <c r="AH21" s="4">
        <v>802</v>
      </c>
      <c r="AI21" s="4">
        <v>25856</v>
      </c>
      <c r="AJ21" s="72">
        <v>68289222</v>
      </c>
      <c r="AK21" s="4">
        <v>90470720</v>
      </c>
      <c r="AL21" s="4">
        <v>2120507</v>
      </c>
      <c r="AM21" s="4">
        <v>2512899</v>
      </c>
      <c r="AN21" s="4">
        <v>-392392</v>
      </c>
      <c r="AO21" s="4">
        <v>2240486</v>
      </c>
      <c r="AP21" s="4">
        <v>2240486</v>
      </c>
      <c r="AQ21" s="4">
        <v>0</v>
      </c>
      <c r="AR21" s="4">
        <v>12876</v>
      </c>
      <c r="AS21" s="4">
        <v>158380426</v>
      </c>
      <c r="AT21">
        <v>0.78</v>
      </c>
      <c r="AU21">
        <v>46.67</v>
      </c>
      <c r="AV21" s="70">
        <v>32938258</v>
      </c>
      <c r="AW21" s="61">
        <v>124109010</v>
      </c>
      <c r="AX21" s="61">
        <v>108313083</v>
      </c>
      <c r="AY21" s="61">
        <v>48625339</v>
      </c>
      <c r="AZ21" s="61">
        <v>5427104</v>
      </c>
      <c r="BA21" s="61">
        <v>171146436</v>
      </c>
      <c r="BB21" s="61">
        <v>906518320</v>
      </c>
      <c r="BC21" s="70">
        <v>3147926282.9924002</v>
      </c>
      <c r="BD21" s="61">
        <v>9490821024.0795002</v>
      </c>
      <c r="BE21" s="61">
        <v>1720168201.7286</v>
      </c>
      <c r="BF21" s="61">
        <v>21348271272</v>
      </c>
      <c r="BG21" s="70">
        <v>3190951025</v>
      </c>
      <c r="BH21" s="73">
        <v>41.05</v>
      </c>
      <c r="BI21" s="61">
        <v>34032050.803400002</v>
      </c>
      <c r="BJ21" s="61">
        <v>102443463.5871</v>
      </c>
      <c r="BK21" s="61">
        <v>18467136.926600002</v>
      </c>
    </row>
    <row r="22" spans="1:63" x14ac:dyDescent="0.2">
      <c r="A22" t="s">
        <v>279</v>
      </c>
      <c r="B22" t="s">
        <v>280</v>
      </c>
      <c r="C22" t="s">
        <v>270</v>
      </c>
      <c r="D22" t="s">
        <v>271</v>
      </c>
      <c r="E22" t="s">
        <v>281</v>
      </c>
      <c r="F22" s="72">
        <v>8635139803</v>
      </c>
      <c r="G22" s="4">
        <v>34284664496</v>
      </c>
      <c r="H22" s="4">
        <v>3623266566</v>
      </c>
      <c r="I22" s="4">
        <v>16317680839</v>
      </c>
      <c r="J22" s="4">
        <v>15352301461</v>
      </c>
      <c r="K22" s="4">
        <v>36296980136</v>
      </c>
      <c r="L22" s="4">
        <v>34145026192</v>
      </c>
      <c r="M22" s="4">
        <v>8275123224</v>
      </c>
      <c r="N22" s="7">
        <v>9.6832999999999991</v>
      </c>
      <c r="O22" s="7">
        <v>9.3188999999999993</v>
      </c>
      <c r="P22" s="7">
        <v>5.4566999999999997</v>
      </c>
      <c r="Q22" s="7">
        <v>6.03</v>
      </c>
      <c r="R22" s="72">
        <v>10509546835</v>
      </c>
      <c r="S22" s="4">
        <v>4020209346</v>
      </c>
      <c r="T22" s="4">
        <v>22981156160</v>
      </c>
      <c r="U22" s="4">
        <v>23767657015</v>
      </c>
      <c r="V22" s="4">
        <v>792569246</v>
      </c>
      <c r="W22" s="4">
        <v>1665249015</v>
      </c>
      <c r="X22" s="4">
        <v>1499731652</v>
      </c>
      <c r="Y22" s="4">
        <v>998341062</v>
      </c>
      <c r="Z22" s="4">
        <v>23735614</v>
      </c>
      <c r="AA22" s="4">
        <v>5118159691</v>
      </c>
      <c r="AB22" s="4">
        <v>44374990130</v>
      </c>
      <c r="AC22" s="4">
        <v>38994777</v>
      </c>
      <c r="AD22" s="4">
        <v>87377561</v>
      </c>
      <c r="AE22" s="4">
        <v>147140575.42289311</v>
      </c>
      <c r="AF22" s="4">
        <v>333707210.30215299</v>
      </c>
      <c r="AG22" s="4">
        <v>136654</v>
      </c>
      <c r="AH22" s="4">
        <v>10275</v>
      </c>
      <c r="AI22" s="4">
        <v>141791.5</v>
      </c>
      <c r="AJ22" s="72">
        <v>420286635</v>
      </c>
      <c r="AK22" s="4">
        <v>324271213</v>
      </c>
      <c r="AL22" s="4">
        <v>3249699</v>
      </c>
      <c r="AM22" s="4">
        <v>2964029</v>
      </c>
      <c r="AN22" s="4">
        <v>285670</v>
      </c>
      <c r="AO22" s="4">
        <v>119165413</v>
      </c>
      <c r="AP22" s="4">
        <v>120599903</v>
      </c>
      <c r="AQ22" s="4">
        <v>-1434490</v>
      </c>
      <c r="AR22" s="4">
        <v>0</v>
      </c>
      <c r="AS22" s="4">
        <v>743409028</v>
      </c>
      <c r="AT22">
        <v>1.08</v>
      </c>
      <c r="AU22">
        <v>44.17</v>
      </c>
      <c r="AV22" s="70">
        <v>298466658</v>
      </c>
      <c r="AW22" s="61">
        <v>668306035</v>
      </c>
      <c r="AX22" s="61">
        <v>718899485</v>
      </c>
      <c r="AY22" s="61">
        <v>266153106</v>
      </c>
      <c r="AZ22" s="61">
        <v>287977</v>
      </c>
      <c r="BA22" s="61">
        <v>1127611151</v>
      </c>
      <c r="BB22" s="61">
        <v>5704529123</v>
      </c>
      <c r="BC22" s="70">
        <v>13085716196.999901</v>
      </c>
      <c r="BD22" s="61">
        <v>28915006852.299702</v>
      </c>
      <c r="BE22" s="61">
        <v>6662323188.5283003</v>
      </c>
      <c r="BF22" s="61">
        <v>87856634668</v>
      </c>
      <c r="BG22" s="70">
        <v>9832207239</v>
      </c>
      <c r="BH22" s="73">
        <v>41.05</v>
      </c>
      <c r="BI22" s="61">
        <v>170224756.75600001</v>
      </c>
      <c r="BJ22" s="61">
        <v>376891806.45649999</v>
      </c>
      <c r="BK22" s="61">
        <v>86887228.018999994</v>
      </c>
    </row>
    <row r="23" spans="1:63" x14ac:dyDescent="0.2">
      <c r="A23" t="s">
        <v>282</v>
      </c>
      <c r="B23" t="s">
        <v>283</v>
      </c>
      <c r="C23" t="s">
        <v>284</v>
      </c>
      <c r="D23" t="s">
        <v>285</v>
      </c>
      <c r="E23" t="s">
        <v>286</v>
      </c>
      <c r="F23" s="72">
        <v>4723783036</v>
      </c>
      <c r="G23" s="4">
        <v>0</v>
      </c>
      <c r="H23" s="4">
        <v>0</v>
      </c>
      <c r="I23" s="4">
        <v>2282242112</v>
      </c>
      <c r="J23" s="4">
        <v>1989640880</v>
      </c>
      <c r="K23" s="4">
        <v>2417360980</v>
      </c>
      <c r="L23" s="4">
        <v>2134887105</v>
      </c>
      <c r="M23" s="4">
        <v>696484571</v>
      </c>
      <c r="N23" s="7">
        <v>9.9722000000000008</v>
      </c>
      <c r="O23" s="7">
        <v>11.1067</v>
      </c>
      <c r="P23" s="7">
        <v>6.36</v>
      </c>
      <c r="Q23" s="7">
        <v>7.7443999999999997</v>
      </c>
      <c r="R23" s="72">
        <v>3825853274</v>
      </c>
      <c r="S23" s="4">
        <v>358735798</v>
      </c>
      <c r="T23" s="4">
        <v>86987275</v>
      </c>
      <c r="U23" s="4">
        <v>93939390</v>
      </c>
      <c r="V23" s="4">
        <v>55056427</v>
      </c>
      <c r="W23" s="4">
        <v>149738769</v>
      </c>
      <c r="X23" s="4">
        <v>108390280</v>
      </c>
      <c r="Y23" s="4">
        <v>66227403</v>
      </c>
      <c r="Z23" s="4">
        <v>16629175</v>
      </c>
      <c r="AA23" s="4">
        <v>460062848</v>
      </c>
      <c r="AB23" s="4">
        <v>4775897566</v>
      </c>
      <c r="AC23" s="4">
        <v>3959220</v>
      </c>
      <c r="AD23" s="4">
        <v>12450106</v>
      </c>
      <c r="AE23" s="4">
        <v>6435314.0705381604</v>
      </c>
      <c r="AF23" s="4">
        <v>7203309.5544905504</v>
      </c>
      <c r="AG23" s="4">
        <v>16706</v>
      </c>
      <c r="AH23" s="4">
        <v>54</v>
      </c>
      <c r="AI23" s="4">
        <v>16733</v>
      </c>
      <c r="AJ23" s="72">
        <v>187668627</v>
      </c>
      <c r="AK23" s="4">
        <v>4836202</v>
      </c>
      <c r="AL23" s="4">
        <v>0</v>
      </c>
      <c r="AM23" s="4">
        <v>0</v>
      </c>
      <c r="AN23" s="4">
        <v>0</v>
      </c>
      <c r="AO23" s="4">
        <v>1688384</v>
      </c>
      <c r="AP23" s="4">
        <v>1643272</v>
      </c>
      <c r="AQ23" s="4">
        <v>45112</v>
      </c>
      <c r="AR23" s="4">
        <v>0</v>
      </c>
      <c r="AS23" s="4">
        <v>192549941</v>
      </c>
      <c r="AT23">
        <v>0.81</v>
      </c>
      <c r="AU23">
        <v>36.61</v>
      </c>
      <c r="AV23" s="70">
        <v>32330185</v>
      </c>
      <c r="AW23" s="61">
        <v>101803979</v>
      </c>
      <c r="AX23" s="61">
        <v>58173247</v>
      </c>
      <c r="AY23" s="61">
        <v>18041007</v>
      </c>
      <c r="AZ23" s="61">
        <v>3951995</v>
      </c>
      <c r="BA23" s="61">
        <v>126273559</v>
      </c>
      <c r="BB23" s="61">
        <v>573807081</v>
      </c>
      <c r="BC23" s="70">
        <v>1628203085.4154999</v>
      </c>
      <c r="BD23" s="61">
        <v>1631004740.9605</v>
      </c>
      <c r="BE23" s="61">
        <v>492705456.28960001</v>
      </c>
      <c r="BF23" s="61">
        <v>7210468204</v>
      </c>
      <c r="BG23" s="70">
        <v>1427633030</v>
      </c>
      <c r="BH23" s="73">
        <v>35</v>
      </c>
      <c r="BI23" s="61">
        <v>63196250.9767</v>
      </c>
      <c r="BJ23" s="61">
        <v>70844539.230800003</v>
      </c>
      <c r="BK23" s="61">
        <v>19931692.3543</v>
      </c>
    </row>
    <row r="24" spans="1:63" x14ac:dyDescent="0.2">
      <c r="A24" t="s">
        <v>287</v>
      </c>
      <c r="B24" t="s">
        <v>288</v>
      </c>
      <c r="C24" t="s">
        <v>284</v>
      </c>
      <c r="D24" t="s">
        <v>289</v>
      </c>
      <c r="E24" t="s">
        <v>290</v>
      </c>
      <c r="F24" s="72">
        <v>14981464813</v>
      </c>
      <c r="G24" s="4">
        <v>75876356507</v>
      </c>
      <c r="H24" s="4">
        <v>0</v>
      </c>
      <c r="I24" s="4">
        <v>9193848164</v>
      </c>
      <c r="J24" s="4">
        <v>8426682514</v>
      </c>
      <c r="K24" s="4">
        <v>25267578096</v>
      </c>
      <c r="L24" s="4">
        <v>22987129517</v>
      </c>
      <c r="M24" s="4">
        <v>2670923762</v>
      </c>
      <c r="N24" s="7">
        <v>9.6321999999999992</v>
      </c>
      <c r="O24" s="7">
        <v>8.5922000000000001</v>
      </c>
      <c r="P24" s="7">
        <v>5.6333000000000002</v>
      </c>
      <c r="Q24" s="7">
        <v>4.5133000000000001</v>
      </c>
      <c r="R24" s="72">
        <v>16153682798</v>
      </c>
      <c r="S24" s="4">
        <v>3851313840</v>
      </c>
      <c r="T24" s="4">
        <v>4581814618</v>
      </c>
      <c r="U24" s="4">
        <v>4684964654</v>
      </c>
      <c r="V24" s="4">
        <v>614304245</v>
      </c>
      <c r="W24" s="4">
        <v>1118778552</v>
      </c>
      <c r="X24" s="4">
        <v>1106402626</v>
      </c>
      <c r="Y24" s="4">
        <v>392415372</v>
      </c>
      <c r="Z24" s="4">
        <v>27140606</v>
      </c>
      <c r="AA24" s="4">
        <v>2613762505</v>
      </c>
      <c r="AB24" s="4">
        <v>26711451358</v>
      </c>
      <c r="AC24" s="4">
        <v>17259652</v>
      </c>
      <c r="AD24" s="4">
        <v>59111883</v>
      </c>
      <c r="AE24" s="4">
        <v>9420666.6431898307</v>
      </c>
      <c r="AF24" s="4">
        <v>26114752.406890381</v>
      </c>
      <c r="AG24" s="4">
        <v>74506</v>
      </c>
      <c r="AH24" s="4">
        <v>1093</v>
      </c>
      <c r="AI24" s="4">
        <v>75052.5</v>
      </c>
      <c r="AJ24" s="72">
        <v>748328214</v>
      </c>
      <c r="AK24" s="4">
        <v>104547434</v>
      </c>
      <c r="AL24" s="4">
        <v>172678014</v>
      </c>
      <c r="AM24" s="4">
        <v>172675855</v>
      </c>
      <c r="AN24" s="4">
        <v>2159</v>
      </c>
      <c r="AO24" s="4">
        <v>67041674</v>
      </c>
      <c r="AP24" s="4">
        <v>67041674</v>
      </c>
      <c r="AQ24" s="4">
        <v>0</v>
      </c>
      <c r="AR24" s="4">
        <v>0</v>
      </c>
      <c r="AS24" s="4">
        <v>852877807</v>
      </c>
      <c r="AT24">
        <v>0.94</v>
      </c>
      <c r="AU24">
        <v>38.31</v>
      </c>
      <c r="AV24" s="70">
        <v>153977306</v>
      </c>
      <c r="AW24" s="61">
        <v>527956569</v>
      </c>
      <c r="AX24" s="61">
        <v>266988464</v>
      </c>
      <c r="AY24" s="61">
        <v>190742425</v>
      </c>
      <c r="AZ24" s="61">
        <v>5997091</v>
      </c>
      <c r="BA24" s="61">
        <v>366070610</v>
      </c>
      <c r="BB24" s="61">
        <v>2912563080</v>
      </c>
      <c r="BC24" s="70">
        <v>7630434988.4027004</v>
      </c>
      <c r="BD24" s="61">
        <v>20866881177.7188</v>
      </c>
      <c r="BE24" s="61">
        <v>2263723075.0503001</v>
      </c>
      <c r="BF24" s="61">
        <v>113032706488</v>
      </c>
      <c r="BG24" s="70">
        <v>8940198749</v>
      </c>
      <c r="BH24" s="73">
        <v>35</v>
      </c>
      <c r="BI24" s="61">
        <v>272988561.8409</v>
      </c>
      <c r="BJ24" s="61">
        <v>749118247.85870004</v>
      </c>
      <c r="BK24" s="61">
        <v>81047226.819299996</v>
      </c>
    </row>
    <row r="27" spans="1:63" x14ac:dyDescent="0.2">
      <c r="AW27" s="9"/>
    </row>
  </sheetData>
  <pageMargins left="0.49" right="0.55000000000000004" top="1" bottom="1" header="0.5" footer="0.5"/>
  <pageSetup scale="75" orientation="landscape" verticalDpi="0" r:id="rId1"/>
  <headerFooter alignWithMargins="0">
    <oddFooter>Page &amp;P&amp;R&amp;A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workbookViewId="0">
      <selection activeCell="E25" sqref="E25"/>
    </sheetView>
  </sheetViews>
  <sheetFormatPr defaultRowHeight="12.75" x14ac:dyDescent="0.2"/>
  <cols>
    <col min="1" max="1" width="16.28515625" customWidth="1"/>
    <col min="3" max="3" width="15.85546875" bestFit="1" customWidth="1"/>
    <col min="4" max="4" width="14.42578125" bestFit="1" customWidth="1"/>
    <col min="5" max="10" width="11.85546875" bestFit="1" customWidth="1"/>
    <col min="11" max="13" width="12.85546875" bestFit="1" customWidth="1"/>
  </cols>
  <sheetData>
    <row r="1" spans="1:13" x14ac:dyDescent="0.2">
      <c r="A1" t="s">
        <v>539</v>
      </c>
    </row>
    <row r="3" spans="1:13" x14ac:dyDescent="0.2">
      <c r="A3" s="8" t="s">
        <v>177</v>
      </c>
      <c r="B3" s="8" t="s">
        <v>465</v>
      </c>
      <c r="C3" s="8">
        <v>2000</v>
      </c>
      <c r="D3" s="8">
        <v>2001</v>
      </c>
      <c r="E3" s="8">
        <v>2002</v>
      </c>
      <c r="F3" s="8">
        <v>2003</v>
      </c>
      <c r="G3" s="8">
        <v>2004</v>
      </c>
      <c r="H3" s="8">
        <v>2005</v>
      </c>
      <c r="I3" s="8">
        <v>2006</v>
      </c>
      <c r="J3" s="8">
        <v>2007</v>
      </c>
      <c r="K3" s="8">
        <v>2008</v>
      </c>
      <c r="L3" s="8">
        <v>2009</v>
      </c>
      <c r="M3" s="8">
        <v>2010</v>
      </c>
    </row>
    <row r="4" spans="1:13" x14ac:dyDescent="0.2">
      <c r="A4" t="s">
        <v>464</v>
      </c>
      <c r="B4" s="17" t="str">
        <f>exposure!B8</f>
        <v>Low</v>
      </c>
      <c r="C4" s="4">
        <f>(VLOOKUP($B$4,Assumptions!$B$29:$M$31,Assumptions!D4-Assumptions!$C$4+1,FALSE)+1)*criteria!$J$27</f>
        <v>-70677119.137206331</v>
      </c>
      <c r="D4" s="4">
        <f>(VLOOKUP($B$4,Assumptions!$B$29:$M$31,Assumptions!E4-Assumptions!$C$4+1,FALSE)+1)*C4</f>
        <v>-70677119.137206331</v>
      </c>
      <c r="E4" s="4">
        <f>(VLOOKUP($B$4,Assumptions!$B$29:$M$31,Assumptions!F4-Assumptions!$C$4+1,FALSE)+1)*D4</f>
        <v>-70677119.137206331</v>
      </c>
      <c r="F4" s="4">
        <f>(VLOOKUP($B$4,Assumptions!$B$29:$M$31,Assumptions!G4-Assumptions!$C$4+1,FALSE)+1)*E4</f>
        <v>-70677119.137206331</v>
      </c>
      <c r="G4" s="4">
        <f>(VLOOKUP($B$4,Assumptions!$B$29:$M$31,Assumptions!H4-Assumptions!$C$4+1,FALSE)+1)*F4</f>
        <v>-70677119.137206331</v>
      </c>
      <c r="H4" s="4">
        <f>(VLOOKUP($B$4,Assumptions!$B$29:$M$31,Assumptions!I4-Assumptions!$C$4+1,FALSE)+1)*G4</f>
        <v>-70677119.137206331</v>
      </c>
      <c r="I4" s="4">
        <f>(VLOOKUP($B$4,Assumptions!$B$29:$M$31,Assumptions!J4-Assumptions!$C$4+1,FALSE)+1)*H4</f>
        <v>-70677119.137206331</v>
      </c>
      <c r="J4" s="4">
        <f>(VLOOKUP($B$4,Assumptions!$B$29:$M$31,Assumptions!K4-Assumptions!$C$4+1,FALSE)+1)*I4</f>
        <v>-70677119.137206331</v>
      </c>
      <c r="K4" s="4">
        <f>(VLOOKUP($B$4,Assumptions!$B$29:$M$31,Assumptions!L4-Assumptions!$C$4+1,FALSE)+1)*J4</f>
        <v>-70677119.137206331</v>
      </c>
      <c r="L4" s="4">
        <f>(VLOOKUP($B$4,Assumptions!$B$29:$M$31,Assumptions!M4-Assumptions!$C$4+1,FALSE)+1)*K4</f>
        <v>-70677119.137206331</v>
      </c>
      <c r="M4" s="4">
        <f>(VLOOKUP($B$4,Assumptions!$B$29:$M$31,Assumptions!N4-Assumptions!$C$4+1,FALSE)+1)*L4</f>
        <v>-70677119.137206331</v>
      </c>
    </row>
    <row r="5" spans="1:13" x14ac:dyDescent="0.2">
      <c r="B5" s="17"/>
      <c r="C5" s="4"/>
      <c r="D5" s="18"/>
      <c r="E5" s="18"/>
      <c r="F5" s="18"/>
      <c r="G5" s="18"/>
      <c r="H5" s="18"/>
      <c r="I5" s="18"/>
      <c r="J5" s="18"/>
      <c r="K5" s="18"/>
      <c r="L5" s="18"/>
      <c r="M5" s="18"/>
    </row>
    <row r="6" spans="1:13" x14ac:dyDescent="0.2"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3" x14ac:dyDescent="0.2"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</row>
    <row r="8" spans="1:13" x14ac:dyDescent="0.2"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</row>
    <row r="9" spans="1:13" x14ac:dyDescent="0.2"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</row>
    <row r="10" spans="1:13" x14ac:dyDescent="0.2"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</row>
    <row r="11" spans="1:13" x14ac:dyDescent="0.2">
      <c r="B11" s="17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</row>
    <row r="12" spans="1:13" x14ac:dyDescent="0.2"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</row>
    <row r="13" spans="1:13" x14ac:dyDescent="0.2"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3" x14ac:dyDescent="0.2"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</row>
    <row r="15" spans="1:13" x14ac:dyDescent="0.2"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</row>
    <row r="16" spans="1:13" x14ac:dyDescent="0.2"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</row>
    <row r="17" spans="2:13" x14ac:dyDescent="0.2"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</row>
    <row r="18" spans="2:13" x14ac:dyDescent="0.2"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2:13" x14ac:dyDescent="0.2"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</row>
    <row r="20" spans="2:13" x14ac:dyDescent="0.2"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</row>
    <row r="21" spans="2:13" x14ac:dyDescent="0.2">
      <c r="B21" s="17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</row>
    <row r="22" spans="2:13" x14ac:dyDescent="0.2">
      <c r="B22" s="17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</row>
    <row r="23" spans="2:13" x14ac:dyDescent="0.2">
      <c r="B23" s="17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2:13" x14ac:dyDescent="0.2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</row>
  </sheetData>
  <pageMargins left="0.75" right="0.75" top="1" bottom="1" header="0.5" footer="0.5"/>
  <pageSetup scale="74" orientation="landscape" verticalDpi="0" r:id="rId1"/>
  <headerFooter alignWithMargins="0">
    <oddFooter>Page &amp;P&amp;R&amp;A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6"/>
  <sheetViews>
    <sheetView topLeftCell="A33" workbookViewId="0">
      <selection activeCell="E25" sqref="E25"/>
    </sheetView>
  </sheetViews>
  <sheetFormatPr defaultRowHeight="12.75" x14ac:dyDescent="0.2"/>
  <cols>
    <col min="2" max="2" width="2" customWidth="1"/>
    <col min="3" max="3" width="32.5703125" bestFit="1" customWidth="1"/>
    <col min="4" max="4" width="16" style="1" bestFit="1" customWidth="1"/>
  </cols>
  <sheetData>
    <row r="1" spans="1:6" x14ac:dyDescent="0.2">
      <c r="A1" s="38" t="s">
        <v>0</v>
      </c>
      <c r="B1" s="38"/>
      <c r="C1" s="38" t="s">
        <v>1</v>
      </c>
      <c r="D1" s="39" t="s">
        <v>2</v>
      </c>
      <c r="E1" s="38"/>
      <c r="F1" t="s">
        <v>176</v>
      </c>
    </row>
    <row r="2" spans="1:6" x14ac:dyDescent="0.2">
      <c r="A2">
        <v>1</v>
      </c>
      <c r="C2" t="s">
        <v>3</v>
      </c>
      <c r="D2" s="1">
        <v>-13946850.352507301</v>
      </c>
      <c r="E2" s="2">
        <f>D2/$D$176</f>
        <v>0.19733190207473106</v>
      </c>
    </row>
    <row r="3" spans="1:6" x14ac:dyDescent="0.2">
      <c r="A3">
        <f t="shared" ref="A3:A34" si="0">A2+1</f>
        <v>2</v>
      </c>
      <c r="C3" t="s">
        <v>4</v>
      </c>
      <c r="D3" s="1">
        <v>-6415294.9458476324</v>
      </c>
      <c r="E3" s="2">
        <f t="shared" ref="E3:E34" si="1">D3/$D$176+E2</f>
        <v>0.28810095186287454</v>
      </c>
    </row>
    <row r="4" spans="1:6" x14ac:dyDescent="0.2">
      <c r="A4">
        <f t="shared" si="0"/>
        <v>3</v>
      </c>
      <c r="C4" t="s">
        <v>5</v>
      </c>
      <c r="D4" s="1">
        <v>-6283796.6165834712</v>
      </c>
      <c r="E4" s="2">
        <f t="shared" si="1"/>
        <v>0.37700945143519954</v>
      </c>
    </row>
    <row r="5" spans="1:6" x14ac:dyDescent="0.2">
      <c r="A5">
        <f t="shared" si="0"/>
        <v>4</v>
      </c>
      <c r="C5" t="s">
        <v>6</v>
      </c>
      <c r="D5" s="1">
        <v>-5197632.7437726185</v>
      </c>
      <c r="E5" s="2">
        <f t="shared" si="1"/>
        <v>0.45054998063648732</v>
      </c>
    </row>
    <row r="6" spans="1:6" x14ac:dyDescent="0.2">
      <c r="A6">
        <f t="shared" si="0"/>
        <v>5</v>
      </c>
      <c r="C6" t="s">
        <v>7</v>
      </c>
      <c r="D6" s="1">
        <v>-3226809.9270674745</v>
      </c>
      <c r="E6" s="2">
        <f t="shared" si="1"/>
        <v>0.49620563223149972</v>
      </c>
    </row>
    <row r="7" spans="1:6" x14ac:dyDescent="0.2">
      <c r="A7">
        <f t="shared" si="0"/>
        <v>6</v>
      </c>
      <c r="C7" t="s">
        <v>8</v>
      </c>
      <c r="D7" s="1">
        <v>-3181697.665574458</v>
      </c>
      <c r="E7" s="2">
        <f t="shared" si="1"/>
        <v>0.54122299717810696</v>
      </c>
    </row>
    <row r="8" spans="1:6" x14ac:dyDescent="0.2">
      <c r="A8">
        <f t="shared" si="0"/>
        <v>7</v>
      </c>
      <c r="C8" t="s">
        <v>9</v>
      </c>
      <c r="D8" s="1">
        <v>-2981978.0879981709</v>
      </c>
      <c r="E8" s="2">
        <f t="shared" si="1"/>
        <v>0.58341455965830968</v>
      </c>
    </row>
    <row r="9" spans="1:6" x14ac:dyDescent="0.2">
      <c r="A9">
        <f t="shared" si="0"/>
        <v>8</v>
      </c>
      <c r="C9" t="s">
        <v>10</v>
      </c>
      <c r="D9" s="1">
        <v>-2479150.404349979</v>
      </c>
      <c r="E9" s="2">
        <f t="shared" si="1"/>
        <v>0.61849168836154922</v>
      </c>
    </row>
    <row r="10" spans="1:6" x14ac:dyDescent="0.2">
      <c r="A10">
        <f t="shared" si="0"/>
        <v>9</v>
      </c>
      <c r="C10" t="s">
        <v>11</v>
      </c>
      <c r="D10" s="1">
        <v>-1673126.8659573265</v>
      </c>
      <c r="E10" s="2">
        <f t="shared" si="1"/>
        <v>0.64216451043440803</v>
      </c>
    </row>
    <row r="11" spans="1:6" x14ac:dyDescent="0.2">
      <c r="A11">
        <f t="shared" si="0"/>
        <v>10</v>
      </c>
      <c r="C11" t="s">
        <v>12</v>
      </c>
      <c r="D11" s="1">
        <v>-1624960.3516917799</v>
      </c>
      <c r="E11" s="2">
        <f t="shared" si="1"/>
        <v>0.66515583169266734</v>
      </c>
    </row>
    <row r="12" spans="1:6" x14ac:dyDescent="0.2">
      <c r="A12">
        <f t="shared" si="0"/>
        <v>11</v>
      </c>
      <c r="C12" t="s">
        <v>13</v>
      </c>
      <c r="D12" s="1">
        <v>-1565363.2224846624</v>
      </c>
      <c r="E12" s="2">
        <f t="shared" si="1"/>
        <v>0.6873039220731737</v>
      </c>
    </row>
    <row r="13" spans="1:6" x14ac:dyDescent="0.2">
      <c r="A13">
        <f t="shared" si="0"/>
        <v>12</v>
      </c>
      <c r="C13" t="s">
        <v>14</v>
      </c>
      <c r="D13" s="1">
        <v>-1562185.2874182269</v>
      </c>
      <c r="E13" s="2">
        <f t="shared" si="1"/>
        <v>0.70940704832518653</v>
      </c>
    </row>
    <row r="14" spans="1:6" x14ac:dyDescent="0.2">
      <c r="A14">
        <f t="shared" si="0"/>
        <v>13</v>
      </c>
      <c r="C14" t="s">
        <v>15</v>
      </c>
      <c r="D14" s="1">
        <v>-1516500.1950594781</v>
      </c>
      <c r="E14" s="2">
        <f t="shared" si="1"/>
        <v>0.73086378303045196</v>
      </c>
    </row>
    <row r="15" spans="1:6" x14ac:dyDescent="0.2">
      <c r="A15">
        <f t="shared" si="0"/>
        <v>14</v>
      </c>
      <c r="C15" t="s">
        <v>16</v>
      </c>
      <c r="D15" s="1">
        <v>-1411154.4209867632</v>
      </c>
      <c r="E15" s="2">
        <f t="shared" si="1"/>
        <v>0.75082999611629198</v>
      </c>
    </row>
    <row r="16" spans="1:6" x14ac:dyDescent="0.2">
      <c r="A16">
        <f t="shared" si="0"/>
        <v>15</v>
      </c>
      <c r="C16" t="s">
        <v>17</v>
      </c>
      <c r="D16" s="1">
        <v>-1146458.1989038438</v>
      </c>
      <c r="E16" s="2">
        <f t="shared" si="1"/>
        <v>0.76705106189966399</v>
      </c>
    </row>
    <row r="17" spans="1:5" x14ac:dyDescent="0.2">
      <c r="A17">
        <f t="shared" si="0"/>
        <v>16</v>
      </c>
      <c r="C17" t="s">
        <v>18</v>
      </c>
      <c r="D17" s="1">
        <v>-1069143.8287863212</v>
      </c>
      <c r="E17" s="2">
        <f t="shared" si="1"/>
        <v>0.78217821821047484</v>
      </c>
    </row>
    <row r="18" spans="1:5" x14ac:dyDescent="0.2">
      <c r="A18">
        <f t="shared" si="0"/>
        <v>17</v>
      </c>
      <c r="C18" t="s">
        <v>19</v>
      </c>
      <c r="D18" s="1">
        <v>-1000977.39399198</v>
      </c>
      <c r="E18" s="2">
        <f t="shared" si="1"/>
        <v>0.79634089781897399</v>
      </c>
    </row>
    <row r="19" spans="1:5" x14ac:dyDescent="0.2">
      <c r="A19">
        <f t="shared" si="0"/>
        <v>18</v>
      </c>
      <c r="C19" t="s">
        <v>20</v>
      </c>
      <c r="D19" s="1">
        <v>-957813.26110702008</v>
      </c>
      <c r="E19" s="2">
        <f t="shared" si="1"/>
        <v>0.8098928545597065</v>
      </c>
    </row>
    <row r="20" spans="1:5" x14ac:dyDescent="0.2">
      <c r="A20">
        <f t="shared" si="0"/>
        <v>19</v>
      </c>
      <c r="C20" t="s">
        <v>21</v>
      </c>
      <c r="D20" s="1">
        <v>-918243.26000605</v>
      </c>
      <c r="E20" s="2">
        <f t="shared" si="1"/>
        <v>0.8228849412663457</v>
      </c>
    </row>
    <row r="21" spans="1:5" x14ac:dyDescent="0.2">
      <c r="A21">
        <f t="shared" si="0"/>
        <v>20</v>
      </c>
      <c r="C21" t="s">
        <v>22</v>
      </c>
      <c r="D21" s="1">
        <v>-756586.84203483339</v>
      </c>
      <c r="E21" s="2">
        <f t="shared" si="1"/>
        <v>0.83358977546545987</v>
      </c>
    </row>
    <row r="22" spans="1:5" x14ac:dyDescent="0.2">
      <c r="A22">
        <f t="shared" si="0"/>
        <v>21</v>
      </c>
      <c r="C22" t="s">
        <v>23</v>
      </c>
      <c r="D22" s="1">
        <v>-644106.7944024764</v>
      </c>
      <c r="E22" s="2">
        <f t="shared" si="1"/>
        <v>0.84270314627436427</v>
      </c>
    </row>
    <row r="23" spans="1:5" x14ac:dyDescent="0.2">
      <c r="A23">
        <f t="shared" si="0"/>
        <v>22</v>
      </c>
      <c r="C23" t="s">
        <v>24</v>
      </c>
      <c r="D23" s="1">
        <v>-637392.04327684676</v>
      </c>
      <c r="E23" s="2">
        <f t="shared" si="1"/>
        <v>0.85172151107272953</v>
      </c>
    </row>
    <row r="24" spans="1:5" x14ac:dyDescent="0.2">
      <c r="A24">
        <f t="shared" si="0"/>
        <v>23</v>
      </c>
      <c r="C24" t="s">
        <v>25</v>
      </c>
      <c r="D24" s="1">
        <v>-580325.96016670659</v>
      </c>
      <c r="E24" s="2">
        <f t="shared" si="1"/>
        <v>0.85993245638644711</v>
      </c>
    </row>
    <row r="25" spans="1:5" x14ac:dyDescent="0.2">
      <c r="A25">
        <f t="shared" si="0"/>
        <v>24</v>
      </c>
      <c r="C25" t="s">
        <v>26</v>
      </c>
      <c r="D25" s="1">
        <v>-458424.35812872835</v>
      </c>
      <c r="E25" s="2">
        <f t="shared" si="1"/>
        <v>0.86641863414418485</v>
      </c>
    </row>
    <row r="26" spans="1:5" x14ac:dyDescent="0.2">
      <c r="A26">
        <f t="shared" si="0"/>
        <v>25</v>
      </c>
      <c r="C26" t="s">
        <v>27</v>
      </c>
      <c r="D26" s="1">
        <v>-448891.32081250666</v>
      </c>
      <c r="E26" s="2">
        <f t="shared" si="1"/>
        <v>0.87276993038110517</v>
      </c>
    </row>
    <row r="27" spans="1:5" x14ac:dyDescent="0.2">
      <c r="A27">
        <f t="shared" si="0"/>
        <v>26</v>
      </c>
      <c r="C27" t="s">
        <v>28</v>
      </c>
      <c r="D27" s="1">
        <v>-401307.39102015464</v>
      </c>
      <c r="E27" s="2">
        <f t="shared" si="1"/>
        <v>0.87844796870410324</v>
      </c>
    </row>
    <row r="28" spans="1:5" x14ac:dyDescent="0.2">
      <c r="A28">
        <f t="shared" si="0"/>
        <v>27</v>
      </c>
      <c r="C28" t="s">
        <v>29</v>
      </c>
      <c r="D28" s="1">
        <v>-399985.26672746363</v>
      </c>
      <c r="E28" s="2">
        <f t="shared" si="1"/>
        <v>0.88410730048800024</v>
      </c>
    </row>
    <row r="29" spans="1:5" x14ac:dyDescent="0.2">
      <c r="A29">
        <f t="shared" si="0"/>
        <v>28</v>
      </c>
      <c r="C29" t="s">
        <v>30</v>
      </c>
      <c r="D29" s="1">
        <v>-399213.46196996601</v>
      </c>
      <c r="E29" s="2">
        <f t="shared" si="1"/>
        <v>0.88975571212168569</v>
      </c>
    </row>
    <row r="30" spans="1:5" x14ac:dyDescent="0.2">
      <c r="A30">
        <f t="shared" si="0"/>
        <v>29</v>
      </c>
      <c r="C30" t="s">
        <v>31</v>
      </c>
      <c r="D30" s="1">
        <v>-368313.66397423192</v>
      </c>
      <c r="E30" s="2">
        <f t="shared" si="1"/>
        <v>0.89496692712974535</v>
      </c>
    </row>
    <row r="31" spans="1:5" x14ac:dyDescent="0.2">
      <c r="A31">
        <f t="shared" si="0"/>
        <v>30</v>
      </c>
      <c r="C31" t="s">
        <v>32</v>
      </c>
      <c r="D31" s="1">
        <v>-350584.08167031006</v>
      </c>
      <c r="E31" s="2">
        <f t="shared" si="1"/>
        <v>0.89992728892646368</v>
      </c>
    </row>
    <row r="32" spans="1:5" x14ac:dyDescent="0.2">
      <c r="A32">
        <f t="shared" si="0"/>
        <v>31</v>
      </c>
      <c r="C32" t="s">
        <v>33</v>
      </c>
      <c r="D32" s="1">
        <v>-340728.93481112568</v>
      </c>
      <c r="E32" s="2">
        <f t="shared" si="1"/>
        <v>0.90474821172256215</v>
      </c>
    </row>
    <row r="33" spans="1:5" x14ac:dyDescent="0.2">
      <c r="A33">
        <f t="shared" si="0"/>
        <v>32</v>
      </c>
      <c r="C33" t="s">
        <v>34</v>
      </c>
      <c r="D33" s="1">
        <v>-338845.49309801729</v>
      </c>
      <c r="E33" s="2">
        <f t="shared" si="1"/>
        <v>0.90954248598323495</v>
      </c>
    </row>
    <row r="34" spans="1:5" x14ac:dyDescent="0.2">
      <c r="A34">
        <f t="shared" si="0"/>
        <v>33</v>
      </c>
      <c r="C34" t="s">
        <v>35</v>
      </c>
      <c r="D34" s="1">
        <v>-337857.61818140908</v>
      </c>
      <c r="E34" s="2">
        <f t="shared" si="1"/>
        <v>0.91432278294929437</v>
      </c>
    </row>
    <row r="35" spans="1:5" x14ac:dyDescent="0.2">
      <c r="A35">
        <f t="shared" ref="A35:A66" si="2">A34+1</f>
        <v>34</v>
      </c>
      <c r="C35" t="s">
        <v>36</v>
      </c>
      <c r="D35" s="1">
        <v>-306767.46785189462</v>
      </c>
      <c r="E35" s="2">
        <f t="shared" ref="E35:E66" si="3">D35/$D$176+E34</f>
        <v>0.91866319002299479</v>
      </c>
    </row>
    <row r="36" spans="1:5" x14ac:dyDescent="0.2">
      <c r="A36">
        <f t="shared" si="2"/>
        <v>35</v>
      </c>
      <c r="C36" t="s">
        <v>37</v>
      </c>
      <c r="D36" s="1">
        <v>-290991.73430648149</v>
      </c>
      <c r="E36" s="2">
        <f t="shared" si="3"/>
        <v>0.92278038859954647</v>
      </c>
    </row>
    <row r="37" spans="1:5" x14ac:dyDescent="0.2">
      <c r="A37">
        <f t="shared" si="2"/>
        <v>36</v>
      </c>
      <c r="C37" t="s">
        <v>38</v>
      </c>
      <c r="D37" s="1">
        <v>-266492.55587671709</v>
      </c>
      <c r="E37" s="2">
        <f t="shared" si="3"/>
        <v>0.92655095196050308</v>
      </c>
    </row>
    <row r="38" spans="1:5" x14ac:dyDescent="0.2">
      <c r="A38">
        <f t="shared" si="2"/>
        <v>37</v>
      </c>
      <c r="C38" t="s">
        <v>39</v>
      </c>
      <c r="D38" s="1">
        <v>-263625.07587537938</v>
      </c>
      <c r="E38" s="2">
        <f t="shared" si="3"/>
        <v>0.93028094377530246</v>
      </c>
    </row>
    <row r="39" spans="1:5" x14ac:dyDescent="0.2">
      <c r="A39">
        <f t="shared" si="2"/>
        <v>38</v>
      </c>
      <c r="C39" t="s">
        <v>40</v>
      </c>
      <c r="D39" s="1">
        <v>-243420.61892665765</v>
      </c>
      <c r="E39" s="2">
        <f t="shared" si="3"/>
        <v>0.93372506574714031</v>
      </c>
    </row>
    <row r="40" spans="1:5" x14ac:dyDescent="0.2">
      <c r="A40">
        <f t="shared" si="2"/>
        <v>39</v>
      </c>
      <c r="C40" t="s">
        <v>41</v>
      </c>
      <c r="D40" s="1">
        <v>-235228.60328784285</v>
      </c>
      <c r="E40" s="2">
        <f t="shared" si="3"/>
        <v>0.93705328011353506</v>
      </c>
    </row>
    <row r="41" spans="1:5" x14ac:dyDescent="0.2">
      <c r="A41">
        <f t="shared" si="2"/>
        <v>40</v>
      </c>
      <c r="C41" t="s">
        <v>42</v>
      </c>
      <c r="D41" s="1">
        <v>-231679.11216345118</v>
      </c>
      <c r="E41" s="2">
        <f t="shared" si="3"/>
        <v>0.94033127326028021</v>
      </c>
    </row>
    <row r="42" spans="1:5" x14ac:dyDescent="0.2">
      <c r="A42">
        <f t="shared" si="2"/>
        <v>41</v>
      </c>
      <c r="C42" t="s">
        <v>43</v>
      </c>
      <c r="D42" s="1">
        <v>-218693.45542149156</v>
      </c>
      <c r="E42" s="2">
        <f t="shared" si="3"/>
        <v>0.94342553428975062</v>
      </c>
    </row>
    <row r="43" spans="1:5" x14ac:dyDescent="0.2">
      <c r="A43">
        <f t="shared" si="2"/>
        <v>42</v>
      </c>
      <c r="C43" t="s">
        <v>44</v>
      </c>
      <c r="D43" s="1">
        <v>-217777.50047355075</v>
      </c>
      <c r="E43" s="2">
        <f t="shared" si="3"/>
        <v>0.94650683560949989</v>
      </c>
    </row>
    <row r="44" spans="1:5" x14ac:dyDescent="0.2">
      <c r="A44">
        <f t="shared" si="2"/>
        <v>43</v>
      </c>
      <c r="C44" t="s">
        <v>45</v>
      </c>
      <c r="D44" s="1">
        <v>-214270.01010099155</v>
      </c>
      <c r="E44" s="2">
        <f t="shared" si="3"/>
        <v>0.94953850997196265</v>
      </c>
    </row>
    <row r="45" spans="1:5" x14ac:dyDescent="0.2">
      <c r="A45">
        <f t="shared" si="2"/>
        <v>44</v>
      </c>
      <c r="C45" t="s">
        <v>46</v>
      </c>
      <c r="D45" s="1">
        <v>-207814.41349293489</v>
      </c>
      <c r="E45" s="2">
        <f t="shared" si="3"/>
        <v>0.95247884506243941</v>
      </c>
    </row>
    <row r="46" spans="1:5" x14ac:dyDescent="0.2">
      <c r="A46">
        <f t="shared" si="2"/>
        <v>45</v>
      </c>
      <c r="C46" t="s">
        <v>47</v>
      </c>
      <c r="D46" s="1">
        <v>-205332.43977359438</v>
      </c>
      <c r="E46" s="2">
        <f t="shared" si="3"/>
        <v>0.95538406307755097</v>
      </c>
    </row>
    <row r="47" spans="1:5" x14ac:dyDescent="0.2">
      <c r="A47">
        <f t="shared" si="2"/>
        <v>46</v>
      </c>
      <c r="C47" t="s">
        <v>48</v>
      </c>
      <c r="D47" s="1">
        <v>-192461.99370410928</v>
      </c>
      <c r="E47" s="2">
        <f t="shared" si="3"/>
        <v>0.95810717907398091</v>
      </c>
    </row>
    <row r="48" spans="1:5" x14ac:dyDescent="0.2">
      <c r="A48">
        <f t="shared" si="2"/>
        <v>47</v>
      </c>
      <c r="C48" t="s">
        <v>49</v>
      </c>
      <c r="D48" s="1">
        <v>-192367.56622297381</v>
      </c>
      <c r="E48" s="2">
        <f t="shared" si="3"/>
        <v>0.96082895903008703</v>
      </c>
    </row>
    <row r="49" spans="1:5" x14ac:dyDescent="0.2">
      <c r="A49">
        <f t="shared" si="2"/>
        <v>48</v>
      </c>
      <c r="C49" t="s">
        <v>50</v>
      </c>
      <c r="D49" s="1">
        <v>-191693.90116265384</v>
      </c>
      <c r="E49" s="2">
        <f t="shared" si="3"/>
        <v>0.96354120739989557</v>
      </c>
    </row>
    <row r="50" spans="1:5" x14ac:dyDescent="0.2">
      <c r="A50">
        <f t="shared" si="2"/>
        <v>49</v>
      </c>
      <c r="C50" t="s">
        <v>51</v>
      </c>
      <c r="D50" s="1">
        <v>-188641.04509595025</v>
      </c>
      <c r="E50" s="2">
        <f t="shared" si="3"/>
        <v>0.96621026136529187</v>
      </c>
    </row>
    <row r="51" spans="1:5" x14ac:dyDescent="0.2">
      <c r="A51">
        <f t="shared" si="2"/>
        <v>50</v>
      </c>
      <c r="C51" t="s">
        <v>52</v>
      </c>
      <c r="D51" s="1">
        <v>-185152.15553200128</v>
      </c>
      <c r="E51" s="2">
        <f t="shared" si="3"/>
        <v>0.96882995155346385</v>
      </c>
    </row>
    <row r="52" spans="1:5" x14ac:dyDescent="0.2">
      <c r="A52">
        <f t="shared" si="2"/>
        <v>51</v>
      </c>
      <c r="C52" t="s">
        <v>53</v>
      </c>
      <c r="D52" s="1">
        <v>-176152.98408919305</v>
      </c>
      <c r="E52" s="2">
        <f t="shared" si="3"/>
        <v>0.97132231380930545</v>
      </c>
    </row>
    <row r="53" spans="1:5" x14ac:dyDescent="0.2">
      <c r="A53">
        <f t="shared" si="2"/>
        <v>52</v>
      </c>
      <c r="C53" t="s">
        <v>54</v>
      </c>
      <c r="D53" s="1">
        <v>-170741.41342702816</v>
      </c>
      <c r="E53" s="2">
        <f t="shared" si="3"/>
        <v>0.9737381085602993</v>
      </c>
    </row>
    <row r="54" spans="1:5" x14ac:dyDescent="0.2">
      <c r="A54">
        <f t="shared" si="2"/>
        <v>53</v>
      </c>
      <c r="C54" t="s">
        <v>55</v>
      </c>
      <c r="D54" s="1">
        <v>-168977.55416970589</v>
      </c>
      <c r="E54" s="2">
        <f t="shared" si="3"/>
        <v>0.97612894673016959</v>
      </c>
    </row>
    <row r="55" spans="1:5" x14ac:dyDescent="0.2">
      <c r="A55">
        <f t="shared" si="2"/>
        <v>54</v>
      </c>
      <c r="C55" t="s">
        <v>56</v>
      </c>
      <c r="D55" s="1">
        <v>-165076.09648797347</v>
      </c>
      <c r="E55" s="2">
        <f t="shared" si="3"/>
        <v>0.97846458375815182</v>
      </c>
    </row>
    <row r="56" spans="1:5" x14ac:dyDescent="0.2">
      <c r="A56">
        <f t="shared" si="2"/>
        <v>55</v>
      </c>
      <c r="C56" t="s">
        <v>57</v>
      </c>
      <c r="D56" s="1">
        <v>-164951.18072803039</v>
      </c>
      <c r="E56" s="2">
        <f t="shared" si="3"/>
        <v>0.98079845337170823</v>
      </c>
    </row>
    <row r="57" spans="1:5" x14ac:dyDescent="0.2">
      <c r="A57">
        <f t="shared" si="2"/>
        <v>56</v>
      </c>
      <c r="C57" t="s">
        <v>58</v>
      </c>
      <c r="D57" s="1">
        <v>-141892.45966742578</v>
      </c>
      <c r="E57" s="2">
        <f t="shared" si="3"/>
        <v>0.98280606858579145</v>
      </c>
    </row>
    <row r="58" spans="1:5" x14ac:dyDescent="0.2">
      <c r="A58">
        <f t="shared" si="2"/>
        <v>57</v>
      </c>
      <c r="C58" t="s">
        <v>59</v>
      </c>
      <c r="D58" s="1">
        <v>-137255.41418691922</v>
      </c>
      <c r="E58" s="2">
        <f t="shared" si="3"/>
        <v>0.98474807493611349</v>
      </c>
    </row>
    <row r="59" spans="1:5" x14ac:dyDescent="0.2">
      <c r="A59">
        <f t="shared" si="2"/>
        <v>58</v>
      </c>
      <c r="C59" t="s">
        <v>60</v>
      </c>
      <c r="D59" s="1">
        <v>-130023.11496013697</v>
      </c>
      <c r="E59" s="2">
        <f t="shared" si="3"/>
        <v>0.9865877525651312</v>
      </c>
    </row>
    <row r="60" spans="1:5" x14ac:dyDescent="0.2">
      <c r="A60">
        <f t="shared" si="2"/>
        <v>59</v>
      </c>
      <c r="C60" t="s">
        <v>61</v>
      </c>
      <c r="D60" s="1">
        <v>-123756.37665697875</v>
      </c>
      <c r="E60" s="2">
        <f t="shared" si="3"/>
        <v>0.98833876305010482</v>
      </c>
    </row>
    <row r="61" spans="1:5" x14ac:dyDescent="0.2">
      <c r="A61">
        <f t="shared" si="2"/>
        <v>60</v>
      </c>
      <c r="C61" t="s">
        <v>62</v>
      </c>
      <c r="D61" s="1">
        <v>-120913.39695667826</v>
      </c>
      <c r="E61" s="2">
        <f t="shared" si="3"/>
        <v>0.99004954864002037</v>
      </c>
    </row>
    <row r="62" spans="1:5" x14ac:dyDescent="0.2">
      <c r="A62">
        <f t="shared" si="2"/>
        <v>61</v>
      </c>
      <c r="C62" t="s">
        <v>63</v>
      </c>
      <c r="D62" s="1">
        <v>-113175.67941649981</v>
      </c>
      <c r="E62" s="2">
        <f t="shared" si="3"/>
        <v>0.99165085442042133</v>
      </c>
    </row>
    <row r="63" spans="1:5" x14ac:dyDescent="0.2">
      <c r="A63">
        <f t="shared" si="2"/>
        <v>62</v>
      </c>
      <c r="C63" t="s">
        <v>64</v>
      </c>
      <c r="D63" s="1">
        <v>-112603.22339020876</v>
      </c>
      <c r="E63" s="2">
        <f t="shared" si="3"/>
        <v>0.99324406060602732</v>
      </c>
    </row>
    <row r="64" spans="1:5" x14ac:dyDescent="0.2">
      <c r="A64">
        <f t="shared" si="2"/>
        <v>63</v>
      </c>
      <c r="C64" t="s">
        <v>65</v>
      </c>
      <c r="D64" s="1">
        <v>-111192.70817199574</v>
      </c>
      <c r="E64" s="2">
        <f t="shared" si="3"/>
        <v>0.99481730962253201</v>
      </c>
    </row>
    <row r="65" spans="1:5" x14ac:dyDescent="0.2">
      <c r="A65">
        <f t="shared" si="2"/>
        <v>64</v>
      </c>
      <c r="C65" t="s">
        <v>66</v>
      </c>
      <c r="D65" s="1">
        <v>-109170.18838037098</v>
      </c>
      <c r="E65" s="2">
        <f t="shared" si="3"/>
        <v>0.99636194230865549</v>
      </c>
    </row>
    <row r="66" spans="1:5" x14ac:dyDescent="0.2">
      <c r="A66">
        <f t="shared" si="2"/>
        <v>65</v>
      </c>
      <c r="C66" t="s">
        <v>67</v>
      </c>
      <c r="D66" s="1">
        <v>-108574.25370132628</v>
      </c>
      <c r="E66" s="2">
        <f t="shared" si="3"/>
        <v>0.99789814320403369</v>
      </c>
    </row>
    <row r="67" spans="1:5" x14ac:dyDescent="0.2">
      <c r="A67">
        <f t="shared" ref="A67:A98" si="4">A66+1</f>
        <v>66</v>
      </c>
      <c r="C67" t="s">
        <v>68</v>
      </c>
      <c r="D67" s="1">
        <v>-100564.34611767836</v>
      </c>
      <c r="E67" s="2">
        <f t="shared" ref="E67:E98" si="5">D67/$D$176+E66</f>
        <v>0.99932101311363553</v>
      </c>
    </row>
    <row r="68" spans="1:5" x14ac:dyDescent="0.2">
      <c r="A68">
        <f t="shared" si="4"/>
        <v>67</v>
      </c>
      <c r="C68" t="s">
        <v>69</v>
      </c>
      <c r="D68" s="1">
        <v>-98157.988551952323</v>
      </c>
      <c r="E68" s="2">
        <f t="shared" si="5"/>
        <v>1.0007098358295332</v>
      </c>
    </row>
    <row r="69" spans="1:5" x14ac:dyDescent="0.2">
      <c r="A69">
        <f t="shared" si="4"/>
        <v>68</v>
      </c>
      <c r="C69" t="s">
        <v>70</v>
      </c>
      <c r="D69" s="1">
        <v>-97242.60893468649</v>
      </c>
      <c r="E69" s="2">
        <f t="shared" si="5"/>
        <v>1.0020857069759774</v>
      </c>
    </row>
    <row r="70" spans="1:5" x14ac:dyDescent="0.2">
      <c r="A70">
        <f t="shared" si="4"/>
        <v>69</v>
      </c>
      <c r="C70" t="s">
        <v>71</v>
      </c>
      <c r="D70" s="1">
        <v>-89931.507470122902</v>
      </c>
      <c r="E70" s="2">
        <f t="shared" si="5"/>
        <v>1.0033581344400275</v>
      </c>
    </row>
    <row r="71" spans="1:5" x14ac:dyDescent="0.2">
      <c r="A71">
        <f t="shared" si="4"/>
        <v>70</v>
      </c>
      <c r="C71" t="s">
        <v>72</v>
      </c>
      <c r="D71" s="1">
        <v>-88677.188723043539</v>
      </c>
      <c r="E71" s="2">
        <f t="shared" si="5"/>
        <v>1.0046128147355118</v>
      </c>
    </row>
    <row r="72" spans="1:5" x14ac:dyDescent="0.2">
      <c r="A72">
        <f t="shared" si="4"/>
        <v>71</v>
      </c>
      <c r="C72" t="s">
        <v>73</v>
      </c>
      <c r="D72" s="1">
        <v>-88524.656910655292</v>
      </c>
      <c r="E72" s="2">
        <f t="shared" si="5"/>
        <v>1.0058653368811696</v>
      </c>
    </row>
    <row r="73" spans="1:5" x14ac:dyDescent="0.2">
      <c r="A73">
        <f t="shared" si="4"/>
        <v>72</v>
      </c>
      <c r="C73" t="s">
        <v>74</v>
      </c>
      <c r="D73" s="1">
        <v>-87935.884199106978</v>
      </c>
      <c r="E73" s="2">
        <f t="shared" si="5"/>
        <v>1.0071095285696905</v>
      </c>
    </row>
    <row r="74" spans="1:5" x14ac:dyDescent="0.2">
      <c r="A74">
        <f t="shared" si="4"/>
        <v>73</v>
      </c>
      <c r="C74" t="s">
        <v>75</v>
      </c>
      <c r="D74" s="1">
        <v>-87048.366132735566</v>
      </c>
      <c r="E74" s="2">
        <f t="shared" si="5"/>
        <v>1.0083411628976793</v>
      </c>
    </row>
    <row r="75" spans="1:5" x14ac:dyDescent="0.2">
      <c r="A75">
        <f t="shared" si="4"/>
        <v>74</v>
      </c>
      <c r="C75" t="s">
        <v>76</v>
      </c>
      <c r="D75" s="1">
        <v>-86318.249831409456</v>
      </c>
      <c r="E75" s="2">
        <f t="shared" si="5"/>
        <v>1.0095624669191949</v>
      </c>
    </row>
    <row r="76" spans="1:5" x14ac:dyDescent="0.2">
      <c r="A76">
        <f t="shared" si="4"/>
        <v>75</v>
      </c>
      <c r="C76" t="s">
        <v>77</v>
      </c>
      <c r="D76" s="1">
        <v>-85997.841137304727</v>
      </c>
      <c r="E76" s="2">
        <f t="shared" si="5"/>
        <v>1.0107792375259645</v>
      </c>
    </row>
    <row r="77" spans="1:5" x14ac:dyDescent="0.2">
      <c r="A77">
        <f t="shared" si="4"/>
        <v>76</v>
      </c>
      <c r="C77" t="s">
        <v>78</v>
      </c>
      <c r="D77" s="1">
        <v>-85820.514339237969</v>
      </c>
      <c r="E77" s="2">
        <f t="shared" si="5"/>
        <v>1.0119934991623596</v>
      </c>
    </row>
    <row r="78" spans="1:5" x14ac:dyDescent="0.2">
      <c r="A78">
        <f t="shared" si="4"/>
        <v>77</v>
      </c>
      <c r="C78" t="s">
        <v>79</v>
      </c>
      <c r="D78" s="1">
        <v>-83001.220966105466</v>
      </c>
      <c r="E78" s="2">
        <f t="shared" si="5"/>
        <v>1.0131678710380012</v>
      </c>
    </row>
    <row r="79" spans="1:5" x14ac:dyDescent="0.2">
      <c r="A79">
        <f t="shared" si="4"/>
        <v>78</v>
      </c>
      <c r="C79" t="s">
        <v>80</v>
      </c>
      <c r="D79" s="1">
        <v>-78651.453018647007</v>
      </c>
      <c r="E79" s="2">
        <f t="shared" si="5"/>
        <v>1.0142806986967794</v>
      </c>
    </row>
    <row r="80" spans="1:5" x14ac:dyDescent="0.2">
      <c r="A80">
        <f t="shared" si="4"/>
        <v>79</v>
      </c>
      <c r="C80" t="s">
        <v>81</v>
      </c>
      <c r="D80" s="1">
        <v>-77468.972980890452</v>
      </c>
      <c r="E80" s="2">
        <f t="shared" si="5"/>
        <v>1.0153767956221578</v>
      </c>
    </row>
    <row r="81" spans="1:5" x14ac:dyDescent="0.2">
      <c r="A81">
        <f t="shared" si="4"/>
        <v>80</v>
      </c>
      <c r="C81" t="s">
        <v>82</v>
      </c>
      <c r="D81" s="1">
        <v>-75931.21481417316</v>
      </c>
      <c r="E81" s="2">
        <f t="shared" si="5"/>
        <v>1.0164511350369656</v>
      </c>
    </row>
    <row r="82" spans="1:5" x14ac:dyDescent="0.2">
      <c r="A82">
        <f t="shared" si="4"/>
        <v>81</v>
      </c>
      <c r="C82" t="s">
        <v>83</v>
      </c>
      <c r="D82" s="1">
        <v>-70013.633627560965</v>
      </c>
      <c r="E82" s="2">
        <f t="shared" si="5"/>
        <v>1.0174417474796098</v>
      </c>
    </row>
    <row r="83" spans="1:5" x14ac:dyDescent="0.2">
      <c r="A83">
        <f t="shared" si="4"/>
        <v>82</v>
      </c>
      <c r="C83" t="s">
        <v>84</v>
      </c>
      <c r="D83" s="1">
        <v>-68850.057929025992</v>
      </c>
      <c r="E83" s="2">
        <f t="shared" si="5"/>
        <v>1.0184158966635255</v>
      </c>
    </row>
    <row r="84" spans="1:5" x14ac:dyDescent="0.2">
      <c r="A84">
        <f t="shared" si="4"/>
        <v>83</v>
      </c>
      <c r="C84" t="s">
        <v>85</v>
      </c>
      <c r="D84" s="1">
        <v>-65082.245427492628</v>
      </c>
      <c r="E84" s="2">
        <f t="shared" si="5"/>
        <v>1.0193367356312422</v>
      </c>
    </row>
    <row r="85" spans="1:5" x14ac:dyDescent="0.2">
      <c r="A85">
        <f t="shared" si="4"/>
        <v>84</v>
      </c>
      <c r="C85" t="s">
        <v>86</v>
      </c>
      <c r="D85" s="1">
        <v>-65008.834166875647</v>
      </c>
      <c r="E85" s="2">
        <f t="shared" si="5"/>
        <v>1.0202565359139995</v>
      </c>
    </row>
    <row r="86" spans="1:5" x14ac:dyDescent="0.2">
      <c r="A86">
        <f t="shared" si="4"/>
        <v>85</v>
      </c>
      <c r="C86" t="s">
        <v>87</v>
      </c>
      <c r="D86" s="1">
        <v>-62751.205656034785</v>
      </c>
      <c r="E86" s="2">
        <f t="shared" si="5"/>
        <v>1.0211443933482309</v>
      </c>
    </row>
    <row r="87" spans="1:5" x14ac:dyDescent="0.2">
      <c r="A87">
        <f t="shared" si="4"/>
        <v>86</v>
      </c>
      <c r="C87" t="s">
        <v>88</v>
      </c>
      <c r="D87" s="1">
        <v>-60021.745957510175</v>
      </c>
      <c r="E87" s="2">
        <f t="shared" si="5"/>
        <v>1.0219936320649503</v>
      </c>
    </row>
    <row r="88" spans="1:5" x14ac:dyDescent="0.2">
      <c r="A88">
        <f t="shared" si="4"/>
        <v>87</v>
      </c>
      <c r="C88" t="s">
        <v>89</v>
      </c>
      <c r="D88" s="1">
        <v>-59206.929109260149</v>
      </c>
      <c r="E88" s="2">
        <f t="shared" si="5"/>
        <v>1.0228313420598119</v>
      </c>
    </row>
    <row r="89" spans="1:5" x14ac:dyDescent="0.2">
      <c r="A89">
        <f t="shared" si="4"/>
        <v>88</v>
      </c>
      <c r="C89" t="s">
        <v>90</v>
      </c>
      <c r="D89" s="1">
        <v>-58472.505911587046</v>
      </c>
      <c r="E89" s="2">
        <f t="shared" si="5"/>
        <v>1.0236586608105673</v>
      </c>
    </row>
    <row r="90" spans="1:5" x14ac:dyDescent="0.2">
      <c r="A90">
        <f t="shared" si="4"/>
        <v>89</v>
      </c>
      <c r="C90" t="s">
        <v>91</v>
      </c>
      <c r="D90" s="1">
        <v>-50020.408293554785</v>
      </c>
      <c r="E90" s="2">
        <f t="shared" si="5"/>
        <v>1.0243663920948101</v>
      </c>
    </row>
    <row r="91" spans="1:5" x14ac:dyDescent="0.2">
      <c r="A91">
        <f t="shared" si="4"/>
        <v>90</v>
      </c>
      <c r="C91" t="s">
        <v>92</v>
      </c>
      <c r="D91" s="1">
        <v>-47482.635413701879</v>
      </c>
      <c r="E91" s="2">
        <f t="shared" si="5"/>
        <v>1.0250382168097014</v>
      </c>
    </row>
    <row r="92" spans="1:5" x14ac:dyDescent="0.2">
      <c r="A92">
        <f t="shared" si="4"/>
        <v>91</v>
      </c>
      <c r="C92" t="s">
        <v>93</v>
      </c>
      <c r="D92" s="1">
        <v>-46988.743285242941</v>
      </c>
      <c r="E92" s="2">
        <f t="shared" si="5"/>
        <v>1.0257030535186513</v>
      </c>
    </row>
    <row r="93" spans="1:5" x14ac:dyDescent="0.2">
      <c r="A93">
        <f t="shared" si="4"/>
        <v>92</v>
      </c>
      <c r="C93" t="s">
        <v>94</v>
      </c>
      <c r="D93" s="1">
        <v>-46107.735393168005</v>
      </c>
      <c r="E93" s="2">
        <f t="shared" si="5"/>
        <v>1.0263554249785527</v>
      </c>
    </row>
    <row r="94" spans="1:5" x14ac:dyDescent="0.2">
      <c r="A94">
        <f t="shared" si="4"/>
        <v>93</v>
      </c>
      <c r="C94" t="s">
        <v>95</v>
      </c>
      <c r="D94" s="1">
        <v>-45715.740513436394</v>
      </c>
      <c r="E94" s="2">
        <f t="shared" si="5"/>
        <v>1.0270022501614622</v>
      </c>
    </row>
    <row r="95" spans="1:5" x14ac:dyDescent="0.2">
      <c r="A95">
        <f t="shared" si="4"/>
        <v>94</v>
      </c>
      <c r="C95" t="s">
        <v>96</v>
      </c>
      <c r="D95" s="1">
        <v>-45028.078549076912</v>
      </c>
      <c r="E95" s="2">
        <f t="shared" si="5"/>
        <v>1.0276393457179698</v>
      </c>
    </row>
    <row r="96" spans="1:5" x14ac:dyDescent="0.2">
      <c r="A96">
        <f t="shared" si="4"/>
        <v>95</v>
      </c>
      <c r="C96" t="s">
        <v>97</v>
      </c>
      <c r="D96" s="1">
        <v>-40342.40773033764</v>
      </c>
      <c r="E96" s="2">
        <f t="shared" si="5"/>
        <v>1.0282101444180698</v>
      </c>
    </row>
    <row r="97" spans="1:5" x14ac:dyDescent="0.2">
      <c r="A97">
        <f t="shared" si="4"/>
        <v>96</v>
      </c>
      <c r="C97" t="s">
        <v>98</v>
      </c>
      <c r="D97" s="1">
        <v>-38815.820091167785</v>
      </c>
      <c r="E97" s="2">
        <f t="shared" si="5"/>
        <v>1.0287593436577249</v>
      </c>
    </row>
    <row r="98" spans="1:5" x14ac:dyDescent="0.2">
      <c r="A98">
        <f t="shared" si="4"/>
        <v>97</v>
      </c>
      <c r="C98" t="s">
        <v>99</v>
      </c>
      <c r="D98" s="1">
        <v>-37124.212027208792</v>
      </c>
      <c r="E98" s="2">
        <f t="shared" si="5"/>
        <v>1.0292846085875975</v>
      </c>
    </row>
    <row r="99" spans="1:5" x14ac:dyDescent="0.2">
      <c r="A99">
        <f t="shared" ref="A99:A130" si="6">A98+1</f>
        <v>98</v>
      </c>
      <c r="C99" t="s">
        <v>100</v>
      </c>
      <c r="D99" s="1">
        <v>-36408.901141457136</v>
      </c>
      <c r="E99" s="2">
        <f t="shared" ref="E99:E130" si="7">D99/$D$176+E98</f>
        <v>1.0297997526906102</v>
      </c>
    </row>
    <row r="100" spans="1:5" x14ac:dyDescent="0.2">
      <c r="A100">
        <f t="shared" si="6"/>
        <v>99</v>
      </c>
      <c r="C100" t="s">
        <v>101</v>
      </c>
      <c r="D100" s="1">
        <v>-36214.309918085077</v>
      </c>
      <c r="E100" s="2">
        <f t="shared" si="7"/>
        <v>1.0303121435514739</v>
      </c>
    </row>
    <row r="101" spans="1:5" x14ac:dyDescent="0.2">
      <c r="A101">
        <f t="shared" si="6"/>
        <v>100</v>
      </c>
      <c r="C101" t="s">
        <v>102</v>
      </c>
      <c r="D101" s="1">
        <v>-31794.644007433672</v>
      </c>
      <c r="E101" s="2">
        <f t="shared" si="7"/>
        <v>1.0307620012196355</v>
      </c>
    </row>
    <row r="102" spans="1:5" x14ac:dyDescent="0.2">
      <c r="A102">
        <f t="shared" si="6"/>
        <v>101</v>
      </c>
      <c r="C102" t="s">
        <v>103</v>
      </c>
      <c r="D102" s="1">
        <v>-30986.201198237784</v>
      </c>
      <c r="E102" s="2">
        <f t="shared" si="7"/>
        <v>1.0312004203512655</v>
      </c>
    </row>
    <row r="103" spans="1:5" x14ac:dyDescent="0.2">
      <c r="A103">
        <f t="shared" si="6"/>
        <v>102</v>
      </c>
      <c r="C103" t="s">
        <v>104</v>
      </c>
      <c r="D103" s="1">
        <v>-30688.918153885741</v>
      </c>
      <c r="E103" s="2">
        <f t="shared" si="7"/>
        <v>1.0316346332695128</v>
      </c>
    </row>
    <row r="104" spans="1:5" x14ac:dyDescent="0.2">
      <c r="A104">
        <f t="shared" si="6"/>
        <v>103</v>
      </c>
      <c r="C104" t="s">
        <v>105</v>
      </c>
      <c r="D104" s="1">
        <v>-29453.804195201301</v>
      </c>
      <c r="E104" s="2">
        <f t="shared" si="7"/>
        <v>1.0320513707448762</v>
      </c>
    </row>
    <row r="105" spans="1:5" x14ac:dyDescent="0.2">
      <c r="A105">
        <f t="shared" si="6"/>
        <v>104</v>
      </c>
      <c r="C105" t="s">
        <v>106</v>
      </c>
      <c r="D105" s="1">
        <v>-27735.704753534148</v>
      </c>
      <c r="E105" s="2">
        <f t="shared" si="7"/>
        <v>1.0324437990879116</v>
      </c>
    </row>
    <row r="106" spans="1:5" x14ac:dyDescent="0.2">
      <c r="A106">
        <f t="shared" si="6"/>
        <v>105</v>
      </c>
      <c r="C106" t="s">
        <v>107</v>
      </c>
      <c r="D106" s="1">
        <v>-27331.536599594849</v>
      </c>
      <c r="E106" s="2">
        <f t="shared" si="7"/>
        <v>1.0328305089161169</v>
      </c>
    </row>
    <row r="107" spans="1:5" x14ac:dyDescent="0.2">
      <c r="A107">
        <f t="shared" si="6"/>
        <v>106</v>
      </c>
      <c r="C107" t="s">
        <v>108</v>
      </c>
      <c r="D107" s="1">
        <v>-25927.047384880236</v>
      </c>
      <c r="E107" s="2">
        <f t="shared" si="7"/>
        <v>1.0331973468362443</v>
      </c>
    </row>
    <row r="108" spans="1:5" x14ac:dyDescent="0.2">
      <c r="A108">
        <f t="shared" si="6"/>
        <v>107</v>
      </c>
      <c r="C108" t="s">
        <v>109</v>
      </c>
      <c r="D108" s="1">
        <v>-24125.51937898633</v>
      </c>
      <c r="E108" s="2">
        <f t="shared" si="7"/>
        <v>1.0335386952057519</v>
      </c>
    </row>
    <row r="109" spans="1:5" x14ac:dyDescent="0.2">
      <c r="A109">
        <f t="shared" si="6"/>
        <v>108</v>
      </c>
      <c r="C109" t="s">
        <v>110</v>
      </c>
      <c r="D109" s="1">
        <v>-23374.351379173495</v>
      </c>
      <c r="E109" s="2">
        <f t="shared" si="7"/>
        <v>1.0338694154114496</v>
      </c>
    </row>
    <row r="110" spans="1:5" x14ac:dyDescent="0.2">
      <c r="A110">
        <f t="shared" si="6"/>
        <v>109</v>
      </c>
      <c r="C110" t="s">
        <v>111</v>
      </c>
      <c r="D110" s="1">
        <v>-23084.030388536412</v>
      </c>
      <c r="E110" s="2">
        <f t="shared" si="7"/>
        <v>1.0341960279088227</v>
      </c>
    </row>
    <row r="111" spans="1:5" x14ac:dyDescent="0.2">
      <c r="A111">
        <f t="shared" si="6"/>
        <v>110</v>
      </c>
      <c r="C111" t="s">
        <v>112</v>
      </c>
      <c r="D111" s="1">
        <v>-19701.679055248955</v>
      </c>
      <c r="E111" s="2">
        <f t="shared" si="7"/>
        <v>1.0344747840224811</v>
      </c>
    </row>
    <row r="112" spans="1:5" x14ac:dyDescent="0.2">
      <c r="A112">
        <f t="shared" si="6"/>
        <v>111</v>
      </c>
      <c r="C112" t="s">
        <v>113</v>
      </c>
      <c r="D112" s="1">
        <v>-19027.998184484713</v>
      </c>
      <c r="E112" s="2">
        <f t="shared" si="7"/>
        <v>1.0347440083261421</v>
      </c>
    </row>
    <row r="113" spans="1:5" x14ac:dyDescent="0.2">
      <c r="A113">
        <f t="shared" si="6"/>
        <v>112</v>
      </c>
      <c r="C113" t="s">
        <v>114</v>
      </c>
      <c r="D113" s="1">
        <v>-18761.571338023165</v>
      </c>
      <c r="E113" s="2">
        <f t="shared" si="7"/>
        <v>1.0350094629961548</v>
      </c>
    </row>
    <row r="114" spans="1:5" x14ac:dyDescent="0.2">
      <c r="A114">
        <f t="shared" si="6"/>
        <v>113</v>
      </c>
      <c r="C114" t="s">
        <v>115</v>
      </c>
      <c r="D114" s="1">
        <v>-17808.891746351328</v>
      </c>
      <c r="E114" s="2">
        <f t="shared" si="7"/>
        <v>1.0352614383449488</v>
      </c>
    </row>
    <row r="115" spans="1:5" x14ac:dyDescent="0.2">
      <c r="A115">
        <f t="shared" si="6"/>
        <v>114</v>
      </c>
      <c r="C115" t="s">
        <v>116</v>
      </c>
      <c r="D115" s="1">
        <v>-16647.449290964596</v>
      </c>
      <c r="E115" s="2">
        <f t="shared" si="7"/>
        <v>1.035496980617953</v>
      </c>
    </row>
    <row r="116" spans="1:5" x14ac:dyDescent="0.2">
      <c r="A116">
        <f t="shared" si="6"/>
        <v>115</v>
      </c>
      <c r="C116" t="s">
        <v>117</v>
      </c>
      <c r="D116" s="1">
        <v>-16244.476499488119</v>
      </c>
      <c r="E116" s="2">
        <f t="shared" si="7"/>
        <v>1.035726821289132</v>
      </c>
    </row>
    <row r="117" spans="1:5" x14ac:dyDescent="0.2">
      <c r="A117">
        <f t="shared" si="6"/>
        <v>116</v>
      </c>
      <c r="C117" t="s">
        <v>118</v>
      </c>
      <c r="D117" s="1">
        <v>-15589.575648017197</v>
      </c>
      <c r="E117" s="2">
        <f t="shared" si="7"/>
        <v>1.035947395866001</v>
      </c>
    </row>
    <row r="118" spans="1:5" x14ac:dyDescent="0.2">
      <c r="A118">
        <f t="shared" si="6"/>
        <v>117</v>
      </c>
      <c r="C118" t="s">
        <v>119</v>
      </c>
      <c r="D118" s="1">
        <v>-15154.503249025081</v>
      </c>
      <c r="E118" s="2">
        <f t="shared" si="7"/>
        <v>1.0361618146684937</v>
      </c>
    </row>
    <row r="119" spans="1:5" x14ac:dyDescent="0.2">
      <c r="A119">
        <f t="shared" si="6"/>
        <v>118</v>
      </c>
      <c r="C119" t="s">
        <v>120</v>
      </c>
      <c r="D119" s="1">
        <v>-14803.754812027062</v>
      </c>
      <c r="E119" s="2">
        <f t="shared" si="7"/>
        <v>1.0363712707837505</v>
      </c>
    </row>
    <row r="120" spans="1:5" x14ac:dyDescent="0.2">
      <c r="A120">
        <f t="shared" si="6"/>
        <v>119</v>
      </c>
      <c r="C120" t="s">
        <v>121</v>
      </c>
      <c r="D120" s="1">
        <v>-14672.708490107127</v>
      </c>
      <c r="E120" s="2">
        <f t="shared" si="7"/>
        <v>1.0365788727441758</v>
      </c>
    </row>
    <row r="121" spans="1:5" x14ac:dyDescent="0.2">
      <c r="A121">
        <f t="shared" si="6"/>
        <v>120</v>
      </c>
      <c r="C121" t="s">
        <v>122</v>
      </c>
      <c r="D121" s="1">
        <v>-14194.250243286398</v>
      </c>
      <c r="E121" s="2">
        <f t="shared" si="7"/>
        <v>1.0367797050703453</v>
      </c>
    </row>
    <row r="122" spans="1:5" x14ac:dyDescent="0.2">
      <c r="A122">
        <f t="shared" si="6"/>
        <v>121</v>
      </c>
      <c r="C122" t="s">
        <v>123</v>
      </c>
      <c r="D122" s="1">
        <v>-13751.884044736304</v>
      </c>
      <c r="E122" s="2">
        <f t="shared" si="7"/>
        <v>1.0369742784232581</v>
      </c>
    </row>
    <row r="123" spans="1:5" x14ac:dyDescent="0.2">
      <c r="A123">
        <f t="shared" si="6"/>
        <v>122</v>
      </c>
      <c r="C123" t="s">
        <v>124</v>
      </c>
      <c r="D123" s="1">
        <v>-13674.289029227095</v>
      </c>
      <c r="E123" s="2">
        <f t="shared" si="7"/>
        <v>1.0371677538958886</v>
      </c>
    </row>
    <row r="124" spans="1:5" x14ac:dyDescent="0.2">
      <c r="A124">
        <f t="shared" si="6"/>
        <v>123</v>
      </c>
      <c r="C124" t="s">
        <v>125</v>
      </c>
      <c r="D124" s="1">
        <v>-12680.552434432797</v>
      </c>
      <c r="E124" s="2">
        <f t="shared" si="7"/>
        <v>1.0373471691378966</v>
      </c>
    </row>
    <row r="125" spans="1:5" x14ac:dyDescent="0.2">
      <c r="A125">
        <f t="shared" si="6"/>
        <v>124</v>
      </c>
      <c r="C125" t="s">
        <v>126</v>
      </c>
      <c r="D125" s="1">
        <v>-11048.896305153088</v>
      </c>
      <c r="E125" s="2">
        <f t="shared" si="7"/>
        <v>1.0375034983210896</v>
      </c>
    </row>
    <row r="126" spans="1:5" x14ac:dyDescent="0.2">
      <c r="A126">
        <f t="shared" si="6"/>
        <v>125</v>
      </c>
      <c r="C126" t="s">
        <v>127</v>
      </c>
      <c r="D126" s="1">
        <v>-11005.641105856048</v>
      </c>
      <c r="E126" s="2">
        <f t="shared" si="7"/>
        <v>1.0376592154929298</v>
      </c>
    </row>
    <row r="127" spans="1:5" x14ac:dyDescent="0.2">
      <c r="A127">
        <f t="shared" si="6"/>
        <v>126</v>
      </c>
      <c r="C127" t="s">
        <v>128</v>
      </c>
      <c r="D127" s="1">
        <v>-10600.004114758833</v>
      </c>
      <c r="E127" s="2">
        <f t="shared" si="7"/>
        <v>1.0378091933675824</v>
      </c>
    </row>
    <row r="128" spans="1:5" x14ac:dyDescent="0.2">
      <c r="A128">
        <f t="shared" si="6"/>
        <v>127</v>
      </c>
      <c r="C128" t="s">
        <v>129</v>
      </c>
      <c r="D128" s="1">
        <v>-9891.0941343039849</v>
      </c>
      <c r="E128" s="2">
        <f t="shared" si="7"/>
        <v>1.0379491409808277</v>
      </c>
    </row>
    <row r="129" spans="1:5" x14ac:dyDescent="0.2">
      <c r="A129">
        <f t="shared" si="6"/>
        <v>128</v>
      </c>
      <c r="C129" t="s">
        <v>130</v>
      </c>
      <c r="D129" s="1">
        <v>-9709.2968619926269</v>
      </c>
      <c r="E129" s="2">
        <f t="shared" si="7"/>
        <v>1.0380865163716262</v>
      </c>
    </row>
    <row r="130" spans="1:5" x14ac:dyDescent="0.2">
      <c r="A130">
        <f t="shared" si="6"/>
        <v>129</v>
      </c>
      <c r="C130" t="s">
        <v>131</v>
      </c>
      <c r="D130" s="1">
        <v>-9293.1415524761178</v>
      </c>
      <c r="E130" s="2">
        <f t="shared" si="7"/>
        <v>1.0382180036431212</v>
      </c>
    </row>
    <row r="131" spans="1:5" x14ac:dyDescent="0.2">
      <c r="A131">
        <f t="shared" ref="A131:A162" si="8">A130+1</f>
        <v>130</v>
      </c>
      <c r="C131" t="s">
        <v>132</v>
      </c>
      <c r="D131" s="1">
        <v>-9006.648472037723</v>
      </c>
      <c r="E131" s="2">
        <f t="shared" ref="E131:E162" si="9">D131/$D$176+E130</f>
        <v>1.0383454373668211</v>
      </c>
    </row>
    <row r="132" spans="1:5" x14ac:dyDescent="0.2">
      <c r="A132">
        <f t="shared" si="8"/>
        <v>131</v>
      </c>
      <c r="C132" t="s">
        <v>133</v>
      </c>
      <c r="D132" s="1">
        <v>-8520.5631338765725</v>
      </c>
      <c r="E132" s="2">
        <f t="shared" si="9"/>
        <v>1.0384659935416891</v>
      </c>
    </row>
    <row r="133" spans="1:5" x14ac:dyDescent="0.2">
      <c r="A133">
        <f t="shared" si="8"/>
        <v>132</v>
      </c>
      <c r="C133" t="s">
        <v>134</v>
      </c>
      <c r="D133" s="1">
        <v>-6817.8706846371842</v>
      </c>
      <c r="E133" s="2">
        <f t="shared" si="9"/>
        <v>1.0385624585754634</v>
      </c>
    </row>
    <row r="134" spans="1:5" x14ac:dyDescent="0.2">
      <c r="A134">
        <f t="shared" si="8"/>
        <v>133</v>
      </c>
      <c r="C134" t="s">
        <v>135</v>
      </c>
      <c r="D134" s="1">
        <v>-5201.2933500271047</v>
      </c>
      <c r="E134" s="2">
        <f t="shared" si="9"/>
        <v>1.0386360508980357</v>
      </c>
    </row>
    <row r="135" spans="1:5" x14ac:dyDescent="0.2">
      <c r="A135">
        <f t="shared" si="8"/>
        <v>134</v>
      </c>
      <c r="C135" t="s">
        <v>136</v>
      </c>
      <c r="D135" s="1">
        <v>-4965.501224825407</v>
      </c>
      <c r="E135" s="2">
        <f t="shared" si="9"/>
        <v>1.0387063070330542</v>
      </c>
    </row>
    <row r="136" spans="1:5" x14ac:dyDescent="0.2">
      <c r="A136">
        <f t="shared" si="8"/>
        <v>135</v>
      </c>
      <c r="C136" t="s">
        <v>137</v>
      </c>
      <c r="D136" s="1">
        <v>-4518.345924999101</v>
      </c>
      <c r="E136" s="2">
        <f t="shared" si="9"/>
        <v>1.0387702364345375</v>
      </c>
    </row>
    <row r="137" spans="1:5" x14ac:dyDescent="0.2">
      <c r="A137">
        <f t="shared" si="8"/>
        <v>136</v>
      </c>
      <c r="C137" t="s">
        <v>138</v>
      </c>
      <c r="D137" s="1">
        <v>-3136.1621531369419</v>
      </c>
      <c r="E137" s="2">
        <f t="shared" si="9"/>
        <v>1.0388146095243214</v>
      </c>
    </row>
    <row r="138" spans="1:5" x14ac:dyDescent="0.2">
      <c r="A138">
        <f t="shared" si="8"/>
        <v>137</v>
      </c>
      <c r="C138" t="s">
        <v>139</v>
      </c>
      <c r="D138" s="1">
        <v>-3035.5868062911663</v>
      </c>
      <c r="E138" s="2">
        <f t="shared" si="9"/>
        <v>1.0388575595885479</v>
      </c>
    </row>
    <row r="139" spans="1:5" x14ac:dyDescent="0.2">
      <c r="A139">
        <f t="shared" si="8"/>
        <v>138</v>
      </c>
      <c r="C139" t="s">
        <v>140</v>
      </c>
      <c r="D139" s="1">
        <v>-2606.9904492884643</v>
      </c>
      <c r="E139" s="2">
        <f t="shared" si="9"/>
        <v>1.0388944455069484</v>
      </c>
    </row>
    <row r="140" spans="1:5" x14ac:dyDescent="0.2">
      <c r="A140">
        <f t="shared" si="8"/>
        <v>139</v>
      </c>
      <c r="C140" t="s">
        <v>141</v>
      </c>
      <c r="D140" s="1">
        <v>-2098.9728732133644</v>
      </c>
      <c r="E140" s="2">
        <f t="shared" si="9"/>
        <v>1.0389241435605594</v>
      </c>
    </row>
    <row r="141" spans="1:5" x14ac:dyDescent="0.2">
      <c r="A141">
        <f t="shared" si="8"/>
        <v>140</v>
      </c>
      <c r="C141" t="s">
        <v>142</v>
      </c>
      <c r="D141" s="1">
        <v>-1845.243959853527</v>
      </c>
      <c r="E141" s="2">
        <f t="shared" si="9"/>
        <v>1.0389502516416806</v>
      </c>
    </row>
    <row r="142" spans="1:5" x14ac:dyDescent="0.2">
      <c r="A142">
        <f t="shared" si="8"/>
        <v>141</v>
      </c>
      <c r="C142" t="s">
        <v>143</v>
      </c>
      <c r="D142" s="1">
        <v>-1693.9782022603924</v>
      </c>
      <c r="E142" s="2">
        <f t="shared" si="9"/>
        <v>1.0389742194861957</v>
      </c>
    </row>
    <row r="143" spans="1:5" x14ac:dyDescent="0.2">
      <c r="A143">
        <f t="shared" si="8"/>
        <v>142</v>
      </c>
      <c r="C143" t="s">
        <v>144</v>
      </c>
      <c r="D143" s="1">
        <v>-1590.055686982203</v>
      </c>
      <c r="E143" s="2">
        <f t="shared" si="9"/>
        <v>1.0389967169465675</v>
      </c>
    </row>
    <row r="144" spans="1:5" x14ac:dyDescent="0.2">
      <c r="A144">
        <f t="shared" si="8"/>
        <v>143</v>
      </c>
      <c r="C144" t="s">
        <v>145</v>
      </c>
      <c r="D144" s="1">
        <v>-1468.9155927417396</v>
      </c>
      <c r="E144" s="2">
        <f t="shared" si="9"/>
        <v>1.0390175004138433</v>
      </c>
    </row>
    <row r="145" spans="1:5" x14ac:dyDescent="0.2">
      <c r="A145">
        <f t="shared" si="8"/>
        <v>144</v>
      </c>
      <c r="C145" t="s">
        <v>146</v>
      </c>
      <c r="D145" s="1">
        <v>-1390.3518134636108</v>
      </c>
      <c r="E145" s="2">
        <f t="shared" si="9"/>
        <v>1.0390371722939431</v>
      </c>
    </row>
    <row r="146" spans="1:5" x14ac:dyDescent="0.2">
      <c r="A146">
        <f t="shared" si="8"/>
        <v>145</v>
      </c>
      <c r="C146" t="s">
        <v>147</v>
      </c>
      <c r="D146" s="1">
        <v>-1341.2608289412567</v>
      </c>
      <c r="E146" s="2">
        <f t="shared" si="9"/>
        <v>1.0390561495930366</v>
      </c>
    </row>
    <row r="147" spans="1:5" x14ac:dyDescent="0.2">
      <c r="A147">
        <f t="shared" si="8"/>
        <v>146</v>
      </c>
      <c r="C147" t="s">
        <v>148</v>
      </c>
      <c r="D147" s="1">
        <v>-1317.6096355509587</v>
      </c>
      <c r="E147" s="2">
        <f t="shared" si="9"/>
        <v>1.0390747922549282</v>
      </c>
    </row>
    <row r="148" spans="1:5" x14ac:dyDescent="0.2">
      <c r="A148">
        <f t="shared" si="8"/>
        <v>147</v>
      </c>
      <c r="C148" t="s">
        <v>149</v>
      </c>
      <c r="D148" s="1">
        <v>-964.18534635795208</v>
      </c>
      <c r="E148" s="2">
        <f t="shared" si="9"/>
        <v>1.0390884343693512</v>
      </c>
    </row>
    <row r="149" spans="1:5" x14ac:dyDescent="0.2">
      <c r="A149">
        <f t="shared" si="8"/>
        <v>148</v>
      </c>
      <c r="C149" t="s">
        <v>150</v>
      </c>
      <c r="D149" s="1">
        <v>-802.73753011027577</v>
      </c>
      <c r="E149" s="2">
        <f t="shared" si="9"/>
        <v>1.0390997921827412</v>
      </c>
    </row>
    <row r="150" spans="1:5" x14ac:dyDescent="0.2">
      <c r="A150">
        <f t="shared" si="8"/>
        <v>149</v>
      </c>
      <c r="C150" t="s">
        <v>151</v>
      </c>
      <c r="D150" s="1">
        <v>-768.51879695563753</v>
      </c>
      <c r="E150" s="2">
        <f t="shared" si="9"/>
        <v>1.0391106658403879</v>
      </c>
    </row>
    <row r="151" spans="1:5" x14ac:dyDescent="0.2">
      <c r="A151">
        <f t="shared" si="8"/>
        <v>150</v>
      </c>
      <c r="C151" t="s">
        <v>152</v>
      </c>
      <c r="D151" s="1">
        <v>-597.69466143358932</v>
      </c>
      <c r="E151" s="2">
        <f t="shared" si="9"/>
        <v>1.0391191225328611</v>
      </c>
    </row>
    <row r="152" spans="1:5" x14ac:dyDescent="0.2">
      <c r="A152">
        <f t="shared" si="8"/>
        <v>151</v>
      </c>
      <c r="C152" t="s">
        <v>153</v>
      </c>
      <c r="D152" s="1">
        <v>-595.46725889462721</v>
      </c>
      <c r="E152" s="2">
        <f t="shared" si="9"/>
        <v>1.0391275477101485</v>
      </c>
    </row>
    <row r="153" spans="1:5" x14ac:dyDescent="0.2">
      <c r="A153">
        <f t="shared" si="8"/>
        <v>152</v>
      </c>
      <c r="C153" t="s">
        <v>154</v>
      </c>
      <c r="D153" s="1">
        <v>-428.56411387483689</v>
      </c>
      <c r="E153" s="2">
        <f t="shared" si="9"/>
        <v>1.0391336113997711</v>
      </c>
    </row>
    <row r="154" spans="1:5" x14ac:dyDescent="0.2">
      <c r="A154">
        <f t="shared" si="8"/>
        <v>153</v>
      </c>
      <c r="C154" t="s">
        <v>155</v>
      </c>
      <c r="D154" s="1">
        <v>-352.98875804586118</v>
      </c>
      <c r="E154" s="2">
        <f t="shared" si="9"/>
        <v>1.0391386057849745</v>
      </c>
    </row>
    <row r="155" spans="1:5" x14ac:dyDescent="0.2">
      <c r="A155">
        <f t="shared" si="8"/>
        <v>154</v>
      </c>
      <c r="C155" t="s">
        <v>156</v>
      </c>
      <c r="D155" s="1">
        <v>-343.31573915463389</v>
      </c>
      <c r="E155" s="2">
        <f t="shared" si="9"/>
        <v>1.0391434633080787</v>
      </c>
    </row>
    <row r="156" spans="1:5" x14ac:dyDescent="0.2">
      <c r="A156">
        <f t="shared" si="8"/>
        <v>155</v>
      </c>
      <c r="C156" t="s">
        <v>157</v>
      </c>
      <c r="D156" s="1">
        <v>-242.07293597282654</v>
      </c>
      <c r="E156" s="2">
        <f t="shared" si="9"/>
        <v>1.0391468883618857</v>
      </c>
    </row>
    <row r="157" spans="1:5" x14ac:dyDescent="0.2">
      <c r="A157">
        <f t="shared" si="8"/>
        <v>156</v>
      </c>
      <c r="C157" t="s">
        <v>158</v>
      </c>
      <c r="D157" s="1">
        <v>-4.0703984247110983</v>
      </c>
      <c r="E157" s="2">
        <f t="shared" si="9"/>
        <v>1.0391469459533449</v>
      </c>
    </row>
    <row r="158" spans="1:5" x14ac:dyDescent="0.2">
      <c r="A158">
        <f t="shared" si="8"/>
        <v>157</v>
      </c>
      <c r="C158" t="s">
        <v>159</v>
      </c>
      <c r="D158" s="1">
        <v>-8.5298037182670136E-2</v>
      </c>
      <c r="E158" s="2">
        <f t="shared" si="9"/>
        <v>1.0391469471602142</v>
      </c>
    </row>
    <row r="159" spans="1:5" x14ac:dyDescent="0.2">
      <c r="A159">
        <f t="shared" si="8"/>
        <v>158</v>
      </c>
      <c r="C159" t="s">
        <v>160</v>
      </c>
      <c r="D159" s="1">
        <v>7426.0170798557219</v>
      </c>
      <c r="E159" s="2">
        <f t="shared" si="9"/>
        <v>1.0390418775539467</v>
      </c>
    </row>
    <row r="160" spans="1:5" x14ac:dyDescent="0.2">
      <c r="A160">
        <f t="shared" si="8"/>
        <v>159</v>
      </c>
      <c r="C160" t="s">
        <v>161</v>
      </c>
      <c r="D160" s="1">
        <v>17144.231602215492</v>
      </c>
      <c r="E160" s="2">
        <f t="shared" si="9"/>
        <v>1.0387993063822365</v>
      </c>
    </row>
    <row r="161" spans="1:5" x14ac:dyDescent="0.2">
      <c r="A161">
        <f t="shared" si="8"/>
        <v>160</v>
      </c>
      <c r="C161" t="s">
        <v>162</v>
      </c>
      <c r="D161" s="1">
        <v>17712.103039505848</v>
      </c>
      <c r="E161" s="2">
        <f t="shared" si="9"/>
        <v>1.0385487004823961</v>
      </c>
    </row>
    <row r="162" spans="1:5" x14ac:dyDescent="0.2">
      <c r="A162">
        <f t="shared" si="8"/>
        <v>161</v>
      </c>
      <c r="C162" t="s">
        <v>163</v>
      </c>
      <c r="D162" s="1">
        <v>20007.248652503389</v>
      </c>
      <c r="E162" s="2">
        <f t="shared" si="9"/>
        <v>1.0382656209101564</v>
      </c>
    </row>
    <row r="163" spans="1:5" x14ac:dyDescent="0.2">
      <c r="A163">
        <f t="shared" ref="A163:A174" si="10">A162+1</f>
        <v>162</v>
      </c>
      <c r="C163" t="s">
        <v>164</v>
      </c>
      <c r="D163" s="1">
        <v>20007.248652503389</v>
      </c>
      <c r="E163" s="2">
        <f t="shared" ref="E163:E174" si="11">D163/$D$176+E162</f>
        <v>1.0379825413379167</v>
      </c>
    </row>
    <row r="164" spans="1:5" x14ac:dyDescent="0.2">
      <c r="A164">
        <f t="shared" si="10"/>
        <v>163</v>
      </c>
      <c r="C164" t="s">
        <v>165</v>
      </c>
      <c r="D164" s="1">
        <v>29150.470715542127</v>
      </c>
      <c r="E164" s="2">
        <f t="shared" si="11"/>
        <v>1.037570095682641</v>
      </c>
    </row>
    <row r="165" spans="1:5" x14ac:dyDescent="0.2">
      <c r="A165">
        <f t="shared" si="10"/>
        <v>164</v>
      </c>
      <c r="C165" t="s">
        <v>166</v>
      </c>
      <c r="D165" s="1">
        <v>31327.66560058064</v>
      </c>
      <c r="E165" s="2">
        <f t="shared" si="11"/>
        <v>1.0371268452221949</v>
      </c>
    </row>
    <row r="166" spans="1:5" x14ac:dyDescent="0.2">
      <c r="A166">
        <f t="shared" si="10"/>
        <v>165</v>
      </c>
      <c r="C166" t="s">
        <v>167</v>
      </c>
      <c r="D166" s="1">
        <v>48407.993016323519</v>
      </c>
      <c r="E166" s="2">
        <f t="shared" si="11"/>
        <v>1.0364419277608259</v>
      </c>
    </row>
    <row r="167" spans="1:5" x14ac:dyDescent="0.2">
      <c r="A167">
        <f t="shared" si="10"/>
        <v>166</v>
      </c>
      <c r="C167" t="s">
        <v>168</v>
      </c>
      <c r="D167" s="1">
        <v>56470.401518745392</v>
      </c>
      <c r="E167" s="2">
        <f t="shared" si="11"/>
        <v>1.0356429364860242</v>
      </c>
    </row>
    <row r="168" spans="1:5" x14ac:dyDescent="0.2">
      <c r="A168">
        <f t="shared" si="10"/>
        <v>167</v>
      </c>
      <c r="C168" t="s">
        <v>169</v>
      </c>
      <c r="D168" s="1">
        <v>80480.712176775007</v>
      </c>
      <c r="E168" s="2">
        <f t="shared" si="11"/>
        <v>1.0345042269126963</v>
      </c>
    </row>
    <row r="169" spans="1:5" x14ac:dyDescent="0.2">
      <c r="A169">
        <f t="shared" si="10"/>
        <v>168</v>
      </c>
      <c r="C169" t="s">
        <v>170</v>
      </c>
      <c r="D169" s="1">
        <v>141151.30418025324</v>
      </c>
      <c r="E169" s="2">
        <f t="shared" si="11"/>
        <v>1.0325070981968776</v>
      </c>
    </row>
    <row r="170" spans="1:5" x14ac:dyDescent="0.2">
      <c r="A170">
        <f t="shared" si="10"/>
        <v>169</v>
      </c>
      <c r="C170" t="s">
        <v>171</v>
      </c>
      <c r="D170" s="1">
        <v>188142.72866523056</v>
      </c>
      <c r="E170" s="2">
        <f t="shared" si="11"/>
        <v>1.0298450948362146</v>
      </c>
    </row>
    <row r="171" spans="1:5" x14ac:dyDescent="0.2">
      <c r="A171">
        <f t="shared" si="10"/>
        <v>170</v>
      </c>
      <c r="C171" t="s">
        <v>172</v>
      </c>
      <c r="D171" s="1">
        <v>210429.8391231547</v>
      </c>
      <c r="E171" s="2">
        <f t="shared" si="11"/>
        <v>1.0268677544792222</v>
      </c>
    </row>
    <row r="172" spans="1:5" x14ac:dyDescent="0.2">
      <c r="A172">
        <f t="shared" si="10"/>
        <v>171</v>
      </c>
      <c r="C172" t="s">
        <v>173</v>
      </c>
      <c r="D172" s="1">
        <v>373858.92879915854</v>
      </c>
      <c r="E172" s="2">
        <f t="shared" si="11"/>
        <v>1.0215780803475787</v>
      </c>
    </row>
    <row r="173" spans="1:5" x14ac:dyDescent="0.2">
      <c r="A173">
        <f t="shared" si="10"/>
        <v>172</v>
      </c>
      <c r="C173" t="s">
        <v>174</v>
      </c>
      <c r="D173" s="1">
        <v>746464.14535854966</v>
      </c>
      <c r="E173" s="2">
        <f t="shared" si="11"/>
        <v>1.0110164706714764</v>
      </c>
    </row>
    <row r="174" spans="1:5" x14ac:dyDescent="0.2">
      <c r="A174">
        <f t="shared" si="10"/>
        <v>173</v>
      </c>
      <c r="C174" t="s">
        <v>175</v>
      </c>
      <c r="D174" s="1">
        <v>778612.41011961491</v>
      </c>
      <c r="E174" s="2">
        <f t="shared" si="11"/>
        <v>0.999999999999998</v>
      </c>
    </row>
    <row r="176" spans="1:5" x14ac:dyDescent="0.2">
      <c r="D176" s="1">
        <f>SUM(D2:D174)</f>
        <v>-70677119.137206331</v>
      </c>
    </row>
  </sheetData>
  <pageMargins left="0.75" right="0.75" top="1" bottom="1" header="0.5" footer="0.5"/>
  <pageSetup orientation="portrait" verticalDpi="0" r:id="rId1"/>
  <headerFooter alignWithMargins="0">
    <oddFooter>Page &amp;P&amp;R&amp;A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Y1:BD70"/>
  <sheetViews>
    <sheetView workbookViewId="0">
      <selection activeCell="E25" sqref="E25"/>
    </sheetView>
  </sheetViews>
  <sheetFormatPr defaultRowHeight="12.75" x14ac:dyDescent="0.2"/>
  <cols>
    <col min="1" max="1" width="29.28515625" bestFit="1" customWidth="1"/>
    <col min="20" max="21" width="7.28515625" bestFit="1" customWidth="1"/>
    <col min="22" max="33" width="8.7109375" customWidth="1"/>
  </cols>
  <sheetData>
    <row r="1" spans="25:56" x14ac:dyDescent="0.2">
      <c r="Y1" t="s">
        <v>542</v>
      </c>
    </row>
    <row r="2" spans="25:56" x14ac:dyDescent="0.2">
      <c r="AA2" s="35" t="s">
        <v>333</v>
      </c>
      <c r="AM2" t="s">
        <v>546</v>
      </c>
      <c r="AW2" t="s">
        <v>546</v>
      </c>
    </row>
    <row r="3" spans="25:56" x14ac:dyDescent="0.2">
      <c r="Y3" s="8" t="s">
        <v>442</v>
      </c>
      <c r="Z3" s="8" t="s">
        <v>332</v>
      </c>
      <c r="AA3" s="8">
        <v>2000</v>
      </c>
      <c r="AB3" s="8">
        <v>2001</v>
      </c>
      <c r="AC3" s="8">
        <v>2002</v>
      </c>
      <c r="AD3" s="8">
        <v>2003</v>
      </c>
      <c r="AE3" s="8">
        <v>2004</v>
      </c>
      <c r="AF3" s="8">
        <v>2005</v>
      </c>
      <c r="AG3" s="8">
        <v>2006</v>
      </c>
      <c r="AH3" s="8">
        <v>2007</v>
      </c>
      <c r="AI3" s="8">
        <v>2008</v>
      </c>
      <c r="AJ3" s="8">
        <v>2009</v>
      </c>
      <c r="AK3" s="8">
        <v>2010</v>
      </c>
      <c r="AN3" s="63">
        <v>4.4999999999999998E-2</v>
      </c>
      <c r="AO3" s="63">
        <v>0.05</v>
      </c>
      <c r="AP3" s="63">
        <v>5.5E-2</v>
      </c>
      <c r="AQ3" s="63">
        <v>0.06</v>
      </c>
      <c r="AR3" s="63">
        <v>6.5000000000000002E-2</v>
      </c>
      <c r="AS3" s="63">
        <v>7.0000000000000007E-2</v>
      </c>
      <c r="AT3" s="75">
        <v>7.4999999999999997E-2</v>
      </c>
      <c r="AX3" s="63">
        <v>4.4999999999999998E-2</v>
      </c>
      <c r="AY3" s="63">
        <v>0.05</v>
      </c>
      <c r="AZ3" s="63">
        <v>5.5E-2</v>
      </c>
      <c r="BA3" s="63">
        <v>0.06</v>
      </c>
      <c r="BB3" s="63">
        <v>6.5000000000000002E-2</v>
      </c>
      <c r="BC3" s="63">
        <v>7.0000000000000007E-2</v>
      </c>
      <c r="BD3" s="75">
        <v>7.4999999999999997E-2</v>
      </c>
    </row>
    <row r="4" spans="25:56" x14ac:dyDescent="0.2">
      <c r="Y4" t="s">
        <v>318</v>
      </c>
      <c r="Z4" s="56" t="s">
        <v>333</v>
      </c>
      <c r="AA4" s="17">
        <f>Assumptions!$C$5</f>
        <v>6.0900000000000003E-2</v>
      </c>
      <c r="AB4" s="17">
        <f>VLOOKUP($Z4,Assumptions!$B$5:$M$7,(Assumptions!E$4-Assumptions!$C$4+1),FALSE)</f>
        <v>6.0699999999999997E-2</v>
      </c>
      <c r="AC4" s="17">
        <f>VLOOKUP($Z$4,Assumptions!$B$5:$M$7,(Assumptions!F4-Assumptions!$C$4+1),FALSE)</f>
        <v>6.0100000000000001E-2</v>
      </c>
      <c r="AD4" s="17">
        <f>VLOOKUP($Z$4,Assumptions!$B$5:$M$7,(Assumptions!G4-Assumptions!$C$4+1),FALSE)</f>
        <v>5.9900000000000002E-2</v>
      </c>
      <c r="AE4" s="17">
        <f>VLOOKUP($Z$4,Assumptions!$B$5:$M$7,(Assumptions!H4-Assumptions!$C$4+1),FALSE)</f>
        <v>5.9900000000000002E-2</v>
      </c>
      <c r="AF4" s="17">
        <f>VLOOKUP($Z$4,Assumptions!$B$5:$M$7,(Assumptions!I4-Assumptions!$C$4+1),FALSE)</f>
        <v>5.96E-2</v>
      </c>
      <c r="AG4" s="17">
        <f>VLOOKUP($Z$4,Assumptions!$B$5:$M$7,(Assumptions!J4-Assumptions!$C$4+1),FALSE)</f>
        <v>5.9400000000000001E-2</v>
      </c>
      <c r="AH4" s="17">
        <f>VLOOKUP($Z$4,Assumptions!$B$5:$M$7,(Assumptions!K4-Assumptions!$C$4+1),FALSE)</f>
        <v>5.9200000000000003E-2</v>
      </c>
      <c r="AI4" s="17">
        <f>VLOOKUP($Z$4,Assumptions!$B$5:$M$7,(Assumptions!L4-Assumptions!$C$4+1),FALSE)</f>
        <v>5.91E-2</v>
      </c>
      <c r="AJ4" s="17">
        <f>VLOOKUP($Z$4,Assumptions!$B$5:$M$7,(Assumptions!M4-Assumptions!$C$4+1),FALSE)</f>
        <v>5.8999999999999997E-2</v>
      </c>
      <c r="AK4" s="17">
        <f>VLOOKUP($Z$4,Assumptions!$B$5:$M$7,(Assumptions!N4-Assumptions!$C$4+1),FALSE)</f>
        <v>5.8900000000000001E-2</v>
      </c>
      <c r="AM4" s="60">
        <v>2000</v>
      </c>
      <c r="AN4" s="16">
        <v>0</v>
      </c>
      <c r="AO4" s="16">
        <v>0</v>
      </c>
      <c r="AP4" s="16">
        <v>0</v>
      </c>
      <c r="AQ4" s="1">
        <v>0</v>
      </c>
      <c r="AR4" s="1">
        <v>0</v>
      </c>
      <c r="AS4" s="1">
        <v>0</v>
      </c>
      <c r="AT4" s="1">
        <v>0</v>
      </c>
      <c r="AW4" s="60">
        <v>2000</v>
      </c>
      <c r="AX4" s="1">
        <f t="shared" ref="AX4:AX14" si="0">AN4-$AQ4</f>
        <v>0</v>
      </c>
      <c r="AY4" s="1">
        <f t="shared" ref="AY4:AY14" si="1">AO4-$AQ4</f>
        <v>0</v>
      </c>
      <c r="AZ4" s="1">
        <f t="shared" ref="AZ4:AZ14" si="2">AP4-$AQ4</f>
        <v>0</v>
      </c>
      <c r="BA4" s="1">
        <f t="shared" ref="BA4:BA14" si="3">AQ4-$AQ4</f>
        <v>0</v>
      </c>
      <c r="BB4" s="1">
        <f t="shared" ref="BB4:BB14" si="4">AR4-$AQ4</f>
        <v>0</v>
      </c>
      <c r="BC4" s="1">
        <f t="shared" ref="BC4:BC14" si="5">AS4-$AQ4</f>
        <v>0</v>
      </c>
      <c r="BD4" s="1">
        <f t="shared" ref="BD4:BD14" si="6">AT4-$AQ4</f>
        <v>0</v>
      </c>
    </row>
    <row r="5" spans="25:56" x14ac:dyDescent="0.2">
      <c r="Y5" t="s">
        <v>316</v>
      </c>
      <c r="Z5" t="str">
        <f>Z4</f>
        <v>Base</v>
      </c>
      <c r="AA5" s="17">
        <f>Assumptions!$C$13</f>
        <v>3.5700000000000003E-2</v>
      </c>
      <c r="AB5" s="17">
        <f>VLOOKUP($Z5,Assumptions!$B$13:$M$15,Assumptions!E$4-Assumptions!$C$4+1,FALSE)</f>
        <v>3.1E-2</v>
      </c>
      <c r="AC5" s="17">
        <f>VLOOKUP($Z$5,Assumptions!$B$13:$M$15,Assumptions!F4-Assumptions!$C$4+1,FALSE)</f>
        <v>0.03</v>
      </c>
      <c r="AD5" s="17">
        <f>VLOOKUP($Z$5,Assumptions!$B$13:$M$15,Assumptions!G4-Assumptions!$C$4+1,FALSE)</f>
        <v>2.9000000000000001E-2</v>
      </c>
      <c r="AE5" s="17">
        <f>VLOOKUP($Z$5,Assumptions!$B$13:$M$15,Assumptions!H4-Assumptions!$C$4+1,FALSE)</f>
        <v>2.8500000000000001E-2</v>
      </c>
      <c r="AF5" s="17">
        <f>VLOOKUP($Z$5,Assumptions!$B$13:$M$15,Assumptions!I4-Assumptions!$C$4+1,FALSE)</f>
        <v>2.8000000000000001E-2</v>
      </c>
      <c r="AG5" s="17">
        <f>VLOOKUP($Z$5,Assumptions!$B$13:$M$15,Assumptions!J4-Assumptions!$C$4+1,FALSE)</f>
        <v>2.7199999999999998E-2</v>
      </c>
      <c r="AH5" s="17">
        <f>VLOOKUP($Z$5,Assumptions!$B$13:$M$15,Assumptions!K4-Assumptions!$C$4+1,FALSE)</f>
        <v>2.6700000000000002E-2</v>
      </c>
      <c r="AI5" s="17">
        <f>VLOOKUP($Z$5,Assumptions!$B$13:$M$15,Assumptions!L4-Assumptions!$C$4+1,FALSE)</f>
        <v>2.6200000000000001E-2</v>
      </c>
      <c r="AJ5" s="17">
        <f>VLOOKUP($Z$5,Assumptions!$B$13:$M$15,Assumptions!M4-Assumptions!$C$4+1,FALSE)</f>
        <v>2.58E-2</v>
      </c>
      <c r="AK5" s="17">
        <f>VLOOKUP($Z$5,Assumptions!$B$13:$M$15,Assumptions!N4-Assumptions!$C$4+1,FALSE)</f>
        <v>2.5399999999999999E-2</v>
      </c>
      <c r="AM5" s="60">
        <v>2001</v>
      </c>
      <c r="AN5" s="16">
        <v>-30.706009818348392</v>
      </c>
      <c r="AO5" s="16">
        <v>-17.714300924500542</v>
      </c>
      <c r="AP5" s="16">
        <v>-4.7225920306527609</v>
      </c>
      <c r="AQ5" s="1">
        <v>8.2691168631950038</v>
      </c>
      <c r="AR5" s="1">
        <v>21.260825757042753</v>
      </c>
      <c r="AS5" s="1">
        <v>34.252534650890603</v>
      </c>
      <c r="AT5" s="1">
        <v>47.244243544738382</v>
      </c>
      <c r="AW5" s="60">
        <v>2001</v>
      </c>
      <c r="AX5" s="1">
        <f t="shared" si="0"/>
        <v>-38.975126681543394</v>
      </c>
      <c r="AY5" s="1">
        <f t="shared" si="1"/>
        <v>-25.983417787695544</v>
      </c>
      <c r="AZ5" s="1">
        <f t="shared" si="2"/>
        <v>-12.991708893847765</v>
      </c>
      <c r="BA5" s="1">
        <f t="shared" si="3"/>
        <v>0</v>
      </c>
      <c r="BB5" s="1">
        <f t="shared" si="4"/>
        <v>12.991708893847749</v>
      </c>
      <c r="BC5" s="1">
        <f t="shared" si="5"/>
        <v>25.983417787695601</v>
      </c>
      <c r="BD5" s="1">
        <f t="shared" si="6"/>
        <v>38.975126681543379</v>
      </c>
    </row>
    <row r="6" spans="25:56" x14ac:dyDescent="0.2">
      <c r="Y6" t="s">
        <v>317</v>
      </c>
      <c r="Z6" t="str">
        <f>Z4</f>
        <v>Base</v>
      </c>
      <c r="AA6" s="17">
        <f>Assumptions!$C$17</f>
        <v>4.6300000000000001E-2</v>
      </c>
      <c r="AB6" s="17">
        <f>VLOOKUP($Z6,Assumptions!$B$17:$M$19,Assumptions!E$4-Assumptions!$C$4+1,FALSE)</f>
        <v>3.2000000000000001E-2</v>
      </c>
      <c r="AC6" s="17">
        <f>VLOOKUP($Z$6,Assumptions!$B$17:$M$19,Assumptions!F4-Assumptions!$C$4+1,FALSE)</f>
        <v>2.9000000000000001E-2</v>
      </c>
      <c r="AD6" s="17">
        <f>VLOOKUP($Z$6,Assumptions!$B$17:$M$19,Assumptions!G4-Assumptions!$C$4+1,FALSE)</f>
        <v>2.7E-2</v>
      </c>
      <c r="AE6" s="17">
        <f>VLOOKUP($Z$6,Assumptions!$B$17:$M$19,Assumptions!H4-Assumptions!$C$4+1,FALSE)</f>
        <v>2.53E-2</v>
      </c>
      <c r="AF6" s="17">
        <f>VLOOKUP($Z$6,Assumptions!$B$17:$M$19,Assumptions!I4-Assumptions!$C$4+1,FALSE)</f>
        <v>2.4E-2</v>
      </c>
      <c r="AG6" s="17">
        <f>VLOOKUP($Z$6,Assumptions!$B$17:$M$19,Assumptions!J4-Assumptions!$C$4+1,FALSE)</f>
        <v>2.2499999999999999E-2</v>
      </c>
      <c r="AH6" s="17">
        <f>VLOOKUP($Z$6,Assumptions!$B$17:$M$19,Assumptions!K4-Assumptions!$C$4+1,FALSE)</f>
        <v>2.1000000000000001E-2</v>
      </c>
      <c r="AI6" s="17">
        <f>VLOOKUP($Z$6,Assumptions!$B$17:$M$19,Assumptions!L4-Assumptions!$C$4+1,FALSE)</f>
        <v>0.02</v>
      </c>
      <c r="AJ6" s="17">
        <f>VLOOKUP($Z$6,Assumptions!$B$17:$M$19,Assumptions!M4-Assumptions!$C$4+1,FALSE)</f>
        <v>1.9199999999999998E-2</v>
      </c>
      <c r="AK6" s="17">
        <f>VLOOKUP($Z$6,Assumptions!$B$17:$M$19,Assumptions!N4-Assumptions!$C$4+1,FALSE)</f>
        <v>1.7999999999999999E-2</v>
      </c>
      <c r="AM6" s="60">
        <v>2002</v>
      </c>
      <c r="AN6" s="16">
        <v>-69.180646812923285</v>
      </c>
      <c r="AO6" s="16">
        <v>-37.372511869294158</v>
      </c>
      <c r="AP6" s="16">
        <v>-5.5643769256652682</v>
      </c>
      <c r="AQ6" s="1">
        <v>26.243758017963618</v>
      </c>
      <c r="AR6" s="1">
        <v>58.0518929615925</v>
      </c>
      <c r="AS6" s="1">
        <v>89.860027905221585</v>
      </c>
      <c r="AT6" s="1">
        <v>121.66816284885063</v>
      </c>
      <c r="AW6" s="60">
        <v>2002</v>
      </c>
      <c r="AX6" s="1">
        <f t="shared" si="0"/>
        <v>-95.4244048308869</v>
      </c>
      <c r="AY6" s="1">
        <f t="shared" si="1"/>
        <v>-63.616269887257772</v>
      </c>
      <c r="AZ6" s="1">
        <f t="shared" si="2"/>
        <v>-31.808134943628886</v>
      </c>
      <c r="BA6" s="1">
        <f t="shared" si="3"/>
        <v>0</v>
      </c>
      <c r="BB6" s="1">
        <f t="shared" si="4"/>
        <v>31.808134943628882</v>
      </c>
      <c r="BC6" s="1">
        <f t="shared" si="5"/>
        <v>63.616269887257971</v>
      </c>
      <c r="BD6" s="1">
        <f t="shared" si="6"/>
        <v>95.424404830887013</v>
      </c>
    </row>
    <row r="7" spans="25:56" x14ac:dyDescent="0.2">
      <c r="Y7" t="s">
        <v>322</v>
      </c>
      <c r="Z7" s="56" t="s">
        <v>333</v>
      </c>
      <c r="AA7" s="75">
        <f>VLOOKUP(Z7,Assumptions!$B$21:$M$23,Assumptions!D$4-Assumptions!$C$4+1,FALSE)</f>
        <v>0.01</v>
      </c>
      <c r="AB7" s="75">
        <f>VLOOKUP($Z$7,Assumptions!$B$21:$M$23,Assumptions!E$4-Assumptions!$C$4+1,FALSE)</f>
        <v>0.01</v>
      </c>
      <c r="AC7" s="75">
        <f>VLOOKUP($Z$7,Assumptions!$B$21:$M$23,Assumptions!F4-Assumptions!$C$4+1,FALSE)</f>
        <v>0.01</v>
      </c>
      <c r="AD7" s="75">
        <f>VLOOKUP($Z$7,Assumptions!$B$21:$M$23,Assumptions!G4-Assumptions!$C$4+1,FALSE)</f>
        <v>0.01</v>
      </c>
      <c r="AE7" s="75">
        <f>VLOOKUP($Z$7,Assumptions!$B$21:$M$23,Assumptions!H4-Assumptions!$C$4+1,FALSE)</f>
        <v>0.01</v>
      </c>
      <c r="AF7" s="75">
        <f>VLOOKUP($Z$7,Assumptions!$B$21:$M$23,Assumptions!I4-Assumptions!$C$4+1,FALSE)</f>
        <v>0.01</v>
      </c>
      <c r="AG7" s="75">
        <f>VLOOKUP($Z$7,Assumptions!$B$21:$M$23,Assumptions!J4-Assumptions!$C$4+1,FALSE)</f>
        <v>0.01</v>
      </c>
      <c r="AH7" s="75">
        <f>VLOOKUP($Z$7,Assumptions!$B$21:$M$23,Assumptions!K4-Assumptions!$C$4+1,FALSE)</f>
        <v>0.01</v>
      </c>
      <c r="AI7" s="75">
        <f>VLOOKUP($Z$7,Assumptions!$B$21:$M$23,Assumptions!L4-Assumptions!$C$4+1,FALSE)</f>
        <v>0.01</v>
      </c>
      <c r="AJ7" s="75">
        <f>VLOOKUP($Z$7,Assumptions!$B$21:$M$23,Assumptions!M4-Assumptions!$C$4+1,FALSE)</f>
        <v>0.01</v>
      </c>
      <c r="AK7" s="75">
        <f>VLOOKUP($Z$7,Assumptions!$B$21:$M$23,Assumptions!N4-Assumptions!$C$4+1,FALSE)</f>
        <v>0.01</v>
      </c>
      <c r="AM7" s="60">
        <v>2003</v>
      </c>
      <c r="AN7" s="16">
        <v>-65.133034723099897</v>
      </c>
      <c r="AO7" s="16">
        <v>-33.324899779470769</v>
      </c>
      <c r="AP7" s="16">
        <v>-1.5167648358418839</v>
      </c>
      <c r="AQ7" s="1">
        <v>30.291370107787003</v>
      </c>
      <c r="AR7" s="1">
        <v>62.099505051415889</v>
      </c>
      <c r="AS7" s="1">
        <v>93.90763999504496</v>
      </c>
      <c r="AT7" s="1">
        <v>125.71577493867399</v>
      </c>
      <c r="AW7" s="60">
        <v>2003</v>
      </c>
      <c r="AX7" s="1">
        <f t="shared" si="0"/>
        <v>-95.4244048308869</v>
      </c>
      <c r="AY7" s="1">
        <f t="shared" si="1"/>
        <v>-63.616269887257772</v>
      </c>
      <c r="AZ7" s="1">
        <f t="shared" si="2"/>
        <v>-31.808134943628886</v>
      </c>
      <c r="BA7" s="1">
        <f t="shared" si="3"/>
        <v>0</v>
      </c>
      <c r="BB7" s="1">
        <f t="shared" si="4"/>
        <v>31.808134943628886</v>
      </c>
      <c r="BC7" s="1">
        <f t="shared" si="5"/>
        <v>63.616269887257957</v>
      </c>
      <c r="BD7" s="1">
        <f t="shared" si="6"/>
        <v>95.424404830886985</v>
      </c>
    </row>
    <row r="8" spans="25:56" x14ac:dyDescent="0.2">
      <c r="Y8" t="s">
        <v>462</v>
      </c>
      <c r="Z8" s="56" t="s">
        <v>333</v>
      </c>
      <c r="AA8" s="75">
        <f>VLOOKUP(Z8,Assumptions!$B$29:$M$31,Assumptions!D$4-Assumptions!$C$4+1,FALSE)</f>
        <v>0</v>
      </c>
      <c r="AB8" s="75">
        <f>VLOOKUP($Z$8,Assumptions!$B$29:$M$31,Assumptions!E$4-Assumptions!$C$4+1,FALSE)</f>
        <v>0.05</v>
      </c>
      <c r="AC8" s="75">
        <f>VLOOKUP($Z$8,Assumptions!$B$29:$M$31,Assumptions!F4-Assumptions!$C$4+1,FALSE)</f>
        <v>0.05</v>
      </c>
      <c r="AD8" s="75">
        <f>VLOOKUP($Z$8,Assumptions!$B$29:$M$31,Assumptions!G4-Assumptions!$C$4+1,FALSE)</f>
        <v>0.05</v>
      </c>
      <c r="AE8" s="75">
        <f>VLOOKUP($Z$8,Assumptions!$B$29:$M$31,Assumptions!H4-Assumptions!$C$4+1,FALSE)</f>
        <v>0.05</v>
      </c>
      <c r="AF8" s="75">
        <f>VLOOKUP($Z$8,Assumptions!$B$29:$M$31,Assumptions!I4-Assumptions!$C$4+1,FALSE)</f>
        <v>0.05</v>
      </c>
      <c r="AG8" s="75">
        <f>VLOOKUP($Z$8,Assumptions!$B$29:$M$31,Assumptions!J4-Assumptions!$C$4+1,FALSE)</f>
        <v>0.05</v>
      </c>
      <c r="AH8" s="75">
        <f>VLOOKUP($Z$8,Assumptions!$B$29:$M$31,Assumptions!K4-Assumptions!$C$4+1,FALSE)</f>
        <v>0.05</v>
      </c>
      <c r="AI8" s="75">
        <f>VLOOKUP($Z$8,Assumptions!$B$29:$M$31,Assumptions!L4-Assumptions!$C$4+1,FALSE)</f>
        <v>0.05</v>
      </c>
      <c r="AJ8" s="75">
        <f>VLOOKUP($Z$8,Assumptions!$B$29:$M$31,Assumptions!M4-Assumptions!$C$4+1,FALSE)</f>
        <v>0.05</v>
      </c>
      <c r="AK8" s="75">
        <f>VLOOKUP($Z$8,Assumptions!$B$29:$M$31,Assumptions!N4-Assumptions!$C$4+1,FALSE)</f>
        <v>0.05</v>
      </c>
      <c r="AM8" s="60">
        <v>2004</v>
      </c>
      <c r="AN8" s="16">
        <v>-60.94092288166982</v>
      </c>
      <c r="AO8" s="16">
        <v>-29.132787938040693</v>
      </c>
      <c r="AP8" s="16">
        <v>2.6753470055881894</v>
      </c>
      <c r="AQ8" s="1">
        <v>34.483481949217079</v>
      </c>
      <c r="AR8" s="1">
        <v>66.291616892845951</v>
      </c>
      <c r="AS8" s="1">
        <v>98.099751836475022</v>
      </c>
      <c r="AT8" s="1">
        <v>129.90788678010409</v>
      </c>
      <c r="AW8" s="60">
        <v>2004</v>
      </c>
      <c r="AX8" s="1">
        <f t="shared" si="0"/>
        <v>-95.4244048308869</v>
      </c>
      <c r="AY8" s="1">
        <f t="shared" si="1"/>
        <v>-63.616269887257772</v>
      </c>
      <c r="AZ8" s="1">
        <f t="shared" si="2"/>
        <v>-31.80813494362889</v>
      </c>
      <c r="BA8" s="1">
        <f t="shared" si="3"/>
        <v>0</v>
      </c>
      <c r="BB8" s="1">
        <f t="shared" si="4"/>
        <v>31.808134943628872</v>
      </c>
      <c r="BC8" s="1">
        <f t="shared" si="5"/>
        <v>63.616269887257943</v>
      </c>
      <c r="BD8" s="1">
        <f t="shared" si="6"/>
        <v>95.424404830887013</v>
      </c>
    </row>
    <row r="9" spans="25:56" x14ac:dyDescent="0.2">
      <c r="Y9" t="s">
        <v>470</v>
      </c>
      <c r="Z9" s="56" t="s">
        <v>335</v>
      </c>
      <c r="AA9" s="75">
        <f>VLOOKUP(Z9,Assumptions!$B$33:$M$35,Assumptions!D$4-Assumptions!$C$4+1,FALSE)</f>
        <v>0</v>
      </c>
      <c r="AB9" s="75">
        <f>VLOOKUP($Z$9,Assumptions!$B$33:$M$35,Assumptions!E$4-Assumptions!$C$4+1,FALSE)</f>
        <v>0</v>
      </c>
      <c r="AC9" s="75">
        <f>VLOOKUP($Z$9,Assumptions!$B$33:$M$35,Assumptions!F4-Assumptions!$C$4+1,FALSE)</f>
        <v>0</v>
      </c>
      <c r="AD9" s="75">
        <f>VLOOKUP($Z$9,Assumptions!$B$33:$M$35,Assumptions!G4-Assumptions!$C$4+1,FALSE)</f>
        <v>0</v>
      </c>
      <c r="AE9" s="75">
        <f>VLOOKUP($Z$9,Assumptions!$B$33:$M$35,Assumptions!H4-Assumptions!$C$4+1,FALSE)</f>
        <v>0</v>
      </c>
      <c r="AF9" s="75">
        <f>VLOOKUP($Z$9,Assumptions!$B$33:$M$35,Assumptions!I4-Assumptions!$C$4+1,FALSE)</f>
        <v>0</v>
      </c>
      <c r="AG9" s="75">
        <f>VLOOKUP($Z$9,Assumptions!$B$33:$M$35,Assumptions!J4-Assumptions!$C$4+1,FALSE)</f>
        <v>0</v>
      </c>
      <c r="AH9" s="75">
        <f>VLOOKUP($Z$9,Assumptions!$B$33:$M$35,Assumptions!K4-Assumptions!$C$4+1,FALSE)</f>
        <v>0</v>
      </c>
      <c r="AI9" s="75">
        <f>VLOOKUP($Z$9,Assumptions!$B$33:$M$35,Assumptions!L4-Assumptions!$C$4+1,FALSE)</f>
        <v>0</v>
      </c>
      <c r="AJ9" s="75">
        <f>VLOOKUP($Z$9,Assumptions!$B$33:$M$35,Assumptions!M4-Assumptions!$C$4+1,FALSE)</f>
        <v>0</v>
      </c>
      <c r="AK9" s="75">
        <f>VLOOKUP($Z$9,Assumptions!$B$33:$M$35,Assumptions!N4-Assumptions!$C$4+1,FALSE)</f>
        <v>0</v>
      </c>
      <c r="AM9" s="60">
        <v>2005</v>
      </c>
      <c r="AN9" s="16">
        <v>-25.014181995651334</v>
      </c>
      <c r="AO9" s="16">
        <v>6.2223586298757771</v>
      </c>
      <c r="AP9" s="16">
        <v>37.458899255402457</v>
      </c>
      <c r="AQ9" s="1">
        <v>68.695439880929172</v>
      </c>
      <c r="AR9" s="1">
        <v>99.931980506456014</v>
      </c>
      <c r="AS9" s="1">
        <v>131.16852113198306</v>
      </c>
      <c r="AT9" s="1">
        <v>162.40506175750986</v>
      </c>
      <c r="AW9" s="60">
        <v>2005</v>
      </c>
      <c r="AX9" s="1">
        <f t="shared" si="0"/>
        <v>-93.709621876580513</v>
      </c>
      <c r="AY9" s="1">
        <f t="shared" si="1"/>
        <v>-62.473081251053394</v>
      </c>
      <c r="AZ9" s="1">
        <f t="shared" si="2"/>
        <v>-31.236540625526715</v>
      </c>
      <c r="BA9" s="1">
        <f t="shared" si="3"/>
        <v>0</v>
      </c>
      <c r="BB9" s="1">
        <f t="shared" si="4"/>
        <v>31.236540625526843</v>
      </c>
      <c r="BC9" s="1">
        <f t="shared" si="5"/>
        <v>62.473081251053884</v>
      </c>
      <c r="BD9" s="1">
        <f t="shared" si="6"/>
        <v>93.709621876580684</v>
      </c>
    </row>
    <row r="10" spans="25:56" x14ac:dyDescent="0.2">
      <c r="AM10" s="60">
        <v>2006</v>
      </c>
      <c r="AN10" s="16">
        <v>21.036145159335558</v>
      </c>
      <c r="AO10" s="16">
        <v>51.38124499955164</v>
      </c>
      <c r="AP10" s="16">
        <v>81.726344839767364</v>
      </c>
      <c r="AQ10" s="1">
        <v>112.0714446799831</v>
      </c>
      <c r="AR10" s="1">
        <v>142.41654452019907</v>
      </c>
      <c r="AS10" s="1">
        <v>172.76164436041509</v>
      </c>
      <c r="AT10" s="1">
        <v>203.10674420063086</v>
      </c>
      <c r="AW10" s="60">
        <v>2006</v>
      </c>
      <c r="AX10" s="1">
        <f t="shared" si="0"/>
        <v>-91.035299520647541</v>
      </c>
      <c r="AY10" s="1">
        <f t="shared" si="1"/>
        <v>-60.690199680431462</v>
      </c>
      <c r="AZ10" s="1">
        <f t="shared" si="2"/>
        <v>-30.345099840215738</v>
      </c>
      <c r="BA10" s="1">
        <f t="shared" si="3"/>
        <v>0</v>
      </c>
      <c r="BB10" s="1">
        <f t="shared" si="4"/>
        <v>30.345099840215966</v>
      </c>
      <c r="BC10" s="1">
        <f t="shared" si="5"/>
        <v>60.690199680431988</v>
      </c>
      <c r="BD10" s="1">
        <f t="shared" si="6"/>
        <v>91.035299520647754</v>
      </c>
    </row>
    <row r="11" spans="25:56" x14ac:dyDescent="0.2">
      <c r="Y11" s="24" t="s">
        <v>330</v>
      </c>
      <c r="AM11" s="60">
        <v>2007</v>
      </c>
      <c r="AN11" s="16">
        <v>25.693451330970102</v>
      </c>
      <c r="AO11" s="16">
        <v>56.038551171186185</v>
      </c>
      <c r="AP11" s="16">
        <v>86.383651011401938</v>
      </c>
      <c r="AQ11" s="1">
        <v>116.72875085161766</v>
      </c>
      <c r="AR11" s="1">
        <v>147.07385069183363</v>
      </c>
      <c r="AS11" s="1">
        <v>177.41895053204965</v>
      </c>
      <c r="AT11" s="1">
        <v>207.76405037226544</v>
      </c>
      <c r="AW11" s="60">
        <v>2007</v>
      </c>
      <c r="AX11" s="1">
        <f t="shared" si="0"/>
        <v>-91.035299520647555</v>
      </c>
      <c r="AY11" s="1">
        <f t="shared" si="1"/>
        <v>-60.690199680431476</v>
      </c>
      <c r="AZ11" s="1">
        <f t="shared" si="2"/>
        <v>-30.345099840215724</v>
      </c>
      <c r="BA11" s="1">
        <f t="shared" si="3"/>
        <v>0</v>
      </c>
      <c r="BB11" s="1">
        <f t="shared" si="4"/>
        <v>30.345099840215966</v>
      </c>
      <c r="BC11" s="1">
        <f t="shared" si="5"/>
        <v>60.690199680431988</v>
      </c>
      <c r="BD11" s="1">
        <f t="shared" si="6"/>
        <v>91.035299520647783</v>
      </c>
    </row>
    <row r="12" spans="25:56" x14ac:dyDescent="0.2">
      <c r="Y12" t="s">
        <v>345</v>
      </c>
      <c r="AA12" s="1">
        <v>0</v>
      </c>
      <c r="AB12" s="1">
        <v>-0.45563998872063122</v>
      </c>
      <c r="AC12" s="1">
        <v>-6.4864071202078977</v>
      </c>
      <c r="AD12" s="1">
        <v>-6.1824559326382769</v>
      </c>
      <c r="AE12" s="1">
        <v>-5.8370495685339456</v>
      </c>
      <c r="AF12" s="1">
        <v>-12.340010264359949</v>
      </c>
      <c r="AG12" s="1">
        <v>-31.292558281729281</v>
      </c>
      <c r="AH12" s="1">
        <v>-32.135818312310377</v>
      </c>
      <c r="AI12" s="1">
        <v>-32.995580215411515</v>
      </c>
      <c r="AJ12" s="1">
        <v>-33.867952970567337</v>
      </c>
      <c r="AK12" s="1">
        <v>-34.753168621126562</v>
      </c>
      <c r="AM12" s="60">
        <v>2008</v>
      </c>
      <c r="AN12" s="16">
        <v>30.517023332932023</v>
      </c>
      <c r="AO12" s="16">
        <v>60.862123173148099</v>
      </c>
      <c r="AP12" s="16">
        <v>91.207223013363858</v>
      </c>
      <c r="AQ12" s="1">
        <v>121.55232285357957</v>
      </c>
      <c r="AR12" s="1">
        <v>151.89742269379553</v>
      </c>
      <c r="AS12" s="1">
        <v>182.24252253401158</v>
      </c>
      <c r="AT12" s="1">
        <v>212.58762237422735</v>
      </c>
      <c r="AW12" s="60">
        <v>2008</v>
      </c>
      <c r="AX12" s="1">
        <f t="shared" si="0"/>
        <v>-91.035299520647541</v>
      </c>
      <c r="AY12" s="1">
        <f t="shared" si="1"/>
        <v>-60.690199680431469</v>
      </c>
      <c r="AZ12" s="1">
        <f t="shared" si="2"/>
        <v>-30.34509984021571</v>
      </c>
      <c r="BA12" s="1">
        <f t="shared" si="3"/>
        <v>0</v>
      </c>
      <c r="BB12" s="1">
        <f t="shared" si="4"/>
        <v>30.345099840215966</v>
      </c>
      <c r="BC12" s="1">
        <f t="shared" si="5"/>
        <v>60.690199680432016</v>
      </c>
      <c r="BD12" s="1">
        <f t="shared" si="6"/>
        <v>91.035299520647783</v>
      </c>
    </row>
    <row r="13" spans="25:56" x14ac:dyDescent="0.2">
      <c r="Y13" t="s">
        <v>346</v>
      </c>
      <c r="AA13" s="1">
        <v>0</v>
      </c>
      <c r="AB13" s="1">
        <v>1.2537895142144873</v>
      </c>
      <c r="AC13" s="1">
        <v>-5.1710487444580178</v>
      </c>
      <c r="AD13" s="1">
        <v>-3.6367872189525525</v>
      </c>
      <c r="AE13" s="1">
        <v>-1.9508847883584679</v>
      </c>
      <c r="AF13" s="1">
        <v>-13.642865422331989</v>
      </c>
      <c r="AG13" s="1">
        <v>-45.69941905108243</v>
      </c>
      <c r="AH13" s="1">
        <v>-45.925919542849975</v>
      </c>
      <c r="AI13" s="1">
        <v>-46.090519348353894</v>
      </c>
      <c r="AJ13" s="1">
        <v>-46.176665693106088</v>
      </c>
      <c r="AK13" s="1">
        <v>-46.179298760370422</v>
      </c>
      <c r="AM13" s="60">
        <v>2009</v>
      </c>
      <c r="AN13" s="16">
        <v>35.512796855363973</v>
      </c>
      <c r="AO13" s="16">
        <v>65.857896695580052</v>
      </c>
      <c r="AP13" s="16">
        <v>96.202996535795791</v>
      </c>
      <c r="AQ13" s="1">
        <v>126.54809637601153</v>
      </c>
      <c r="AR13" s="1">
        <v>156.89319621622747</v>
      </c>
      <c r="AS13" s="1">
        <v>187.23829605644349</v>
      </c>
      <c r="AT13" s="1">
        <v>217.58339589665928</v>
      </c>
      <c r="AW13" s="60">
        <v>2009</v>
      </c>
      <c r="AX13" s="1">
        <f t="shared" si="0"/>
        <v>-91.035299520647555</v>
      </c>
      <c r="AY13" s="1">
        <f t="shared" si="1"/>
        <v>-60.690199680431476</v>
      </c>
      <c r="AZ13" s="1">
        <f t="shared" si="2"/>
        <v>-30.345099840215738</v>
      </c>
      <c r="BA13" s="1">
        <f t="shared" si="3"/>
        <v>0</v>
      </c>
      <c r="BB13" s="1">
        <f t="shared" si="4"/>
        <v>30.345099840215937</v>
      </c>
      <c r="BC13" s="1">
        <f t="shared" si="5"/>
        <v>60.690199680431959</v>
      </c>
      <c r="BD13" s="1">
        <f t="shared" si="6"/>
        <v>91.035299520647754</v>
      </c>
    </row>
    <row r="14" spans="25:56" x14ac:dyDescent="0.2">
      <c r="AM14" s="60">
        <v>2010</v>
      </c>
      <c r="AN14" s="16">
        <v>40.686919492546735</v>
      </c>
      <c r="AO14" s="16">
        <v>71.032019332762815</v>
      </c>
      <c r="AP14" s="16">
        <v>101.37711917297857</v>
      </c>
      <c r="AQ14" s="1">
        <v>131.72221901319429</v>
      </c>
      <c r="AR14" s="1">
        <v>162.06731885341026</v>
      </c>
      <c r="AS14" s="1">
        <v>192.41241869362625</v>
      </c>
      <c r="AT14" s="1">
        <v>222.75751853384205</v>
      </c>
      <c r="AW14" s="60">
        <v>2010</v>
      </c>
      <c r="AX14" s="1">
        <f t="shared" si="0"/>
        <v>-91.035299520647555</v>
      </c>
      <c r="AY14" s="1">
        <f t="shared" si="1"/>
        <v>-60.690199680431476</v>
      </c>
      <c r="AZ14" s="1">
        <f t="shared" si="2"/>
        <v>-30.345099840215724</v>
      </c>
      <c r="BA14" s="1">
        <f t="shared" si="3"/>
        <v>0</v>
      </c>
      <c r="BB14" s="1">
        <f t="shared" si="4"/>
        <v>30.345099840215966</v>
      </c>
      <c r="BC14" s="1">
        <f t="shared" si="5"/>
        <v>60.690199680431959</v>
      </c>
      <c r="BD14" s="1">
        <f t="shared" si="6"/>
        <v>91.035299520647754</v>
      </c>
    </row>
    <row r="15" spans="25:56" ht="13.5" thickBot="1" x14ac:dyDescent="0.25">
      <c r="Y15" s="36" t="s">
        <v>344</v>
      </c>
      <c r="Z15" s="27"/>
      <c r="AA15" s="29">
        <f t="shared" ref="AA15:AK15" si="7">SUM(AA12:AA13)</f>
        <v>0</v>
      </c>
      <c r="AB15" s="29">
        <f t="shared" si="7"/>
        <v>0.79814952549385598</v>
      </c>
      <c r="AC15" s="29">
        <f t="shared" si="7"/>
        <v>-11.657455864665916</v>
      </c>
      <c r="AD15" s="29">
        <f t="shared" si="7"/>
        <v>-9.8192431515908289</v>
      </c>
      <c r="AE15" s="29">
        <f t="shared" si="7"/>
        <v>-7.7879343568924133</v>
      </c>
      <c r="AF15" s="29">
        <f t="shared" si="7"/>
        <v>-25.982875686691937</v>
      </c>
      <c r="AG15" s="29">
        <f t="shared" si="7"/>
        <v>-76.991977332811715</v>
      </c>
      <c r="AH15" s="29">
        <f t="shared" si="7"/>
        <v>-78.061737855160345</v>
      </c>
      <c r="AI15" s="29">
        <f t="shared" si="7"/>
        <v>-79.086099563765401</v>
      </c>
      <c r="AJ15" s="29">
        <f t="shared" si="7"/>
        <v>-80.044618663673418</v>
      </c>
      <c r="AK15" s="29">
        <f t="shared" si="7"/>
        <v>-80.932467381496991</v>
      </c>
    </row>
    <row r="16" spans="25:56" ht="13.5" thickTop="1" x14ac:dyDescent="0.2"/>
    <row r="17" spans="25:56" x14ac:dyDescent="0.2">
      <c r="AM17" t="s">
        <v>547</v>
      </c>
      <c r="AW17" t="s">
        <v>547</v>
      </c>
    </row>
    <row r="18" spans="25:56" x14ac:dyDescent="0.2">
      <c r="Y18" t="s">
        <v>541</v>
      </c>
      <c r="AN18" s="63">
        <v>0</v>
      </c>
      <c r="AO18" s="63">
        <v>0.01</v>
      </c>
      <c r="AP18" s="63">
        <v>0.02</v>
      </c>
      <c r="AQ18" s="63">
        <v>0.03</v>
      </c>
      <c r="AR18" s="63">
        <v>0.04</v>
      </c>
      <c r="AS18" s="63">
        <v>0.05</v>
      </c>
      <c r="AT18" s="75">
        <v>0.06</v>
      </c>
      <c r="AX18" s="63">
        <v>0</v>
      </c>
      <c r="AY18" s="63">
        <v>0.01</v>
      </c>
      <c r="AZ18" s="63">
        <v>0.02</v>
      </c>
      <c r="BA18" s="63">
        <v>0.03</v>
      </c>
      <c r="BB18" s="63">
        <v>0.04</v>
      </c>
      <c r="BC18" s="63">
        <v>0.05</v>
      </c>
      <c r="BD18" s="75">
        <v>0.06</v>
      </c>
    </row>
    <row r="19" spans="25:56" x14ac:dyDescent="0.2">
      <c r="AA19" s="35" t="s">
        <v>333</v>
      </c>
      <c r="AM19" s="60">
        <v>2000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W19" s="60">
        <v>2000</v>
      </c>
      <c r="AX19" s="1">
        <f t="shared" ref="AX19:AX29" si="8">AN19-$AR19</f>
        <v>0</v>
      </c>
      <c r="AY19" s="1">
        <f t="shared" ref="AY19:AY29" si="9">AO19-$AR19</f>
        <v>0</v>
      </c>
      <c r="AZ19" s="1">
        <f t="shared" ref="AZ19:AZ29" si="10">AP19-$AR19</f>
        <v>0</v>
      </c>
      <c r="BA19" s="1">
        <f t="shared" ref="BA19:BA29" si="11">AQ19-$AR19</f>
        <v>0</v>
      </c>
      <c r="BB19" s="1">
        <f t="shared" ref="BB19:BB29" si="12">AR19-$AR19</f>
        <v>0</v>
      </c>
      <c r="BC19" s="1">
        <f t="shared" ref="BC19:BC29" si="13">AS19-$AR19</f>
        <v>0</v>
      </c>
      <c r="BD19" s="1">
        <f t="shared" ref="BD19:BD29" si="14">AT19-$AR19</f>
        <v>0</v>
      </c>
    </row>
    <row r="20" spans="25:56" x14ac:dyDescent="0.2">
      <c r="Y20" s="8" t="s">
        <v>442</v>
      </c>
      <c r="Z20" s="8" t="s">
        <v>332</v>
      </c>
      <c r="AA20" s="8">
        <v>2000</v>
      </c>
      <c r="AB20" s="8">
        <v>2001</v>
      </c>
      <c r="AC20" s="8">
        <v>2002</v>
      </c>
      <c r="AD20" s="8">
        <v>2003</v>
      </c>
      <c r="AE20" s="8">
        <v>2004</v>
      </c>
      <c r="AF20" s="8">
        <v>2005</v>
      </c>
      <c r="AG20" s="8">
        <v>2006</v>
      </c>
      <c r="AH20" s="8">
        <v>2007</v>
      </c>
      <c r="AI20" s="8">
        <v>2008</v>
      </c>
      <c r="AJ20" s="8">
        <v>2009</v>
      </c>
      <c r="AK20" s="8">
        <v>2010</v>
      </c>
      <c r="AM20" s="60">
        <v>2001</v>
      </c>
      <c r="AN20" s="1">
        <v>-12.954674306513159</v>
      </c>
      <c r="AO20" s="1">
        <v>-6.3545906172690323</v>
      </c>
      <c r="AP20" s="1">
        <v>0.24549307197476744</v>
      </c>
      <c r="AQ20" s="1">
        <v>6.845576761218501</v>
      </c>
      <c r="AR20" s="1">
        <v>13.44566045046246</v>
      </c>
      <c r="AS20" s="1">
        <v>20.045744139706279</v>
      </c>
      <c r="AT20" s="1">
        <v>26.645827828950146</v>
      </c>
      <c r="AW20" s="60">
        <v>2001</v>
      </c>
      <c r="AX20" s="1">
        <f t="shared" si="8"/>
        <v>-26.400334756975617</v>
      </c>
      <c r="AY20" s="1">
        <f t="shared" si="9"/>
        <v>-19.800251067731494</v>
      </c>
      <c r="AZ20" s="1">
        <f t="shared" si="10"/>
        <v>-13.200167378487693</v>
      </c>
      <c r="BA20" s="1">
        <f t="shared" si="11"/>
        <v>-6.6000836892439594</v>
      </c>
      <c r="BB20" s="1">
        <f t="shared" si="12"/>
        <v>0</v>
      </c>
      <c r="BC20" s="1">
        <f t="shared" si="13"/>
        <v>6.6000836892438191</v>
      </c>
      <c r="BD20" s="1">
        <f t="shared" si="14"/>
        <v>13.200167378487686</v>
      </c>
    </row>
    <row r="21" spans="25:56" x14ac:dyDescent="0.2">
      <c r="Y21" t="s">
        <v>318</v>
      </c>
      <c r="Z21" s="56" t="s">
        <v>334</v>
      </c>
      <c r="AA21" s="17">
        <f>Assumptions!C$5</f>
        <v>6.0900000000000003E-2</v>
      </c>
      <c r="AB21" s="17">
        <f>VLOOKUP($Z21,Assumptions!$B$5:$M$7,(Assumptions!E$4-Assumptions!$C$4+1),FALSE)</f>
        <v>7.569999999999999E-2</v>
      </c>
      <c r="AC21" s="17">
        <f>VLOOKUP($Z21,Assumptions!$B$5:$M$7,(Assumptions!F$4-Assumptions!$C$4+1),FALSE)</f>
        <v>7.51E-2</v>
      </c>
      <c r="AD21" s="17">
        <f>VLOOKUP($Z21,Assumptions!$B$5:$M$7,(Assumptions!G$4-Assumptions!$C$4+1),FALSE)</f>
        <v>7.4899999999999994E-2</v>
      </c>
      <c r="AE21" s="17">
        <f>VLOOKUP($Z21,Assumptions!$B$5:$M$7,(Assumptions!H$4-Assumptions!$C$4+1),FALSE)</f>
        <v>7.4899999999999994E-2</v>
      </c>
      <c r="AF21" s="17">
        <f>VLOOKUP($Z21,Assumptions!$B$5:$M$7,(Assumptions!I$4-Assumptions!$C$4+1),FALSE)</f>
        <v>7.46E-2</v>
      </c>
      <c r="AG21" s="17">
        <f>VLOOKUP($Z21,Assumptions!$B$5:$M$7,(Assumptions!J$4-Assumptions!$C$4+1),FALSE)</f>
        <v>7.4399999999999994E-2</v>
      </c>
      <c r="AH21" s="17">
        <f>VLOOKUP($Z21,Assumptions!$B$5:$M$7,(Assumptions!K$4-Assumptions!$C$4+1),FALSE)</f>
        <v>7.4200000000000002E-2</v>
      </c>
      <c r="AI21" s="17">
        <f>VLOOKUP($Z21,Assumptions!$B$5:$M$7,(Assumptions!L$4-Assumptions!$C$4+1),FALSE)</f>
        <v>7.4099999999999999E-2</v>
      </c>
      <c r="AJ21" s="17">
        <f>VLOOKUP($Z21,Assumptions!$B$5:$M$7,(Assumptions!M$4-Assumptions!$C$4+1),FALSE)</f>
        <v>7.3999999999999996E-2</v>
      </c>
      <c r="AK21" s="17">
        <f>VLOOKUP($Z21,Assumptions!$B$5:$M$7,(Assumptions!N$4-Assumptions!$C$4+1),FALSE)</f>
        <v>7.3899999999999993E-2</v>
      </c>
      <c r="AM21" s="60">
        <v>2002</v>
      </c>
      <c r="AN21" s="1">
        <v>-60.454699673245273</v>
      </c>
      <c r="AO21" s="1">
        <v>-34.822506271193973</v>
      </c>
      <c r="AP21" s="1">
        <v>-8.9904215273867791</v>
      </c>
      <c r="AQ21" s="1">
        <v>17.041554558176678</v>
      </c>
      <c r="AR21" s="1">
        <v>43.273421985496562</v>
      </c>
      <c r="AS21" s="1">
        <v>69.705180754572567</v>
      </c>
      <c r="AT21" s="1">
        <v>96.336830865404991</v>
      </c>
      <c r="AW21" s="60">
        <v>2002</v>
      </c>
      <c r="AX21" s="1">
        <f t="shared" si="8"/>
        <v>-103.72812165874183</v>
      </c>
      <c r="AY21" s="1">
        <f t="shared" si="9"/>
        <v>-78.095928256690542</v>
      </c>
      <c r="AZ21" s="1">
        <f t="shared" si="10"/>
        <v>-52.263843512883341</v>
      </c>
      <c r="BA21" s="1">
        <f t="shared" si="11"/>
        <v>-26.231867427319884</v>
      </c>
      <c r="BB21" s="1">
        <f t="shared" si="12"/>
        <v>0</v>
      </c>
      <c r="BC21" s="1">
        <f t="shared" si="13"/>
        <v>26.431758769076005</v>
      </c>
      <c r="BD21" s="1">
        <f t="shared" si="14"/>
        <v>53.06340887990843</v>
      </c>
    </row>
    <row r="22" spans="25:56" x14ac:dyDescent="0.2">
      <c r="Y22" t="s">
        <v>316</v>
      </c>
      <c r="Z22" t="str">
        <f>Z21</f>
        <v>High</v>
      </c>
      <c r="AA22" s="17">
        <f>Assumptions!C$13</f>
        <v>3.5700000000000003E-2</v>
      </c>
      <c r="AB22" s="17">
        <f>VLOOKUP($Z22,Assumptions!$B$13:$M$15,Assumptions!E$4-Assumptions!$C$4+1,FALSE)</f>
        <v>5.3499999999999999E-2</v>
      </c>
      <c r="AC22" s="17">
        <f>VLOOKUP($Z22,Assumptions!$B$13:$M$15,Assumptions!F$4-Assumptions!$C$4+1,FALSE)</f>
        <v>5.2499999999999998E-2</v>
      </c>
      <c r="AD22" s="17">
        <f>VLOOKUP($Z22,Assumptions!$B$13:$M$15,Assumptions!G$4-Assumptions!$C$4+1,FALSE)</f>
        <v>5.1500000000000004E-2</v>
      </c>
      <c r="AE22" s="17">
        <f>VLOOKUP($Z22,Assumptions!$B$13:$M$15,Assumptions!H$4-Assumptions!$C$4+1,FALSE)</f>
        <v>5.1000000000000004E-2</v>
      </c>
      <c r="AF22" s="17">
        <f>VLOOKUP($Z22,Assumptions!$B$13:$M$15,Assumptions!I$4-Assumptions!$C$4+1,FALSE)</f>
        <v>5.0500000000000003E-2</v>
      </c>
      <c r="AG22" s="17">
        <f>VLOOKUP($Z22,Assumptions!$B$13:$M$15,Assumptions!J$4-Assumptions!$C$4+1,FALSE)</f>
        <v>4.9699999999999994E-2</v>
      </c>
      <c r="AH22" s="17">
        <f>VLOOKUP($Z22,Assumptions!$B$13:$M$15,Assumptions!K$4-Assumptions!$C$4+1,FALSE)</f>
        <v>4.9200000000000001E-2</v>
      </c>
      <c r="AI22" s="17">
        <f>VLOOKUP($Z22,Assumptions!$B$13:$M$15,Assumptions!L$4-Assumptions!$C$4+1,FALSE)</f>
        <v>4.87E-2</v>
      </c>
      <c r="AJ22" s="17">
        <f>VLOOKUP($Z22,Assumptions!$B$13:$M$15,Assumptions!M$4-Assumptions!$C$4+1,FALSE)</f>
        <v>4.8299999999999996E-2</v>
      </c>
      <c r="AK22" s="17">
        <f>VLOOKUP($Z22,Assumptions!$B$13:$M$15,Assumptions!N$4-Assumptions!$C$4+1,FALSE)</f>
        <v>4.7899999999999998E-2</v>
      </c>
      <c r="AM22" s="60">
        <v>2003</v>
      </c>
      <c r="AN22" s="1">
        <v>-60.454699673245273</v>
      </c>
      <c r="AO22" s="1">
        <v>-33.744291037808203</v>
      </c>
      <c r="AP22" s="1">
        <v>-6.7910780731870979</v>
      </c>
      <c r="AQ22" s="1">
        <v>20.405573402698661</v>
      </c>
      <c r="AR22" s="1">
        <v>47.846297571929426</v>
      </c>
      <c r="AS22" s="1">
        <v>75.531728616585156</v>
      </c>
      <c r="AT22" s="1">
        <v>103.46250071874628</v>
      </c>
      <c r="AW22" s="60">
        <v>2003</v>
      </c>
      <c r="AX22" s="1">
        <f t="shared" si="8"/>
        <v>-108.3009972451747</v>
      </c>
      <c r="AY22" s="1">
        <f t="shared" si="9"/>
        <v>-81.590588609737637</v>
      </c>
      <c r="AZ22" s="1">
        <f t="shared" si="10"/>
        <v>-54.637375645116521</v>
      </c>
      <c r="BA22" s="1">
        <f t="shared" si="11"/>
        <v>-27.440724169230766</v>
      </c>
      <c r="BB22" s="1">
        <f t="shared" si="12"/>
        <v>0</v>
      </c>
      <c r="BC22" s="1">
        <f t="shared" si="13"/>
        <v>27.685431044655729</v>
      </c>
      <c r="BD22" s="1">
        <f t="shared" si="14"/>
        <v>55.616203146816858</v>
      </c>
    </row>
    <row r="23" spans="25:56" x14ac:dyDescent="0.2">
      <c r="Y23" t="s">
        <v>317</v>
      </c>
      <c r="Z23" t="str">
        <f>Z21</f>
        <v>High</v>
      </c>
      <c r="AA23" s="17">
        <f>Assumptions!C$17</f>
        <v>4.6300000000000001E-2</v>
      </c>
      <c r="AB23" s="17">
        <f>VLOOKUP($Z23,Assumptions!$B$17:$M$19,Assumptions!E$4-Assumptions!$C$4+1,FALSE)</f>
        <v>5.45E-2</v>
      </c>
      <c r="AC23" s="17">
        <f>VLOOKUP($Z23,Assumptions!$B$17:$M$19,Assumptions!F$4-Assumptions!$C$4+1,FALSE)</f>
        <v>5.1500000000000004E-2</v>
      </c>
      <c r="AD23" s="17">
        <f>VLOOKUP($Z23,Assumptions!$B$17:$M$19,Assumptions!G$4-Assumptions!$C$4+1,FALSE)</f>
        <v>4.9500000000000002E-2</v>
      </c>
      <c r="AE23" s="17">
        <f>VLOOKUP($Z23,Assumptions!$B$17:$M$19,Assumptions!H$4-Assumptions!$C$4+1,FALSE)</f>
        <v>4.7799999999999995E-2</v>
      </c>
      <c r="AF23" s="17">
        <f>VLOOKUP($Z23,Assumptions!$B$17:$M$19,Assumptions!I$4-Assumptions!$C$4+1,FALSE)</f>
        <v>4.65E-2</v>
      </c>
      <c r="AG23" s="17">
        <f>VLOOKUP($Z23,Assumptions!$B$17:$M$19,Assumptions!J$4-Assumptions!$C$4+1,FALSE)</f>
        <v>4.4999999999999998E-2</v>
      </c>
      <c r="AH23" s="17">
        <f>VLOOKUP($Z23,Assumptions!$B$17:$M$19,Assumptions!K$4-Assumptions!$C$4+1,FALSE)</f>
        <v>4.3499999999999997E-2</v>
      </c>
      <c r="AI23" s="17">
        <f>VLOOKUP($Z23,Assumptions!$B$17:$M$19,Assumptions!L$4-Assumptions!$C$4+1,FALSE)</f>
        <v>4.2499999999999996E-2</v>
      </c>
      <c r="AJ23" s="17">
        <f>VLOOKUP($Z23,Assumptions!$B$17:$M$19,Assumptions!M$4-Assumptions!$C$4+1,FALSE)</f>
        <v>4.1700000000000001E-2</v>
      </c>
      <c r="AK23" s="17">
        <f>VLOOKUP($Z23,Assumptions!$B$17:$M$19,Assumptions!N$4-Assumptions!$C$4+1,FALSE)</f>
        <v>4.0499999999999994E-2</v>
      </c>
      <c r="AM23" s="60">
        <v>2004</v>
      </c>
      <c r="AN23" s="1">
        <v>-60.454699673245273</v>
      </c>
      <c r="AO23" s="1">
        <v>-32.655293652088588</v>
      </c>
      <c r="AP23" s="1">
        <v>-4.5477477499034107</v>
      </c>
      <c r="AQ23" s="1">
        <v>23.870512812556292</v>
      </c>
      <c r="AR23" s="1">
        <v>52.60208818181961</v>
      </c>
      <c r="AS23" s="1">
        <v>81.649603871698361</v>
      </c>
      <c r="AT23" s="1">
        <v>111.01571076328806</v>
      </c>
      <c r="AW23" s="60">
        <v>2004</v>
      </c>
      <c r="AX23" s="1">
        <f t="shared" si="8"/>
        <v>-113.05678785506488</v>
      </c>
      <c r="AY23" s="1">
        <f t="shared" si="9"/>
        <v>-85.257381833908198</v>
      </c>
      <c r="AZ23" s="1">
        <f t="shared" si="10"/>
        <v>-57.149835931723018</v>
      </c>
      <c r="BA23" s="1">
        <f t="shared" si="11"/>
        <v>-28.731575369263318</v>
      </c>
      <c r="BB23" s="1">
        <f t="shared" si="12"/>
        <v>0</v>
      </c>
      <c r="BC23" s="1">
        <f t="shared" si="13"/>
        <v>29.04751568987875</v>
      </c>
      <c r="BD23" s="1">
        <f t="shared" si="14"/>
        <v>58.413622581468445</v>
      </c>
    </row>
    <row r="24" spans="25:56" x14ac:dyDescent="0.2">
      <c r="Y24" t="s">
        <v>322</v>
      </c>
      <c r="Z24" s="56" t="s">
        <v>335</v>
      </c>
      <c r="AA24" s="75">
        <f>VLOOKUP($Z24,Assumptions!$B$21:$M$23,Assumptions!D$4-Assumptions!$C$4+1,FALSE)</f>
        <v>5.0000000000000001E-3</v>
      </c>
      <c r="AB24" s="75">
        <f>VLOOKUP($Z24,Assumptions!$B$21:$M$23,Assumptions!E$4-Assumptions!$C$4+1,FALSE)</f>
        <v>5.0000000000000001E-3</v>
      </c>
      <c r="AC24" s="75">
        <f>VLOOKUP($Z24,Assumptions!$B$21:$M$23,Assumptions!F$4-Assumptions!$C$4+1,FALSE)</f>
        <v>5.0000000000000001E-3</v>
      </c>
      <c r="AD24" s="75">
        <f>VLOOKUP($Z24,Assumptions!$B$21:$M$23,Assumptions!G$4-Assumptions!$C$4+1,FALSE)</f>
        <v>5.0000000000000001E-3</v>
      </c>
      <c r="AE24" s="75">
        <f>VLOOKUP($Z24,Assumptions!$B$21:$M$23,Assumptions!H$4-Assumptions!$C$4+1,FALSE)</f>
        <v>5.0000000000000001E-3</v>
      </c>
      <c r="AF24" s="75">
        <f>VLOOKUP($Z24,Assumptions!$B$21:$M$23,Assumptions!I$4-Assumptions!$C$4+1,FALSE)</f>
        <v>5.0000000000000001E-3</v>
      </c>
      <c r="AG24" s="75">
        <f>VLOOKUP($Z24,Assumptions!$B$21:$M$23,Assumptions!J$4-Assumptions!$C$4+1,FALSE)</f>
        <v>5.0000000000000001E-3</v>
      </c>
      <c r="AH24" s="75">
        <f>VLOOKUP($Z24,Assumptions!$B$21:$M$23,Assumptions!K$4-Assumptions!$C$4+1,FALSE)</f>
        <v>5.0000000000000001E-3</v>
      </c>
      <c r="AI24" s="75">
        <f>VLOOKUP($Z24,Assumptions!$B$21:$M$23,Assumptions!L$4-Assumptions!$C$4+1,FALSE)</f>
        <v>5.0000000000000001E-3</v>
      </c>
      <c r="AJ24" s="75">
        <f>VLOOKUP($Z24,Assumptions!$B$21:$M$23,Assumptions!M$4-Assumptions!$C$4+1,FALSE)</f>
        <v>5.0000000000000001E-3</v>
      </c>
      <c r="AK24" s="75">
        <f>VLOOKUP($Z24,Assumptions!$B$21:$M$23,Assumptions!N$4-Assumptions!$C$4+1,FALSE)</f>
        <v>5.0000000000000001E-3</v>
      </c>
      <c r="AM24" s="60">
        <v>2005</v>
      </c>
      <c r="AN24" s="1">
        <v>-110.23532907192347</v>
      </c>
      <c r="AO24" s="1">
        <v>-60.447411661762033</v>
      </c>
      <c r="AP24" s="1">
        <v>-9.195143345227244</v>
      </c>
      <c r="AQ24" s="1">
        <v>43.560040047366492</v>
      </c>
      <c r="AR24" s="1">
        <v>97.857466295568159</v>
      </c>
      <c r="AS24" s="1">
        <v>153.73723427515995</v>
      </c>
      <c r="AT24" s="1">
        <v>211.24022144453093</v>
      </c>
      <c r="AW24" s="60">
        <v>2005</v>
      </c>
      <c r="AX24" s="1">
        <f t="shared" si="8"/>
        <v>-208.09279536749165</v>
      </c>
      <c r="AY24" s="1">
        <f t="shared" si="9"/>
        <v>-158.30487795733018</v>
      </c>
      <c r="AZ24" s="1">
        <f t="shared" si="10"/>
        <v>-107.0526096407954</v>
      </c>
      <c r="BA24" s="1">
        <f t="shared" si="11"/>
        <v>-54.297426248201667</v>
      </c>
      <c r="BB24" s="1">
        <f t="shared" si="12"/>
        <v>0</v>
      </c>
      <c r="BC24" s="1">
        <f t="shared" si="13"/>
        <v>55.87976797959179</v>
      </c>
      <c r="BD24" s="1">
        <f t="shared" si="14"/>
        <v>113.38275514896277</v>
      </c>
    </row>
    <row r="25" spans="25:56" x14ac:dyDescent="0.2">
      <c r="Y25" t="s">
        <v>462</v>
      </c>
      <c r="Z25" s="56" t="s">
        <v>333</v>
      </c>
      <c r="AA25" s="75">
        <f>VLOOKUP($Z25,Assumptions!$B$29:$M$31,Assumptions!D$4-Assumptions!$C$4+1,FALSE)</f>
        <v>0</v>
      </c>
      <c r="AB25" s="75">
        <f>VLOOKUP($Z25,Assumptions!$B$29:$M$31,Assumptions!E$4-Assumptions!$C$4+1,FALSE)</f>
        <v>0.05</v>
      </c>
      <c r="AC25" s="75">
        <f>VLOOKUP($Z25,Assumptions!$B$29:$M$31,Assumptions!F$4-Assumptions!$C$4+1,FALSE)</f>
        <v>0.05</v>
      </c>
      <c r="AD25" s="75">
        <f>VLOOKUP($Z25,Assumptions!$B$29:$M$31,Assumptions!G$4-Assumptions!$C$4+1,FALSE)</f>
        <v>0.05</v>
      </c>
      <c r="AE25" s="75">
        <f>VLOOKUP($Z25,Assumptions!$B$29:$M$31,Assumptions!H$4-Assumptions!$C$4+1,FALSE)</f>
        <v>0.05</v>
      </c>
      <c r="AF25" s="75">
        <f>VLOOKUP($Z25,Assumptions!$B$29:$M$31,Assumptions!I$4-Assumptions!$C$4+1,FALSE)</f>
        <v>0.05</v>
      </c>
      <c r="AG25" s="75">
        <f>VLOOKUP($Z25,Assumptions!$B$29:$M$31,Assumptions!J$4-Assumptions!$C$4+1,FALSE)</f>
        <v>0.05</v>
      </c>
      <c r="AH25" s="75">
        <f>VLOOKUP($Z25,Assumptions!$B$29:$M$31,Assumptions!K$4-Assumptions!$C$4+1,FALSE)</f>
        <v>0.05</v>
      </c>
      <c r="AI25" s="75">
        <f>VLOOKUP($Z25,Assumptions!$B$29:$M$31,Assumptions!L$4-Assumptions!$C$4+1,FALSE)</f>
        <v>0.05</v>
      </c>
      <c r="AJ25" s="75">
        <f>VLOOKUP($Z25,Assumptions!$B$29:$M$31,Assumptions!M$4-Assumptions!$C$4+1,FALSE)</f>
        <v>0.05</v>
      </c>
      <c r="AK25" s="75">
        <f>VLOOKUP($Z25,Assumptions!$B$29:$M$31,Assumptions!N$4-Assumptions!$C$4+1,FALSE)</f>
        <v>0.05</v>
      </c>
      <c r="AM25" s="60">
        <v>2006</v>
      </c>
      <c r="AN25" s="1">
        <v>-199.98396096961488</v>
      </c>
      <c r="AO25" s="1">
        <v>-116.25279683308042</v>
      </c>
      <c r="AP25" s="1">
        <v>-28.545925535837021</v>
      </c>
      <c r="AQ25" s="1">
        <v>63.285564418845937</v>
      </c>
      <c r="AR25" s="1">
        <v>159.39470735210921</v>
      </c>
      <c r="AS25" s="1">
        <v>259.93873536429868</v>
      </c>
      <c r="AT25" s="1">
        <v>365.07915396036827</v>
      </c>
      <c r="AW25" s="60">
        <v>2006</v>
      </c>
      <c r="AX25" s="1">
        <f t="shared" si="8"/>
        <v>-359.37866832172409</v>
      </c>
      <c r="AY25" s="1">
        <f t="shared" si="9"/>
        <v>-275.64750418518963</v>
      </c>
      <c r="AZ25" s="1">
        <f t="shared" si="10"/>
        <v>-187.94063288794624</v>
      </c>
      <c r="BA25" s="1">
        <f t="shared" si="11"/>
        <v>-96.109142933263271</v>
      </c>
      <c r="BB25" s="1">
        <f t="shared" si="12"/>
        <v>0</v>
      </c>
      <c r="BC25" s="1">
        <f t="shared" si="13"/>
        <v>100.54402801218947</v>
      </c>
      <c r="BD25" s="1">
        <f t="shared" si="14"/>
        <v>205.68444660825907</v>
      </c>
    </row>
    <row r="26" spans="25:56" x14ac:dyDescent="0.2">
      <c r="Y26" t="s">
        <v>470</v>
      </c>
      <c r="Z26" s="56" t="s">
        <v>335</v>
      </c>
      <c r="AA26" s="75">
        <f>VLOOKUP($Z26,Assumptions!$B$33:$M$35,Assumptions!D$4-Assumptions!$C$4+1,FALSE)</f>
        <v>0</v>
      </c>
      <c r="AB26" s="75">
        <f>VLOOKUP($Z26,Assumptions!$B$33:$M$35,Assumptions!E$4-Assumptions!$C$4+1,FALSE)</f>
        <v>0</v>
      </c>
      <c r="AC26" s="75">
        <f>VLOOKUP($Z26,Assumptions!$B$33:$M$35,Assumptions!F$4-Assumptions!$C$4+1,FALSE)</f>
        <v>0</v>
      </c>
      <c r="AD26" s="75">
        <f>VLOOKUP($Z26,Assumptions!$B$33:$M$35,Assumptions!G$4-Assumptions!$C$4+1,FALSE)</f>
        <v>0</v>
      </c>
      <c r="AE26" s="75">
        <f>VLOOKUP($Z26,Assumptions!$B$33:$M$35,Assumptions!H$4-Assumptions!$C$4+1,FALSE)</f>
        <v>0</v>
      </c>
      <c r="AF26" s="75">
        <f>VLOOKUP($Z26,Assumptions!$B$33:$M$35,Assumptions!I$4-Assumptions!$C$4+1,FALSE)</f>
        <v>0</v>
      </c>
      <c r="AG26" s="75">
        <f>VLOOKUP($Z26,Assumptions!$B$33:$M$35,Assumptions!J$4-Assumptions!$C$4+1,FALSE)</f>
        <v>0</v>
      </c>
      <c r="AH26" s="75">
        <f>VLOOKUP($Z26,Assumptions!$B$33:$M$35,Assumptions!K$4-Assumptions!$C$4+1,FALSE)</f>
        <v>0</v>
      </c>
      <c r="AI26" s="75">
        <f>VLOOKUP($Z26,Assumptions!$B$33:$M$35,Assumptions!L$4-Assumptions!$C$4+1,FALSE)</f>
        <v>0</v>
      </c>
      <c r="AJ26" s="75">
        <f>VLOOKUP($Z26,Assumptions!$B$33:$M$35,Assumptions!M$4-Assumptions!$C$4+1,FALSE)</f>
        <v>0</v>
      </c>
      <c r="AK26" s="75">
        <f>VLOOKUP($Z26,Assumptions!$B$33:$M$35,Assumptions!N$4-Assumptions!$C$4+1,FALSE)</f>
        <v>0</v>
      </c>
      <c r="AM26" s="60">
        <v>2007</v>
      </c>
      <c r="AN26" s="1">
        <v>-199.98396096961488</v>
      </c>
      <c r="AO26" s="1">
        <v>-115.13080173757609</v>
      </c>
      <c r="AP26" s="1">
        <v>-26.165285450125804</v>
      </c>
      <c r="AQ26" s="1">
        <v>67.071797265361454</v>
      </c>
      <c r="AR26" s="1">
        <v>164.74432500071271</v>
      </c>
      <c r="AS26" s="1">
        <v>267.02094070649906</v>
      </c>
      <c r="AT26" s="1">
        <v>374.07514797477836</v>
      </c>
      <c r="AW26" s="60">
        <v>2007</v>
      </c>
      <c r="AX26" s="1">
        <f t="shared" si="8"/>
        <v>-364.72828597032759</v>
      </c>
      <c r="AY26" s="1">
        <f t="shared" si="9"/>
        <v>-279.87512673828883</v>
      </c>
      <c r="AZ26" s="1">
        <f t="shared" si="10"/>
        <v>-190.9096104508385</v>
      </c>
      <c r="BA26" s="1">
        <f t="shared" si="11"/>
        <v>-97.672527735351252</v>
      </c>
      <c r="BB26" s="1">
        <f t="shared" si="12"/>
        <v>0</v>
      </c>
      <c r="BC26" s="1">
        <f t="shared" si="13"/>
        <v>102.27661570578636</v>
      </c>
      <c r="BD26" s="1">
        <f t="shared" si="14"/>
        <v>209.33082297406565</v>
      </c>
    </row>
    <row r="27" spans="25:56" x14ac:dyDescent="0.2">
      <c r="AM27" s="60">
        <v>2008</v>
      </c>
      <c r="AN27" s="1">
        <v>-199.98396096961488</v>
      </c>
      <c r="AO27" s="1">
        <v>-113.99758669111672</v>
      </c>
      <c r="AP27" s="1">
        <v>-23.737032562700346</v>
      </c>
      <c r="AQ27" s="1">
        <v>70.971617097272429</v>
      </c>
      <c r="AR27" s="1">
        <v>170.30792735526035</v>
      </c>
      <c r="AS27" s="1">
        <v>274.4572563158095</v>
      </c>
      <c r="AT27" s="1">
        <v>383.61090163005281</v>
      </c>
      <c r="AW27" s="60">
        <v>2008</v>
      </c>
      <c r="AX27" s="1">
        <f t="shared" si="8"/>
        <v>-370.29188832487523</v>
      </c>
      <c r="AY27" s="1">
        <f t="shared" si="9"/>
        <v>-284.30551404637708</v>
      </c>
      <c r="AZ27" s="1">
        <f t="shared" si="10"/>
        <v>-194.04495991796068</v>
      </c>
      <c r="BA27" s="1">
        <f t="shared" si="11"/>
        <v>-99.336310257987918</v>
      </c>
      <c r="BB27" s="1">
        <f t="shared" si="12"/>
        <v>0</v>
      </c>
      <c r="BC27" s="1">
        <f t="shared" si="13"/>
        <v>104.14932896054916</v>
      </c>
      <c r="BD27" s="1">
        <f t="shared" si="14"/>
        <v>213.30297427479246</v>
      </c>
    </row>
    <row r="28" spans="25:56" x14ac:dyDescent="0.2">
      <c r="Y28" s="24" t="s">
        <v>330</v>
      </c>
      <c r="AM28" s="60">
        <v>2009</v>
      </c>
      <c r="AN28" s="1">
        <v>-199.98396096961488</v>
      </c>
      <c r="AO28" s="1">
        <v>-112.85303949419277</v>
      </c>
      <c r="AP28" s="1">
        <v>-21.26021461752638</v>
      </c>
      <c r="AQ28" s="1">
        <v>74.988431524140722</v>
      </c>
      <c r="AR28" s="1">
        <v>176.09407380398991</v>
      </c>
      <c r="AS28" s="1">
        <v>282.26538770558545</v>
      </c>
      <c r="AT28" s="1">
        <v>393.71880050464387</v>
      </c>
      <c r="AW28" s="60">
        <v>2009</v>
      </c>
      <c r="AX28" s="1">
        <f t="shared" si="8"/>
        <v>-376.07803477360483</v>
      </c>
      <c r="AY28" s="1">
        <f t="shared" si="9"/>
        <v>-288.94711329818267</v>
      </c>
      <c r="AZ28" s="1">
        <f t="shared" si="10"/>
        <v>-197.35428842151629</v>
      </c>
      <c r="BA28" s="1">
        <f t="shared" si="11"/>
        <v>-101.10564227984919</v>
      </c>
      <c r="BB28" s="1">
        <f t="shared" si="12"/>
        <v>0</v>
      </c>
      <c r="BC28" s="1">
        <f t="shared" si="13"/>
        <v>106.17131390159554</v>
      </c>
      <c r="BD28" s="1">
        <f t="shared" si="14"/>
        <v>217.62472670065395</v>
      </c>
    </row>
    <row r="29" spans="25:56" x14ac:dyDescent="0.2">
      <c r="Y29" t="s">
        <v>345</v>
      </c>
      <c r="AA29" s="1">
        <v>0</v>
      </c>
      <c r="AB29" s="1">
        <v>10.756035662529184</v>
      </c>
      <c r="AC29" s="1">
        <v>35.832266862489334</v>
      </c>
      <c r="AD29" s="1">
        <v>39.245478556824963</v>
      </c>
      <c r="AE29" s="1">
        <v>42.970445585320036</v>
      </c>
      <c r="AF29" s="1">
        <v>52.143557908628722</v>
      </c>
      <c r="AG29" s="1">
        <v>69.583640188744354</v>
      </c>
      <c r="AH29" s="1">
        <v>75.302865202078792</v>
      </c>
      <c r="AI29" s="1">
        <v>81.496231143874084</v>
      </c>
      <c r="AJ29" s="1">
        <v>88.207738051769084</v>
      </c>
      <c r="AK29" s="1">
        <v>95.479849678701058</v>
      </c>
      <c r="AM29" s="60">
        <v>2010</v>
      </c>
      <c r="AN29" s="1">
        <v>-199.98396096961488</v>
      </c>
      <c r="AO29" s="1">
        <v>-111.69704682529959</v>
      </c>
      <c r="AP29" s="1">
        <v>-18.73386031344894</v>
      </c>
      <c r="AQ29" s="1">
        <v>79.125750383815102</v>
      </c>
      <c r="AR29" s="1">
        <v>182.11166611066864</v>
      </c>
      <c r="AS29" s="1">
        <v>290.46392566485025</v>
      </c>
      <c r="AT29" s="1">
        <v>404.43317331171045</v>
      </c>
      <c r="AW29" s="60">
        <v>2010</v>
      </c>
      <c r="AX29" s="1">
        <f t="shared" si="8"/>
        <v>-382.09562708028352</v>
      </c>
      <c r="AY29" s="1">
        <f t="shared" si="9"/>
        <v>-293.80871293596823</v>
      </c>
      <c r="AZ29" s="1">
        <f t="shared" si="10"/>
        <v>-200.84552642411757</v>
      </c>
      <c r="BA29" s="1">
        <f t="shared" si="11"/>
        <v>-102.98591572685353</v>
      </c>
      <c r="BB29" s="1">
        <f t="shared" si="12"/>
        <v>0</v>
      </c>
      <c r="BC29" s="1">
        <f t="shared" si="13"/>
        <v>108.35225955418161</v>
      </c>
      <c r="BD29" s="1">
        <f t="shared" si="14"/>
        <v>222.32150720104181</v>
      </c>
    </row>
    <row r="30" spans="25:56" x14ac:dyDescent="0.2">
      <c r="Y30" t="s">
        <v>346</v>
      </c>
      <c r="AA30" s="1">
        <v>0</v>
      </c>
      <c r="AB30" s="1">
        <v>50.023738531277033</v>
      </c>
      <c r="AC30" s="1">
        <v>137.20197323796901</v>
      </c>
      <c r="AD30" s="1">
        <v>148.68940890994875</v>
      </c>
      <c r="AE30" s="1">
        <v>161.15383946608526</v>
      </c>
      <c r="AF30" s="1">
        <v>230.59409061717975</v>
      </c>
      <c r="AG30" s="1">
        <v>324.10833951693053</v>
      </c>
      <c r="AH30" s="1">
        <v>346.70586578936411</v>
      </c>
      <c r="AI30" s="1">
        <v>370.97025140019343</v>
      </c>
      <c r="AJ30" s="1">
        <v>397.04274669471476</v>
      </c>
      <c r="AK30" s="1">
        <v>425.06100279722597</v>
      </c>
    </row>
    <row r="32" spans="25:56" ht="13.5" thickBot="1" x14ac:dyDescent="0.25">
      <c r="Y32" s="36" t="s">
        <v>344</v>
      </c>
      <c r="Z32" s="27"/>
      <c r="AA32" s="29">
        <f t="shared" ref="AA32:AK32" si="15">SUM(AA29:AA30)</f>
        <v>0</v>
      </c>
      <c r="AB32" s="29">
        <f t="shared" si="15"/>
        <v>60.779774193806219</v>
      </c>
      <c r="AC32" s="29">
        <f t="shared" si="15"/>
        <v>173.03424010045836</v>
      </c>
      <c r="AD32" s="29">
        <f t="shared" si="15"/>
        <v>187.93488746677372</v>
      </c>
      <c r="AE32" s="29">
        <f t="shared" si="15"/>
        <v>204.12428505140531</v>
      </c>
      <c r="AF32" s="29">
        <f t="shared" si="15"/>
        <v>282.73764852580848</v>
      </c>
      <c r="AG32" s="29">
        <f t="shared" si="15"/>
        <v>393.6919797056749</v>
      </c>
      <c r="AH32" s="29">
        <f t="shared" si="15"/>
        <v>422.00873099144292</v>
      </c>
      <c r="AI32" s="29">
        <f t="shared" si="15"/>
        <v>452.4664825440675</v>
      </c>
      <c r="AJ32" s="29">
        <f t="shared" si="15"/>
        <v>485.25048474648383</v>
      </c>
      <c r="AK32" s="29">
        <f t="shared" si="15"/>
        <v>520.54085247592707</v>
      </c>
      <c r="AM32" t="s">
        <v>548</v>
      </c>
      <c r="AW32" t="s">
        <v>548</v>
      </c>
    </row>
    <row r="33" spans="25:53" ht="13.5" thickTop="1" x14ac:dyDescent="0.2">
      <c r="AN33" s="2">
        <v>0</v>
      </c>
      <c r="AO33" s="63">
        <v>5.0000000000000001E-3</v>
      </c>
      <c r="AP33" s="63">
        <v>0.01</v>
      </c>
      <c r="AQ33" s="63">
        <v>1.4999999999999999E-2</v>
      </c>
      <c r="AR33" s="63"/>
      <c r="AS33" s="63"/>
      <c r="AT33" s="75"/>
      <c r="AX33" s="2">
        <v>0</v>
      </c>
      <c r="AY33" s="63">
        <v>5.0000000000000001E-3</v>
      </c>
      <c r="AZ33" s="63">
        <v>0.01</v>
      </c>
      <c r="BA33" s="63">
        <v>1.4999999999999999E-2</v>
      </c>
    </row>
    <row r="34" spans="25:53" x14ac:dyDescent="0.2">
      <c r="Y34" t="s">
        <v>543</v>
      </c>
      <c r="AM34" s="60">
        <v>2000</v>
      </c>
      <c r="AO34" s="1">
        <v>0</v>
      </c>
      <c r="AP34" s="1">
        <v>0</v>
      </c>
      <c r="AQ34" s="1">
        <v>0</v>
      </c>
      <c r="AR34" s="1"/>
      <c r="AS34" s="1"/>
      <c r="AT34" s="1"/>
      <c r="AW34" s="60">
        <v>2000</v>
      </c>
      <c r="AX34" s="16">
        <f t="shared" ref="AX34:AX44" si="16">AN50-AN50</f>
        <v>0</v>
      </c>
      <c r="AY34" s="1">
        <f t="shared" ref="AY34:AY44" si="17">AO34-AN50</f>
        <v>0</v>
      </c>
      <c r="AZ34" s="1">
        <f t="shared" ref="AZ34:AZ44" si="18">AP34-AN50</f>
        <v>0</v>
      </c>
      <c r="BA34" s="1">
        <f t="shared" ref="BA34:BA44" si="19">AQ34-AN50</f>
        <v>0</v>
      </c>
    </row>
    <row r="35" spans="25:53" x14ac:dyDescent="0.2">
      <c r="AA35" s="35" t="s">
        <v>333</v>
      </c>
      <c r="AM35" s="60">
        <v>2001</v>
      </c>
      <c r="AO35" s="1">
        <v>11.275261412389673</v>
      </c>
      <c r="AP35" s="1">
        <v>7.9752195677676729</v>
      </c>
      <c r="AQ35" s="1">
        <v>4.6751777231458425</v>
      </c>
      <c r="AR35" s="1"/>
      <c r="AS35" s="1"/>
      <c r="AT35" s="1"/>
      <c r="AW35" s="60">
        <v>2001</v>
      </c>
      <c r="AX35" s="16">
        <f t="shared" si="16"/>
        <v>0</v>
      </c>
      <c r="AY35" s="1">
        <f t="shared" si="17"/>
        <v>-3.3000418446219957</v>
      </c>
      <c r="AZ35" s="1">
        <f t="shared" si="18"/>
        <v>-6.6000836892439958</v>
      </c>
      <c r="BA35" s="1">
        <f t="shared" si="19"/>
        <v>-9.9001255338658254</v>
      </c>
    </row>
    <row r="36" spans="25:53" x14ac:dyDescent="0.2">
      <c r="Y36" s="8" t="s">
        <v>442</v>
      </c>
      <c r="Z36" s="8" t="s">
        <v>332</v>
      </c>
      <c r="AA36" s="8">
        <v>2000</v>
      </c>
      <c r="AB36" s="8">
        <v>2001</v>
      </c>
      <c r="AC36" s="8">
        <v>2002</v>
      </c>
      <c r="AD36" s="8">
        <v>2003</v>
      </c>
      <c r="AE36" s="8">
        <v>2004</v>
      </c>
      <c r="AF36" s="8">
        <v>2005</v>
      </c>
      <c r="AG36" s="8">
        <v>2006</v>
      </c>
      <c r="AH36" s="8">
        <v>2007</v>
      </c>
      <c r="AI36" s="8">
        <v>2008</v>
      </c>
      <c r="AJ36" s="8">
        <v>2009</v>
      </c>
      <c r="AK36" s="8">
        <v>2010</v>
      </c>
      <c r="AM36" s="60">
        <v>2002</v>
      </c>
      <c r="AO36" s="1">
        <v>35.927509129722118</v>
      </c>
      <c r="AP36" s="1">
        <v>22.816267178865626</v>
      </c>
      <c r="AQ36" s="1">
        <v>9.7549980634480136</v>
      </c>
      <c r="AR36" s="1"/>
      <c r="AS36" s="1"/>
      <c r="AT36" s="1"/>
      <c r="AW36" s="60">
        <v>2002</v>
      </c>
      <c r="AX36" s="16">
        <f t="shared" si="16"/>
        <v>0</v>
      </c>
      <c r="AY36" s="1">
        <f t="shared" si="17"/>
        <v>-13.161214786295901</v>
      </c>
      <c r="AZ36" s="1">
        <f t="shared" si="18"/>
        <v>-26.272456737152392</v>
      </c>
      <c r="BA36" s="1">
        <f t="shared" si="19"/>
        <v>-39.333725852570005</v>
      </c>
    </row>
    <row r="37" spans="25:53" x14ac:dyDescent="0.2">
      <c r="Y37" t="s">
        <v>318</v>
      </c>
      <c r="Z37" s="56" t="s">
        <v>335</v>
      </c>
      <c r="AA37" s="17">
        <f>Assumptions!C$5</f>
        <v>6.0900000000000003E-2</v>
      </c>
      <c r="AB37" s="17">
        <f>VLOOKUP($Z37,Assumptions!$B$5:$M$7,(Assumptions!E$4-Assumptions!$C$4+1),FALSE)</f>
        <v>4.5699999999999998E-2</v>
      </c>
      <c r="AC37" s="17">
        <f>VLOOKUP($Z37,Assumptions!$B$5:$M$7,(Assumptions!F$4-Assumptions!$C$4+1),FALSE)</f>
        <v>4.5100000000000001E-2</v>
      </c>
      <c r="AD37" s="17">
        <f>VLOOKUP($Z37,Assumptions!$B$5:$M$7,(Assumptions!G$4-Assumptions!$C$4+1),FALSE)</f>
        <v>4.4900000000000002E-2</v>
      </c>
      <c r="AE37" s="17">
        <f>VLOOKUP($Z37,Assumptions!$B$5:$M$7,(Assumptions!H$4-Assumptions!$C$4+1),FALSE)</f>
        <v>4.4900000000000002E-2</v>
      </c>
      <c r="AF37" s="17">
        <f>VLOOKUP($Z37,Assumptions!$B$5:$M$7,(Assumptions!I$4-Assumptions!$C$4+1),FALSE)</f>
        <v>4.4600000000000001E-2</v>
      </c>
      <c r="AG37" s="17">
        <f>VLOOKUP($Z37,Assumptions!$B$5:$M$7,(Assumptions!J$4-Assumptions!$C$4+1),FALSE)</f>
        <v>4.4400000000000002E-2</v>
      </c>
      <c r="AH37" s="17">
        <f>VLOOKUP($Z37,Assumptions!$B$5:$M$7,(Assumptions!K$4-Assumptions!$C$4+1),FALSE)</f>
        <v>4.4200000000000003E-2</v>
      </c>
      <c r="AI37" s="17">
        <f>VLOOKUP($Z37,Assumptions!$B$5:$M$7,(Assumptions!L$4-Assumptions!$C$4+1),FALSE)</f>
        <v>4.41E-2</v>
      </c>
      <c r="AJ37" s="17">
        <f>VLOOKUP($Z37,Assumptions!$B$5:$M$7,(Assumptions!M$4-Assumptions!$C$4+1),FALSE)</f>
        <v>4.3999999999999997E-2</v>
      </c>
      <c r="AK37" s="17">
        <f>VLOOKUP($Z37,Assumptions!$B$5:$M$7,(Assumptions!N$4-Assumptions!$C$4+1),FALSE)</f>
        <v>4.3900000000000002E-2</v>
      </c>
      <c r="AM37" s="60">
        <v>2003</v>
      </c>
      <c r="AO37" s="1">
        <v>39.374702480646796</v>
      </c>
      <c r="AP37" s="1">
        <v>25.674098226975136</v>
      </c>
      <c r="AQ37" s="1">
        <v>12.034443972065915</v>
      </c>
      <c r="AR37" s="1"/>
      <c r="AS37" s="1"/>
      <c r="AT37" s="1"/>
      <c r="AW37" s="60">
        <v>2003</v>
      </c>
      <c r="AX37" s="16">
        <f t="shared" si="16"/>
        <v>0</v>
      </c>
      <c r="AY37" s="1">
        <f t="shared" si="17"/>
        <v>-13.761633525194611</v>
      </c>
      <c r="AZ37" s="1">
        <f t="shared" si="18"/>
        <v>-27.462237778866271</v>
      </c>
      <c r="BA37" s="1">
        <f t="shared" si="19"/>
        <v>-41.101892033775492</v>
      </c>
    </row>
    <row r="38" spans="25:53" x14ac:dyDescent="0.2">
      <c r="Y38" t="s">
        <v>316</v>
      </c>
      <c r="Z38" t="str">
        <f>Z37</f>
        <v>Low</v>
      </c>
      <c r="AA38" s="17">
        <f>Assumptions!C$13</f>
        <v>3.5700000000000003E-2</v>
      </c>
      <c r="AB38" s="17">
        <f>VLOOKUP($Z38,Assumptions!$B$13:$M$15,Assumptions!E$4-Assumptions!$C$4+1,FALSE)</f>
        <v>8.5000000000000006E-3</v>
      </c>
      <c r="AC38" s="17">
        <f>VLOOKUP($Z38,Assumptions!$B$13:$M$15,Assumptions!F$4-Assumptions!$C$4+1,FALSE)</f>
        <v>7.4999999999999997E-3</v>
      </c>
      <c r="AD38" s="17">
        <f>VLOOKUP($Z38,Assumptions!$B$13:$M$15,Assumptions!G$4-Assumptions!$C$4+1,FALSE)</f>
        <v>6.5000000000000023E-3</v>
      </c>
      <c r="AE38" s="17">
        <f>VLOOKUP($Z38,Assumptions!$B$13:$M$15,Assumptions!H$4-Assumptions!$C$4+1,FALSE)</f>
        <v>6.0000000000000019E-3</v>
      </c>
      <c r="AF38" s="17">
        <f>VLOOKUP($Z38,Assumptions!$B$13:$M$15,Assumptions!I$4-Assumptions!$C$4+1,FALSE)</f>
        <v>5.5000000000000014E-3</v>
      </c>
      <c r="AG38" s="17">
        <f>VLOOKUP($Z38,Assumptions!$B$13:$M$15,Assumptions!J$4-Assumptions!$C$4+1,FALSE)</f>
        <v>4.6999999999999993E-3</v>
      </c>
      <c r="AH38" s="17">
        <f>VLOOKUP($Z38,Assumptions!$B$13:$M$15,Assumptions!K$4-Assumptions!$C$4+1,FALSE)</f>
        <v>4.2000000000000023E-3</v>
      </c>
      <c r="AI38" s="17">
        <f>VLOOKUP($Z38,Assumptions!$B$13:$M$15,Assumptions!L$4-Assumptions!$C$4+1,FALSE)</f>
        <v>3.7000000000000019E-3</v>
      </c>
      <c r="AJ38" s="17">
        <f>VLOOKUP($Z38,Assumptions!$B$13:$M$15,Assumptions!M$4-Assumptions!$C$4+1,FALSE)</f>
        <v>3.3000000000000008E-3</v>
      </c>
      <c r="AK38" s="17">
        <f>VLOOKUP($Z38,Assumptions!$B$13:$M$15,Assumptions!N$4-Assumptions!$C$4+1,FALSE)</f>
        <v>2.8999999999999998E-3</v>
      </c>
      <c r="AM38" s="60">
        <v>2004</v>
      </c>
      <c r="AO38" s="1">
        <v>42.92772466744487</v>
      </c>
      <c r="AP38" s="1">
        <v>28.605375533021075</v>
      </c>
      <c r="AQ38" s="1">
        <v>14.361074410992208</v>
      </c>
      <c r="AR38" s="1"/>
      <c r="AS38" s="1"/>
      <c r="AT38" s="1"/>
      <c r="AW38" s="60">
        <v>2004</v>
      </c>
      <c r="AX38" s="16">
        <f t="shared" si="16"/>
        <v>0</v>
      </c>
      <c r="AY38" s="1">
        <f t="shared" si="17"/>
        <v>-14.400723179826613</v>
      </c>
      <c r="AZ38" s="1">
        <f t="shared" si="18"/>
        <v>-28.723072314250409</v>
      </c>
      <c r="BA38" s="1">
        <f t="shared" si="19"/>
        <v>-42.967373436279274</v>
      </c>
    </row>
    <row r="39" spans="25:53" x14ac:dyDescent="0.2">
      <c r="Y39" t="s">
        <v>317</v>
      </c>
      <c r="Z39" t="str">
        <f>Z37</f>
        <v>Low</v>
      </c>
      <c r="AA39" s="17">
        <f>Assumptions!C$17</f>
        <v>4.6300000000000001E-2</v>
      </c>
      <c r="AB39" s="17">
        <f>VLOOKUP($Z39,Assumptions!$B$17:$M$19,Assumptions!E$4-Assumptions!$C$4+1,FALSE)</f>
        <v>9.5000000000000015E-3</v>
      </c>
      <c r="AC39" s="17">
        <f>VLOOKUP($Z39,Assumptions!$B$17:$M$19,Assumptions!F$4-Assumptions!$C$4+1,FALSE)</f>
        <v>6.5000000000000023E-3</v>
      </c>
      <c r="AD39" s="17">
        <f>VLOOKUP($Z39,Assumptions!$B$17:$M$19,Assumptions!G$4-Assumptions!$C$4+1,FALSE)</f>
        <v>4.5000000000000005E-3</v>
      </c>
      <c r="AE39" s="17">
        <f>VLOOKUP($Z39,Assumptions!$B$17:$M$19,Assumptions!H$4-Assumptions!$C$4+1,FALSE)</f>
        <v>2.8000000000000004E-3</v>
      </c>
      <c r="AF39" s="17">
        <f>VLOOKUP($Z39,Assumptions!$B$17:$M$19,Assumptions!I$4-Assumptions!$C$4+1,FALSE)</f>
        <v>1.5000000000000013E-3</v>
      </c>
      <c r="AG39" s="17">
        <f>VLOOKUP($Z39,Assumptions!$B$17:$M$19,Assumptions!J$4-Assumptions!$C$4+1,FALSE)</f>
        <v>0</v>
      </c>
      <c r="AH39" s="17">
        <f>VLOOKUP($Z39,Assumptions!$B$17:$M$19,Assumptions!K$4-Assumptions!$C$4+1,FALSE)</f>
        <v>0</v>
      </c>
      <c r="AI39" s="17">
        <f>VLOOKUP($Z39,Assumptions!$B$17:$M$19,Assumptions!L$4-Assumptions!$C$4+1,FALSE)</f>
        <v>0</v>
      </c>
      <c r="AJ39" s="17">
        <f>VLOOKUP($Z39,Assumptions!$B$17:$M$19,Assumptions!M$4-Assumptions!$C$4+1,FALSE)</f>
        <v>0</v>
      </c>
      <c r="AK39" s="17">
        <f>VLOOKUP($Z39,Assumptions!$B$17:$M$19,Assumptions!N$4-Assumptions!$C$4+1,FALSE)</f>
        <v>0</v>
      </c>
      <c r="AM39" s="60">
        <v>2005</v>
      </c>
      <c r="AO39" s="1">
        <v>81.624957946398311</v>
      </c>
      <c r="AP39" s="1">
        <v>54.532650373491578</v>
      </c>
      <c r="AQ39" s="1">
        <v>27.827534914522094</v>
      </c>
      <c r="AR39" s="1"/>
      <c r="AS39" s="1"/>
      <c r="AT39" s="1"/>
      <c r="AW39" s="60">
        <v>2005</v>
      </c>
      <c r="AX39" s="16">
        <f t="shared" si="16"/>
        <v>0</v>
      </c>
      <c r="AY39" s="1">
        <f t="shared" si="17"/>
        <v>-27.484503718991149</v>
      </c>
      <c r="AZ39" s="1">
        <f t="shared" si="18"/>
        <v>-54.576811291897883</v>
      </c>
      <c r="BA39" s="1">
        <f t="shared" si="19"/>
        <v>-81.28192675086737</v>
      </c>
    </row>
    <row r="40" spans="25:53" x14ac:dyDescent="0.2">
      <c r="Y40" t="s">
        <v>322</v>
      </c>
      <c r="Z40" s="56" t="s">
        <v>334</v>
      </c>
      <c r="AA40" s="75">
        <f>VLOOKUP($Z40,Assumptions!$B$21:$M$23,Assumptions!D$4-Assumptions!$C$4+1,FALSE)</f>
        <v>1.4999999999999999E-2</v>
      </c>
      <c r="AB40" s="75">
        <f>VLOOKUP($Z40,Assumptions!$B$21:$M$23,Assumptions!E$4-Assumptions!$C$4+1,FALSE)</f>
        <v>1.4999999999999999E-2</v>
      </c>
      <c r="AC40" s="75">
        <f>VLOOKUP($Z40,Assumptions!$B$21:$M$23,Assumptions!F$4-Assumptions!$C$4+1,FALSE)</f>
        <v>1.4999999999999999E-2</v>
      </c>
      <c r="AD40" s="75">
        <f>VLOOKUP($Z40,Assumptions!$B$21:$M$23,Assumptions!G$4-Assumptions!$C$4+1,FALSE)</f>
        <v>1.4999999999999999E-2</v>
      </c>
      <c r="AE40" s="75">
        <f>VLOOKUP($Z40,Assumptions!$B$21:$M$23,Assumptions!H$4-Assumptions!$C$4+1,FALSE)</f>
        <v>1.4999999999999999E-2</v>
      </c>
      <c r="AF40" s="75">
        <f>VLOOKUP($Z40,Assumptions!$B$21:$M$23,Assumptions!I$4-Assumptions!$C$4+1,FALSE)</f>
        <v>1.4999999999999999E-2</v>
      </c>
      <c r="AG40" s="75">
        <f>VLOOKUP($Z40,Assumptions!$B$21:$M$23,Assumptions!J$4-Assumptions!$C$4+1,FALSE)</f>
        <v>1.4999999999999999E-2</v>
      </c>
      <c r="AH40" s="75">
        <f>VLOOKUP($Z40,Assumptions!$B$21:$M$23,Assumptions!K$4-Assumptions!$C$4+1,FALSE)</f>
        <v>1.4999999999999999E-2</v>
      </c>
      <c r="AI40" s="75">
        <f>VLOOKUP($Z40,Assumptions!$B$21:$M$23,Assumptions!L$4-Assumptions!$C$4+1,FALSE)</f>
        <v>1.4999999999999999E-2</v>
      </c>
      <c r="AJ40" s="75">
        <f>VLOOKUP($Z40,Assumptions!$B$21:$M$23,Assumptions!M$4-Assumptions!$C$4+1,FALSE)</f>
        <v>1.4999999999999999E-2</v>
      </c>
      <c r="AK40" s="75">
        <f>VLOOKUP($Z40,Assumptions!$B$21:$M$23,Assumptions!N$4-Assumptions!$C$4+1,FALSE)</f>
        <v>1.4999999999999999E-2</v>
      </c>
      <c r="AM40" s="60">
        <v>2006</v>
      </c>
      <c r="AO40" s="1">
        <v>132.61767875188244</v>
      </c>
      <c r="AP40" s="1">
        <v>84.627015269947705</v>
      </c>
      <c r="AQ40" s="1">
        <v>37.714140353303193</v>
      </c>
      <c r="AR40" s="1"/>
      <c r="AS40" s="1"/>
      <c r="AT40" s="1"/>
      <c r="AW40" s="60">
        <v>2006</v>
      </c>
      <c r="AX40" s="16">
        <f t="shared" si="16"/>
        <v>0</v>
      </c>
      <c r="AY40" s="1">
        <f t="shared" si="17"/>
        <v>-49.088084796523134</v>
      </c>
      <c r="AZ40" s="1">
        <f t="shared" si="18"/>
        <v>-97.078748278457866</v>
      </c>
      <c r="BA40" s="1">
        <f t="shared" si="19"/>
        <v>-143.99162319510236</v>
      </c>
    </row>
    <row r="41" spans="25:53" x14ac:dyDescent="0.2">
      <c r="Y41" t="s">
        <v>462</v>
      </c>
      <c r="Z41" s="56" t="s">
        <v>333</v>
      </c>
      <c r="AA41" s="75">
        <f>VLOOKUP($Z41,Assumptions!$B$29:$M$31,Assumptions!D$4-Assumptions!$C$4+1,FALSE)</f>
        <v>0</v>
      </c>
      <c r="AB41" s="75">
        <f>VLOOKUP($Z41,Assumptions!$B$29:$M$31,Assumptions!E$4-Assumptions!$C$4+1,FALSE)</f>
        <v>0.05</v>
      </c>
      <c r="AC41" s="75">
        <f>VLOOKUP($Z41,Assumptions!$B$29:$M$31,Assumptions!F$4-Assumptions!$C$4+1,FALSE)</f>
        <v>0.05</v>
      </c>
      <c r="AD41" s="75">
        <f>VLOOKUP($Z41,Assumptions!$B$29:$M$31,Assumptions!G$4-Assumptions!$C$4+1,FALSE)</f>
        <v>0.05</v>
      </c>
      <c r="AE41" s="75">
        <f>VLOOKUP($Z41,Assumptions!$B$29:$M$31,Assumptions!H$4-Assumptions!$C$4+1,FALSE)</f>
        <v>0.05</v>
      </c>
      <c r="AF41" s="75">
        <f>VLOOKUP($Z41,Assumptions!$B$29:$M$31,Assumptions!I$4-Assumptions!$C$4+1,FALSE)</f>
        <v>0.05</v>
      </c>
      <c r="AG41" s="75">
        <f>VLOOKUP($Z41,Assumptions!$B$29:$M$31,Assumptions!J$4-Assumptions!$C$4+1,FALSE)</f>
        <v>0.05</v>
      </c>
      <c r="AH41" s="75">
        <f>VLOOKUP($Z41,Assumptions!$B$29:$M$31,Assumptions!K$4-Assumptions!$C$4+1,FALSE)</f>
        <v>0.05</v>
      </c>
      <c r="AI41" s="75">
        <f>VLOOKUP($Z41,Assumptions!$B$29:$M$31,Assumptions!L$4-Assumptions!$C$4+1,FALSE)</f>
        <v>0.05</v>
      </c>
      <c r="AJ41" s="75">
        <f>VLOOKUP($Z41,Assumptions!$B$29:$M$31,Assumptions!M$4-Assumptions!$C$4+1,FALSE)</f>
        <v>0.05</v>
      </c>
      <c r="AK41" s="75">
        <f>VLOOKUP($Z41,Assumptions!$B$29:$M$31,Assumptions!N$4-Assumptions!$C$4+1,FALSE)</f>
        <v>0.05</v>
      </c>
      <c r="AM41" s="60">
        <v>2007</v>
      </c>
      <c r="AO41" s="1">
        <v>136.50808315044506</v>
      </c>
      <c r="AP41" s="1">
        <v>87.790152051572633</v>
      </c>
      <c r="AQ41" s="1">
        <v>40.188265992731196</v>
      </c>
      <c r="AR41" s="1"/>
      <c r="AS41" s="1"/>
      <c r="AT41" s="1"/>
      <c r="AW41" s="60">
        <v>2007</v>
      </c>
      <c r="AX41" s="16">
        <f t="shared" si="16"/>
        <v>0</v>
      </c>
      <c r="AY41" s="1">
        <f t="shared" si="17"/>
        <v>-49.85498656959507</v>
      </c>
      <c r="AZ41" s="1">
        <f t="shared" si="18"/>
        <v>-98.572917668467497</v>
      </c>
      <c r="BA41" s="1">
        <f t="shared" si="19"/>
        <v>-146.17480372730893</v>
      </c>
    </row>
    <row r="42" spans="25:53" x14ac:dyDescent="0.2">
      <c r="Y42" t="s">
        <v>470</v>
      </c>
      <c r="Z42" s="56" t="s">
        <v>335</v>
      </c>
      <c r="AA42" s="75">
        <f>VLOOKUP($Z42,Assumptions!$B$33:$M$35,Assumptions!D$4-Assumptions!$C$4+1,FALSE)</f>
        <v>0</v>
      </c>
      <c r="AB42" s="75">
        <f>VLOOKUP($Z42,Assumptions!$B$33:$M$35,Assumptions!E$4-Assumptions!$C$4+1,FALSE)</f>
        <v>0</v>
      </c>
      <c r="AC42" s="75">
        <f>VLOOKUP($Z42,Assumptions!$B$33:$M$35,Assumptions!F$4-Assumptions!$C$4+1,FALSE)</f>
        <v>0</v>
      </c>
      <c r="AD42" s="75">
        <f>VLOOKUP($Z42,Assumptions!$B$33:$M$35,Assumptions!G$4-Assumptions!$C$4+1,FALSE)</f>
        <v>0</v>
      </c>
      <c r="AE42" s="75">
        <f>VLOOKUP($Z42,Assumptions!$B$33:$M$35,Assumptions!H$4-Assumptions!$C$4+1,FALSE)</f>
        <v>0</v>
      </c>
      <c r="AF42" s="75">
        <f>VLOOKUP($Z42,Assumptions!$B$33:$M$35,Assumptions!I$4-Assumptions!$C$4+1,FALSE)</f>
        <v>0</v>
      </c>
      <c r="AG42" s="75">
        <f>VLOOKUP($Z42,Assumptions!$B$33:$M$35,Assumptions!J$4-Assumptions!$C$4+1,FALSE)</f>
        <v>0</v>
      </c>
      <c r="AH42" s="75">
        <f>VLOOKUP($Z42,Assumptions!$B$33:$M$35,Assumptions!K$4-Assumptions!$C$4+1,FALSE)</f>
        <v>0</v>
      </c>
      <c r="AI42" s="75">
        <f>VLOOKUP($Z42,Assumptions!$B$33:$M$35,Assumptions!L$4-Assumptions!$C$4+1,FALSE)</f>
        <v>0</v>
      </c>
      <c r="AJ42" s="75">
        <f>VLOOKUP($Z42,Assumptions!$B$33:$M$35,Assumptions!M$4-Assumptions!$C$4+1,FALSE)</f>
        <v>0</v>
      </c>
      <c r="AK42" s="75">
        <f>VLOOKUP($Z42,Assumptions!$B$33:$M$35,Assumptions!N$4-Assumptions!$C$4+1,FALSE)</f>
        <v>0</v>
      </c>
      <c r="AM42" s="60">
        <v>2008</v>
      </c>
      <c r="AO42" s="1">
        <v>140.51792296404358</v>
      </c>
      <c r="AP42" s="1">
        <v>91.034581448485341</v>
      </c>
      <c r="AQ42" s="1">
        <v>42.713606032895349</v>
      </c>
      <c r="AR42" s="1"/>
      <c r="AS42" s="1"/>
      <c r="AT42" s="1"/>
      <c r="AW42" s="60">
        <v>2008</v>
      </c>
      <c r="AX42" s="16">
        <f t="shared" si="16"/>
        <v>0</v>
      </c>
      <c r="AY42" s="1">
        <f t="shared" si="17"/>
        <v>-50.668718757958487</v>
      </c>
      <c r="AZ42" s="1">
        <f t="shared" si="18"/>
        <v>-100.15206027351672</v>
      </c>
      <c r="BA42" s="1">
        <f t="shared" si="19"/>
        <v>-148.47303568910672</v>
      </c>
    </row>
    <row r="43" spans="25:53" x14ac:dyDescent="0.2">
      <c r="AM43" s="60">
        <v>2009</v>
      </c>
      <c r="AO43" s="1">
        <v>144.65086485991955</v>
      </c>
      <c r="AP43" s="1">
        <v>94.362392680898679</v>
      </c>
      <c r="AQ43" s="1">
        <v>45.2912206118909</v>
      </c>
      <c r="AR43" s="1"/>
      <c r="AS43" s="1"/>
      <c r="AT43" s="1"/>
      <c r="AW43" s="60">
        <v>2009</v>
      </c>
      <c r="AX43" s="16">
        <f t="shared" si="16"/>
        <v>0</v>
      </c>
      <c r="AY43" s="1">
        <f t="shared" si="17"/>
        <v>-51.531550384514446</v>
      </c>
      <c r="AZ43" s="1">
        <f t="shared" si="18"/>
        <v>-101.82002256353532</v>
      </c>
      <c r="BA43" s="1">
        <f t="shared" si="19"/>
        <v>-150.89119463254309</v>
      </c>
    </row>
    <row r="44" spans="25:53" x14ac:dyDescent="0.2">
      <c r="Y44" s="24" t="s">
        <v>330</v>
      </c>
      <c r="AM44" s="60">
        <v>2010</v>
      </c>
      <c r="AO44" s="1">
        <v>148.91068807199892</v>
      </c>
      <c r="AP44" s="1">
        <v>97.775728661985028</v>
      </c>
      <c r="AQ44" s="1">
        <v>47.922191812671663</v>
      </c>
      <c r="AR44" s="1"/>
      <c r="AS44" s="1"/>
      <c r="AT44" s="1"/>
      <c r="AW44" s="60">
        <v>2010</v>
      </c>
      <c r="AX44" s="16">
        <f t="shared" si="16"/>
        <v>0</v>
      </c>
      <c r="AY44" s="1">
        <f t="shared" si="17"/>
        <v>-52.44584980961784</v>
      </c>
      <c r="AZ44" s="1">
        <f t="shared" si="18"/>
        <v>-103.58080921963173</v>
      </c>
      <c r="BA44" s="1">
        <f t="shared" si="19"/>
        <v>-153.4343460689451</v>
      </c>
    </row>
    <row r="45" spans="25:53" x14ac:dyDescent="0.2">
      <c r="Y45" t="s">
        <v>345</v>
      </c>
      <c r="AA45" s="1">
        <v>0</v>
      </c>
      <c r="AB45" s="1">
        <v>-11.66731563997037</v>
      </c>
      <c r="AC45" s="1">
        <v>-48.415131687788232</v>
      </c>
      <c r="AD45" s="1">
        <v>-51.102012973711943</v>
      </c>
      <c r="AE45" s="1">
        <v>-53.950466794497338</v>
      </c>
      <c r="AF45" s="1">
        <v>-74.252089756246164</v>
      </c>
      <c r="AG45" s="1">
        <v>-123.35986146039686</v>
      </c>
      <c r="AH45" s="1">
        <v>-129.92374189423009</v>
      </c>
      <c r="AI45" s="1">
        <v>-136.85015803874361</v>
      </c>
      <c r="AJ45" s="1">
        <v>-144.15511189333648</v>
      </c>
      <c r="AK45" s="1">
        <v>-151.85916098640485</v>
      </c>
    </row>
    <row r="46" spans="25:53" x14ac:dyDescent="0.2">
      <c r="Y46" t="s">
        <v>346</v>
      </c>
      <c r="AA46" s="1">
        <v>0</v>
      </c>
      <c r="AB46" s="1">
        <v>-47.51615950284787</v>
      </c>
      <c r="AC46" s="1">
        <v>-146.26739484708645</v>
      </c>
      <c r="AD46" s="1">
        <v>-154.34016884005973</v>
      </c>
      <c r="AE46" s="1">
        <v>-162.89427975522958</v>
      </c>
      <c r="AF46" s="1">
        <v>-246.00635670712686</v>
      </c>
      <c r="AG46" s="1">
        <v>-382.84630144884824</v>
      </c>
      <c r="AH46" s="1">
        <v>-403.1183070116312</v>
      </c>
      <c r="AI46" s="1">
        <v>-424.50190910934964</v>
      </c>
      <c r="AJ46" s="1">
        <v>-447.04662435247155</v>
      </c>
      <c r="AK46" s="1">
        <v>-470.81516154446649</v>
      </c>
      <c r="AO46" s="16"/>
    </row>
    <row r="47" spans="25:53" x14ac:dyDescent="0.2">
      <c r="AO47" s="16"/>
    </row>
    <row r="48" spans="25:53" ht="13.5" thickBot="1" x14ac:dyDescent="0.25">
      <c r="Y48" s="36" t="s">
        <v>344</v>
      </c>
      <c r="Z48" s="27"/>
      <c r="AA48" s="29">
        <f t="shared" ref="AA48:AK48" si="20">SUM(AA45:AA46)</f>
        <v>0</v>
      </c>
      <c r="AB48" s="29">
        <f t="shared" si="20"/>
        <v>-59.183475142818239</v>
      </c>
      <c r="AC48" s="29">
        <f t="shared" si="20"/>
        <v>-194.68252653487468</v>
      </c>
      <c r="AD48" s="29">
        <f t="shared" si="20"/>
        <v>-205.44218181377167</v>
      </c>
      <c r="AE48" s="29">
        <f t="shared" si="20"/>
        <v>-216.84474654972692</v>
      </c>
      <c r="AF48" s="29">
        <f t="shared" si="20"/>
        <v>-320.25844646337305</v>
      </c>
      <c r="AG48" s="29">
        <f t="shared" si="20"/>
        <v>-506.20616290924511</v>
      </c>
      <c r="AH48" s="29">
        <f t="shared" si="20"/>
        <v>-533.04204890586129</v>
      </c>
      <c r="AI48" s="29">
        <f t="shared" si="20"/>
        <v>-561.35206714809328</v>
      </c>
      <c r="AJ48" s="29">
        <f t="shared" si="20"/>
        <v>-591.20173624580798</v>
      </c>
      <c r="AK48" s="29">
        <f t="shared" si="20"/>
        <v>-622.67432253087134</v>
      </c>
      <c r="AO48" s="16"/>
    </row>
    <row r="49" spans="25:41" ht="13.5" thickTop="1" x14ac:dyDescent="0.2">
      <c r="AN49" t="s">
        <v>549</v>
      </c>
      <c r="AO49" s="16"/>
    </row>
    <row r="50" spans="25:41" x14ac:dyDescent="0.2">
      <c r="AA50">
        <f t="shared" ref="AA50:AK50" si="21">AA36</f>
        <v>2000</v>
      </c>
      <c r="AB50">
        <f t="shared" si="21"/>
        <v>2001</v>
      </c>
      <c r="AC50">
        <f t="shared" si="21"/>
        <v>2002</v>
      </c>
      <c r="AD50">
        <f t="shared" si="21"/>
        <v>2003</v>
      </c>
      <c r="AE50">
        <f t="shared" si="21"/>
        <v>2004</v>
      </c>
      <c r="AF50">
        <f t="shared" si="21"/>
        <v>2005</v>
      </c>
      <c r="AG50">
        <f t="shared" si="21"/>
        <v>2006</v>
      </c>
      <c r="AH50">
        <f t="shared" si="21"/>
        <v>2007</v>
      </c>
      <c r="AI50">
        <f t="shared" si="21"/>
        <v>2008</v>
      </c>
      <c r="AJ50">
        <f t="shared" si="21"/>
        <v>2009</v>
      </c>
      <c r="AK50">
        <f t="shared" si="21"/>
        <v>2010</v>
      </c>
      <c r="AM50" s="60">
        <v>2000</v>
      </c>
      <c r="AN50" s="1">
        <v>0</v>
      </c>
      <c r="AO50" s="16"/>
    </row>
    <row r="51" spans="25:41" x14ac:dyDescent="0.2">
      <c r="Y51" t="s">
        <v>541</v>
      </c>
      <c r="AA51" s="16">
        <f t="shared" ref="AA51:AK51" si="22">AA32</f>
        <v>0</v>
      </c>
      <c r="AB51" s="16">
        <f t="shared" si="22"/>
        <v>60.779774193806219</v>
      </c>
      <c r="AC51" s="16">
        <f t="shared" si="22"/>
        <v>173.03424010045836</v>
      </c>
      <c r="AD51" s="16">
        <f t="shared" si="22"/>
        <v>187.93488746677372</v>
      </c>
      <c r="AE51" s="16">
        <f t="shared" si="22"/>
        <v>204.12428505140531</v>
      </c>
      <c r="AF51" s="16">
        <f t="shared" si="22"/>
        <v>282.73764852580848</v>
      </c>
      <c r="AG51" s="16">
        <f t="shared" si="22"/>
        <v>393.6919797056749</v>
      </c>
      <c r="AH51" s="16">
        <f t="shared" si="22"/>
        <v>422.00873099144292</v>
      </c>
      <c r="AI51" s="16">
        <f t="shared" si="22"/>
        <v>452.4664825440675</v>
      </c>
      <c r="AJ51" s="16">
        <f t="shared" si="22"/>
        <v>485.25048474648383</v>
      </c>
      <c r="AK51" s="16">
        <f t="shared" si="22"/>
        <v>520.54085247592707</v>
      </c>
      <c r="AM51" s="60">
        <v>2001</v>
      </c>
      <c r="AN51" s="1">
        <v>14.575303257011669</v>
      </c>
      <c r="AO51" s="16"/>
    </row>
    <row r="52" spans="25:41" x14ac:dyDescent="0.2">
      <c r="Y52" t="s">
        <v>542</v>
      </c>
      <c r="AA52" s="16">
        <f t="shared" ref="AA52:AK52" si="23">AA15</f>
        <v>0</v>
      </c>
      <c r="AB52" s="16">
        <f t="shared" si="23"/>
        <v>0.79814952549385598</v>
      </c>
      <c r="AC52" s="16">
        <f t="shared" si="23"/>
        <v>-11.657455864665916</v>
      </c>
      <c r="AD52" s="16">
        <f t="shared" si="23"/>
        <v>-9.8192431515908289</v>
      </c>
      <c r="AE52" s="16">
        <f t="shared" si="23"/>
        <v>-7.7879343568924133</v>
      </c>
      <c r="AF52" s="16">
        <f t="shared" si="23"/>
        <v>-25.982875686691937</v>
      </c>
      <c r="AG52" s="16">
        <f t="shared" si="23"/>
        <v>-76.991977332811715</v>
      </c>
      <c r="AH52" s="16">
        <f t="shared" si="23"/>
        <v>-78.061737855160345</v>
      </c>
      <c r="AI52" s="16">
        <f t="shared" si="23"/>
        <v>-79.086099563765401</v>
      </c>
      <c r="AJ52" s="16">
        <f t="shared" si="23"/>
        <v>-80.044618663673418</v>
      </c>
      <c r="AK52" s="16">
        <f t="shared" si="23"/>
        <v>-80.932467381496991</v>
      </c>
      <c r="AM52" s="60">
        <v>2002</v>
      </c>
      <c r="AN52" s="1">
        <v>49.088723916018019</v>
      </c>
      <c r="AO52" s="16"/>
    </row>
    <row r="53" spans="25:41" x14ac:dyDescent="0.2">
      <c r="Y53" t="s">
        <v>543</v>
      </c>
      <c r="AA53" s="16">
        <f t="shared" ref="AA53:AK53" si="24">AA48</f>
        <v>0</v>
      </c>
      <c r="AB53" s="16">
        <f t="shared" si="24"/>
        <v>-59.183475142818239</v>
      </c>
      <c r="AC53" s="16">
        <f t="shared" si="24"/>
        <v>-194.68252653487468</v>
      </c>
      <c r="AD53" s="16">
        <f t="shared" si="24"/>
        <v>-205.44218181377167</v>
      </c>
      <c r="AE53" s="16">
        <f t="shared" si="24"/>
        <v>-216.84474654972692</v>
      </c>
      <c r="AF53" s="16">
        <f t="shared" si="24"/>
        <v>-320.25844646337305</v>
      </c>
      <c r="AG53" s="16">
        <f t="shared" si="24"/>
        <v>-506.20616290924511</v>
      </c>
      <c r="AH53" s="16">
        <f t="shared" si="24"/>
        <v>-533.04204890586129</v>
      </c>
      <c r="AI53" s="16">
        <f t="shared" si="24"/>
        <v>-561.35206714809328</v>
      </c>
      <c r="AJ53" s="16">
        <f t="shared" si="24"/>
        <v>-591.20173624580798</v>
      </c>
      <c r="AK53" s="16">
        <f t="shared" si="24"/>
        <v>-622.67432253087134</v>
      </c>
      <c r="AM53" s="60">
        <v>2003</v>
      </c>
      <c r="AN53" s="1">
        <v>53.136336005841407</v>
      </c>
      <c r="AO53" s="16"/>
    </row>
    <row r="54" spans="25:41" x14ac:dyDescent="0.2">
      <c r="AM54" s="60">
        <v>2004</v>
      </c>
      <c r="AN54" s="1">
        <v>57.328447847271484</v>
      </c>
      <c r="AO54" s="16"/>
    </row>
    <row r="55" spans="25:41" x14ac:dyDescent="0.2">
      <c r="AM55" s="60">
        <v>2005</v>
      </c>
      <c r="AN55" s="1">
        <v>109.10946166538946</v>
      </c>
      <c r="AO55" s="16"/>
    </row>
    <row r="56" spans="25:41" x14ac:dyDescent="0.2">
      <c r="AA56">
        <v>2000</v>
      </c>
      <c r="AB56">
        <v>2001</v>
      </c>
      <c r="AC56">
        <v>2002</v>
      </c>
      <c r="AD56">
        <v>2003</v>
      </c>
      <c r="AE56">
        <v>2004</v>
      </c>
      <c r="AF56">
        <v>2005</v>
      </c>
      <c r="AG56">
        <v>2006</v>
      </c>
      <c r="AH56">
        <v>2007</v>
      </c>
      <c r="AI56">
        <v>2008</v>
      </c>
      <c r="AJ56">
        <v>2009</v>
      </c>
      <c r="AK56">
        <v>2010</v>
      </c>
      <c r="AM56" s="60">
        <v>2006</v>
      </c>
      <c r="AN56" s="1">
        <v>181.70576354840557</v>
      </c>
      <c r="AO56" s="16"/>
    </row>
    <row r="57" spans="25:41" x14ac:dyDescent="0.2">
      <c r="Z57" t="s">
        <v>550</v>
      </c>
      <c r="AA57" s="77">
        <f t="shared" ref="AA57:AK57" si="25">$AN$60/$AK$32*AA32</f>
        <v>0</v>
      </c>
      <c r="AB57" s="77">
        <f t="shared" si="25"/>
        <v>23.51094029734627</v>
      </c>
      <c r="AC57" s="77">
        <f t="shared" si="25"/>
        <v>66.933412345798544</v>
      </c>
      <c r="AD57" s="77">
        <f t="shared" si="25"/>
        <v>72.697307247812674</v>
      </c>
      <c r="AE57" s="77">
        <f t="shared" si="25"/>
        <v>78.959718800191624</v>
      </c>
      <c r="AF57" s="77">
        <f t="shared" si="25"/>
        <v>109.36907980450782</v>
      </c>
      <c r="AG57" s="77">
        <f t="shared" si="25"/>
        <v>152.28863142679171</v>
      </c>
      <c r="AH57" s="77">
        <f t="shared" si="25"/>
        <v>163.24216749574177</v>
      </c>
      <c r="AI57" s="77">
        <f t="shared" si="25"/>
        <v>175.02388909381469</v>
      </c>
      <c r="AJ57" s="77">
        <f t="shared" si="25"/>
        <v>187.70545510344337</v>
      </c>
      <c r="AK57" s="77">
        <f t="shared" si="25"/>
        <v>201.35653788161676</v>
      </c>
      <c r="AL57" s="2">
        <f>$AN$60/$AK$32</f>
        <v>0.38682177762585634</v>
      </c>
      <c r="AM57" s="60">
        <v>2007</v>
      </c>
      <c r="AN57" s="1">
        <v>186.36306972004013</v>
      </c>
      <c r="AO57" s="16"/>
    </row>
    <row r="58" spans="25:41" x14ac:dyDescent="0.2">
      <c r="Z58" t="s">
        <v>551</v>
      </c>
      <c r="AA58" s="77">
        <f t="shared" ref="AA58:AK58" si="26">$BD$14/$AK$32*AA32</f>
        <v>0</v>
      </c>
      <c r="AB58" s="77">
        <f t="shared" si="26"/>
        <v>10.629530654918906</v>
      </c>
      <c r="AC58" s="77">
        <f t="shared" si="26"/>
        <v>30.26126345309542</v>
      </c>
      <c r="AD58" s="77">
        <f t="shared" si="26"/>
        <v>32.867177839242089</v>
      </c>
      <c r="AE58" s="77">
        <f t="shared" si="26"/>
        <v>35.698476576249377</v>
      </c>
      <c r="AF58" s="77">
        <f t="shared" si="26"/>
        <v>49.44685205182995</v>
      </c>
      <c r="AG58" s="77">
        <f t="shared" si="26"/>
        <v>68.851209508172744</v>
      </c>
      <c r="AH58" s="77">
        <f t="shared" si="26"/>
        <v>73.803412438049008</v>
      </c>
      <c r="AI58" s="77">
        <f t="shared" si="26"/>
        <v>79.130046307668081</v>
      </c>
      <c r="AJ58" s="77">
        <f t="shared" si="26"/>
        <v>84.863508812650949</v>
      </c>
      <c r="AK58" s="77">
        <f t="shared" si="26"/>
        <v>91.035299520647754</v>
      </c>
      <c r="AL58" s="2">
        <f>$BD$14/$AK$32</f>
        <v>0.17488598462088578</v>
      </c>
      <c r="AM58" s="60">
        <v>2008</v>
      </c>
      <c r="AN58" s="1">
        <v>191.18664172200207</v>
      </c>
    </row>
    <row r="59" spans="25:41" x14ac:dyDescent="0.2">
      <c r="Z59" t="s">
        <v>552</v>
      </c>
      <c r="AA59" s="77">
        <f t="shared" ref="AA59:AK59" si="27">0.1*AA32</f>
        <v>0</v>
      </c>
      <c r="AB59" s="77">
        <f t="shared" si="27"/>
        <v>6.0779774193806224</v>
      </c>
      <c r="AC59" s="77">
        <f t="shared" si="27"/>
        <v>17.303424010045838</v>
      </c>
      <c r="AD59" s="77">
        <f t="shared" si="27"/>
        <v>18.793488746677372</v>
      </c>
      <c r="AE59" s="77">
        <f t="shared" si="27"/>
        <v>20.412428505140532</v>
      </c>
      <c r="AF59" s="77">
        <f t="shared" si="27"/>
        <v>28.27376485258085</v>
      </c>
      <c r="AG59" s="77">
        <f t="shared" si="27"/>
        <v>39.369197970567491</v>
      </c>
      <c r="AH59" s="77">
        <f t="shared" si="27"/>
        <v>42.200873099144296</v>
      </c>
      <c r="AI59" s="77">
        <f t="shared" si="27"/>
        <v>45.24664825440675</v>
      </c>
      <c r="AJ59" s="77">
        <f t="shared" si="27"/>
        <v>48.525048474648386</v>
      </c>
      <c r="AK59" s="77">
        <f t="shared" si="27"/>
        <v>52.05408524759271</v>
      </c>
      <c r="AL59" s="2">
        <f>0.1</f>
        <v>0.1</v>
      </c>
      <c r="AM59" s="60">
        <v>2009</v>
      </c>
      <c r="AN59" s="1">
        <v>196.182415244434</v>
      </c>
    </row>
    <row r="60" spans="25:41" x14ac:dyDescent="0.2">
      <c r="Z60" t="s">
        <v>322</v>
      </c>
      <c r="AA60" s="77">
        <f t="shared" ref="AA60:AK60" si="28">$AY$44/$AK$32*AA32</f>
        <v>0</v>
      </c>
      <c r="AB60" s="77">
        <f t="shared" si="28"/>
        <v>-6.1237209215548809</v>
      </c>
      <c r="AC60" s="77">
        <f t="shared" si="28"/>
        <v>-17.433651412882472</v>
      </c>
      <c r="AD60" s="77">
        <f t="shared" si="28"/>
        <v>-18.93493053463208</v>
      </c>
      <c r="AE60" s="77">
        <f t="shared" si="28"/>
        <v>-20.566054605285199</v>
      </c>
      <c r="AF60" s="77">
        <f t="shared" si="28"/>
        <v>-28.486556203184502</v>
      </c>
      <c r="AG60" s="77">
        <f t="shared" si="28"/>
        <v>-39.665494726659915</v>
      </c>
      <c r="AH60" s="77">
        <f t="shared" si="28"/>
        <v>-42.518481342342248</v>
      </c>
      <c r="AI60" s="77">
        <f t="shared" si="28"/>
        <v>-45.587179324200406</v>
      </c>
      <c r="AJ60" s="77">
        <f t="shared" si="28"/>
        <v>-48.890253131929306</v>
      </c>
      <c r="AK60" s="77">
        <f t="shared" si="28"/>
        <v>-52.44584980961784</v>
      </c>
      <c r="AL60" s="2">
        <f>$AY$44/$AK$32</f>
        <v>-0.10075261059753855</v>
      </c>
      <c r="AM60" s="60">
        <v>2010</v>
      </c>
      <c r="AN60" s="1">
        <v>201.35653788161676</v>
      </c>
    </row>
    <row r="61" spans="25:41" x14ac:dyDescent="0.2">
      <c r="AA61" s="37">
        <f t="shared" ref="AA61:AK61" si="29">SUM(AA57:AA60)</f>
        <v>0</v>
      </c>
      <c r="AB61" s="37">
        <f t="shared" si="29"/>
        <v>34.094727450090915</v>
      </c>
      <c r="AC61" s="37">
        <f t="shared" si="29"/>
        <v>97.06444839605733</v>
      </c>
      <c r="AD61" s="37">
        <f t="shared" si="29"/>
        <v>105.42304329910004</v>
      </c>
      <c r="AE61" s="37">
        <f t="shared" si="29"/>
        <v>114.50456927629632</v>
      </c>
      <c r="AF61" s="37">
        <f t="shared" si="29"/>
        <v>158.60314050573413</v>
      </c>
      <c r="AG61" s="37">
        <f t="shared" si="29"/>
        <v>220.84354417887204</v>
      </c>
      <c r="AH61" s="37">
        <f t="shared" si="29"/>
        <v>236.7279716905928</v>
      </c>
      <c r="AI61" s="37">
        <f t="shared" si="29"/>
        <v>253.81340433168913</v>
      </c>
      <c r="AJ61" s="37">
        <f t="shared" si="29"/>
        <v>272.20375925881342</v>
      </c>
      <c r="AK61" s="37">
        <f t="shared" si="29"/>
        <v>292.00007284023934</v>
      </c>
    </row>
    <row r="64" spans="25:41" x14ac:dyDescent="0.2">
      <c r="AA64">
        <v>2000</v>
      </c>
      <c r="AB64">
        <v>2001</v>
      </c>
      <c r="AC64">
        <v>2002</v>
      </c>
      <c r="AD64">
        <v>2003</v>
      </c>
      <c r="AE64">
        <v>2004</v>
      </c>
      <c r="AF64">
        <v>2005</v>
      </c>
      <c r="AG64">
        <v>2006</v>
      </c>
      <c r="AH64">
        <v>2007</v>
      </c>
      <c r="AI64">
        <v>2008</v>
      </c>
      <c r="AJ64">
        <v>2009</v>
      </c>
      <c r="AK64">
        <v>2010</v>
      </c>
    </row>
    <row r="65" spans="26:37" x14ac:dyDescent="0.2">
      <c r="Z65" t="s">
        <v>322</v>
      </c>
      <c r="AA65" s="77">
        <f t="shared" ref="AA65:AK65" si="30">AA60</f>
        <v>0</v>
      </c>
      <c r="AB65" s="77">
        <f t="shared" si="30"/>
        <v>-6.1237209215548809</v>
      </c>
      <c r="AC65" s="77">
        <f t="shared" si="30"/>
        <v>-17.433651412882472</v>
      </c>
      <c r="AD65" s="77">
        <f t="shared" si="30"/>
        <v>-18.93493053463208</v>
      </c>
      <c r="AE65" s="77">
        <f t="shared" si="30"/>
        <v>-20.566054605285199</v>
      </c>
      <c r="AF65" s="77">
        <f t="shared" si="30"/>
        <v>-28.486556203184502</v>
      </c>
      <c r="AG65" s="77">
        <f t="shared" si="30"/>
        <v>-39.665494726659915</v>
      </c>
      <c r="AH65" s="77">
        <f t="shared" si="30"/>
        <v>-42.518481342342248</v>
      </c>
      <c r="AI65" s="77">
        <f t="shared" si="30"/>
        <v>-45.587179324200406</v>
      </c>
      <c r="AJ65" s="77">
        <f t="shared" si="30"/>
        <v>-48.890253131929306</v>
      </c>
      <c r="AK65" s="77">
        <f t="shared" si="30"/>
        <v>-52.44584980961784</v>
      </c>
    </row>
    <row r="66" spans="26:37" x14ac:dyDescent="0.2">
      <c r="Z66" t="s">
        <v>550</v>
      </c>
      <c r="AA66" s="77">
        <f t="shared" ref="AA66:AK67" si="31">AA65+AA57</f>
        <v>0</v>
      </c>
      <c r="AB66" s="77">
        <f t="shared" si="31"/>
        <v>17.387219375791389</v>
      </c>
      <c r="AC66" s="77">
        <f t="shared" si="31"/>
        <v>49.499760932916075</v>
      </c>
      <c r="AD66" s="77">
        <f t="shared" si="31"/>
        <v>53.762376713180593</v>
      </c>
      <c r="AE66" s="77">
        <f t="shared" si="31"/>
        <v>58.393664194906421</v>
      </c>
      <c r="AF66" s="77">
        <f t="shared" si="31"/>
        <v>80.882523601323314</v>
      </c>
      <c r="AG66" s="77">
        <f t="shared" si="31"/>
        <v>112.62313670013179</v>
      </c>
      <c r="AH66" s="77">
        <f t="shared" si="31"/>
        <v>120.72368615339951</v>
      </c>
      <c r="AI66" s="77">
        <f t="shared" si="31"/>
        <v>129.43670976961428</v>
      </c>
      <c r="AJ66" s="77">
        <f t="shared" si="31"/>
        <v>138.81520197151406</v>
      </c>
      <c r="AK66" s="77">
        <f t="shared" si="31"/>
        <v>148.91068807199892</v>
      </c>
    </row>
    <row r="67" spans="26:37" x14ac:dyDescent="0.2">
      <c r="Z67" t="s">
        <v>551</v>
      </c>
      <c r="AA67" s="77">
        <f t="shared" si="31"/>
        <v>0</v>
      </c>
      <c r="AB67" s="77">
        <f t="shared" si="31"/>
        <v>28.016750030710295</v>
      </c>
      <c r="AC67" s="77">
        <f t="shared" si="31"/>
        <v>79.761024386011499</v>
      </c>
      <c r="AD67" s="77">
        <f t="shared" si="31"/>
        <v>86.62955455242269</v>
      </c>
      <c r="AE67" s="77">
        <f t="shared" si="31"/>
        <v>94.092140771155798</v>
      </c>
      <c r="AF67" s="77">
        <f t="shared" si="31"/>
        <v>130.32937565315325</v>
      </c>
      <c r="AG67" s="77">
        <f t="shared" si="31"/>
        <v>181.47434620830455</v>
      </c>
      <c r="AH67" s="77">
        <f t="shared" si="31"/>
        <v>194.52709859144852</v>
      </c>
      <c r="AI67" s="77">
        <f t="shared" si="31"/>
        <v>208.56675607728238</v>
      </c>
      <c r="AJ67" s="77">
        <f t="shared" si="31"/>
        <v>223.67871078416499</v>
      </c>
      <c r="AK67" s="77">
        <f t="shared" si="31"/>
        <v>239.94598759264667</v>
      </c>
    </row>
    <row r="68" spans="26:37" x14ac:dyDescent="0.2">
      <c r="Z68" t="s">
        <v>552</v>
      </c>
      <c r="AA68" s="78" t="s">
        <v>348</v>
      </c>
      <c r="AB68" s="77">
        <f t="shared" ref="AB68:AK68" si="32">AB67+AB59</f>
        <v>34.094727450090915</v>
      </c>
      <c r="AC68" s="77">
        <f t="shared" si="32"/>
        <v>97.064448396057344</v>
      </c>
      <c r="AD68" s="77">
        <f t="shared" si="32"/>
        <v>105.42304329910006</v>
      </c>
      <c r="AE68" s="77">
        <f t="shared" si="32"/>
        <v>114.50456927629634</v>
      </c>
      <c r="AF68" s="77">
        <f t="shared" si="32"/>
        <v>158.6031405057341</v>
      </c>
      <c r="AG68" s="77">
        <f t="shared" si="32"/>
        <v>220.84354417887204</v>
      </c>
      <c r="AH68" s="77">
        <f t="shared" si="32"/>
        <v>236.72797169059282</v>
      </c>
      <c r="AI68" s="77">
        <f t="shared" si="32"/>
        <v>253.81340433168913</v>
      </c>
      <c r="AJ68" s="77">
        <f t="shared" si="32"/>
        <v>272.20375925881336</v>
      </c>
      <c r="AK68" s="77">
        <f t="shared" si="32"/>
        <v>292.0000728402394</v>
      </c>
    </row>
    <row r="70" spans="26:37" x14ac:dyDescent="0.2">
      <c r="AA70" s="37" t="s">
        <v>348</v>
      </c>
      <c r="AB70" s="37"/>
      <c r="AC70" s="37"/>
      <c r="AD70" s="37"/>
      <c r="AE70" s="37"/>
      <c r="AF70" s="37"/>
      <c r="AG70" s="37"/>
      <c r="AH70" s="37"/>
      <c r="AI70" s="37"/>
      <c r="AJ70" s="37"/>
      <c r="AK70" s="37"/>
    </row>
  </sheetData>
  <pageMargins left="0.75" right="0.75" top="0.56000000000000005" bottom="0.68" header="0.5" footer="0.5"/>
  <pageSetup scale="53" orientation="landscape" verticalDpi="0" r:id="rId1"/>
  <headerFooter alignWithMargins="0">
    <oddFooter>Page &amp;P&amp;R&amp;A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Y21"/>
  <sheetViews>
    <sheetView workbookViewId="0">
      <selection activeCell="B9" sqref="B9"/>
    </sheetView>
  </sheetViews>
  <sheetFormatPr defaultRowHeight="12.75" x14ac:dyDescent="0.2"/>
  <cols>
    <col min="1" max="1" width="31.28515625" customWidth="1"/>
    <col min="2" max="2" width="6.5703125" customWidth="1"/>
    <col min="3" max="13" width="8.7109375" customWidth="1"/>
  </cols>
  <sheetData>
    <row r="1" spans="1:25" x14ac:dyDescent="0.2">
      <c r="A1" t="s">
        <v>506</v>
      </c>
    </row>
    <row r="2" spans="1:25" x14ac:dyDescent="0.2">
      <c r="C2" s="35" t="s">
        <v>333</v>
      </c>
    </row>
    <row r="3" spans="1:25" x14ac:dyDescent="0.2">
      <c r="A3" s="8" t="s">
        <v>442</v>
      </c>
      <c r="B3" s="8" t="s">
        <v>332</v>
      </c>
      <c r="C3" s="8">
        <v>2000</v>
      </c>
      <c r="D3" s="8">
        <v>2001</v>
      </c>
      <c r="E3" s="8">
        <v>2002</v>
      </c>
      <c r="F3" s="8">
        <v>2003</v>
      </c>
      <c r="G3" s="8">
        <v>2004</v>
      </c>
      <c r="H3" s="8">
        <v>2005</v>
      </c>
      <c r="I3" s="8">
        <v>2006</v>
      </c>
      <c r="J3" s="8">
        <v>2007</v>
      </c>
      <c r="K3" s="8">
        <v>2008</v>
      </c>
      <c r="L3" s="8">
        <v>2009</v>
      </c>
      <c r="M3" s="8">
        <v>2010</v>
      </c>
    </row>
    <row r="4" spans="1:25" x14ac:dyDescent="0.2">
      <c r="A4" t="s">
        <v>318</v>
      </c>
      <c r="B4" s="56" t="s">
        <v>333</v>
      </c>
      <c r="C4" s="15">
        <f>Assumptions!C5</f>
        <v>6.0900000000000003E-2</v>
      </c>
      <c r="D4" s="15">
        <f>VLOOKUP($B$4,Assumptions!$B$5:$M$7,(Assumptions!E4-Assumptions!$C$4+1),FALSE)</f>
        <v>6.0699999999999997E-2</v>
      </c>
      <c r="E4" s="15">
        <f>VLOOKUP($B$4,Assumptions!$B$5:$M$7,(Assumptions!F4-Assumptions!$C$4+1),FALSE)</f>
        <v>6.0100000000000001E-2</v>
      </c>
      <c r="F4" s="15">
        <f>VLOOKUP($B$4,Assumptions!$B$5:$M$7,(Assumptions!G4-Assumptions!$C$4+1),FALSE)</f>
        <v>5.9900000000000002E-2</v>
      </c>
      <c r="G4" s="15">
        <f>VLOOKUP($B$4,Assumptions!$B$5:$M$7,(Assumptions!H4-Assumptions!$C$4+1),FALSE)</f>
        <v>5.9900000000000002E-2</v>
      </c>
      <c r="H4" s="15">
        <f>VLOOKUP($B$4,Assumptions!$B$5:$M$7,(Assumptions!I4-Assumptions!$C$4+1),FALSE)</f>
        <v>5.96E-2</v>
      </c>
      <c r="I4" s="15">
        <f>VLOOKUP($B$4,Assumptions!$B$5:$M$7,(Assumptions!J4-Assumptions!$C$4+1),FALSE)</f>
        <v>5.9400000000000001E-2</v>
      </c>
      <c r="J4" s="15">
        <f>VLOOKUP($B$4,Assumptions!$B$5:$M$7,(Assumptions!K4-Assumptions!$C$4+1),FALSE)</f>
        <v>5.9200000000000003E-2</v>
      </c>
      <c r="K4" s="15">
        <f>VLOOKUP($B$4,Assumptions!$B$5:$M$7,(Assumptions!L4-Assumptions!$C$4+1),FALSE)</f>
        <v>5.91E-2</v>
      </c>
      <c r="L4" s="15">
        <f>VLOOKUP($B$4,Assumptions!$B$5:$M$7,(Assumptions!M4-Assumptions!$C$4+1),FALSE)</f>
        <v>5.8999999999999997E-2</v>
      </c>
      <c r="M4" s="15">
        <f>VLOOKUP($B$4,Assumptions!$B$5:$M$7,(Assumptions!N4-Assumptions!$C$4+1),FALSE)</f>
        <v>5.8900000000000001E-2</v>
      </c>
    </row>
    <row r="5" spans="1:25" x14ac:dyDescent="0.2">
      <c r="A5" t="s">
        <v>316</v>
      </c>
      <c r="B5" t="str">
        <f>B4</f>
        <v>Base</v>
      </c>
      <c r="C5" s="15">
        <f>Assumptions!C13</f>
        <v>3.5700000000000003E-2</v>
      </c>
      <c r="D5" s="15">
        <f>VLOOKUP($B$5,Assumptions!$B$13:$M$15,Assumptions!E4-Assumptions!$C$4+1,FALSE)</f>
        <v>3.1E-2</v>
      </c>
      <c r="E5" s="15">
        <f>VLOOKUP($B$5,Assumptions!$B$13:$M$15,Assumptions!F4-Assumptions!$C$4+1,FALSE)</f>
        <v>0.03</v>
      </c>
      <c r="F5" s="15">
        <f>VLOOKUP($B$5,Assumptions!$B$13:$M$15,Assumptions!G4-Assumptions!$C$4+1,FALSE)</f>
        <v>2.9000000000000001E-2</v>
      </c>
      <c r="G5" s="15">
        <f>VLOOKUP($B$5,Assumptions!$B$13:$M$15,Assumptions!H4-Assumptions!$C$4+1,FALSE)</f>
        <v>2.8500000000000001E-2</v>
      </c>
      <c r="H5" s="15">
        <f>VLOOKUP($B$5,Assumptions!$B$13:$M$15,Assumptions!I4-Assumptions!$C$4+1,FALSE)</f>
        <v>2.8000000000000001E-2</v>
      </c>
      <c r="I5" s="15">
        <f>VLOOKUP($B$5,Assumptions!$B$13:$M$15,Assumptions!J4-Assumptions!$C$4+1,FALSE)</f>
        <v>2.7199999999999998E-2</v>
      </c>
      <c r="J5" s="15">
        <f>VLOOKUP($B$5,Assumptions!$B$13:$M$15,Assumptions!K4-Assumptions!$C$4+1,FALSE)</f>
        <v>2.6700000000000002E-2</v>
      </c>
      <c r="K5" s="15">
        <f>VLOOKUP($B$5,Assumptions!$B$13:$M$15,Assumptions!L4-Assumptions!$C$4+1,FALSE)</f>
        <v>2.6200000000000001E-2</v>
      </c>
      <c r="L5" s="15">
        <f>VLOOKUP($B$5,Assumptions!$B$13:$M$15,Assumptions!M4-Assumptions!$C$4+1,FALSE)</f>
        <v>2.58E-2</v>
      </c>
      <c r="M5" s="15">
        <f>VLOOKUP($B$5,Assumptions!$B$13:$M$15,Assumptions!N4-Assumptions!$C$4+1,FALSE)</f>
        <v>2.5399999999999999E-2</v>
      </c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x14ac:dyDescent="0.2">
      <c r="A6" t="s">
        <v>317</v>
      </c>
      <c r="B6" t="str">
        <f>B4</f>
        <v>Base</v>
      </c>
      <c r="C6" s="15">
        <f>Assumptions!C17</f>
        <v>4.6300000000000001E-2</v>
      </c>
      <c r="D6" s="15">
        <f>VLOOKUP($B$6,Assumptions!$B$17:$M$19,Assumptions!E4-Assumptions!$C$4+1,FALSE)</f>
        <v>3.2000000000000001E-2</v>
      </c>
      <c r="E6" s="15">
        <f>VLOOKUP($B$6,Assumptions!$B$17:$M$19,Assumptions!F4-Assumptions!$C$4+1,FALSE)</f>
        <v>2.9000000000000001E-2</v>
      </c>
      <c r="F6" s="15">
        <f>VLOOKUP($B$6,Assumptions!$B$17:$M$19,Assumptions!G4-Assumptions!$C$4+1,FALSE)</f>
        <v>2.7E-2</v>
      </c>
      <c r="G6" s="15">
        <f>VLOOKUP($B$6,Assumptions!$B$17:$M$19,Assumptions!H4-Assumptions!$C$4+1,FALSE)</f>
        <v>2.53E-2</v>
      </c>
      <c r="H6" s="15">
        <f>VLOOKUP($B$6,Assumptions!$B$17:$M$19,Assumptions!I4-Assumptions!$C$4+1,FALSE)</f>
        <v>2.4E-2</v>
      </c>
      <c r="I6" s="15">
        <f>VLOOKUP($B$6,Assumptions!$B$17:$M$19,Assumptions!J4-Assumptions!$C$4+1,FALSE)</f>
        <v>2.2499999999999999E-2</v>
      </c>
      <c r="J6" s="15">
        <f>VLOOKUP($B$6,Assumptions!$B$17:$M$19,Assumptions!K4-Assumptions!$C$4+1,FALSE)</f>
        <v>2.1000000000000001E-2</v>
      </c>
      <c r="K6" s="15">
        <f>VLOOKUP($B$6,Assumptions!$B$17:$M$19,Assumptions!L4-Assumptions!$C$4+1,FALSE)</f>
        <v>0.02</v>
      </c>
      <c r="L6" s="15">
        <f>VLOOKUP($B$6,Assumptions!$B$17:$M$19,Assumptions!M4-Assumptions!$C$4+1,FALSE)</f>
        <v>1.9199999999999998E-2</v>
      </c>
      <c r="M6" s="15">
        <f>VLOOKUP($B$6,Assumptions!$B$17:$M$19,Assumptions!N4-Assumptions!$C$4+1,FALSE)</f>
        <v>1.7999999999999999E-2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x14ac:dyDescent="0.2">
      <c r="A7" t="s">
        <v>322</v>
      </c>
      <c r="B7" s="56" t="s">
        <v>333</v>
      </c>
      <c r="C7" s="11">
        <f>VLOOKUP($B$7,Assumptions!$B$21:$M$23,Assumptions!D4-Assumptions!$C$4+1,FALSE)</f>
        <v>0.01</v>
      </c>
      <c r="D7" s="11">
        <f>VLOOKUP($B$7,Assumptions!$B$21:$M$23,Assumptions!E4-Assumptions!$C$4+1,FALSE)</f>
        <v>0.01</v>
      </c>
      <c r="E7" s="11">
        <f>VLOOKUP($B$7,Assumptions!$B$21:$M$23,Assumptions!F4-Assumptions!$C$4+1,FALSE)</f>
        <v>0.01</v>
      </c>
      <c r="F7" s="11">
        <f>VLOOKUP($B$7,Assumptions!$B$21:$M$23,Assumptions!G4-Assumptions!$C$4+1,FALSE)</f>
        <v>0.01</v>
      </c>
      <c r="G7" s="11">
        <f>VLOOKUP($B$7,Assumptions!$B$21:$M$23,Assumptions!H4-Assumptions!$C$4+1,FALSE)</f>
        <v>0.01</v>
      </c>
      <c r="H7" s="11">
        <f>VLOOKUP($B$7,Assumptions!$B$21:$M$23,Assumptions!I4-Assumptions!$C$4+1,FALSE)</f>
        <v>0.01</v>
      </c>
      <c r="I7" s="11">
        <f>VLOOKUP($B$7,Assumptions!$B$21:$M$23,Assumptions!J4-Assumptions!$C$4+1,FALSE)</f>
        <v>0.01</v>
      </c>
      <c r="J7" s="11">
        <f>VLOOKUP($B$7,Assumptions!$B$21:$M$23,Assumptions!K4-Assumptions!$C$4+1,FALSE)</f>
        <v>0.01</v>
      </c>
      <c r="K7" s="11">
        <f>VLOOKUP($B$7,Assumptions!$B$21:$M$23,Assumptions!L4-Assumptions!$C$4+1,FALSE)</f>
        <v>0.01</v>
      </c>
      <c r="L7" s="11">
        <f>VLOOKUP($B$7,Assumptions!$B$21:$M$23,Assumptions!M4-Assumptions!$C$4+1,FALSE)</f>
        <v>0.01</v>
      </c>
      <c r="M7" s="11">
        <f>VLOOKUP($B$7,Assumptions!$B$21:$M$23,Assumptions!N4-Assumptions!$C$4+1,FALSE)</f>
        <v>0.01</v>
      </c>
    </row>
    <row r="8" spans="1:25" x14ac:dyDescent="0.2">
      <c r="A8" t="s">
        <v>462</v>
      </c>
      <c r="B8" s="56" t="s">
        <v>335</v>
      </c>
      <c r="C8" s="11">
        <f>VLOOKUP($B$8,Assumptions!$B$29:$M$31,Assumptions!D4-Assumptions!$C$4+1,FALSE)</f>
        <v>0</v>
      </c>
      <c r="D8" s="11">
        <f>VLOOKUP($B$8,Assumptions!$B$29:$M$31,Assumptions!E4-Assumptions!$C$4+1,FALSE)</f>
        <v>0</v>
      </c>
      <c r="E8" s="11">
        <f>VLOOKUP($B$8,Assumptions!$B$29:$M$31,Assumptions!F4-Assumptions!$C$4+1,FALSE)</f>
        <v>0</v>
      </c>
      <c r="F8" s="11">
        <f>VLOOKUP($B$8,Assumptions!$B$29:$M$31,Assumptions!G4-Assumptions!$C$4+1,FALSE)</f>
        <v>0</v>
      </c>
      <c r="G8" s="11">
        <f>VLOOKUP($B$8,Assumptions!$B$29:$M$31,Assumptions!H4-Assumptions!$C$4+1,FALSE)</f>
        <v>0</v>
      </c>
      <c r="H8" s="11">
        <f>VLOOKUP($B$8,Assumptions!$B$29:$M$31,Assumptions!I4-Assumptions!$C$4+1,FALSE)</f>
        <v>0</v>
      </c>
      <c r="I8" s="11">
        <f>VLOOKUP($B$8,Assumptions!$B$29:$M$31,Assumptions!J4-Assumptions!$C$4+1,FALSE)</f>
        <v>0</v>
      </c>
      <c r="J8" s="11">
        <f>VLOOKUP($B$8,Assumptions!$B$29:$M$31,Assumptions!K4-Assumptions!$C$4+1,FALSE)</f>
        <v>0</v>
      </c>
      <c r="K8" s="11">
        <f>VLOOKUP($B$8,Assumptions!$B$29:$M$31,Assumptions!L4-Assumptions!$C$4+1,FALSE)</f>
        <v>0</v>
      </c>
      <c r="L8" s="11">
        <f>VLOOKUP($B$8,Assumptions!$B$29:$M$31,Assumptions!M4-Assumptions!$C$4+1,FALSE)</f>
        <v>0</v>
      </c>
      <c r="M8" s="11">
        <f>VLOOKUP($B$8,Assumptions!$B$29:$M$31,Assumptions!N4-Assumptions!$C$4+1,FALSE)</f>
        <v>0</v>
      </c>
    </row>
    <row r="9" spans="1:25" x14ac:dyDescent="0.2">
      <c r="A9" t="s">
        <v>470</v>
      </c>
      <c r="B9" s="56" t="s">
        <v>335</v>
      </c>
      <c r="C9" s="11">
        <f>VLOOKUP($B$9,Assumptions!$B$33:$M$35,Assumptions!D4-Assumptions!$C$4+1,FALSE)</f>
        <v>0</v>
      </c>
      <c r="D9" s="11">
        <f>VLOOKUP($B$9,Assumptions!$B$33:$M$35,Assumptions!E4-Assumptions!$C$4+1,FALSE)</f>
        <v>0</v>
      </c>
      <c r="E9" s="11">
        <f>VLOOKUP($B$9,Assumptions!$B$33:$M$35,Assumptions!F4-Assumptions!$C$4+1,FALSE)</f>
        <v>0</v>
      </c>
      <c r="F9" s="11">
        <f>VLOOKUP($B$9,Assumptions!$B$33:$M$35,Assumptions!G4-Assumptions!$C$4+1,FALSE)</f>
        <v>0</v>
      </c>
      <c r="G9" s="11">
        <f>VLOOKUP($B$9,Assumptions!$B$33:$M$35,Assumptions!H4-Assumptions!$C$4+1,FALSE)</f>
        <v>0</v>
      </c>
      <c r="H9" s="11">
        <f>VLOOKUP($B$9,Assumptions!$B$33:$M$35,Assumptions!I4-Assumptions!$C$4+1,FALSE)</f>
        <v>0</v>
      </c>
      <c r="I9" s="11">
        <f>VLOOKUP($B$9,Assumptions!$B$33:$M$35,Assumptions!J4-Assumptions!$C$4+1,FALSE)</f>
        <v>0</v>
      </c>
      <c r="J9" s="11">
        <f>VLOOKUP($B$9,Assumptions!$B$33:$M$35,Assumptions!K4-Assumptions!$C$4+1,FALSE)</f>
        <v>0</v>
      </c>
      <c r="K9" s="11">
        <f>VLOOKUP($B$9,Assumptions!$B$33:$M$35,Assumptions!L4-Assumptions!$C$4+1,FALSE)</f>
        <v>0</v>
      </c>
      <c r="L9" s="11">
        <f>VLOOKUP($B$9,Assumptions!$B$33:$M$35,Assumptions!M4-Assumptions!$C$4+1,FALSE)</f>
        <v>0</v>
      </c>
      <c r="M9" s="11">
        <f>VLOOKUP($B$9,Assumptions!$B$33:$M$35,Assumptions!N4-Assumptions!$C$4+1,FALSE)</f>
        <v>0</v>
      </c>
    </row>
    <row r="11" spans="1:25" x14ac:dyDescent="0.2">
      <c r="A11" s="24" t="s">
        <v>330</v>
      </c>
    </row>
    <row r="12" spans="1:25" x14ac:dyDescent="0.2">
      <c r="A12" t="s">
        <v>345</v>
      </c>
      <c r="C12" s="4">
        <f>Trans_change!C26*EES_Del!C4/1000</f>
        <v>0</v>
      </c>
      <c r="D12" s="4">
        <f>Trans_change!D26*EES_Del!D4/1000</f>
        <v>-0.4339428464006011</v>
      </c>
      <c r="E12" s="4">
        <f>Trans_change!E26*EES_Del!E4/1000</f>
        <v>-5.8833624673087499</v>
      </c>
      <c r="F12" s="4">
        <f>Trans_change!F26*EES_Del!F4/1000</f>
        <v>-5.3406378858769257</v>
      </c>
      <c r="G12" s="4">
        <f>Trans_change!G26*EES_Del!G4/1000</f>
        <v>-4.8021551255157631</v>
      </c>
      <c r="H12" s="4">
        <f>Trans_change!H26*EES_Del!H4/1000</f>
        <v>-9.668720936615383</v>
      </c>
      <c r="I12" s="4">
        <f>Trans_change!I26*EES_Del!I4/1000</f>
        <v>-23.350988789975393</v>
      </c>
      <c r="J12" s="4">
        <f>Trans_change!J26*EES_Del!J4/1000</f>
        <v>-22.838326103012648</v>
      </c>
      <c r="K12" s="4">
        <f>Trans_change!K26*EES_Del!K4/1000</f>
        <v>-22.332707462765491</v>
      </c>
      <c r="L12" s="4">
        <f>Trans_change!L26*EES_Del!L4/1000</f>
        <v>-21.831584458872729</v>
      </c>
      <c r="M12" s="4">
        <f>Trans_change!M26*EES_Del!M4/1000</f>
        <v>-21.335430819046422</v>
      </c>
    </row>
    <row r="13" spans="1:25" x14ac:dyDescent="0.2">
      <c r="A13" t="s">
        <v>346</v>
      </c>
      <c r="C13" s="4">
        <f>Dist_change!C26*EES_Del!C4/1000</f>
        <v>0</v>
      </c>
      <c r="D13" s="4">
        <f>Dist_change!D26*EES_Del!D4/1000</f>
        <v>1.1940852516328451</v>
      </c>
      <c r="E13" s="4">
        <f>Dist_change!E26*EES_Del!E4/1000</f>
        <v>-4.690293645766908</v>
      </c>
      <c r="F13" s="4">
        <f>Dist_change!F26*EES_Del!F4/1000</f>
        <v>-3.1415935375899382</v>
      </c>
      <c r="G13" s="4">
        <f>Dist_change!G26*EES_Del!G4/1000</f>
        <v>-1.6049977434163483</v>
      </c>
      <c r="H13" s="4">
        <f>Dist_change!H26*EES_Del!H4/1000</f>
        <v>-10.689542044004874</v>
      </c>
      <c r="I13" s="4">
        <f>Dist_change!I26*EES_Del!I4/1000</f>
        <v>-34.101610113266922</v>
      </c>
      <c r="J13" s="4">
        <f>Dist_change!J26*EES_Del!J4/1000</f>
        <v>-32.638693588161551</v>
      </c>
      <c r="K13" s="4">
        <f>Dist_change!K26*EES_Del!K4/1000</f>
        <v>-31.195877711310704</v>
      </c>
      <c r="L13" s="4">
        <f>Dist_change!L26*EES_Del!L4/1000</f>
        <v>-29.765890426984647</v>
      </c>
      <c r="M13" s="4">
        <f>Dist_change!M26*EES_Del!M4/1000</f>
        <v>-28.350083548209749</v>
      </c>
    </row>
    <row r="15" spans="1:25" ht="13.5" thickBot="1" x14ac:dyDescent="0.25">
      <c r="A15" s="36" t="s">
        <v>344</v>
      </c>
      <c r="B15" s="27"/>
      <c r="C15" s="29">
        <f>SUM(C12:C13)</f>
        <v>0</v>
      </c>
      <c r="D15" s="29">
        <f t="shared" ref="D15:M15" si="0">SUM(D12:D13)</f>
        <v>0.76014240523224397</v>
      </c>
      <c r="E15" s="29">
        <f t="shared" si="0"/>
        <v>-10.573656113075657</v>
      </c>
      <c r="F15" s="29">
        <f t="shared" si="0"/>
        <v>-8.4822314234668639</v>
      </c>
      <c r="G15" s="29">
        <f t="shared" si="0"/>
        <v>-6.4071528689321111</v>
      </c>
      <c r="H15" s="29">
        <f t="shared" si="0"/>
        <v>-20.358262980620257</v>
      </c>
      <c r="I15" s="29">
        <f t="shared" si="0"/>
        <v>-57.452598903242318</v>
      </c>
      <c r="J15" s="29">
        <f t="shared" si="0"/>
        <v>-55.477019691174199</v>
      </c>
      <c r="K15" s="29">
        <f t="shared" si="0"/>
        <v>-53.528585174076198</v>
      </c>
      <c r="L15" s="29">
        <f t="shared" si="0"/>
        <v>-51.59747488585738</v>
      </c>
      <c r="M15" s="29">
        <f t="shared" si="0"/>
        <v>-49.685514367256175</v>
      </c>
    </row>
    <row r="16" spans="1:25" ht="13.5" thickTop="1" x14ac:dyDescent="0.2"/>
    <row r="21" spans="6:6" x14ac:dyDescent="0.2">
      <c r="F21" t="s">
        <v>348</v>
      </c>
    </row>
  </sheetData>
  <pageMargins left="0.75" right="0.75" top="1" bottom="1" header="0.5" footer="0.5"/>
  <pageSetup scale="90" orientation="landscape" verticalDpi="0" r:id="rId1"/>
  <headerFooter alignWithMargins="0">
    <oddFooter>Page &amp;P&amp;R&amp;A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35"/>
  <sheetViews>
    <sheetView workbookViewId="0">
      <selection activeCell="M6" sqref="M6"/>
    </sheetView>
  </sheetViews>
  <sheetFormatPr defaultRowHeight="12.75" x14ac:dyDescent="0.2"/>
  <cols>
    <col min="1" max="1" width="24.85546875" customWidth="1"/>
  </cols>
  <sheetData>
    <row r="1" spans="1:26" x14ac:dyDescent="0.2">
      <c r="A1" t="s">
        <v>508</v>
      </c>
    </row>
    <row r="4" spans="1:26" x14ac:dyDescent="0.2">
      <c r="A4" s="8" t="s">
        <v>337</v>
      </c>
      <c r="B4" s="8" t="s">
        <v>332</v>
      </c>
      <c r="C4" s="8">
        <v>2000</v>
      </c>
      <c r="D4" s="8">
        <v>2001</v>
      </c>
      <c r="E4" s="8">
        <v>2002</v>
      </c>
      <c r="F4" s="8">
        <v>2003</v>
      </c>
      <c r="G4" s="8">
        <v>2004</v>
      </c>
      <c r="H4" s="8">
        <v>2005</v>
      </c>
      <c r="I4" s="8">
        <v>2006</v>
      </c>
      <c r="J4" s="8">
        <v>2007</v>
      </c>
      <c r="K4" s="8">
        <v>2008</v>
      </c>
      <c r="L4" s="8">
        <v>2009</v>
      </c>
      <c r="M4" s="8">
        <v>2010</v>
      </c>
      <c r="N4" s="8">
        <v>2011</v>
      </c>
    </row>
    <row r="5" spans="1:26" x14ac:dyDescent="0.2">
      <c r="A5" t="s">
        <v>336</v>
      </c>
      <c r="B5" t="s">
        <v>333</v>
      </c>
      <c r="C5" s="15">
        <v>6.0900000000000003E-2</v>
      </c>
      <c r="D5" s="15">
        <v>6.0699999999999997E-2</v>
      </c>
      <c r="E5" s="15">
        <v>6.0100000000000001E-2</v>
      </c>
      <c r="F5" s="15">
        <v>5.9900000000000002E-2</v>
      </c>
      <c r="G5" s="15">
        <v>5.9900000000000002E-2</v>
      </c>
      <c r="H5" s="15">
        <v>5.96E-2</v>
      </c>
      <c r="I5" s="15">
        <v>5.9400000000000001E-2</v>
      </c>
      <c r="J5" s="15">
        <v>5.9200000000000003E-2</v>
      </c>
      <c r="K5" s="15">
        <v>5.91E-2</v>
      </c>
      <c r="L5" s="15">
        <v>5.8999999999999997E-2</v>
      </c>
      <c r="M5" s="15">
        <v>5.8900000000000001E-2</v>
      </c>
      <c r="P5" s="15">
        <v>6.0900000000000003E-2</v>
      </c>
      <c r="Q5" s="15">
        <v>6.0699999999999997E-2</v>
      </c>
      <c r="R5" s="15">
        <v>6.0100000000000001E-2</v>
      </c>
      <c r="S5" s="15">
        <v>5.9900000000000002E-2</v>
      </c>
      <c r="T5" s="15">
        <v>5.9900000000000002E-2</v>
      </c>
      <c r="U5" s="15">
        <v>5.96E-2</v>
      </c>
      <c r="V5" s="15">
        <v>5.9400000000000001E-2</v>
      </c>
      <c r="W5" s="15">
        <v>5.9200000000000003E-2</v>
      </c>
      <c r="X5" s="15">
        <v>5.91E-2</v>
      </c>
      <c r="Y5" s="15">
        <v>5.8999999999999997E-2</v>
      </c>
      <c r="Z5" s="15">
        <v>5.8900000000000001E-2</v>
      </c>
    </row>
    <row r="6" spans="1:26" x14ac:dyDescent="0.2">
      <c r="A6" t="s">
        <v>336</v>
      </c>
      <c r="B6" t="s">
        <v>334</v>
      </c>
      <c r="C6" s="18">
        <f>C5+C10</f>
        <v>7.5899999999999995E-2</v>
      </c>
      <c r="D6" s="18">
        <f t="shared" ref="D6:M6" si="0">D5+D10</f>
        <v>7.569999999999999E-2</v>
      </c>
      <c r="E6" s="18">
        <f t="shared" si="0"/>
        <v>7.51E-2</v>
      </c>
      <c r="F6" s="18">
        <f t="shared" si="0"/>
        <v>7.4899999999999994E-2</v>
      </c>
      <c r="G6" s="18">
        <f t="shared" si="0"/>
        <v>7.4899999999999994E-2</v>
      </c>
      <c r="H6" s="18">
        <f t="shared" si="0"/>
        <v>7.46E-2</v>
      </c>
      <c r="I6" s="18">
        <f t="shared" si="0"/>
        <v>7.4399999999999994E-2</v>
      </c>
      <c r="J6" s="18">
        <f t="shared" si="0"/>
        <v>7.4200000000000002E-2</v>
      </c>
      <c r="K6" s="18">
        <f t="shared" si="0"/>
        <v>7.4099999999999999E-2</v>
      </c>
      <c r="L6" s="18">
        <f t="shared" si="0"/>
        <v>7.3999999999999996E-2</v>
      </c>
      <c r="M6" s="18">
        <f t="shared" si="0"/>
        <v>7.3899999999999993E-2</v>
      </c>
    </row>
    <row r="7" spans="1:26" x14ac:dyDescent="0.2">
      <c r="A7" t="s">
        <v>336</v>
      </c>
      <c r="B7" t="s">
        <v>335</v>
      </c>
      <c r="C7" s="18">
        <f>C5-C10</f>
        <v>4.5900000000000003E-2</v>
      </c>
      <c r="D7" s="18">
        <f t="shared" ref="D7:M7" si="1">D5-D10</f>
        <v>4.5699999999999998E-2</v>
      </c>
      <c r="E7" s="18">
        <f t="shared" si="1"/>
        <v>4.5100000000000001E-2</v>
      </c>
      <c r="F7" s="18">
        <f t="shared" si="1"/>
        <v>4.4900000000000002E-2</v>
      </c>
      <c r="G7" s="18">
        <f t="shared" si="1"/>
        <v>4.4900000000000002E-2</v>
      </c>
      <c r="H7" s="18">
        <f t="shared" si="1"/>
        <v>4.4600000000000001E-2</v>
      </c>
      <c r="I7" s="18">
        <f t="shared" si="1"/>
        <v>4.4400000000000002E-2</v>
      </c>
      <c r="J7" s="18">
        <f t="shared" si="1"/>
        <v>4.4200000000000003E-2</v>
      </c>
      <c r="K7" s="18">
        <f t="shared" si="1"/>
        <v>4.41E-2</v>
      </c>
      <c r="L7" s="18">
        <f t="shared" si="1"/>
        <v>4.3999999999999997E-2</v>
      </c>
      <c r="M7" s="18">
        <f t="shared" si="1"/>
        <v>4.3900000000000002E-2</v>
      </c>
    </row>
    <row r="9" spans="1:26" x14ac:dyDescent="0.2">
      <c r="A9" t="s">
        <v>347</v>
      </c>
      <c r="B9" t="s">
        <v>340</v>
      </c>
      <c r="C9" s="30">
        <v>7.4999999999999997E-3</v>
      </c>
      <c r="D9" s="26">
        <f>C9</f>
        <v>7.4999999999999997E-3</v>
      </c>
      <c r="E9" s="26">
        <f t="shared" ref="E9:M9" si="2">D9</f>
        <v>7.4999999999999997E-3</v>
      </c>
      <c r="F9" s="26">
        <f t="shared" si="2"/>
        <v>7.4999999999999997E-3</v>
      </c>
      <c r="G9" s="26">
        <f t="shared" si="2"/>
        <v>7.4999999999999997E-3</v>
      </c>
      <c r="H9" s="26">
        <f t="shared" si="2"/>
        <v>7.4999999999999997E-3</v>
      </c>
      <c r="I9" s="26">
        <f t="shared" si="2"/>
        <v>7.4999999999999997E-3</v>
      </c>
      <c r="J9" s="26">
        <f t="shared" si="2"/>
        <v>7.4999999999999997E-3</v>
      </c>
      <c r="K9" s="26">
        <f t="shared" si="2"/>
        <v>7.4999999999999997E-3</v>
      </c>
      <c r="L9" s="26">
        <f t="shared" si="2"/>
        <v>7.4999999999999997E-3</v>
      </c>
      <c r="M9" s="26">
        <f t="shared" si="2"/>
        <v>7.4999999999999997E-3</v>
      </c>
    </row>
    <row r="10" spans="1:26" x14ac:dyDescent="0.2">
      <c r="A10" t="s">
        <v>347</v>
      </c>
      <c r="B10" t="s">
        <v>341</v>
      </c>
      <c r="C10" s="30">
        <f>C9*2</f>
        <v>1.4999999999999999E-2</v>
      </c>
      <c r="D10" s="26">
        <f t="shared" ref="D10:M10" si="3">C10</f>
        <v>1.4999999999999999E-2</v>
      </c>
      <c r="E10" s="26">
        <f t="shared" si="3"/>
        <v>1.4999999999999999E-2</v>
      </c>
      <c r="F10" s="26">
        <f t="shared" si="3"/>
        <v>1.4999999999999999E-2</v>
      </c>
      <c r="G10" s="26">
        <f t="shared" si="3"/>
        <v>1.4999999999999999E-2</v>
      </c>
      <c r="H10" s="26">
        <f t="shared" si="3"/>
        <v>1.4999999999999999E-2</v>
      </c>
      <c r="I10" s="26">
        <f t="shared" si="3"/>
        <v>1.4999999999999999E-2</v>
      </c>
      <c r="J10" s="26">
        <f t="shared" si="3"/>
        <v>1.4999999999999999E-2</v>
      </c>
      <c r="K10" s="26">
        <f t="shared" si="3"/>
        <v>1.4999999999999999E-2</v>
      </c>
      <c r="L10" s="26">
        <f t="shared" si="3"/>
        <v>1.4999999999999999E-2</v>
      </c>
      <c r="M10" s="26">
        <f t="shared" si="3"/>
        <v>1.4999999999999999E-2</v>
      </c>
    </row>
    <row r="11" spans="1:26" x14ac:dyDescent="0.2">
      <c r="A11" t="s">
        <v>347</v>
      </c>
      <c r="B11" t="s">
        <v>342</v>
      </c>
      <c r="C11" s="30">
        <f>C9*3</f>
        <v>2.2499999999999999E-2</v>
      </c>
      <c r="D11" s="26">
        <f t="shared" ref="D11:M11" si="4">C11</f>
        <v>2.2499999999999999E-2</v>
      </c>
      <c r="E11" s="26">
        <f t="shared" si="4"/>
        <v>2.2499999999999999E-2</v>
      </c>
      <c r="F11" s="26">
        <f t="shared" si="4"/>
        <v>2.2499999999999999E-2</v>
      </c>
      <c r="G11" s="26">
        <f t="shared" si="4"/>
        <v>2.2499999999999999E-2</v>
      </c>
      <c r="H11" s="26">
        <f t="shared" si="4"/>
        <v>2.2499999999999999E-2</v>
      </c>
      <c r="I11" s="26">
        <f t="shared" si="4"/>
        <v>2.2499999999999999E-2</v>
      </c>
      <c r="J11" s="26">
        <f t="shared" si="4"/>
        <v>2.2499999999999999E-2</v>
      </c>
      <c r="K11" s="26">
        <f t="shared" si="4"/>
        <v>2.2499999999999999E-2</v>
      </c>
      <c r="L11" s="26">
        <f t="shared" si="4"/>
        <v>2.2499999999999999E-2</v>
      </c>
      <c r="M11" s="26">
        <f t="shared" si="4"/>
        <v>2.2499999999999999E-2</v>
      </c>
    </row>
    <row r="13" spans="1:26" x14ac:dyDescent="0.2">
      <c r="A13" t="s">
        <v>338</v>
      </c>
      <c r="B13" t="s">
        <v>333</v>
      </c>
      <c r="C13" s="15">
        <f>[1]Annual!$B$6</f>
        <v>3.5700000000000003E-2</v>
      </c>
      <c r="D13" s="15">
        <f>[1]Annual!$B$7</f>
        <v>3.1E-2</v>
      </c>
      <c r="E13" s="15">
        <f>[1]Annual!$B$8</f>
        <v>0.03</v>
      </c>
      <c r="F13" s="15">
        <f>[1]Annual!$B$9</f>
        <v>2.9000000000000001E-2</v>
      </c>
      <c r="G13" s="15">
        <f>[1]Annual!$B$10</f>
        <v>2.8500000000000001E-2</v>
      </c>
      <c r="H13" s="15">
        <f>[1]Annual!$B$11</f>
        <v>2.8000000000000001E-2</v>
      </c>
      <c r="I13" s="15">
        <f>[1]Annual!$B$12</f>
        <v>2.7199999999999998E-2</v>
      </c>
      <c r="J13" s="15">
        <f>[1]Annual!$B$13</f>
        <v>2.6700000000000002E-2</v>
      </c>
      <c r="K13" s="15">
        <f>[1]Annual!$B$14</f>
        <v>2.6200000000000001E-2</v>
      </c>
      <c r="L13" s="15">
        <f>[1]Annual!$B$15</f>
        <v>2.58E-2</v>
      </c>
      <c r="M13" s="15">
        <f>[1]Annual!$B$16</f>
        <v>2.5399999999999999E-2</v>
      </c>
      <c r="P13" s="15">
        <f>[1]Annual!$B$6</f>
        <v>3.5700000000000003E-2</v>
      </c>
      <c r="Q13" s="15">
        <f>[1]Annual!$B$7</f>
        <v>3.1E-2</v>
      </c>
      <c r="R13" s="15">
        <f>[1]Annual!$B$8</f>
        <v>0.03</v>
      </c>
      <c r="S13" s="15">
        <f>[1]Annual!$B$9</f>
        <v>2.9000000000000001E-2</v>
      </c>
      <c r="T13" s="15">
        <f>[1]Annual!$B$10</f>
        <v>2.8500000000000001E-2</v>
      </c>
      <c r="U13" s="15">
        <f>[1]Annual!$B$11</f>
        <v>2.8000000000000001E-2</v>
      </c>
      <c r="V13" s="15">
        <f>[1]Annual!$B$12</f>
        <v>2.7199999999999998E-2</v>
      </c>
      <c r="W13" s="15">
        <f>[1]Annual!$B$13</f>
        <v>2.6700000000000002E-2</v>
      </c>
      <c r="X13" s="15">
        <f>[1]Annual!$B$14</f>
        <v>2.6200000000000001E-2</v>
      </c>
      <c r="Y13" s="15">
        <f>[1]Annual!$B$15</f>
        <v>2.58E-2</v>
      </c>
      <c r="Z13" s="15">
        <f>[1]Annual!$B$16</f>
        <v>2.5399999999999999E-2</v>
      </c>
    </row>
    <row r="14" spans="1:26" x14ac:dyDescent="0.2">
      <c r="A14" t="s">
        <v>338</v>
      </c>
      <c r="B14" t="s">
        <v>334</v>
      </c>
      <c r="C14" s="79">
        <f>C13+C11</f>
        <v>5.8200000000000002E-2</v>
      </c>
      <c r="D14" s="79">
        <f t="shared" ref="D14:M14" si="5">D13+D11</f>
        <v>5.3499999999999999E-2</v>
      </c>
      <c r="E14" s="79">
        <f t="shared" si="5"/>
        <v>5.2499999999999998E-2</v>
      </c>
      <c r="F14" s="79">
        <f t="shared" si="5"/>
        <v>5.1500000000000004E-2</v>
      </c>
      <c r="G14" s="79">
        <f t="shared" si="5"/>
        <v>5.1000000000000004E-2</v>
      </c>
      <c r="H14" s="79">
        <f t="shared" si="5"/>
        <v>5.0500000000000003E-2</v>
      </c>
      <c r="I14" s="79">
        <f t="shared" si="5"/>
        <v>4.9699999999999994E-2</v>
      </c>
      <c r="J14" s="79">
        <f t="shared" si="5"/>
        <v>4.9200000000000001E-2</v>
      </c>
      <c r="K14" s="79">
        <f t="shared" si="5"/>
        <v>4.87E-2</v>
      </c>
      <c r="L14" s="79">
        <f t="shared" si="5"/>
        <v>4.8299999999999996E-2</v>
      </c>
      <c r="M14" s="79">
        <f t="shared" si="5"/>
        <v>4.7899999999999998E-2</v>
      </c>
    </row>
    <row r="15" spans="1:26" x14ac:dyDescent="0.2">
      <c r="A15" t="s">
        <v>338</v>
      </c>
      <c r="B15" t="s">
        <v>335</v>
      </c>
      <c r="C15" s="79">
        <f>C13-C11</f>
        <v>1.3200000000000003E-2</v>
      </c>
      <c r="D15" s="79">
        <f t="shared" ref="D15:M15" si="6">D13-D11</f>
        <v>8.5000000000000006E-3</v>
      </c>
      <c r="E15" s="79">
        <f t="shared" si="6"/>
        <v>7.4999999999999997E-3</v>
      </c>
      <c r="F15" s="79">
        <f t="shared" si="6"/>
        <v>6.5000000000000023E-3</v>
      </c>
      <c r="G15" s="79">
        <f t="shared" si="6"/>
        <v>6.0000000000000019E-3</v>
      </c>
      <c r="H15" s="79">
        <f t="shared" si="6"/>
        <v>5.5000000000000014E-3</v>
      </c>
      <c r="I15" s="79">
        <f t="shared" si="6"/>
        <v>4.6999999999999993E-3</v>
      </c>
      <c r="J15" s="79">
        <f t="shared" si="6"/>
        <v>4.2000000000000023E-3</v>
      </c>
      <c r="K15" s="79">
        <f t="shared" si="6"/>
        <v>3.7000000000000019E-3</v>
      </c>
      <c r="L15" s="79">
        <f t="shared" si="6"/>
        <v>3.3000000000000008E-3</v>
      </c>
      <c r="M15" s="79">
        <f t="shared" si="6"/>
        <v>2.8999999999999998E-3</v>
      </c>
    </row>
    <row r="16" spans="1:26" x14ac:dyDescent="0.2"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</row>
    <row r="17" spans="1:26" x14ac:dyDescent="0.2">
      <c r="A17" t="s">
        <v>339</v>
      </c>
      <c r="B17" t="s">
        <v>333</v>
      </c>
      <c r="C17" s="15">
        <f>[1]Annual!$C$6</f>
        <v>4.6300000000000001E-2</v>
      </c>
      <c r="D17" s="15">
        <f>[1]Annual!$C$7</f>
        <v>3.2000000000000001E-2</v>
      </c>
      <c r="E17" s="15">
        <f>[1]Annual!$C$8</f>
        <v>2.9000000000000001E-2</v>
      </c>
      <c r="F17" s="15">
        <f>[1]Annual!$C$9</f>
        <v>2.7E-2</v>
      </c>
      <c r="G17" s="15">
        <f>[1]Annual!$C$10</f>
        <v>2.53E-2</v>
      </c>
      <c r="H17" s="15">
        <f>[1]Annual!$C$11</f>
        <v>2.4E-2</v>
      </c>
      <c r="I17" s="15">
        <f>[1]Annual!$C$12</f>
        <v>2.2499999999999999E-2</v>
      </c>
      <c r="J17" s="15">
        <f>[1]Annual!$C$13</f>
        <v>2.1000000000000001E-2</v>
      </c>
      <c r="K17" s="15">
        <f>[1]Annual!$C$14</f>
        <v>0.02</v>
      </c>
      <c r="L17" s="15">
        <f>[1]Annual!$C$15</f>
        <v>1.9199999999999998E-2</v>
      </c>
      <c r="M17" s="15">
        <f>[1]Annual!$C$16</f>
        <v>1.7999999999999999E-2</v>
      </c>
      <c r="P17" s="15">
        <f>[1]Annual!$C$6</f>
        <v>4.6300000000000001E-2</v>
      </c>
      <c r="Q17" s="15">
        <f>[1]Annual!$C$7</f>
        <v>3.2000000000000001E-2</v>
      </c>
      <c r="R17" s="15">
        <f>[1]Annual!$C$8</f>
        <v>2.9000000000000001E-2</v>
      </c>
      <c r="S17" s="15">
        <f>[1]Annual!$C$9</f>
        <v>2.7E-2</v>
      </c>
      <c r="T17" s="15">
        <f>[1]Annual!$C$10</f>
        <v>2.53E-2</v>
      </c>
      <c r="U17" s="15">
        <f>[1]Annual!$C$11</f>
        <v>2.4E-2</v>
      </c>
      <c r="V17" s="15">
        <f>[1]Annual!$C$12</f>
        <v>2.2499999999999999E-2</v>
      </c>
      <c r="W17" s="15">
        <f>[1]Annual!$C$13</f>
        <v>2.1000000000000001E-2</v>
      </c>
      <c r="X17" s="15">
        <f>[1]Annual!$C$14</f>
        <v>0.02</v>
      </c>
      <c r="Y17" s="15">
        <f>[1]Annual!$C$15</f>
        <v>1.9199999999999998E-2</v>
      </c>
      <c r="Z17" s="15">
        <f>[1]Annual!$C$16</f>
        <v>1.7999999999999999E-2</v>
      </c>
    </row>
    <row r="18" spans="1:26" x14ac:dyDescent="0.2">
      <c r="A18" t="s">
        <v>339</v>
      </c>
      <c r="B18" t="s">
        <v>334</v>
      </c>
      <c r="C18" s="79">
        <f>C17+C11</f>
        <v>6.88E-2</v>
      </c>
      <c r="D18" s="79">
        <f t="shared" ref="D18:M18" si="7">D17+D11</f>
        <v>5.45E-2</v>
      </c>
      <c r="E18" s="79">
        <f t="shared" si="7"/>
        <v>5.1500000000000004E-2</v>
      </c>
      <c r="F18" s="79">
        <f t="shared" si="7"/>
        <v>4.9500000000000002E-2</v>
      </c>
      <c r="G18" s="79">
        <f t="shared" si="7"/>
        <v>4.7799999999999995E-2</v>
      </c>
      <c r="H18" s="79">
        <f t="shared" si="7"/>
        <v>4.65E-2</v>
      </c>
      <c r="I18" s="79">
        <f t="shared" si="7"/>
        <v>4.4999999999999998E-2</v>
      </c>
      <c r="J18" s="79">
        <f t="shared" si="7"/>
        <v>4.3499999999999997E-2</v>
      </c>
      <c r="K18" s="79">
        <f t="shared" si="7"/>
        <v>4.2499999999999996E-2</v>
      </c>
      <c r="L18" s="79">
        <f t="shared" si="7"/>
        <v>4.1700000000000001E-2</v>
      </c>
      <c r="M18" s="79">
        <f t="shared" si="7"/>
        <v>4.0499999999999994E-2</v>
      </c>
    </row>
    <row r="19" spans="1:26" x14ac:dyDescent="0.2">
      <c r="A19" t="s">
        <v>339</v>
      </c>
      <c r="B19" t="s">
        <v>335</v>
      </c>
      <c r="C19" s="15">
        <f>IF(C17-C11&gt;0,C17-C11,0)</f>
        <v>2.3800000000000002E-2</v>
      </c>
      <c r="D19" s="15">
        <f t="shared" ref="D19:M19" si="8">IF(D17-D11&gt;0,D17-D11,0)</f>
        <v>9.5000000000000015E-3</v>
      </c>
      <c r="E19" s="15">
        <f t="shared" si="8"/>
        <v>6.5000000000000023E-3</v>
      </c>
      <c r="F19" s="15">
        <f t="shared" si="8"/>
        <v>4.5000000000000005E-3</v>
      </c>
      <c r="G19" s="15">
        <f t="shared" si="8"/>
        <v>2.8000000000000004E-3</v>
      </c>
      <c r="H19" s="15">
        <f t="shared" si="8"/>
        <v>1.5000000000000013E-3</v>
      </c>
      <c r="I19" s="15">
        <f t="shared" si="8"/>
        <v>0</v>
      </c>
      <c r="J19" s="15">
        <f t="shared" si="8"/>
        <v>0</v>
      </c>
      <c r="K19" s="15">
        <f t="shared" si="8"/>
        <v>0</v>
      </c>
      <c r="L19" s="15">
        <f t="shared" si="8"/>
        <v>0</v>
      </c>
      <c r="M19" s="15">
        <f t="shared" si="8"/>
        <v>0</v>
      </c>
    </row>
    <row r="21" spans="1:26" x14ac:dyDescent="0.2">
      <c r="A21" t="s">
        <v>322</v>
      </c>
      <c r="B21" t="s">
        <v>333</v>
      </c>
      <c r="C21" s="15">
        <v>0.01</v>
      </c>
      <c r="D21" s="15">
        <f>C21</f>
        <v>0.01</v>
      </c>
      <c r="E21" s="15">
        <f t="shared" ref="E21:M21" si="9">D21</f>
        <v>0.01</v>
      </c>
      <c r="F21" s="15">
        <f t="shared" si="9"/>
        <v>0.01</v>
      </c>
      <c r="G21" s="15">
        <f t="shared" si="9"/>
        <v>0.01</v>
      </c>
      <c r="H21" s="15">
        <f t="shared" si="9"/>
        <v>0.01</v>
      </c>
      <c r="I21" s="15">
        <f t="shared" si="9"/>
        <v>0.01</v>
      </c>
      <c r="J21" s="15">
        <f t="shared" si="9"/>
        <v>0.01</v>
      </c>
      <c r="K21" s="15">
        <f t="shared" si="9"/>
        <v>0.01</v>
      </c>
      <c r="L21" s="15">
        <f t="shared" si="9"/>
        <v>0.01</v>
      </c>
      <c r="M21" s="15">
        <f t="shared" si="9"/>
        <v>0.01</v>
      </c>
    </row>
    <row r="22" spans="1:26" x14ac:dyDescent="0.2">
      <c r="A22" t="s">
        <v>322</v>
      </c>
      <c r="B22" t="s">
        <v>334</v>
      </c>
      <c r="C22" s="15">
        <v>1.4999999999999999E-2</v>
      </c>
      <c r="D22" s="15">
        <f t="shared" ref="D22:M22" si="10">C22</f>
        <v>1.4999999999999999E-2</v>
      </c>
      <c r="E22" s="15">
        <f t="shared" si="10"/>
        <v>1.4999999999999999E-2</v>
      </c>
      <c r="F22" s="15">
        <f t="shared" si="10"/>
        <v>1.4999999999999999E-2</v>
      </c>
      <c r="G22" s="15">
        <f t="shared" si="10"/>
        <v>1.4999999999999999E-2</v>
      </c>
      <c r="H22" s="15">
        <f t="shared" si="10"/>
        <v>1.4999999999999999E-2</v>
      </c>
      <c r="I22" s="15">
        <f t="shared" si="10"/>
        <v>1.4999999999999999E-2</v>
      </c>
      <c r="J22" s="15">
        <f t="shared" si="10"/>
        <v>1.4999999999999999E-2</v>
      </c>
      <c r="K22" s="15">
        <f t="shared" si="10"/>
        <v>1.4999999999999999E-2</v>
      </c>
      <c r="L22" s="15">
        <f t="shared" si="10"/>
        <v>1.4999999999999999E-2</v>
      </c>
      <c r="M22" s="15">
        <f t="shared" si="10"/>
        <v>1.4999999999999999E-2</v>
      </c>
    </row>
    <row r="23" spans="1:26" x14ac:dyDescent="0.2">
      <c r="A23" t="s">
        <v>322</v>
      </c>
      <c r="B23" t="s">
        <v>335</v>
      </c>
      <c r="C23" s="15">
        <v>5.0000000000000001E-3</v>
      </c>
      <c r="D23" s="15">
        <f t="shared" ref="D23:M23" si="11">C23</f>
        <v>5.0000000000000001E-3</v>
      </c>
      <c r="E23" s="15">
        <f t="shared" si="11"/>
        <v>5.0000000000000001E-3</v>
      </c>
      <c r="F23" s="15">
        <f t="shared" si="11"/>
        <v>5.0000000000000001E-3</v>
      </c>
      <c r="G23" s="15">
        <f t="shared" si="11"/>
        <v>5.0000000000000001E-3</v>
      </c>
      <c r="H23" s="15">
        <f t="shared" si="11"/>
        <v>5.0000000000000001E-3</v>
      </c>
      <c r="I23" s="15">
        <f t="shared" si="11"/>
        <v>5.0000000000000001E-3</v>
      </c>
      <c r="J23" s="15">
        <f t="shared" si="11"/>
        <v>5.0000000000000001E-3</v>
      </c>
      <c r="K23" s="15">
        <f t="shared" si="11"/>
        <v>5.0000000000000001E-3</v>
      </c>
      <c r="L23" s="15">
        <f t="shared" si="11"/>
        <v>5.0000000000000001E-3</v>
      </c>
      <c r="M23" s="15">
        <f t="shared" si="11"/>
        <v>5.0000000000000001E-3</v>
      </c>
    </row>
    <row r="25" spans="1:26" x14ac:dyDescent="0.2">
      <c r="A25" t="s">
        <v>323</v>
      </c>
      <c r="B25" t="s">
        <v>333</v>
      </c>
      <c r="C25" s="9">
        <v>7.0000000000000007E-2</v>
      </c>
      <c r="D25" s="19">
        <f>C25</f>
        <v>7.0000000000000007E-2</v>
      </c>
      <c r="E25" s="19">
        <f t="shared" ref="E25:M25" si="12">D25</f>
        <v>7.0000000000000007E-2</v>
      </c>
      <c r="F25" s="19">
        <f t="shared" si="12"/>
        <v>7.0000000000000007E-2</v>
      </c>
      <c r="G25" s="19">
        <f t="shared" si="12"/>
        <v>7.0000000000000007E-2</v>
      </c>
      <c r="H25" s="19">
        <f t="shared" si="12"/>
        <v>7.0000000000000007E-2</v>
      </c>
      <c r="I25" s="19">
        <f t="shared" si="12"/>
        <v>7.0000000000000007E-2</v>
      </c>
      <c r="J25" s="19">
        <f t="shared" si="12"/>
        <v>7.0000000000000007E-2</v>
      </c>
      <c r="K25" s="19">
        <f t="shared" si="12"/>
        <v>7.0000000000000007E-2</v>
      </c>
      <c r="L25" s="19">
        <f t="shared" si="12"/>
        <v>7.0000000000000007E-2</v>
      </c>
      <c r="M25" s="19">
        <f t="shared" si="12"/>
        <v>7.0000000000000007E-2</v>
      </c>
    </row>
    <row r="27" spans="1:26" x14ac:dyDescent="0.2">
      <c r="A27" t="s">
        <v>324</v>
      </c>
      <c r="B27" t="s">
        <v>333</v>
      </c>
      <c r="C27" s="11">
        <v>3.5999999999999997E-2</v>
      </c>
      <c r="D27" s="63">
        <f>C27</f>
        <v>3.5999999999999997E-2</v>
      </c>
      <c r="E27" s="63">
        <f t="shared" ref="E27:M27" si="13">D27</f>
        <v>3.5999999999999997E-2</v>
      </c>
      <c r="F27" s="63">
        <f t="shared" si="13"/>
        <v>3.5999999999999997E-2</v>
      </c>
      <c r="G27" s="63">
        <f t="shared" si="13"/>
        <v>3.5999999999999997E-2</v>
      </c>
      <c r="H27" s="63">
        <f t="shared" si="13"/>
        <v>3.5999999999999997E-2</v>
      </c>
      <c r="I27" s="63">
        <f t="shared" si="13"/>
        <v>3.5999999999999997E-2</v>
      </c>
      <c r="J27" s="63">
        <f t="shared" si="13"/>
        <v>3.5999999999999997E-2</v>
      </c>
      <c r="K27" s="63">
        <f t="shared" si="13"/>
        <v>3.5999999999999997E-2</v>
      </c>
      <c r="L27" s="63">
        <f t="shared" si="13"/>
        <v>3.5999999999999997E-2</v>
      </c>
      <c r="M27" s="63">
        <f t="shared" si="13"/>
        <v>3.5999999999999997E-2</v>
      </c>
    </row>
    <row r="29" spans="1:26" x14ac:dyDescent="0.2">
      <c r="A29" t="s">
        <v>463</v>
      </c>
      <c r="B29" t="s">
        <v>333</v>
      </c>
      <c r="C29">
        <v>0</v>
      </c>
      <c r="D29" s="9">
        <v>0.05</v>
      </c>
      <c r="E29" s="19">
        <f t="shared" ref="E29:M29" si="14">D29</f>
        <v>0.05</v>
      </c>
      <c r="F29" s="19">
        <f t="shared" si="14"/>
        <v>0.05</v>
      </c>
      <c r="G29" s="19">
        <f t="shared" si="14"/>
        <v>0.05</v>
      </c>
      <c r="H29" s="19">
        <f t="shared" si="14"/>
        <v>0.05</v>
      </c>
      <c r="I29" s="19">
        <f t="shared" si="14"/>
        <v>0.05</v>
      </c>
      <c r="J29" s="19">
        <f t="shared" si="14"/>
        <v>0.05</v>
      </c>
      <c r="K29" s="19">
        <f t="shared" si="14"/>
        <v>0.05</v>
      </c>
      <c r="L29" s="19">
        <f t="shared" si="14"/>
        <v>0.05</v>
      </c>
      <c r="M29" s="19">
        <f t="shared" si="14"/>
        <v>0.05</v>
      </c>
    </row>
    <row r="30" spans="1:26" x14ac:dyDescent="0.2">
      <c r="A30" t="s">
        <v>463</v>
      </c>
      <c r="B30" t="s">
        <v>334</v>
      </c>
      <c r="C30">
        <v>0</v>
      </c>
      <c r="D30" s="9">
        <v>0.1</v>
      </c>
      <c r="E30" s="19">
        <f t="shared" ref="E30:M30" si="15">D30</f>
        <v>0.1</v>
      </c>
      <c r="F30" s="19">
        <f t="shared" si="15"/>
        <v>0.1</v>
      </c>
      <c r="G30" s="19">
        <f t="shared" si="15"/>
        <v>0.1</v>
      </c>
      <c r="H30" s="19">
        <f t="shared" si="15"/>
        <v>0.1</v>
      </c>
      <c r="I30" s="19">
        <f t="shared" si="15"/>
        <v>0.1</v>
      </c>
      <c r="J30" s="19">
        <f t="shared" si="15"/>
        <v>0.1</v>
      </c>
      <c r="K30" s="19">
        <f t="shared" si="15"/>
        <v>0.1</v>
      </c>
      <c r="L30" s="19">
        <f t="shared" si="15"/>
        <v>0.1</v>
      </c>
      <c r="M30" s="19">
        <f t="shared" si="15"/>
        <v>0.1</v>
      </c>
    </row>
    <row r="31" spans="1:26" x14ac:dyDescent="0.2">
      <c r="A31" t="s">
        <v>463</v>
      </c>
      <c r="B31" t="s">
        <v>335</v>
      </c>
      <c r="C31">
        <v>0</v>
      </c>
      <c r="D31" s="9">
        <v>0</v>
      </c>
      <c r="E31" s="19">
        <f t="shared" ref="E31:M31" si="16">D31</f>
        <v>0</v>
      </c>
      <c r="F31" s="19">
        <f t="shared" si="16"/>
        <v>0</v>
      </c>
      <c r="G31" s="19">
        <f t="shared" si="16"/>
        <v>0</v>
      </c>
      <c r="H31" s="19">
        <f t="shared" si="16"/>
        <v>0</v>
      </c>
      <c r="I31" s="19">
        <f t="shared" si="16"/>
        <v>0</v>
      </c>
      <c r="J31" s="19">
        <f t="shared" si="16"/>
        <v>0</v>
      </c>
      <c r="K31" s="19">
        <f t="shared" si="16"/>
        <v>0</v>
      </c>
      <c r="L31" s="19">
        <f t="shared" si="16"/>
        <v>0</v>
      </c>
      <c r="M31" s="19">
        <f t="shared" si="16"/>
        <v>0</v>
      </c>
    </row>
    <row r="33" spans="1:13" x14ac:dyDescent="0.2">
      <c r="A33" t="s">
        <v>469</v>
      </c>
      <c r="B33" t="s">
        <v>333</v>
      </c>
      <c r="C33">
        <v>0</v>
      </c>
      <c r="D33" s="15">
        <v>0</v>
      </c>
      <c r="E33" s="15">
        <f>((1.05/1)^(0.2))-1</f>
        <v>9.805797673485328E-3</v>
      </c>
      <c r="F33" s="15">
        <f>((1.05/1)^(0.2))-1</f>
        <v>9.805797673485328E-3</v>
      </c>
      <c r="G33" s="15">
        <f>((1.05/1)^(0.2))-1</f>
        <v>9.805797673485328E-3</v>
      </c>
      <c r="H33" s="15">
        <f>((1.05/1)^(0.2))-1</f>
        <v>9.805797673485328E-3</v>
      </c>
      <c r="I33" s="15">
        <f>((1.05/1)^(0.2))-1</f>
        <v>9.805797673485328E-3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469</v>
      </c>
      <c r="B34" t="s">
        <v>334</v>
      </c>
      <c r="C34">
        <v>0</v>
      </c>
      <c r="D34" s="15">
        <v>0</v>
      </c>
      <c r="E34" s="15">
        <f>((1.1/1)^(0.2))-1</f>
        <v>1.9244876491456564E-2</v>
      </c>
      <c r="F34" s="15">
        <f>((1.1/1)^(0.2))-1</f>
        <v>1.9244876491456564E-2</v>
      </c>
      <c r="G34" s="15">
        <f>((1.1/1)^(0.2))-1</f>
        <v>1.9244876491456564E-2</v>
      </c>
      <c r="H34" s="15">
        <f>((1.1/1)^(0.2))-1</f>
        <v>1.9244876491456564E-2</v>
      </c>
      <c r="I34" s="15">
        <f>((1.1/1)^(0.2))-1</f>
        <v>1.9244876491456564E-2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469</v>
      </c>
      <c r="B35" t="s">
        <v>335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</sheetData>
  <pageMargins left="0.75" right="0.75" top="1" bottom="1" header="0.5" footer="0.5"/>
  <pageSetup scale="91" orientation="landscape" verticalDpi="0" r:id="rId1"/>
  <headerFooter alignWithMargins="0">
    <oddFooter>Page &amp;P&amp;R&amp;A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29"/>
  <sheetViews>
    <sheetView workbookViewId="0">
      <pane xSplit="1" ySplit="3" topLeftCell="B4" activePane="bottomRight" state="frozen"/>
      <selection activeCell="E25" sqref="E25"/>
      <selection pane="topRight" activeCell="E25" sqref="E25"/>
      <selection pane="bottomLeft" activeCell="E25" sqref="E25"/>
      <selection pane="bottomRight" activeCell="E25" sqref="E25"/>
    </sheetView>
  </sheetViews>
  <sheetFormatPr defaultRowHeight="12.75" x14ac:dyDescent="0.2"/>
  <cols>
    <col min="1" max="1" width="36.140625" bestFit="1" customWidth="1"/>
    <col min="2" max="2" width="11.42578125" customWidth="1"/>
    <col min="3" max="3" width="15.140625" customWidth="1"/>
    <col min="4" max="4" width="14.42578125" customWidth="1"/>
    <col min="5" max="5" width="11.42578125" customWidth="1"/>
    <col min="6" max="6" width="11.28515625" customWidth="1"/>
    <col min="7" max="7" width="13.28515625" customWidth="1"/>
    <col min="9" max="9" width="7.5703125" customWidth="1"/>
    <col min="10" max="10" width="12" customWidth="1"/>
  </cols>
  <sheetData>
    <row r="1" spans="1:10" x14ac:dyDescent="0.2">
      <c r="A1" t="s">
        <v>507</v>
      </c>
    </row>
    <row r="2" spans="1:10" x14ac:dyDescent="0.2">
      <c r="B2" s="12" t="s">
        <v>320</v>
      </c>
      <c r="C2" s="13"/>
      <c r="D2" s="13"/>
      <c r="E2" s="13"/>
      <c r="F2" s="13"/>
      <c r="G2" s="13"/>
      <c r="H2" s="14" t="s">
        <v>321</v>
      </c>
    </row>
    <row r="3" spans="1:10" s="6" customFormat="1" ht="38.25" x14ac:dyDescent="0.2">
      <c r="A3" s="10" t="s">
        <v>1</v>
      </c>
      <c r="B3" s="10" t="s">
        <v>314</v>
      </c>
      <c r="C3" s="10" t="s">
        <v>491</v>
      </c>
      <c r="D3" s="10" t="s">
        <v>492</v>
      </c>
      <c r="E3" s="10" t="s">
        <v>309</v>
      </c>
      <c r="F3" s="10" t="s">
        <v>312</v>
      </c>
      <c r="G3" s="10" t="s">
        <v>315</v>
      </c>
      <c r="H3" s="10" t="s">
        <v>313</v>
      </c>
      <c r="I3" s="10" t="s">
        <v>343</v>
      </c>
      <c r="J3" s="10" t="s">
        <v>326</v>
      </c>
    </row>
    <row r="4" spans="1:10" x14ac:dyDescent="0.2">
      <c r="A4" t="s">
        <v>208</v>
      </c>
      <c r="B4" s="11">
        <v>0.02</v>
      </c>
      <c r="C4" s="11">
        <v>5.0000000000000001E-3</v>
      </c>
      <c r="D4" s="11">
        <v>0.02</v>
      </c>
      <c r="E4">
        <v>2002</v>
      </c>
      <c r="F4">
        <v>4</v>
      </c>
      <c r="G4" s="25" t="s">
        <v>310</v>
      </c>
      <c r="H4" s="21">
        <v>0.85</v>
      </c>
      <c r="I4" s="11">
        <v>1.4999999999999999E-2</v>
      </c>
      <c r="J4" s="4">
        <f>Position!D30</f>
        <v>-368313.66397423192</v>
      </c>
    </row>
    <row r="5" spans="1:10" x14ac:dyDescent="0.2">
      <c r="A5" t="s">
        <v>213</v>
      </c>
      <c r="B5" s="11">
        <v>0.02</v>
      </c>
      <c r="C5" s="11">
        <v>5.0000000000000001E-3</v>
      </c>
      <c r="D5" s="11">
        <v>0.02</v>
      </c>
      <c r="E5">
        <v>2002</v>
      </c>
      <c r="F5">
        <v>4</v>
      </c>
      <c r="G5" s="25" t="s">
        <v>310</v>
      </c>
      <c r="H5" s="21">
        <v>0.85</v>
      </c>
      <c r="I5" s="11">
        <v>1.4999999999999999E-2</v>
      </c>
      <c r="J5" s="4">
        <f>Position!D19</f>
        <v>-957813.26110702008</v>
      </c>
    </row>
    <row r="6" spans="1:10" x14ac:dyDescent="0.2">
      <c r="A6" t="s">
        <v>218</v>
      </c>
      <c r="B6" s="11">
        <v>0.02</v>
      </c>
      <c r="C6" s="11">
        <v>5.0000000000000001E-3</v>
      </c>
      <c r="D6" s="11">
        <v>0.02</v>
      </c>
      <c r="E6">
        <v>2002</v>
      </c>
      <c r="F6">
        <v>4</v>
      </c>
      <c r="G6" s="25" t="s">
        <v>310</v>
      </c>
      <c r="H6" s="21">
        <v>0.85</v>
      </c>
      <c r="I6" s="11">
        <v>1.4999999999999999E-2</v>
      </c>
      <c r="J6" s="4">
        <f>Position!D4</f>
        <v>-6283796.6165834712</v>
      </c>
    </row>
    <row r="7" spans="1:10" x14ac:dyDescent="0.2">
      <c r="A7" t="s">
        <v>307</v>
      </c>
      <c r="B7" s="11">
        <v>0.02</v>
      </c>
      <c r="C7" s="11">
        <v>5.0000000000000001E-3</v>
      </c>
      <c r="D7" s="11">
        <v>0.02</v>
      </c>
      <c r="E7">
        <v>2002</v>
      </c>
      <c r="F7">
        <v>4</v>
      </c>
      <c r="G7" s="25" t="s">
        <v>325</v>
      </c>
      <c r="H7" s="21">
        <v>0.85</v>
      </c>
      <c r="I7" s="11">
        <v>1.4999999999999999E-2</v>
      </c>
      <c r="J7" s="4">
        <f>Position!D11</f>
        <v>-1624960.3516917799</v>
      </c>
    </row>
    <row r="8" spans="1:10" x14ac:dyDescent="0.2">
      <c r="A8" t="s">
        <v>225</v>
      </c>
      <c r="B8" s="11">
        <v>0.02</v>
      </c>
      <c r="C8" s="11">
        <v>5.0000000000000001E-3</v>
      </c>
      <c r="D8" s="11">
        <v>0.02</v>
      </c>
      <c r="E8">
        <v>2002</v>
      </c>
      <c r="F8">
        <v>4</v>
      </c>
      <c r="G8" s="25" t="s">
        <v>310</v>
      </c>
      <c r="H8" s="21">
        <v>0.85</v>
      </c>
      <c r="I8" s="11">
        <v>1.4999999999999999E-2</v>
      </c>
      <c r="J8" s="4">
        <f>Position!D14</f>
        <v>-1516500.1950594781</v>
      </c>
    </row>
    <row r="9" spans="1:10" x14ac:dyDescent="0.2">
      <c r="A9" t="s">
        <v>228</v>
      </c>
      <c r="B9" s="11">
        <v>0.02</v>
      </c>
      <c r="C9" s="11">
        <v>5.0000000000000001E-3</v>
      </c>
      <c r="D9" s="11">
        <v>0.02</v>
      </c>
      <c r="E9">
        <v>2002</v>
      </c>
      <c r="F9">
        <v>4</v>
      </c>
      <c r="G9" s="25" t="s">
        <v>310</v>
      </c>
      <c r="H9" s="21">
        <v>0.85</v>
      </c>
      <c r="I9" s="11">
        <v>1.4999999999999999E-2</v>
      </c>
      <c r="J9" s="4">
        <f>Position!D28</f>
        <v>-399985.26672746363</v>
      </c>
    </row>
    <row r="10" spans="1:10" x14ac:dyDescent="0.2">
      <c r="A10" t="s">
        <v>233</v>
      </c>
      <c r="B10" s="11">
        <v>0.02</v>
      </c>
      <c r="C10" s="11">
        <v>5.0000000000000001E-3</v>
      </c>
      <c r="D10" s="11">
        <v>0.02</v>
      </c>
      <c r="E10">
        <v>2002</v>
      </c>
      <c r="F10">
        <v>4</v>
      </c>
      <c r="G10" s="25" t="s">
        <v>310</v>
      </c>
      <c r="H10" s="21">
        <v>0.85</v>
      </c>
      <c r="I10" s="11">
        <v>1.4999999999999999E-2</v>
      </c>
      <c r="J10" s="4">
        <f>Position!D3</f>
        <v>-6415294.9458476324</v>
      </c>
    </row>
    <row r="11" spans="1:10" x14ac:dyDescent="0.2">
      <c r="A11" t="s">
        <v>236</v>
      </c>
      <c r="B11" s="11">
        <v>0.02</v>
      </c>
      <c r="C11" s="11">
        <v>5.0000000000000001E-3</v>
      </c>
      <c r="D11" s="11">
        <v>0.02</v>
      </c>
      <c r="E11">
        <v>2002</v>
      </c>
      <c r="F11">
        <v>4</v>
      </c>
      <c r="G11" s="25" t="s">
        <v>310</v>
      </c>
      <c r="H11" s="21">
        <v>0.85</v>
      </c>
      <c r="I11" s="11">
        <v>1.4999999999999999E-2</v>
      </c>
      <c r="J11" s="4">
        <f>Position!D26</f>
        <v>-448891.32081250666</v>
      </c>
    </row>
    <row r="12" spans="1:10" x14ac:dyDescent="0.2">
      <c r="A12" t="s">
        <v>240</v>
      </c>
      <c r="B12" s="11">
        <v>0.02</v>
      </c>
      <c r="C12" s="11">
        <v>5.0000000000000001E-3</v>
      </c>
      <c r="D12" s="11">
        <v>0.02</v>
      </c>
      <c r="E12">
        <v>2002</v>
      </c>
      <c r="F12">
        <v>4</v>
      </c>
      <c r="G12" s="25" t="s">
        <v>310</v>
      </c>
      <c r="H12" s="21">
        <v>0.85</v>
      </c>
      <c r="I12" s="11">
        <v>1.4999999999999999E-2</v>
      </c>
      <c r="J12" s="4">
        <f>Position!D27</f>
        <v>-401307.39102015464</v>
      </c>
    </row>
    <row r="13" spans="1:10" x14ac:dyDescent="0.2">
      <c r="A13" t="s">
        <v>245</v>
      </c>
      <c r="B13" s="11">
        <v>0.02</v>
      </c>
      <c r="C13" s="11">
        <v>5.0000000000000001E-3</v>
      </c>
      <c r="D13" s="11">
        <v>0.02</v>
      </c>
      <c r="E13">
        <v>2002</v>
      </c>
      <c r="F13">
        <v>4</v>
      </c>
      <c r="G13" s="25" t="s">
        <v>310</v>
      </c>
      <c r="H13" s="21">
        <v>0.85</v>
      </c>
      <c r="I13" s="11">
        <v>1.4999999999999999E-2</v>
      </c>
      <c r="J13" s="4">
        <f>Position!D17</f>
        <v>-1069143.8287863212</v>
      </c>
    </row>
    <row r="14" spans="1:10" x14ac:dyDescent="0.2">
      <c r="A14" t="s">
        <v>248</v>
      </c>
      <c r="B14" s="11">
        <v>0.02</v>
      </c>
      <c r="C14" s="11">
        <v>5.0000000000000001E-3</v>
      </c>
      <c r="D14" s="11">
        <v>0.02</v>
      </c>
      <c r="E14">
        <v>2002</v>
      </c>
      <c r="F14">
        <v>4</v>
      </c>
      <c r="G14" s="25" t="s">
        <v>310</v>
      </c>
      <c r="H14" s="21">
        <v>0.85</v>
      </c>
      <c r="I14" s="11">
        <v>1.4999999999999999E-2</v>
      </c>
      <c r="J14" s="4">
        <f>Position!D21</f>
        <v>-756586.84203483339</v>
      </c>
    </row>
    <row r="15" spans="1:10" x14ac:dyDescent="0.2">
      <c r="A15" t="s">
        <v>251</v>
      </c>
      <c r="B15" s="11">
        <v>0.02</v>
      </c>
      <c r="C15" s="11">
        <v>5.0000000000000001E-3</v>
      </c>
      <c r="D15" s="11">
        <v>0.02</v>
      </c>
      <c r="E15">
        <v>2002</v>
      </c>
      <c r="F15">
        <v>4</v>
      </c>
      <c r="G15" s="25" t="s">
        <v>310</v>
      </c>
      <c r="H15" s="21">
        <v>0.85</v>
      </c>
      <c r="I15" s="11">
        <v>1.4999999999999999E-2</v>
      </c>
      <c r="J15" s="4">
        <f>Position!D13</f>
        <v>-1562185.2874182269</v>
      </c>
    </row>
    <row r="16" spans="1:10" x14ac:dyDescent="0.2">
      <c r="A16" t="s">
        <v>256</v>
      </c>
      <c r="B16" s="11">
        <v>0.02</v>
      </c>
      <c r="C16" s="11">
        <v>5.0000000000000001E-3</v>
      </c>
      <c r="D16" s="11">
        <v>0.02</v>
      </c>
      <c r="E16">
        <v>2002</v>
      </c>
      <c r="F16">
        <v>4</v>
      </c>
      <c r="G16" s="25" t="s">
        <v>310</v>
      </c>
      <c r="H16" s="21">
        <v>0.85</v>
      </c>
      <c r="I16" s="11">
        <v>1.4999999999999999E-2</v>
      </c>
      <c r="J16" s="4">
        <f>Position!D23</f>
        <v>-637392.04327684676</v>
      </c>
    </row>
    <row r="17" spans="1:10" x14ac:dyDescent="0.2">
      <c r="A17" t="s">
        <v>260</v>
      </c>
      <c r="B17" s="11">
        <v>0.02</v>
      </c>
      <c r="C17" s="11">
        <v>5.0000000000000001E-3</v>
      </c>
      <c r="D17" s="11">
        <v>0.02</v>
      </c>
      <c r="E17">
        <v>2002</v>
      </c>
      <c r="F17">
        <v>4</v>
      </c>
      <c r="G17" s="25" t="s">
        <v>310</v>
      </c>
      <c r="H17" s="21">
        <v>0.85</v>
      </c>
      <c r="I17" s="11">
        <v>1.4999999999999999E-2</v>
      </c>
      <c r="J17" s="4">
        <f>Position!D8</f>
        <v>-2981978.0879981709</v>
      </c>
    </row>
    <row r="18" spans="1:10" x14ac:dyDescent="0.2">
      <c r="A18" t="s">
        <v>264</v>
      </c>
      <c r="B18" s="11">
        <v>0.02</v>
      </c>
      <c r="C18" s="11">
        <v>5.0000000000000001E-3</v>
      </c>
      <c r="D18" s="11">
        <v>0.02</v>
      </c>
      <c r="E18">
        <v>2002</v>
      </c>
      <c r="F18">
        <v>4</v>
      </c>
      <c r="G18" s="25" t="s">
        <v>310</v>
      </c>
      <c r="H18" s="21">
        <v>0.85</v>
      </c>
      <c r="I18" s="11">
        <v>1.4999999999999999E-2</v>
      </c>
      <c r="J18" s="4">
        <f>Position!D29</f>
        <v>-399213.46196996601</v>
      </c>
    </row>
    <row r="19" spans="1:10" x14ac:dyDescent="0.2">
      <c r="A19" t="s">
        <v>268</v>
      </c>
      <c r="B19" s="11">
        <v>1.7000000000000001E-2</v>
      </c>
      <c r="C19" s="11">
        <v>5.0000000000000001E-3</v>
      </c>
      <c r="D19" s="11">
        <v>0.02</v>
      </c>
      <c r="E19">
        <v>2001</v>
      </c>
      <c r="F19">
        <v>4</v>
      </c>
      <c r="G19" s="25" t="s">
        <v>310</v>
      </c>
      <c r="H19" s="21">
        <v>0.85</v>
      </c>
      <c r="I19" s="11">
        <v>1.4999999999999999E-2</v>
      </c>
      <c r="J19" s="4">
        <f>Position!D2</f>
        <v>-13946850.352507301</v>
      </c>
    </row>
    <row r="20" spans="1:10" x14ac:dyDescent="0.2">
      <c r="A20" t="s">
        <v>273</v>
      </c>
      <c r="B20" s="11">
        <v>0.02</v>
      </c>
      <c r="C20" s="11">
        <v>5.0000000000000001E-3</v>
      </c>
      <c r="D20" s="11">
        <v>0.02</v>
      </c>
      <c r="E20">
        <v>2002</v>
      </c>
      <c r="F20">
        <v>4</v>
      </c>
      <c r="G20" s="25" t="s">
        <v>310</v>
      </c>
      <c r="H20" s="21">
        <v>0.85</v>
      </c>
      <c r="I20" s="11">
        <v>1.4999999999999999E-2</v>
      </c>
      <c r="J20" s="4">
        <f>Position!D16</f>
        <v>-1146458.1989038438</v>
      </c>
    </row>
    <row r="21" spans="1:10" x14ac:dyDescent="0.2">
      <c r="A21" t="s">
        <v>276</v>
      </c>
      <c r="B21" s="11">
        <v>0.02</v>
      </c>
      <c r="C21" s="11">
        <v>5.0000000000000001E-3</v>
      </c>
      <c r="D21" s="11">
        <v>0.02</v>
      </c>
      <c r="E21">
        <v>2000</v>
      </c>
      <c r="F21">
        <v>4</v>
      </c>
      <c r="G21" s="25" t="s">
        <v>311</v>
      </c>
      <c r="H21" s="21">
        <v>0.85</v>
      </c>
      <c r="I21" s="11">
        <v>1.4999999999999999E-2</v>
      </c>
      <c r="J21" s="4">
        <f>Position!D10</f>
        <v>-1673126.8659573265</v>
      </c>
    </row>
    <row r="22" spans="1:10" x14ac:dyDescent="0.2">
      <c r="A22" t="s">
        <v>279</v>
      </c>
      <c r="B22" s="11">
        <v>0.02</v>
      </c>
      <c r="C22" s="11">
        <v>5.0000000000000001E-3</v>
      </c>
      <c r="D22" s="11">
        <v>0.02</v>
      </c>
      <c r="E22">
        <v>2002</v>
      </c>
      <c r="F22">
        <v>4</v>
      </c>
      <c r="G22" s="25" t="s">
        <v>310</v>
      </c>
      <c r="H22" s="21">
        <v>0.85</v>
      </c>
      <c r="I22" s="11">
        <v>1.4999999999999999E-2</v>
      </c>
      <c r="J22" s="4">
        <f>Position!D5</f>
        <v>-5197632.7437726185</v>
      </c>
    </row>
    <row r="23" spans="1:10" x14ac:dyDescent="0.2">
      <c r="A23" t="s">
        <v>282</v>
      </c>
      <c r="B23" s="11">
        <v>0.02</v>
      </c>
      <c r="C23" s="11">
        <v>5.0000000000000001E-3</v>
      </c>
      <c r="D23" s="11">
        <v>0.02</v>
      </c>
      <c r="E23">
        <v>2002</v>
      </c>
      <c r="F23">
        <v>4</v>
      </c>
      <c r="G23" s="25" t="s">
        <v>310</v>
      </c>
      <c r="H23" s="21">
        <v>0.85</v>
      </c>
      <c r="I23" s="11">
        <v>1.4999999999999999E-2</v>
      </c>
      <c r="J23" s="4">
        <f>Position!D15</f>
        <v>-1411154.4209867632</v>
      </c>
    </row>
    <row r="24" spans="1:10" x14ac:dyDescent="0.2">
      <c r="A24" t="s">
        <v>287</v>
      </c>
      <c r="B24" s="11">
        <v>0.02</v>
      </c>
      <c r="C24" s="11">
        <v>5.0000000000000001E-3</v>
      </c>
      <c r="D24" s="11">
        <v>0.02</v>
      </c>
      <c r="E24">
        <v>2002</v>
      </c>
      <c r="F24">
        <v>4</v>
      </c>
      <c r="G24" s="25" t="s">
        <v>310</v>
      </c>
      <c r="H24" s="21">
        <v>0.85</v>
      </c>
      <c r="I24" s="11">
        <v>1.4999999999999999E-2</v>
      </c>
      <c r="J24" s="4">
        <f>Position!D6</f>
        <v>-3226809.9270674745</v>
      </c>
    </row>
    <row r="26" spans="1:10" x14ac:dyDescent="0.2">
      <c r="H26" t="s">
        <v>327</v>
      </c>
      <c r="J26" s="16">
        <f>SUM(J4:J24)</f>
        <v>-52425395.073503435</v>
      </c>
    </row>
    <row r="27" spans="1:10" x14ac:dyDescent="0.2">
      <c r="H27" t="s">
        <v>328</v>
      </c>
      <c r="J27" s="4">
        <f>Position!D176</f>
        <v>-70677119.137206331</v>
      </c>
    </row>
    <row r="29" spans="1:10" x14ac:dyDescent="0.2">
      <c r="H29" t="s">
        <v>329</v>
      </c>
      <c r="J29" s="20">
        <f>J26/J27</f>
        <v>0.74175908290389414</v>
      </c>
    </row>
  </sheetData>
  <pageMargins left="0.75" right="0.75" top="1" bottom="1" header="0.5" footer="0.5"/>
  <pageSetup scale="84" orientation="landscape" verticalDpi="0" r:id="rId1"/>
  <headerFooter alignWithMargins="0">
    <oddFooter>Page &amp;P&amp;R&amp;A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topLeftCell="B1" workbookViewId="0">
      <selection activeCell="E25" sqref="E25"/>
    </sheetView>
  </sheetViews>
  <sheetFormatPr defaultRowHeight="12.75" x14ac:dyDescent="0.2"/>
  <cols>
    <col min="1" max="1" width="36.140625" bestFit="1" customWidth="1"/>
    <col min="2" max="2" width="11" customWidth="1"/>
    <col min="3" max="3" width="5" bestFit="1" customWidth="1"/>
    <col min="4" max="13" width="14.85546875" bestFit="1" customWidth="1"/>
  </cols>
  <sheetData>
    <row r="1" spans="1:13" x14ac:dyDescent="0.2">
      <c r="A1" t="s">
        <v>513</v>
      </c>
    </row>
    <row r="2" spans="1:13" x14ac:dyDescent="0.2">
      <c r="D2">
        <v>5</v>
      </c>
    </row>
    <row r="3" spans="1:13" x14ac:dyDescent="0.2">
      <c r="A3" s="8" t="s">
        <v>177</v>
      </c>
      <c r="B3" s="8" t="s">
        <v>471</v>
      </c>
      <c r="C3" s="8">
        <v>2000</v>
      </c>
      <c r="D3" s="8">
        <v>2001</v>
      </c>
      <c r="E3" s="8">
        <v>2002</v>
      </c>
      <c r="F3" s="8">
        <v>2003</v>
      </c>
      <c r="G3" s="8">
        <v>2004</v>
      </c>
      <c r="H3" s="8">
        <v>2005</v>
      </c>
      <c r="I3" s="8">
        <v>2006</v>
      </c>
      <c r="J3" s="8">
        <v>2007</v>
      </c>
      <c r="K3" s="8">
        <v>2008</v>
      </c>
      <c r="L3" s="8">
        <v>2009</v>
      </c>
      <c r="M3" s="8">
        <v>2010</v>
      </c>
    </row>
    <row r="4" spans="1:13" x14ac:dyDescent="0.2">
      <c r="A4" t="str">
        <f>raw!A4</f>
        <v>Boston Edison Co.</v>
      </c>
      <c r="B4" s="9">
        <f>criteria!J4/criteria!$J$26</f>
        <v>7.0254818958986357E-3</v>
      </c>
      <c r="C4" s="22"/>
      <c r="D4" s="33">
        <f>('Trans_$kwh'!$C4-'Trans_$kwh'!D4)*$B4</f>
        <v>0</v>
      </c>
      <c r="E4" s="33">
        <f>('Trans_$kwh'!$C4-'Trans_$kwh'!E4)*$B4</f>
        <v>1.0104890462580094E-6</v>
      </c>
      <c r="F4" s="33">
        <f>('Trans_$kwh'!$C4-'Trans_$kwh'!F4)*$B4</f>
        <v>1.0104890462580094E-6</v>
      </c>
      <c r="G4" s="33">
        <f>('Trans_$kwh'!$C4-'Trans_$kwh'!G4)*$B4</f>
        <v>1.0104890462580094E-6</v>
      </c>
      <c r="H4" s="33">
        <f>('Trans_$kwh'!$C4-'Trans_$kwh'!H4)*$B4</f>
        <v>1.0104890462580094E-6</v>
      </c>
      <c r="I4" s="33">
        <f>('Trans_$kwh'!$C4-'Trans_$kwh'!I4)*$B4</f>
        <v>3.6979718962348561E-6</v>
      </c>
      <c r="J4" s="33">
        <f>('Trans_$kwh'!$C4-'Trans_$kwh'!J4)*$B4</f>
        <v>3.6979718962348561E-6</v>
      </c>
      <c r="K4" s="33">
        <f>('Trans_$kwh'!$C4-'Trans_$kwh'!K4)*$B4</f>
        <v>3.6979718962348561E-6</v>
      </c>
      <c r="L4" s="33">
        <f>('Trans_$kwh'!$C4-'Trans_$kwh'!L4)*$B4</f>
        <v>3.6979718962348561E-6</v>
      </c>
      <c r="M4" s="33">
        <f>('Trans_$kwh'!$C4-'Trans_$kwh'!M4)*$B4</f>
        <v>3.6979718962348561E-6</v>
      </c>
    </row>
    <row r="5" spans="1:13" x14ac:dyDescent="0.2">
      <c r="A5" t="str">
        <f>raw!A5</f>
        <v>Carolina Power &amp; Light Co.</v>
      </c>
      <c r="B5" s="9">
        <f>criteria!J5/criteria!$J$26</f>
        <v>1.8270024665796233E-2</v>
      </c>
      <c r="C5" s="22"/>
      <c r="D5" s="33">
        <f>('Trans_$kwh'!$C5-'Trans_$kwh'!D5)*$B5</f>
        <v>0</v>
      </c>
      <c r="E5" s="33">
        <f>('Trans_$kwh'!$C5-'Trans_$kwh'!E5)*$B5</f>
        <v>1.8675088378958456E-6</v>
      </c>
      <c r="F5" s="33">
        <f>('Trans_$kwh'!$C5-'Trans_$kwh'!F5)*$B5</f>
        <v>1.8675088378958456E-6</v>
      </c>
      <c r="G5" s="33">
        <f>('Trans_$kwh'!$C5-'Trans_$kwh'!G5)*$B5</f>
        <v>1.8675088378958456E-6</v>
      </c>
      <c r="H5" s="33">
        <f>('Trans_$kwh'!$C5-'Trans_$kwh'!H5)*$B5</f>
        <v>1.8675088378958456E-6</v>
      </c>
      <c r="I5" s="33">
        <f>('Trans_$kwh'!$C5-'Trans_$kwh'!I5)*$B5</f>
        <v>5.7786111728053355E-6</v>
      </c>
      <c r="J5" s="33">
        <f>('Trans_$kwh'!$C5-'Trans_$kwh'!J5)*$B5</f>
        <v>5.7786111728053355E-6</v>
      </c>
      <c r="K5" s="33">
        <f>('Trans_$kwh'!$C5-'Trans_$kwh'!K5)*$B5</f>
        <v>5.7786111728053355E-6</v>
      </c>
      <c r="L5" s="33">
        <f>('Trans_$kwh'!$C5-'Trans_$kwh'!L5)*$B5</f>
        <v>5.7786111728053355E-6</v>
      </c>
      <c r="M5" s="33">
        <f>('Trans_$kwh'!$C5-'Trans_$kwh'!M5)*$B5</f>
        <v>5.7786111728053355E-6</v>
      </c>
    </row>
    <row r="6" spans="1:13" x14ac:dyDescent="0.2">
      <c r="A6" t="str">
        <f>raw!A6</f>
        <v>Central Hudson Gas &amp; Electric Corp.</v>
      </c>
      <c r="B6" s="9">
        <f>criteria!J6/criteria!$J$26</f>
        <v>0.11986169313122438</v>
      </c>
      <c r="C6" s="22"/>
      <c r="D6" s="33">
        <f>('Trans_$kwh'!$C6-'Trans_$kwh'!D6)*$B6</f>
        <v>0</v>
      </c>
      <c r="E6" s="33">
        <f>('Trans_$kwh'!$C6-'Trans_$kwh'!E6)*$B6</f>
        <v>1.2372280693804913E-5</v>
      </c>
      <c r="F6" s="33">
        <f>('Trans_$kwh'!$C6-'Trans_$kwh'!F6)*$B6</f>
        <v>1.2372280693804913E-5</v>
      </c>
      <c r="G6" s="33">
        <f>('Trans_$kwh'!$C6-'Trans_$kwh'!G6)*$B6</f>
        <v>1.2372280693804913E-5</v>
      </c>
      <c r="H6" s="33">
        <f>('Trans_$kwh'!$C6-'Trans_$kwh'!H6)*$B6</f>
        <v>1.2372280693804913E-5</v>
      </c>
      <c r="I6" s="33">
        <f>('Trans_$kwh'!$C6-'Trans_$kwh'!I6)*$B6</f>
        <v>4.7558291530451975E-5</v>
      </c>
      <c r="J6" s="33">
        <f>('Trans_$kwh'!$C6-'Trans_$kwh'!J6)*$B6</f>
        <v>4.7558291530451975E-5</v>
      </c>
      <c r="K6" s="33">
        <f>('Trans_$kwh'!$C6-'Trans_$kwh'!K6)*$B6</f>
        <v>4.7558291530451975E-5</v>
      </c>
      <c r="L6" s="33">
        <f>('Trans_$kwh'!$C6-'Trans_$kwh'!L6)*$B6</f>
        <v>4.7558291530451975E-5</v>
      </c>
      <c r="M6" s="33">
        <f>('Trans_$kwh'!$C6-'Trans_$kwh'!M6)*$B6</f>
        <v>4.7558291530451975E-5</v>
      </c>
    </row>
    <row r="7" spans="1:13" x14ac:dyDescent="0.2">
      <c r="A7" t="str">
        <f>raw!A7</f>
        <v>Commonwealth Edison Co.</v>
      </c>
      <c r="B7" s="9">
        <f>criteria!J7/criteria!$J$26</f>
        <v>3.0995672029051791E-2</v>
      </c>
      <c r="C7" s="22"/>
      <c r="D7" s="33">
        <f>('Trans_$kwh'!$C7-'Trans_$kwh'!D7)*$B7</f>
        <v>0</v>
      </c>
      <c r="E7" s="33">
        <f>('Trans_$kwh'!$C7-'Trans_$kwh'!E7)*$B7</f>
        <v>0</v>
      </c>
      <c r="F7" s="33">
        <f>('Trans_$kwh'!$C7-'Trans_$kwh'!F7)*$B7</f>
        <v>0</v>
      </c>
      <c r="G7" s="33">
        <f>('Trans_$kwh'!$C7-'Trans_$kwh'!G7)*$B7</f>
        <v>0</v>
      </c>
      <c r="H7" s="33">
        <f>('Trans_$kwh'!$C7-'Trans_$kwh'!H7)*$B7</f>
        <v>0</v>
      </c>
      <c r="I7" s="33">
        <f>('Trans_$kwh'!$C7-'Trans_$kwh'!I7)*$B7</f>
        <v>0</v>
      </c>
      <c r="J7" s="33">
        <f>('Trans_$kwh'!$C7-'Trans_$kwh'!J7)*$B7</f>
        <v>0</v>
      </c>
      <c r="K7" s="33">
        <f>('Trans_$kwh'!$C7-'Trans_$kwh'!K7)*$B7</f>
        <v>0</v>
      </c>
      <c r="L7" s="33">
        <f>('Trans_$kwh'!$C7-'Trans_$kwh'!L7)*$B7</f>
        <v>0</v>
      </c>
      <c r="M7" s="33">
        <f>('Trans_$kwh'!$C7-'Trans_$kwh'!M7)*$B7</f>
        <v>0</v>
      </c>
    </row>
    <row r="8" spans="1:13" x14ac:dyDescent="0.2">
      <c r="A8" t="str">
        <f>raw!A8</f>
        <v>Consolidated Edison Co. of New York, Inc.</v>
      </c>
      <c r="B8" s="9">
        <f>criteria!J8/criteria!$J$26</f>
        <v>2.8926824355510476E-2</v>
      </c>
      <c r="C8" s="22"/>
      <c r="D8" s="33">
        <f>('Trans_$kwh'!$C8-'Trans_$kwh'!D8)*$B8</f>
        <v>0</v>
      </c>
      <c r="E8" s="33">
        <f>('Trans_$kwh'!$C8-'Trans_$kwh'!E8)*$B8</f>
        <v>8.4786490059604924E-6</v>
      </c>
      <c r="F8" s="33">
        <f>('Trans_$kwh'!$C8-'Trans_$kwh'!F8)*$B8</f>
        <v>8.4786490059604924E-6</v>
      </c>
      <c r="G8" s="33">
        <f>('Trans_$kwh'!$C8-'Trans_$kwh'!G8)*$B8</f>
        <v>8.4786490059604924E-6</v>
      </c>
      <c r="H8" s="33">
        <f>('Trans_$kwh'!$C8-'Trans_$kwh'!H8)*$B8</f>
        <v>8.4786490059604924E-6</v>
      </c>
      <c r="I8" s="33">
        <f>('Trans_$kwh'!$C8-'Trans_$kwh'!I8)*$B8</f>
        <v>2.9301698798249547E-5</v>
      </c>
      <c r="J8" s="33">
        <f>('Trans_$kwh'!$C8-'Trans_$kwh'!J8)*$B8</f>
        <v>2.9301698798249547E-5</v>
      </c>
      <c r="K8" s="33">
        <f>('Trans_$kwh'!$C8-'Trans_$kwh'!K8)*$B8</f>
        <v>2.9301698798249547E-5</v>
      </c>
      <c r="L8" s="33">
        <f>('Trans_$kwh'!$C8-'Trans_$kwh'!L8)*$B8</f>
        <v>2.9301698798249547E-5</v>
      </c>
      <c r="M8" s="33">
        <f>('Trans_$kwh'!$C8-'Trans_$kwh'!M8)*$B8</f>
        <v>2.9301698798249547E-5</v>
      </c>
    </row>
    <row r="9" spans="1:13" x14ac:dyDescent="0.2">
      <c r="A9" t="str">
        <f>raw!A9</f>
        <v>Consumers Energy Co.</v>
      </c>
      <c r="B9" s="9">
        <f>criteria!J9/criteria!$J$26</f>
        <v>7.6296090123242977E-3</v>
      </c>
      <c r="C9" s="22"/>
      <c r="D9" s="33">
        <f>('Trans_$kwh'!$C9-'Trans_$kwh'!D9)*$B9</f>
        <v>0</v>
      </c>
      <c r="E9" s="33">
        <f>('Trans_$kwh'!$C9-'Trans_$kwh'!E9)*$B9</f>
        <v>7.893559798714799E-7</v>
      </c>
      <c r="F9" s="33">
        <f>('Trans_$kwh'!$C9-'Trans_$kwh'!F9)*$B9</f>
        <v>7.893559798714799E-7</v>
      </c>
      <c r="G9" s="33">
        <f>('Trans_$kwh'!$C9-'Trans_$kwh'!G9)*$B9</f>
        <v>7.893559798714799E-7</v>
      </c>
      <c r="H9" s="33">
        <f>('Trans_$kwh'!$C9-'Trans_$kwh'!H9)*$B9</f>
        <v>7.893559798714799E-7</v>
      </c>
      <c r="I9" s="33">
        <f>('Trans_$kwh'!$C9-'Trans_$kwh'!I9)*$B9</f>
        <v>2.4557730476764274E-6</v>
      </c>
      <c r="J9" s="33">
        <f>('Trans_$kwh'!$C9-'Trans_$kwh'!J9)*$B9</f>
        <v>2.4557730476764274E-6</v>
      </c>
      <c r="K9" s="33">
        <f>('Trans_$kwh'!$C9-'Trans_$kwh'!K9)*$B9</f>
        <v>2.4557730476764274E-6</v>
      </c>
      <c r="L9" s="33">
        <f>('Trans_$kwh'!$C9-'Trans_$kwh'!L9)*$B9</f>
        <v>2.4557730476764274E-6</v>
      </c>
      <c r="M9" s="33">
        <f>('Trans_$kwh'!$C9-'Trans_$kwh'!M9)*$B9</f>
        <v>2.4557730476764274E-6</v>
      </c>
    </row>
    <row r="10" spans="1:13" x14ac:dyDescent="0.2">
      <c r="A10" t="str">
        <f>raw!A10</f>
        <v>Duke Energy Corp.</v>
      </c>
      <c r="B10" s="9">
        <f>criteria!J10/criteria!$J$26</f>
        <v>0.12236998761483853</v>
      </c>
      <c r="C10" s="22"/>
      <c r="D10" s="33">
        <f>('Trans_$kwh'!$C10-'Trans_$kwh'!D10)*$B10</f>
        <v>0</v>
      </c>
      <c r="E10" s="33">
        <f>('Trans_$kwh'!$C10-'Trans_$kwh'!E10)*$B10</f>
        <v>1.3344916773023302E-5</v>
      </c>
      <c r="F10" s="33">
        <f>('Trans_$kwh'!$C10-'Trans_$kwh'!F10)*$B10</f>
        <v>1.3344916773023302E-5</v>
      </c>
      <c r="G10" s="33">
        <f>('Trans_$kwh'!$C10-'Trans_$kwh'!G10)*$B10</f>
        <v>1.3344916773023302E-5</v>
      </c>
      <c r="H10" s="33">
        <f>('Trans_$kwh'!$C10-'Trans_$kwh'!H10)*$B10</f>
        <v>1.3344916773023302E-5</v>
      </c>
      <c r="I10" s="33">
        <f>('Trans_$kwh'!$C10-'Trans_$kwh'!I10)*$B10</f>
        <v>4.1904498803116985E-5</v>
      </c>
      <c r="J10" s="33">
        <f>('Trans_$kwh'!$C10-'Trans_$kwh'!J10)*$B10</f>
        <v>4.1904498803116985E-5</v>
      </c>
      <c r="K10" s="33">
        <f>('Trans_$kwh'!$C10-'Trans_$kwh'!K10)*$B10</f>
        <v>4.1904498803116985E-5</v>
      </c>
      <c r="L10" s="33">
        <f>('Trans_$kwh'!$C10-'Trans_$kwh'!L10)*$B10</f>
        <v>4.1904498803116985E-5</v>
      </c>
      <c r="M10" s="33">
        <f>('Trans_$kwh'!$C10-'Trans_$kwh'!M10)*$B10</f>
        <v>4.1904498803116985E-5</v>
      </c>
    </row>
    <row r="11" spans="1:13" x14ac:dyDescent="0.2">
      <c r="A11" t="str">
        <f>raw!A11</f>
        <v>Entergy Mississippi, Inc.</v>
      </c>
      <c r="B11" s="9">
        <f>criteria!J11/criteria!$J$26</f>
        <v>8.5624785503883201E-3</v>
      </c>
      <c r="C11" s="22"/>
      <c r="D11" s="33">
        <f>('Trans_$kwh'!$C11-'Trans_$kwh'!D11)*$B11</f>
        <v>0</v>
      </c>
      <c r="E11" s="33">
        <f>('Trans_$kwh'!$C11-'Trans_$kwh'!E11)*$B11</f>
        <v>1.2016178151320253E-6</v>
      </c>
      <c r="F11" s="33">
        <f>('Trans_$kwh'!$C11-'Trans_$kwh'!F11)*$B11</f>
        <v>1.2016178151320253E-6</v>
      </c>
      <c r="G11" s="33">
        <f>('Trans_$kwh'!$C11-'Trans_$kwh'!G11)*$B11</f>
        <v>1.2016178151320253E-6</v>
      </c>
      <c r="H11" s="33">
        <f>('Trans_$kwh'!$C11-'Trans_$kwh'!H11)*$B11</f>
        <v>1.2016178151320253E-6</v>
      </c>
      <c r="I11" s="33">
        <f>('Trans_$kwh'!$C11-'Trans_$kwh'!I11)*$B11</f>
        <v>3.6427665096366097E-6</v>
      </c>
      <c r="J11" s="33">
        <f>('Trans_$kwh'!$C11-'Trans_$kwh'!J11)*$B11</f>
        <v>3.6427665096366097E-6</v>
      </c>
      <c r="K11" s="33">
        <f>('Trans_$kwh'!$C11-'Trans_$kwh'!K11)*$B11</f>
        <v>3.6427665096366097E-6</v>
      </c>
      <c r="L11" s="33">
        <f>('Trans_$kwh'!$C11-'Trans_$kwh'!L11)*$B11</f>
        <v>3.6427665096366097E-6</v>
      </c>
      <c r="M11" s="33">
        <f>('Trans_$kwh'!$C11-'Trans_$kwh'!M11)*$B11</f>
        <v>3.6427665096366097E-6</v>
      </c>
    </row>
    <row r="12" spans="1:13" x14ac:dyDescent="0.2">
      <c r="A12" t="str">
        <f>raw!A12</f>
        <v>Florida Power &amp; Light Co.</v>
      </c>
      <c r="B12" s="9">
        <f>criteria!J12/criteria!$J$26</f>
        <v>7.6548281697734174E-3</v>
      </c>
      <c r="C12" s="22"/>
      <c r="D12" s="33">
        <f>('Trans_$kwh'!$C12-'Trans_$kwh'!D12)*$B12</f>
        <v>0</v>
      </c>
      <c r="E12" s="33">
        <f>('Trans_$kwh'!$C12-'Trans_$kwh'!E12)*$B12</f>
        <v>1.0532758934867757E-6</v>
      </c>
      <c r="F12" s="33">
        <f>('Trans_$kwh'!$C12-'Trans_$kwh'!F12)*$B12</f>
        <v>1.0532758934867757E-6</v>
      </c>
      <c r="G12" s="33">
        <f>('Trans_$kwh'!$C12-'Trans_$kwh'!G12)*$B12</f>
        <v>1.0532758934867757E-6</v>
      </c>
      <c r="H12" s="33">
        <f>('Trans_$kwh'!$C12-'Trans_$kwh'!H12)*$B12</f>
        <v>1.0532758934867757E-6</v>
      </c>
      <c r="I12" s="33">
        <f>('Trans_$kwh'!$C12-'Trans_$kwh'!I12)*$B12</f>
        <v>3.2164246777688462E-6</v>
      </c>
      <c r="J12" s="33">
        <f>('Trans_$kwh'!$C12-'Trans_$kwh'!J12)*$B12</f>
        <v>3.2164246777688462E-6</v>
      </c>
      <c r="K12" s="33">
        <f>('Trans_$kwh'!$C12-'Trans_$kwh'!K12)*$B12</f>
        <v>3.2164246777688462E-6</v>
      </c>
      <c r="L12" s="33">
        <f>('Trans_$kwh'!$C12-'Trans_$kwh'!L12)*$B12</f>
        <v>3.2164246777688462E-6</v>
      </c>
      <c r="M12" s="33">
        <f>('Trans_$kwh'!$C12-'Trans_$kwh'!M12)*$B12</f>
        <v>3.2164246777688462E-6</v>
      </c>
    </row>
    <row r="13" spans="1:13" x14ac:dyDescent="0.2">
      <c r="A13" t="str">
        <f>raw!A13</f>
        <v>Gulf Power Co.</v>
      </c>
      <c r="B13" s="9">
        <f>criteria!J13/criteria!$J$26</f>
        <v>2.0393624641022158E-2</v>
      </c>
      <c r="C13" s="22"/>
      <c r="D13" s="33">
        <f>('Trans_$kwh'!$C13-'Trans_$kwh'!D13)*$B13</f>
        <v>0</v>
      </c>
      <c r="E13" s="33">
        <f>('Trans_$kwh'!$C13-'Trans_$kwh'!E13)*$B13</f>
        <v>1.4456620337506781E-6</v>
      </c>
      <c r="F13" s="33">
        <f>('Trans_$kwh'!$C13-'Trans_$kwh'!F13)*$B13</f>
        <v>1.4456620337506781E-6</v>
      </c>
      <c r="G13" s="33">
        <f>('Trans_$kwh'!$C13-'Trans_$kwh'!G13)*$B13</f>
        <v>1.4456620337506781E-6</v>
      </c>
      <c r="H13" s="33">
        <f>('Trans_$kwh'!$C13-'Trans_$kwh'!H13)*$B13</f>
        <v>1.4456620337506781E-6</v>
      </c>
      <c r="I13" s="33">
        <f>('Trans_$kwh'!$C13-'Trans_$kwh'!I13)*$B13</f>
        <v>4.8514066752247318E-6</v>
      </c>
      <c r="J13" s="33">
        <f>('Trans_$kwh'!$C13-'Trans_$kwh'!J13)*$B13</f>
        <v>4.8514066752247318E-6</v>
      </c>
      <c r="K13" s="33">
        <f>('Trans_$kwh'!$C13-'Trans_$kwh'!K13)*$B13</f>
        <v>4.8514066752247318E-6</v>
      </c>
      <c r="L13" s="33">
        <f>('Trans_$kwh'!$C13-'Trans_$kwh'!L13)*$B13</f>
        <v>4.8514066752247318E-6</v>
      </c>
      <c r="M13" s="33">
        <f>('Trans_$kwh'!$C13-'Trans_$kwh'!M13)*$B13</f>
        <v>4.8514066752247318E-6</v>
      </c>
    </row>
    <row r="14" spans="1:13" x14ac:dyDescent="0.2">
      <c r="A14" t="str">
        <f>raw!A14</f>
        <v>Illinois Power Co.</v>
      </c>
      <c r="B14" s="9">
        <f>criteria!J14/criteria!$J$26</f>
        <v>1.4431686036396194E-2</v>
      </c>
      <c r="C14" s="22"/>
      <c r="D14" s="33">
        <f>('Trans_$kwh'!$C14-'Trans_$kwh'!D14)*$B14</f>
        <v>0</v>
      </c>
      <c r="E14" s="33">
        <f>('Trans_$kwh'!$C14-'Trans_$kwh'!E14)*$B14</f>
        <v>6.9673003611277401E-7</v>
      </c>
      <c r="F14" s="33">
        <f>('Trans_$kwh'!$C14-'Trans_$kwh'!F14)*$B14</f>
        <v>6.9673003611277401E-7</v>
      </c>
      <c r="G14" s="33">
        <f>('Trans_$kwh'!$C14-'Trans_$kwh'!G14)*$B14</f>
        <v>6.9673003611277401E-7</v>
      </c>
      <c r="H14" s="33">
        <f>('Trans_$kwh'!$C14-'Trans_$kwh'!H14)*$B14</f>
        <v>6.9673003611277401E-7</v>
      </c>
      <c r="I14" s="33">
        <f>('Trans_$kwh'!$C14-'Trans_$kwh'!I14)*$B14</f>
        <v>2.313959910272509E-6</v>
      </c>
      <c r="J14" s="33">
        <f>('Trans_$kwh'!$C14-'Trans_$kwh'!J14)*$B14</f>
        <v>2.313959910272509E-6</v>
      </c>
      <c r="K14" s="33">
        <f>('Trans_$kwh'!$C14-'Trans_$kwh'!K14)*$B14</f>
        <v>2.313959910272509E-6</v>
      </c>
      <c r="L14" s="33">
        <f>('Trans_$kwh'!$C14-'Trans_$kwh'!L14)*$B14</f>
        <v>2.313959910272509E-6</v>
      </c>
      <c r="M14" s="33">
        <f>('Trans_$kwh'!$C14-'Trans_$kwh'!M14)*$B14</f>
        <v>2.313959910272509E-6</v>
      </c>
    </row>
    <row r="15" spans="1:13" x14ac:dyDescent="0.2">
      <c r="A15" t="str">
        <f>raw!A15</f>
        <v>Jersey Central Power &amp; Light Co.</v>
      </c>
      <c r="B15" s="9">
        <f>criteria!J15/criteria!$J$26</f>
        <v>2.9798254934043946E-2</v>
      </c>
      <c r="C15" s="22"/>
      <c r="D15" s="33">
        <f>('Trans_$kwh'!$C15-'Trans_$kwh'!D15)*$B15</f>
        <v>0</v>
      </c>
      <c r="E15" s="33">
        <f>('Trans_$kwh'!$C15-'Trans_$kwh'!E15)*$B15</f>
        <v>4.7852240667922327E-6</v>
      </c>
      <c r="F15" s="33">
        <f>('Trans_$kwh'!$C15-'Trans_$kwh'!F15)*$B15</f>
        <v>4.7852240667922327E-6</v>
      </c>
      <c r="G15" s="33">
        <f>('Trans_$kwh'!$C15-'Trans_$kwh'!G15)*$B15</f>
        <v>4.7852240667922327E-6</v>
      </c>
      <c r="H15" s="33">
        <f>('Trans_$kwh'!$C15-'Trans_$kwh'!H15)*$B15</f>
        <v>4.7852240667922327E-6</v>
      </c>
      <c r="I15" s="33">
        <f>('Trans_$kwh'!$C15-'Trans_$kwh'!I15)*$B15</f>
        <v>1.6774310755091797E-5</v>
      </c>
      <c r="J15" s="33">
        <f>('Trans_$kwh'!$C15-'Trans_$kwh'!J15)*$B15</f>
        <v>1.6774310755091797E-5</v>
      </c>
      <c r="K15" s="33">
        <f>('Trans_$kwh'!$C15-'Trans_$kwh'!K15)*$B15</f>
        <v>1.6774310755091797E-5</v>
      </c>
      <c r="L15" s="33">
        <f>('Trans_$kwh'!$C15-'Trans_$kwh'!L15)*$B15</f>
        <v>1.6774310755091797E-5</v>
      </c>
      <c r="M15" s="33">
        <f>('Trans_$kwh'!$C15-'Trans_$kwh'!M15)*$B15</f>
        <v>1.6774310755091797E-5</v>
      </c>
    </row>
    <row r="16" spans="1:13" x14ac:dyDescent="0.2">
      <c r="A16" t="str">
        <f>raw!A16</f>
        <v>Kentucky Utilities Co.</v>
      </c>
      <c r="B16" s="9">
        <f>criteria!J16/criteria!$J$26</f>
        <v>1.2158078015114359E-2</v>
      </c>
      <c r="C16" s="22"/>
      <c r="D16" s="33">
        <f>('Trans_$kwh'!$C16-'Trans_$kwh'!D16)*$B16</f>
        <v>0</v>
      </c>
      <c r="E16" s="33">
        <f>('Trans_$kwh'!$C16-'Trans_$kwh'!E16)*$B16</f>
        <v>9.615881905824914E-7</v>
      </c>
      <c r="F16" s="33">
        <f>('Trans_$kwh'!$C16-'Trans_$kwh'!F16)*$B16</f>
        <v>9.615881905824914E-7</v>
      </c>
      <c r="G16" s="33">
        <f>('Trans_$kwh'!$C16-'Trans_$kwh'!G16)*$B16</f>
        <v>9.615881905824914E-7</v>
      </c>
      <c r="H16" s="33">
        <f>('Trans_$kwh'!$C16-'Trans_$kwh'!H16)*$B16</f>
        <v>9.615881905824914E-7</v>
      </c>
      <c r="I16" s="33">
        <f>('Trans_$kwh'!$C16-'Trans_$kwh'!I16)*$B16</f>
        <v>3.1163122972589445E-6</v>
      </c>
      <c r="J16" s="33">
        <f>('Trans_$kwh'!$C16-'Trans_$kwh'!J16)*$B16</f>
        <v>3.1163122972589445E-6</v>
      </c>
      <c r="K16" s="33">
        <f>('Trans_$kwh'!$C16-'Trans_$kwh'!K16)*$B16</f>
        <v>3.1163122972589445E-6</v>
      </c>
      <c r="L16" s="33">
        <f>('Trans_$kwh'!$C16-'Trans_$kwh'!L16)*$B16</f>
        <v>3.1163122972589445E-6</v>
      </c>
      <c r="M16" s="33">
        <f>('Trans_$kwh'!$C16-'Trans_$kwh'!M16)*$B16</f>
        <v>3.1163122972589445E-6</v>
      </c>
    </row>
    <row r="17" spans="1:13" x14ac:dyDescent="0.2">
      <c r="A17" t="str">
        <f>raw!A17</f>
        <v>Ohio Power Co.</v>
      </c>
      <c r="B17" s="9">
        <f>criteria!J17/criteria!$J$26</f>
        <v>5.6880412323402907E-2</v>
      </c>
      <c r="C17" s="22"/>
      <c r="D17" s="33">
        <f>('Trans_$kwh'!$C17-'Trans_$kwh'!D17)*$B17</f>
        <v>0</v>
      </c>
      <c r="E17" s="33">
        <f>('Trans_$kwh'!$C17-'Trans_$kwh'!E17)*$B17</f>
        <v>4.4274238847281637E-6</v>
      </c>
      <c r="F17" s="33">
        <f>('Trans_$kwh'!$C17-'Trans_$kwh'!F17)*$B17</f>
        <v>4.4274238847281637E-6</v>
      </c>
      <c r="G17" s="33">
        <f>('Trans_$kwh'!$C17-'Trans_$kwh'!G17)*$B17</f>
        <v>4.4274238847281637E-6</v>
      </c>
      <c r="H17" s="33">
        <f>('Trans_$kwh'!$C17-'Trans_$kwh'!H17)*$B17</f>
        <v>4.4274238847281637E-6</v>
      </c>
      <c r="I17" s="33">
        <f>('Trans_$kwh'!$C17-'Trans_$kwh'!I17)*$B17</f>
        <v>1.5652970557111271E-5</v>
      </c>
      <c r="J17" s="33">
        <f>('Trans_$kwh'!$C17-'Trans_$kwh'!J17)*$B17</f>
        <v>1.5652970557111271E-5</v>
      </c>
      <c r="K17" s="33">
        <f>('Trans_$kwh'!$C17-'Trans_$kwh'!K17)*$B17</f>
        <v>1.5652970557111271E-5</v>
      </c>
      <c r="L17" s="33">
        <f>('Trans_$kwh'!$C17-'Trans_$kwh'!L17)*$B17</f>
        <v>1.5652970557111271E-5</v>
      </c>
      <c r="M17" s="33">
        <f>('Trans_$kwh'!$C17-'Trans_$kwh'!M17)*$B17</f>
        <v>1.5652970557111271E-5</v>
      </c>
    </row>
    <row r="18" spans="1:13" x14ac:dyDescent="0.2">
      <c r="A18" t="str">
        <f>raw!A18</f>
        <v>PPL Electric Utilities Corp.</v>
      </c>
      <c r="B18" s="9">
        <f>criteria!J18/criteria!$J$26</f>
        <v>7.6148870487336463E-3</v>
      </c>
      <c r="C18" s="22"/>
      <c r="D18" s="33">
        <f>('Trans_$kwh'!$C18-'Trans_$kwh'!D18)*$B18</f>
        <v>0</v>
      </c>
      <c r="E18" s="33">
        <f>('Trans_$kwh'!$C18-'Trans_$kwh'!E18)*$B18</f>
        <v>2.9975757401513433E-7</v>
      </c>
      <c r="F18" s="33">
        <f>('Trans_$kwh'!$C18-'Trans_$kwh'!F18)*$B18</f>
        <v>2.9975757401513433E-7</v>
      </c>
      <c r="G18" s="33">
        <f>('Trans_$kwh'!$C18-'Trans_$kwh'!G18)*$B18</f>
        <v>2.9975757401513433E-7</v>
      </c>
      <c r="H18" s="33">
        <f>('Trans_$kwh'!$C18-'Trans_$kwh'!H18)*$B18</f>
        <v>2.9975757401513433E-7</v>
      </c>
      <c r="I18" s="33">
        <f>('Trans_$kwh'!$C18-'Trans_$kwh'!I18)*$B18</f>
        <v>1.0149687196199177E-6</v>
      </c>
      <c r="J18" s="33">
        <f>('Trans_$kwh'!$C18-'Trans_$kwh'!J18)*$B18</f>
        <v>1.0149687196199177E-6</v>
      </c>
      <c r="K18" s="33">
        <f>('Trans_$kwh'!$C18-'Trans_$kwh'!K18)*$B18</f>
        <v>1.0149687196199177E-6</v>
      </c>
      <c r="L18" s="33">
        <f>('Trans_$kwh'!$C18-'Trans_$kwh'!L18)*$B18</f>
        <v>1.0149687196199177E-6</v>
      </c>
      <c r="M18" s="33">
        <f>('Trans_$kwh'!$C18-'Trans_$kwh'!M18)*$B18</f>
        <v>1.0149687196199177E-6</v>
      </c>
    </row>
    <row r="19" spans="1:13" x14ac:dyDescent="0.2">
      <c r="A19" t="str">
        <f>raw!A19</f>
        <v>Pacific Gas &amp; Electric Co.</v>
      </c>
      <c r="B19" s="9">
        <f>criteria!J19/criteria!$J$26</f>
        <v>0.26603233667486931</v>
      </c>
      <c r="C19" s="22"/>
      <c r="D19" s="33">
        <f>('Trans_$kwh'!$C19-'Trans_$kwh'!D19)*$B19</f>
        <v>1.4289470197311188E-5</v>
      </c>
      <c r="E19" s="33">
        <f>('Trans_$kwh'!$C19-'Trans_$kwh'!E19)*$B19</f>
        <v>1.4289470197311188E-5</v>
      </c>
      <c r="F19" s="33">
        <f>('Trans_$kwh'!$C19-'Trans_$kwh'!F19)*$B19</f>
        <v>1.4289470197311188E-5</v>
      </c>
      <c r="G19" s="33">
        <f>('Trans_$kwh'!$C19-'Trans_$kwh'!G19)*$B19</f>
        <v>1.4289470197311188E-5</v>
      </c>
      <c r="H19" s="33">
        <f>('Trans_$kwh'!$C19-'Trans_$kwh'!H19)*$B19</f>
        <v>9.0695918832349153E-5</v>
      </c>
      <c r="I19" s="33">
        <f>('Trans_$kwh'!$C19-'Trans_$kwh'!I19)*$B19</f>
        <v>9.0695918832349153E-5</v>
      </c>
      <c r="J19" s="33">
        <f>('Trans_$kwh'!$C19-'Trans_$kwh'!J19)*$B19</f>
        <v>9.0695918832349153E-5</v>
      </c>
      <c r="K19" s="33">
        <f>('Trans_$kwh'!$C19-'Trans_$kwh'!K19)*$B19</f>
        <v>9.0695918832349153E-5</v>
      </c>
      <c r="L19" s="33">
        <f>('Trans_$kwh'!$C19-'Trans_$kwh'!L19)*$B19</f>
        <v>9.0695918832349153E-5</v>
      </c>
      <c r="M19" s="33">
        <f>('Trans_$kwh'!$C19-'Trans_$kwh'!M19)*$B19</f>
        <v>9.0695918832349153E-5</v>
      </c>
    </row>
    <row r="20" spans="1:13" x14ac:dyDescent="0.2">
      <c r="A20" t="str">
        <f>raw!A20</f>
        <v>Public Service Electric &amp; Gas Co.</v>
      </c>
      <c r="B20" s="9">
        <f>criteria!J20/criteria!$J$26</f>
        <v>2.1868374998346568E-2</v>
      </c>
      <c r="C20" s="22"/>
      <c r="D20" s="33">
        <f>('Trans_$kwh'!$C20-'Trans_$kwh'!D20)*$B20</f>
        <v>0</v>
      </c>
      <c r="E20" s="33">
        <f>('Trans_$kwh'!$C20-'Trans_$kwh'!E20)*$B20</f>
        <v>2.6586384382792572E-6</v>
      </c>
      <c r="F20" s="33">
        <f>('Trans_$kwh'!$C20-'Trans_$kwh'!F20)*$B20</f>
        <v>2.6586384382792572E-6</v>
      </c>
      <c r="G20" s="33">
        <f>('Trans_$kwh'!$C20-'Trans_$kwh'!G20)*$B20</f>
        <v>2.6586384382792572E-6</v>
      </c>
      <c r="H20" s="33">
        <f>('Trans_$kwh'!$C20-'Trans_$kwh'!H20)*$B20</f>
        <v>2.6586384382792572E-6</v>
      </c>
      <c r="I20" s="33">
        <f>('Trans_$kwh'!$C20-'Trans_$kwh'!I20)*$B20</f>
        <v>8.5321713754164271E-6</v>
      </c>
      <c r="J20" s="33">
        <f>('Trans_$kwh'!$C20-'Trans_$kwh'!J20)*$B20</f>
        <v>8.5321713754164271E-6</v>
      </c>
      <c r="K20" s="33">
        <f>('Trans_$kwh'!$C20-'Trans_$kwh'!K20)*$B20</f>
        <v>8.5321713754164271E-6</v>
      </c>
      <c r="L20" s="33">
        <f>('Trans_$kwh'!$C20-'Trans_$kwh'!L20)*$B20</f>
        <v>8.5321713754164271E-6</v>
      </c>
      <c r="M20" s="33">
        <f>('Trans_$kwh'!$C20-'Trans_$kwh'!M20)*$B20</f>
        <v>8.5321713754164271E-6</v>
      </c>
    </row>
    <row r="21" spans="1:13" x14ac:dyDescent="0.2">
      <c r="A21" t="str">
        <f>raw!A21</f>
        <v>San Diego Gas &amp; Electric Co.</v>
      </c>
      <c r="B21" s="9">
        <f>criteria!J21/criteria!$J$26</f>
        <v>3.1914435048348344E-2</v>
      </c>
      <c r="C21" s="22"/>
      <c r="D21" s="33">
        <f>('Trans_$kwh'!$C21-'Trans_$kwh'!D21)*$B21</f>
        <v>-8.1496776916463384E-6</v>
      </c>
      <c r="E21" s="33">
        <f>('Trans_$kwh'!$C21-'Trans_$kwh'!E21)*$B21</f>
        <v>-1.6074269047047274E-5</v>
      </c>
      <c r="F21" s="33">
        <f>('Trans_$kwh'!$C21-'Trans_$kwh'!F21)*$B21</f>
        <v>-2.3753198070430738E-5</v>
      </c>
      <c r="G21" s="33">
        <f>('Trans_$kwh'!$C21-'Trans_$kwh'!G21)*$B21</f>
        <v>-3.1372110201184099E-5</v>
      </c>
      <c r="H21" s="33">
        <f>('Trans_$kwh'!$C21-'Trans_$kwh'!H21)*$B21</f>
        <v>-3.8922246206216592E-5</v>
      </c>
      <c r="I21" s="33">
        <f>('Trans_$kwh'!$C21-'Trans_$kwh'!I21)*$B21</f>
        <v>-4.6266682950311938E-5</v>
      </c>
      <c r="J21" s="33">
        <f>('Trans_$kwh'!$C21-'Trans_$kwh'!J21)*$B21</f>
        <v>-5.3520270719891365E-5</v>
      </c>
      <c r="K21" s="33">
        <f>('Trans_$kwh'!$C21-'Trans_$kwh'!K21)*$B21</f>
        <v>-6.0674193324823668E-5</v>
      </c>
      <c r="L21" s="33">
        <f>('Trans_$kwh'!$C21-'Trans_$kwh'!L21)*$B21</f>
        <v>-6.7764507842594607E-5</v>
      </c>
      <c r="M21" s="33">
        <f>('Trans_$kwh'!$C21-'Trans_$kwh'!M21)*$B21</f>
        <v>-7.4784511570577953E-5</v>
      </c>
    </row>
    <row r="22" spans="1:13" x14ac:dyDescent="0.2">
      <c r="A22" t="str">
        <f>raw!A22</f>
        <v>Southern California Edison Co.</v>
      </c>
      <c r="B22" s="9">
        <f>criteria!J22/criteria!$J$26</f>
        <v>9.9143415829012579E-2</v>
      </c>
      <c r="C22" s="22"/>
      <c r="D22" s="33">
        <f>('Trans_$kwh'!$C22-'Trans_$kwh'!D22)*$B22</f>
        <v>0</v>
      </c>
      <c r="E22" s="33">
        <f>('Trans_$kwh'!$C22-'Trans_$kwh'!E22)*$B22</f>
        <v>2.3363568596665621E-5</v>
      </c>
      <c r="F22" s="33">
        <f>('Trans_$kwh'!$C22-'Trans_$kwh'!F22)*$B22</f>
        <v>2.3363568596665621E-5</v>
      </c>
      <c r="G22" s="33">
        <f>('Trans_$kwh'!$C22-'Trans_$kwh'!G22)*$B22</f>
        <v>2.3363568596665621E-5</v>
      </c>
      <c r="H22" s="33">
        <f>('Trans_$kwh'!$C22-'Trans_$kwh'!H22)*$B22</f>
        <v>2.3363568596665621E-5</v>
      </c>
      <c r="I22" s="33">
        <f>('Trans_$kwh'!$C22-'Trans_$kwh'!I22)*$B22</f>
        <v>7.450915970139424E-5</v>
      </c>
      <c r="J22" s="33">
        <f>('Trans_$kwh'!$C22-'Trans_$kwh'!J22)*$B22</f>
        <v>7.450915970139424E-5</v>
      </c>
      <c r="K22" s="33">
        <f>('Trans_$kwh'!$C22-'Trans_$kwh'!K22)*$B22</f>
        <v>7.450915970139424E-5</v>
      </c>
      <c r="L22" s="33">
        <f>('Trans_$kwh'!$C22-'Trans_$kwh'!L22)*$B22</f>
        <v>7.450915970139424E-5</v>
      </c>
      <c r="M22" s="33">
        <f>('Trans_$kwh'!$C22-'Trans_$kwh'!M22)*$B22</f>
        <v>7.450915970139424E-5</v>
      </c>
    </row>
    <row r="23" spans="1:13" x14ac:dyDescent="0.2">
      <c r="A23" t="str">
        <f>raw!A23</f>
        <v>Southwestern Public Service Co.</v>
      </c>
      <c r="B23" s="9">
        <f>criteria!J23/criteria!$J$26</f>
        <v>2.6917382673191936E-2</v>
      </c>
      <c r="C23" s="22"/>
      <c r="D23" s="33">
        <f>('Trans_$kwh'!$C23-'Trans_$kwh'!D23)*$B23</f>
        <v>0</v>
      </c>
      <c r="E23" s="33">
        <f>('Trans_$kwh'!$C23-'Trans_$kwh'!E23)*$B23</f>
        <v>2.2015816295577636E-6</v>
      </c>
      <c r="F23" s="33">
        <f>('Trans_$kwh'!$C23-'Trans_$kwh'!F23)*$B23</f>
        <v>2.2015816295577636E-6</v>
      </c>
      <c r="G23" s="33">
        <f>('Trans_$kwh'!$C23-'Trans_$kwh'!G23)*$B23</f>
        <v>2.2015816295577636E-6</v>
      </c>
      <c r="H23" s="33">
        <f>('Trans_$kwh'!$C23-'Trans_$kwh'!H23)*$B23</f>
        <v>2.2015816295577636E-6</v>
      </c>
      <c r="I23" s="33">
        <f>('Trans_$kwh'!$C23-'Trans_$kwh'!I23)*$B23</f>
        <v>6.6277463161117448E-6</v>
      </c>
      <c r="J23" s="33">
        <f>('Trans_$kwh'!$C23-'Trans_$kwh'!J23)*$B23</f>
        <v>6.6277463161117448E-6</v>
      </c>
      <c r="K23" s="33">
        <f>('Trans_$kwh'!$C23-'Trans_$kwh'!K23)*$B23</f>
        <v>6.6277463161117448E-6</v>
      </c>
      <c r="L23" s="33">
        <f>('Trans_$kwh'!$C23-'Trans_$kwh'!L23)*$B23</f>
        <v>6.6277463161117448E-6</v>
      </c>
      <c r="M23" s="33">
        <f>('Trans_$kwh'!$C23-'Trans_$kwh'!M23)*$B23</f>
        <v>6.6277463161117448E-6</v>
      </c>
    </row>
    <row r="24" spans="1:13" x14ac:dyDescent="0.2">
      <c r="A24" t="str">
        <f>raw!A24</f>
        <v>TXU Electric Co.</v>
      </c>
      <c r="B24" s="9">
        <f>criteria!J24/criteria!$J$26</f>
        <v>6.1550512352711896E-2</v>
      </c>
      <c r="C24" s="22"/>
      <c r="D24" s="33">
        <f>('Trans_$kwh'!$C24-'Trans_$kwh'!D24)*$B24</f>
        <v>0</v>
      </c>
      <c r="E24" s="33">
        <f>('Trans_$kwh'!$C24-'Trans_$kwh'!E24)*$B24</f>
        <v>4.0693469701459506E-6</v>
      </c>
      <c r="F24" s="33">
        <f>('Trans_$kwh'!$C24-'Trans_$kwh'!F24)*$B24</f>
        <v>4.0693469701459506E-6</v>
      </c>
      <c r="G24" s="33">
        <f>('Trans_$kwh'!$C24-'Trans_$kwh'!G24)*$B24</f>
        <v>4.0693469701459506E-6</v>
      </c>
      <c r="H24" s="33">
        <f>('Trans_$kwh'!$C24-'Trans_$kwh'!H24)*$B24</f>
        <v>4.0693469701459506E-6</v>
      </c>
      <c r="I24" s="33">
        <f>('Trans_$kwh'!$C24-'Trans_$kwh'!I24)*$B24</f>
        <v>1.5011373287805866E-5</v>
      </c>
      <c r="J24" s="33">
        <f>('Trans_$kwh'!$C24-'Trans_$kwh'!J24)*$B24</f>
        <v>1.5011373287805866E-5</v>
      </c>
      <c r="K24" s="33">
        <f>('Trans_$kwh'!$C24-'Trans_$kwh'!K24)*$B24</f>
        <v>1.5011373287805866E-5</v>
      </c>
      <c r="L24" s="33">
        <f>('Trans_$kwh'!$C24-'Trans_$kwh'!L24)*$B24</f>
        <v>1.5011373287805866E-5</v>
      </c>
      <c r="M24" s="33">
        <f>('Trans_$kwh'!$C24-'Trans_$kwh'!M24)*$B24</f>
        <v>1.5011373287805866E-5</v>
      </c>
    </row>
    <row r="26" spans="1:13" ht="13.5" thickBot="1" x14ac:dyDescent="0.25">
      <c r="A26" s="27" t="s">
        <v>331</v>
      </c>
      <c r="B26" s="27"/>
      <c r="C26" s="27"/>
      <c r="D26" s="28">
        <f t="shared" ref="D26:M26" si="0">SUM(D4:D24)</f>
        <v>6.1397925056648492E-6</v>
      </c>
      <c r="E26" s="28">
        <f t="shared" si="0"/>
        <v>8.324281661632682E-5</v>
      </c>
      <c r="F26" s="28">
        <f t="shared" si="0"/>
        <v>7.5563887592943366E-5</v>
      </c>
      <c r="G26" s="28">
        <f t="shared" si="0"/>
        <v>6.7944975462189998E-5</v>
      </c>
      <c r="H26" s="28">
        <f t="shared" si="0"/>
        <v>1.3680128809219545E-4</v>
      </c>
      <c r="I26" s="28">
        <f t="shared" si="0"/>
        <v>3.3038965191328529E-4</v>
      </c>
      <c r="J26" s="28">
        <f t="shared" si="0"/>
        <v>3.2313606414370588E-4</v>
      </c>
      <c r="K26" s="28">
        <f t="shared" si="0"/>
        <v>3.1598214153877357E-4</v>
      </c>
      <c r="L26" s="28">
        <f t="shared" si="0"/>
        <v>3.0889182702100262E-4</v>
      </c>
      <c r="M26" s="28">
        <f t="shared" si="0"/>
        <v>3.0187182329301931E-4</v>
      </c>
    </row>
    <row r="27" spans="1:13" ht="13.5" thickTop="1" x14ac:dyDescent="0.2">
      <c r="C27" s="23"/>
    </row>
    <row r="28" spans="1:13" x14ac:dyDescent="0.2">
      <c r="D28" s="23"/>
    </row>
    <row r="29" spans="1:13" x14ac:dyDescent="0.2">
      <c r="A29" s="24" t="s">
        <v>441</v>
      </c>
      <c r="C29" s="23"/>
    </row>
    <row r="30" spans="1:13" x14ac:dyDescent="0.2">
      <c r="A30" t="s">
        <v>555</v>
      </c>
      <c r="C30" s="23"/>
    </row>
    <row r="31" spans="1:13" x14ac:dyDescent="0.2">
      <c r="C31" s="23"/>
    </row>
    <row r="32" spans="1:13" x14ac:dyDescent="0.2">
      <c r="C32" s="23"/>
    </row>
  </sheetData>
  <pageMargins left="0.75" right="0.75" top="1" bottom="1" header="0.5" footer="0.5"/>
  <pageSetup scale="61" orientation="landscape" verticalDpi="0" r:id="rId1"/>
  <headerFooter alignWithMargins="0">
    <oddFooter>Page &amp;P&amp;R&amp;A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5</vt:i4>
      </vt:variant>
    </vt:vector>
  </HeadingPairs>
  <TitlesOfParts>
    <vt:vector size="47" baseType="lpstr">
      <vt:lpstr>Cover</vt:lpstr>
      <vt:lpstr>Diagram</vt:lpstr>
      <vt:lpstr>Docs</vt:lpstr>
      <vt:lpstr>Graph</vt:lpstr>
      <vt:lpstr>5%Growth</vt:lpstr>
      <vt:lpstr>exposure</vt:lpstr>
      <vt:lpstr>Assumptions</vt:lpstr>
      <vt:lpstr>criteria</vt:lpstr>
      <vt:lpstr>Trans_change</vt:lpstr>
      <vt:lpstr>Dist_change</vt:lpstr>
      <vt:lpstr>Trans_$kwh</vt:lpstr>
      <vt:lpstr>Dist_$kwh</vt:lpstr>
      <vt:lpstr>TransRevR</vt:lpstr>
      <vt:lpstr>DistRevR</vt:lpstr>
      <vt:lpstr>Trans_rrb</vt:lpstr>
      <vt:lpstr>Dist_rrb</vt:lpstr>
      <vt:lpstr>WACC</vt:lpstr>
      <vt:lpstr>Cdebt</vt:lpstr>
      <vt:lpstr>Cequity</vt:lpstr>
      <vt:lpstr>leverage</vt:lpstr>
      <vt:lpstr>Transbase</vt:lpstr>
      <vt:lpstr>Distbase</vt:lpstr>
      <vt:lpstr>TO&amp;M</vt:lpstr>
      <vt:lpstr>DO&amp;M</vt:lpstr>
      <vt:lpstr>CustO&amp;M</vt:lpstr>
      <vt:lpstr>A&amp;GO&amp;M</vt:lpstr>
      <vt:lpstr>PayTO&amp;M</vt:lpstr>
      <vt:lpstr>PayDO&amp;M</vt:lpstr>
      <vt:lpstr>Labor_ratio</vt:lpstr>
      <vt:lpstr>TransNplant</vt:lpstr>
      <vt:lpstr>DistNplant</vt:lpstr>
      <vt:lpstr>TransDepr</vt:lpstr>
      <vt:lpstr>DistDepr</vt:lpstr>
      <vt:lpstr>TransDeprRt</vt:lpstr>
      <vt:lpstr>DistDeprRt</vt:lpstr>
      <vt:lpstr>TransTax</vt:lpstr>
      <vt:lpstr>DistTax</vt:lpstr>
      <vt:lpstr>Mwh</vt:lpstr>
      <vt:lpstr>rawcalc</vt:lpstr>
      <vt:lpstr>raw</vt:lpstr>
      <vt:lpstr>EES_Del</vt:lpstr>
      <vt:lpstr>Position</vt:lpstr>
      <vt:lpstr>'5%Growth'!Print_Area</vt:lpstr>
      <vt:lpstr>Assumptions!Print_Area</vt:lpstr>
      <vt:lpstr>Graph!Print_Area</vt:lpstr>
      <vt:lpstr>Position!Print_Titles</vt:lpstr>
      <vt:lpstr>raw!Print_Titles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dfoti</dc:creator>
  <cp:lastModifiedBy>Jan Havlíček</cp:lastModifiedBy>
  <cp:lastPrinted>2000-07-26T18:06:24Z</cp:lastPrinted>
  <dcterms:created xsi:type="dcterms:W3CDTF">2000-07-14T00:21:56Z</dcterms:created>
  <dcterms:modified xsi:type="dcterms:W3CDTF">2023-09-13T16:02:19Z</dcterms:modified>
</cp:coreProperties>
</file>